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pvagrant/shared/data/protwis/gpcr/structure_data/"/>
    </mc:Choice>
  </mc:AlternateContent>
  <bookViews>
    <workbookView xWindow="940" yWindow="460" windowWidth="32660" windowHeight="20540" tabRatio="500" activeTab="6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'Bulges_Constr_NonXtal_GPCRdb#'!$A$1:$AE$417</definedName>
    <definedName name="_xlnm._FilterDatabase" localSheetId="5" hidden="1">'SegEnds_NonXtal_BW#'!$A$1:$AM$417</definedName>
    <definedName name="_xlnm._FilterDatabase" localSheetId="0" hidden="1">'SegEnds_Xtal_Prot#'!$A$1:$CT$529</definedName>
    <definedName name="GPCRdb_alignment" localSheetId="8">Seqs!$A$413:$B$414</definedName>
    <definedName name="human_GPCR_fasta.fas" localSheetId="8">Seqs!$A$8:$B$411</definedName>
    <definedName name="xtal_templates_1" localSheetId="10">Xtal_Templ!$A$2:$B$414</definedName>
    <definedName name="xtal_templates_10" localSheetId="10">Xtal_Templ!$A$2:$B$417</definedName>
    <definedName name="xtal_templates_12" localSheetId="10">Xtal_Templ!$A$2:$B$417</definedName>
    <definedName name="xtal_templates_13" localSheetId="10">Xtal_Templ!$A$2:$B$417</definedName>
    <definedName name="xtal_templates_14" localSheetId="10">Xtal_Templ!$A$2:$B$417</definedName>
    <definedName name="xtal_templates_15" localSheetId="10">Xtal_Templ!$A$2:$B$417</definedName>
    <definedName name="xtal_templates_3" localSheetId="10">Xtal_Templ!$A$2:$B$414</definedName>
    <definedName name="xtal_templates_4" localSheetId="10">Xtal_Templ!$A$2:$B$414</definedName>
    <definedName name="xtal_templates_6" localSheetId="10">Xtal_Templ!$A$2:$B$414</definedName>
    <definedName name="xtal_templates_7" localSheetId="10">Xtal_Templ!$A$2:$B$414</definedName>
    <definedName name="xtal_templates_8" localSheetId="10">Xtal_Templ!$A$2:$B$414</definedName>
    <definedName name="Z_3E3401AF_8459_8641_BD70_AD04F80E86ED_.wvu.FilterData" localSheetId="7" hidden="1">'Bulges_Constr_NonXtal_GPCRdb#'!$A$1:$AE$417</definedName>
    <definedName name="Z_3E3401AF_8459_8641_BD70_AD04F80E86ED_.wvu.FilterData" localSheetId="5" hidden="1">'SegEnds_NonXtal_BW#'!$A$1:$AM$417</definedName>
    <definedName name="Z_3E3401AF_8459_8641_BD70_AD04F80E86ED_.wvu.FilterData" localSheetId="0" hidden="1">'SegEnds_Xtal_Prot#'!$A$1:$CT$529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96" i="2" l="1"/>
  <c r="V376" i="4"/>
  <c r="A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W96" i="2"/>
  <c r="X96" i="2"/>
  <c r="Y96" i="2"/>
  <c r="Z96" i="2"/>
  <c r="AA96" i="2"/>
  <c r="AB96" i="2"/>
  <c r="D95" i="2"/>
  <c r="B132" i="4"/>
  <c r="D132" i="4"/>
  <c r="E276" i="5"/>
  <c r="B376" i="4"/>
  <c r="D376" i="4"/>
  <c r="E380" i="5"/>
  <c r="AC96" i="2"/>
  <c r="AD96" i="2"/>
  <c r="AE96" i="2"/>
  <c r="L276" i="5"/>
  <c r="K276" i="5"/>
  <c r="I376" i="4"/>
  <c r="L380" i="5"/>
  <c r="H376" i="4"/>
  <c r="K380" i="5"/>
  <c r="AF96" i="2"/>
  <c r="AG96" i="2"/>
  <c r="AH96" i="2"/>
  <c r="AI96" i="2"/>
  <c r="AJ96" i="2"/>
  <c r="O276" i="5"/>
  <c r="N276" i="5"/>
  <c r="K376" i="4"/>
  <c r="O380" i="5"/>
  <c r="J376" i="4"/>
  <c r="N380" i="5"/>
  <c r="AK96" i="2"/>
  <c r="M95" i="2"/>
  <c r="M132" i="4"/>
  <c r="R276" i="5"/>
  <c r="L95" i="2"/>
  <c r="L132" i="4"/>
  <c r="Q276" i="5"/>
  <c r="M376" i="4"/>
  <c r="R380" i="5"/>
  <c r="L376" i="4"/>
  <c r="Q380" i="5"/>
  <c r="AL96" i="2"/>
  <c r="AM96" i="2"/>
  <c r="A520" i="1"/>
  <c r="D520" i="1"/>
  <c r="F520" i="1"/>
  <c r="H520" i="1"/>
  <c r="J520" i="1"/>
  <c r="L520" i="1"/>
  <c r="N520" i="1"/>
  <c r="P520" i="1"/>
  <c r="R520" i="1"/>
  <c r="T520" i="1"/>
  <c r="V520" i="1"/>
  <c r="X520" i="1"/>
  <c r="Z520" i="1"/>
  <c r="AB520" i="1"/>
  <c r="AD520" i="1"/>
  <c r="AF520" i="1"/>
  <c r="AH520" i="1"/>
  <c r="AJ520" i="1"/>
  <c r="AL520" i="1"/>
  <c r="AN520" i="1"/>
  <c r="AP520" i="1"/>
  <c r="AR520" i="1"/>
  <c r="AT520" i="1"/>
  <c r="AV520" i="1"/>
  <c r="AX520" i="1"/>
  <c r="AZ520" i="1"/>
  <c r="BA520" i="1"/>
  <c r="BB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BC520" i="1"/>
  <c r="CT520" i="1"/>
  <c r="A521" i="1"/>
  <c r="D521" i="1"/>
  <c r="F521" i="1"/>
  <c r="H521" i="1"/>
  <c r="J521" i="1"/>
  <c r="L521" i="1"/>
  <c r="N521" i="1"/>
  <c r="P521" i="1"/>
  <c r="R521" i="1"/>
  <c r="T521" i="1"/>
  <c r="V521" i="1"/>
  <c r="X521" i="1"/>
  <c r="Z521" i="1"/>
  <c r="AB521" i="1"/>
  <c r="AD521" i="1"/>
  <c r="AF521" i="1"/>
  <c r="AH521" i="1"/>
  <c r="AJ521" i="1"/>
  <c r="AL521" i="1"/>
  <c r="AN521" i="1"/>
  <c r="AP521" i="1"/>
  <c r="AR521" i="1"/>
  <c r="AT521" i="1"/>
  <c r="AV521" i="1"/>
  <c r="AX521" i="1"/>
  <c r="AZ521" i="1"/>
  <c r="BA521" i="1"/>
  <c r="BB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BC521" i="1"/>
  <c r="CT521" i="1"/>
  <c r="A481" i="1"/>
  <c r="D481" i="1"/>
  <c r="F481" i="1"/>
  <c r="H481" i="1"/>
  <c r="J481" i="1"/>
  <c r="L481" i="1"/>
  <c r="N481" i="1"/>
  <c r="P481" i="1"/>
  <c r="R481" i="1"/>
  <c r="T481" i="1"/>
  <c r="V481" i="1"/>
  <c r="X481" i="1"/>
  <c r="Z481" i="1"/>
  <c r="AB481" i="1"/>
  <c r="AD481" i="1"/>
  <c r="AF481" i="1"/>
  <c r="AH481" i="1"/>
  <c r="AJ481" i="1"/>
  <c r="AL481" i="1"/>
  <c r="AN481" i="1"/>
  <c r="AP481" i="1"/>
  <c r="AR481" i="1"/>
  <c r="AT481" i="1"/>
  <c r="AV481" i="1"/>
  <c r="AX481" i="1"/>
  <c r="AZ481" i="1"/>
  <c r="BA481" i="1"/>
  <c r="BB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BC481" i="1"/>
  <c r="CT481" i="1"/>
  <c r="A480" i="1"/>
  <c r="D480" i="1"/>
  <c r="F480" i="1"/>
  <c r="H480" i="1"/>
  <c r="J480" i="1"/>
  <c r="L480" i="1"/>
  <c r="N480" i="1"/>
  <c r="P480" i="1"/>
  <c r="R480" i="1"/>
  <c r="T480" i="1"/>
  <c r="V480" i="1"/>
  <c r="X480" i="1"/>
  <c r="Z480" i="1"/>
  <c r="AB480" i="1"/>
  <c r="AD480" i="1"/>
  <c r="AF480" i="1"/>
  <c r="AH480" i="1"/>
  <c r="AJ480" i="1"/>
  <c r="AL480" i="1"/>
  <c r="AN480" i="1"/>
  <c r="AP480" i="1"/>
  <c r="AR480" i="1"/>
  <c r="AT480" i="1"/>
  <c r="AV480" i="1"/>
  <c r="AX480" i="1"/>
  <c r="AZ480" i="1"/>
  <c r="BA480" i="1"/>
  <c r="BB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BC480" i="1"/>
  <c r="CT480" i="1"/>
  <c r="A479" i="1"/>
  <c r="D479" i="1"/>
  <c r="F479" i="1"/>
  <c r="H479" i="1"/>
  <c r="J479" i="1"/>
  <c r="L479" i="1"/>
  <c r="N479" i="1"/>
  <c r="P479" i="1"/>
  <c r="R479" i="1"/>
  <c r="T479" i="1"/>
  <c r="V479" i="1"/>
  <c r="X479" i="1"/>
  <c r="Z479" i="1"/>
  <c r="AB479" i="1"/>
  <c r="AD479" i="1"/>
  <c r="AF479" i="1"/>
  <c r="AH479" i="1"/>
  <c r="AJ479" i="1"/>
  <c r="AL479" i="1"/>
  <c r="AN479" i="1"/>
  <c r="AP479" i="1"/>
  <c r="AR479" i="1"/>
  <c r="AT479" i="1"/>
  <c r="AV479" i="1"/>
  <c r="AX479" i="1"/>
  <c r="AZ479" i="1"/>
  <c r="BA479" i="1"/>
  <c r="BB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BC479" i="1"/>
  <c r="CT479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429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BC429" i="1"/>
  <c r="CT429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H267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J267" i="1"/>
  <c r="AL267" i="1"/>
  <c r="AN267" i="1"/>
  <c r="AP267" i="1"/>
  <c r="AR267" i="1"/>
  <c r="AT267" i="1"/>
  <c r="AV267" i="1"/>
  <c r="AX267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G71" i="4"/>
  <c r="AH71" i="4"/>
  <c r="AG417" i="4"/>
  <c r="AG416" i="4"/>
  <c r="AG415" i="4"/>
  <c r="AG414" i="4"/>
  <c r="AG413" i="4"/>
  <c r="AG412" i="4"/>
  <c r="AG401" i="4"/>
  <c r="AG400" i="4"/>
  <c r="AG411" i="4"/>
  <c r="AG410" i="4"/>
  <c r="AG393" i="4"/>
  <c r="AG409" i="4"/>
  <c r="AG408" i="4"/>
  <c r="AG399" i="4"/>
  <c r="AG398" i="4"/>
  <c r="AG397" i="4"/>
  <c r="AG407" i="4"/>
  <c r="AG406" i="4"/>
  <c r="AG405" i="4"/>
  <c r="AG404" i="4"/>
  <c r="AG403" i="4"/>
  <c r="AG396" i="4"/>
  <c r="AG395" i="4"/>
  <c r="AG394" i="4"/>
  <c r="AG402" i="4"/>
  <c r="AG389" i="4"/>
  <c r="AG391" i="4"/>
  <c r="AG392" i="4"/>
  <c r="AG390" i="4"/>
  <c r="AG388" i="4"/>
  <c r="AG387" i="4"/>
  <c r="AG386" i="4"/>
  <c r="AG385" i="4"/>
  <c r="AG383" i="4"/>
  <c r="AG377" i="4"/>
  <c r="AG381" i="4"/>
  <c r="AG380" i="4"/>
  <c r="AG376" i="4"/>
  <c r="AG375" i="4"/>
  <c r="AG379" i="4"/>
  <c r="AG378" i="4"/>
  <c r="AG382" i="4"/>
  <c r="AG384" i="4"/>
  <c r="AG359" i="4"/>
  <c r="AG358" i="4"/>
  <c r="AG357" i="4"/>
  <c r="AG365" i="4"/>
  <c r="AG372" i="4"/>
  <c r="AG371" i="4"/>
  <c r="AG370" i="4"/>
  <c r="AG354" i="4"/>
  <c r="AG369" i="4"/>
  <c r="AG364" i="4"/>
  <c r="AG363" i="4"/>
  <c r="AG353" i="4"/>
  <c r="AG356" i="4"/>
  <c r="AG374" i="4"/>
  <c r="AG368" i="4"/>
  <c r="AG373" i="4"/>
  <c r="AG367" i="4"/>
  <c r="AG366" i="4"/>
  <c r="AG360" i="4"/>
  <c r="AG362" i="4"/>
  <c r="AG361" i="4"/>
  <c r="AG355" i="4"/>
  <c r="AG339" i="4"/>
  <c r="AG338" i="4"/>
  <c r="AG337" i="4"/>
  <c r="AG336" i="4"/>
  <c r="AG335" i="4"/>
  <c r="AG334" i="4"/>
  <c r="AG333" i="4"/>
  <c r="AG332" i="4"/>
  <c r="AG351" i="4"/>
  <c r="AG331" i="4"/>
  <c r="AG330" i="4"/>
  <c r="AG329" i="4"/>
  <c r="AG322" i="4"/>
  <c r="AG328" i="4"/>
  <c r="AG347" i="4"/>
  <c r="AG346" i="4"/>
  <c r="AG345" i="4"/>
  <c r="AG344" i="4"/>
  <c r="AG321" i="4"/>
  <c r="AG343" i="4"/>
  <c r="AG327" i="4"/>
  <c r="AG352" i="4"/>
  <c r="AG326" i="4"/>
  <c r="AG325" i="4"/>
  <c r="AG324" i="4"/>
  <c r="AG320" i="4"/>
  <c r="AG323" i="4"/>
  <c r="AG342" i="4"/>
  <c r="AG341" i="4"/>
  <c r="AG340" i="4"/>
  <c r="AG350" i="4"/>
  <c r="AG349" i="4"/>
  <c r="AG348" i="4"/>
  <c r="AG308" i="4"/>
  <c r="AG307" i="4"/>
  <c r="AG304" i="4"/>
  <c r="AG313" i="4"/>
  <c r="AG319" i="4"/>
  <c r="AG306" i="4"/>
  <c r="AG318" i="4"/>
  <c r="AG317" i="4"/>
  <c r="AG316" i="4"/>
  <c r="AG315" i="4"/>
  <c r="AG305" i="4"/>
  <c r="AG314" i="4"/>
  <c r="AG312" i="4"/>
  <c r="AG311" i="4"/>
  <c r="AG310" i="4"/>
  <c r="AG309" i="4"/>
  <c r="AG292" i="4"/>
  <c r="AG288" i="4"/>
  <c r="AG287" i="4"/>
  <c r="AG205" i="4"/>
  <c r="AG204" i="4"/>
  <c r="AG101" i="4"/>
  <c r="AG92" i="4"/>
  <c r="AG303" i="4"/>
  <c r="AG179" i="4"/>
  <c r="AG178" i="4"/>
  <c r="AG177" i="4"/>
  <c r="AG176" i="4"/>
  <c r="AG212" i="4"/>
  <c r="AG211" i="4"/>
  <c r="AG139" i="4"/>
  <c r="AG138" i="4"/>
  <c r="AG175" i="4"/>
  <c r="AG174" i="4"/>
  <c r="AG173" i="4"/>
  <c r="AG48" i="4"/>
  <c r="AG113" i="4"/>
  <c r="AG164" i="4"/>
  <c r="AG6" i="4"/>
  <c r="AG163" i="4"/>
  <c r="AG132" i="4"/>
  <c r="AG76" i="4"/>
  <c r="AG45" i="4"/>
  <c r="AG161" i="4"/>
  <c r="AG20" i="4"/>
  <c r="AG282" i="4"/>
  <c r="AG130" i="4"/>
  <c r="AG301" i="4"/>
  <c r="AG271" i="4"/>
  <c r="AG270" i="4"/>
  <c r="AG269" i="4"/>
  <c r="AG293" i="4"/>
  <c r="AG69" i="4"/>
  <c r="AG155" i="4"/>
  <c r="AG273" i="4"/>
  <c r="AG272" i="4"/>
  <c r="AG247" i="4"/>
  <c r="AG261" i="4"/>
  <c r="AG114" i="4"/>
  <c r="AG85" i="4"/>
  <c r="AG80" i="4"/>
  <c r="AG44" i="4"/>
  <c r="AG249" i="4"/>
  <c r="AG268" i="4"/>
  <c r="AG105" i="4"/>
  <c r="AG104" i="4"/>
  <c r="AG103" i="4"/>
  <c r="AG60" i="4"/>
  <c r="AG59" i="4"/>
  <c r="AG58" i="4"/>
  <c r="AG57" i="4"/>
  <c r="AG56" i="4"/>
  <c r="AG55" i="4"/>
  <c r="AG54" i="4"/>
  <c r="AG291" i="4"/>
  <c r="AG267" i="4"/>
  <c r="AG290" i="4"/>
  <c r="AG149" i="4"/>
  <c r="AG31" i="4"/>
  <c r="AG148" i="4"/>
  <c r="AG147" i="4"/>
  <c r="AG30" i="4"/>
  <c r="AG146" i="4"/>
  <c r="AG289" i="4"/>
  <c r="AG213" i="4"/>
  <c r="AG236" i="4"/>
  <c r="AG266" i="4"/>
  <c r="AG235" i="4"/>
  <c r="AG299" i="4"/>
  <c r="AG51" i="4"/>
  <c r="AG118" i="4"/>
  <c r="AG185" i="4"/>
  <c r="AG298" i="4"/>
  <c r="AG15" i="4"/>
  <c r="AG102" i="4"/>
  <c r="AG203" i="4"/>
  <c r="AG202" i="4"/>
  <c r="AG184" i="4"/>
  <c r="AG183" i="4"/>
  <c r="AG201" i="4"/>
  <c r="AG265" i="4"/>
  <c r="AG264" i="4"/>
  <c r="AG263" i="4"/>
  <c r="AG302" i="4"/>
  <c r="AG145" i="4"/>
  <c r="AG234" i="4"/>
  <c r="AG233" i="4"/>
  <c r="AG297" i="4"/>
  <c r="AG232" i="4"/>
  <c r="AG222" i="4"/>
  <c r="AG3" i="4"/>
  <c r="AG2" i="4"/>
  <c r="AG98" i="4"/>
  <c r="AG144" i="4"/>
  <c r="AG143" i="4"/>
  <c r="AG142" i="4"/>
  <c r="AG141" i="4"/>
  <c r="AG181" i="4"/>
  <c r="AG180" i="4"/>
  <c r="AG93" i="4"/>
  <c r="AG200" i="4"/>
  <c r="AG4" i="4"/>
  <c r="AG231" i="4"/>
  <c r="AG230" i="4"/>
  <c r="AG229" i="4"/>
  <c r="AG210" i="4"/>
  <c r="AG209" i="4"/>
  <c r="AG199" i="4"/>
  <c r="AG172" i="4"/>
  <c r="AG171" i="4"/>
  <c r="AG170" i="4"/>
  <c r="AG169" i="4"/>
  <c r="AG168" i="4"/>
  <c r="AG137" i="4"/>
  <c r="AG136" i="4"/>
  <c r="AG135" i="4"/>
  <c r="AG134" i="4"/>
  <c r="AG29" i="4"/>
  <c r="AG28" i="4"/>
  <c r="AG27" i="4"/>
  <c r="AG117" i="4"/>
  <c r="AG116" i="4"/>
  <c r="AG115" i="4"/>
  <c r="AG167" i="4"/>
  <c r="AG166" i="4"/>
  <c r="AG165" i="4"/>
  <c r="AG10" i="4"/>
  <c r="AG26" i="4"/>
  <c r="AG296" i="4"/>
  <c r="AG295" i="4"/>
  <c r="AG91" i="4"/>
  <c r="AG260" i="4"/>
  <c r="AG286" i="4"/>
  <c r="AG259" i="4"/>
  <c r="AG88" i="4"/>
  <c r="AG87" i="4"/>
  <c r="AG86" i="4"/>
  <c r="AG219" i="4"/>
  <c r="AG84" i="4"/>
  <c r="AG49" i="4"/>
  <c r="AG285" i="4"/>
  <c r="AG284" i="4"/>
  <c r="AG198" i="4"/>
  <c r="AG197" i="4"/>
  <c r="AG25" i="4"/>
  <c r="AG258" i="4"/>
  <c r="AG83" i="4"/>
  <c r="AG14" i="4"/>
  <c r="AG218" i="4"/>
  <c r="AG47" i="4"/>
  <c r="AG82" i="4"/>
  <c r="AG9" i="4"/>
  <c r="AG257" i="4"/>
  <c r="AG24" i="4"/>
  <c r="AG13" i="4"/>
  <c r="AG256" i="4"/>
  <c r="AG228" i="4"/>
  <c r="AG162" i="4"/>
  <c r="AG208" i="4"/>
  <c r="AG227" i="4"/>
  <c r="AG81" i="4"/>
  <c r="AG217" i="4"/>
  <c r="AG216" i="4"/>
  <c r="AG8" i="4"/>
  <c r="AG46" i="4"/>
  <c r="AG283" i="4"/>
  <c r="AG23" i="4"/>
  <c r="AG133" i="4"/>
  <c r="AG77" i="4"/>
  <c r="AG255" i="4"/>
  <c r="AG226" i="4"/>
  <c r="AG7" i="4"/>
  <c r="AG196" i="4"/>
  <c r="AG300" i="4"/>
  <c r="AG294" i="4"/>
  <c r="AG254" i="4"/>
  <c r="AG75" i="4"/>
  <c r="AG252" i="4"/>
  <c r="AG22" i="4"/>
  <c r="AG74" i="4"/>
  <c r="AG21" i="4"/>
  <c r="AG195" i="4"/>
  <c r="AG5" i="4"/>
  <c r="AG194" i="4"/>
  <c r="AG73" i="4"/>
  <c r="AG112" i="4"/>
  <c r="AG215" i="4"/>
  <c r="AG158" i="4"/>
  <c r="AG128" i="4"/>
  <c r="AG127" i="4"/>
  <c r="AG126" i="4"/>
  <c r="AG157" i="4"/>
  <c r="AG72" i="4"/>
  <c r="AG225" i="4"/>
  <c r="AG224" i="4"/>
  <c r="AG214" i="4"/>
  <c r="AG156" i="4"/>
  <c r="AG12" i="4"/>
  <c r="AG11" i="4"/>
  <c r="AG19" i="4"/>
  <c r="AG281" i="4"/>
  <c r="AG280" i="4"/>
  <c r="AG279" i="4"/>
  <c r="AG70" i="4"/>
  <c r="AG207" i="4"/>
  <c r="AG278" i="4"/>
  <c r="AG277" i="4"/>
  <c r="AG276" i="4"/>
  <c r="AG251" i="4"/>
  <c r="AG68" i="4"/>
  <c r="AG67" i="4"/>
  <c r="AG125" i="4"/>
  <c r="AG193" i="4"/>
  <c r="AG250" i="4"/>
  <c r="AG248" i="4"/>
  <c r="AG246" i="4"/>
  <c r="AG245" i="4"/>
  <c r="AG244" i="4"/>
  <c r="AG243" i="4"/>
  <c r="AG242" i="4"/>
  <c r="AG154" i="4"/>
  <c r="AG192" i="4"/>
  <c r="AG191" i="4"/>
  <c r="AG190" i="4"/>
  <c r="AG206" i="4"/>
  <c r="AG241" i="4"/>
  <c r="AG240" i="4"/>
  <c r="AG223" i="4"/>
  <c r="AG238" i="4"/>
  <c r="AG66" i="4"/>
  <c r="AG43" i="4"/>
  <c r="AG42" i="4"/>
  <c r="AG41" i="4"/>
  <c r="AG111" i="4"/>
  <c r="AG110" i="4"/>
  <c r="AG18" i="4"/>
  <c r="AG65" i="4"/>
  <c r="AG64" i="4"/>
  <c r="AG63" i="4"/>
  <c r="AG153" i="4"/>
  <c r="AG40" i="4"/>
  <c r="AG39" i="4"/>
  <c r="AG38" i="4"/>
  <c r="AG37" i="4"/>
  <c r="AG36" i="4"/>
  <c r="AG35" i="4"/>
  <c r="AG237" i="4"/>
  <c r="AG17" i="4"/>
  <c r="AG124" i="4"/>
  <c r="AG109" i="4"/>
  <c r="AG62" i="4"/>
  <c r="AG152" i="4"/>
  <c r="AG16" i="4"/>
  <c r="AG34" i="4"/>
  <c r="AG33" i="4"/>
  <c r="AG151" i="4"/>
  <c r="AG123" i="4"/>
  <c r="AG150" i="4"/>
  <c r="AG61" i="4"/>
  <c r="AG32" i="4"/>
  <c r="AG108" i="4"/>
  <c r="AG107" i="4"/>
  <c r="AG106" i="4"/>
  <c r="AG189" i="4"/>
  <c r="AG188" i="4"/>
  <c r="AG187" i="4"/>
  <c r="AG122" i="4"/>
  <c r="AG121" i="4"/>
  <c r="AG120" i="4"/>
  <c r="AG119" i="4"/>
  <c r="AG53" i="4"/>
  <c r="AG52" i="4"/>
  <c r="AG182" i="4"/>
  <c r="AG262" i="4"/>
  <c r="AG100" i="4"/>
  <c r="AG99" i="4"/>
  <c r="AG97" i="4"/>
  <c r="AG96" i="4"/>
  <c r="AG95" i="4"/>
  <c r="AG94" i="4"/>
  <c r="AG90" i="4"/>
  <c r="AG89" i="4"/>
  <c r="AG50" i="4"/>
  <c r="AG253" i="4"/>
  <c r="AG131" i="4"/>
  <c r="AG160" i="4"/>
  <c r="AG159" i="4"/>
  <c r="AG275" i="4"/>
  <c r="AG274" i="4"/>
  <c r="AG239" i="4"/>
  <c r="AG186" i="4"/>
  <c r="AG221" i="4"/>
  <c r="AG220" i="4"/>
  <c r="AG140" i="4"/>
  <c r="AG79" i="4"/>
  <c r="AG78" i="4"/>
  <c r="AG129" i="4"/>
  <c r="A31" i="3"/>
  <c r="B31" i="3"/>
  <c r="C31" i="3"/>
  <c r="AD91" i="5"/>
  <c r="AJ68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G6" i="3"/>
  <c r="A7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T68" i="4" a="1"/>
  <c r="T68" i="4"/>
  <c r="AC91" i="5"/>
  <c r="AJ132" i="4"/>
  <c r="H31" i="3"/>
  <c r="U132" i="4" a="1"/>
  <c r="U132" i="4"/>
  <c r="AD276" i="5"/>
  <c r="T132" i="4" a="1"/>
  <c r="T132" i="4"/>
  <c r="AC276" i="5"/>
  <c r="E31" i="3"/>
  <c r="A95" i="2"/>
  <c r="C95" i="2"/>
  <c r="E95" i="2"/>
  <c r="F95" i="2"/>
  <c r="G95" i="2"/>
  <c r="H95" i="2"/>
  <c r="I95" i="2"/>
  <c r="J95" i="2"/>
  <c r="K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D94" i="2"/>
  <c r="B275" i="4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C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D275" i="4"/>
  <c r="E11" i="5"/>
  <c r="F276" i="5"/>
  <c r="AC95" i="2"/>
  <c r="AD95" i="2"/>
  <c r="AE95" i="2"/>
  <c r="K11" i="5"/>
  <c r="AF95" i="2"/>
  <c r="AG95" i="2"/>
  <c r="AH95" i="2"/>
  <c r="AI95" i="2"/>
  <c r="AJ95" i="2"/>
  <c r="AK95" i="2"/>
  <c r="M275" i="4"/>
  <c r="R11" i="5"/>
  <c r="L275" i="4"/>
  <c r="Q11" i="5"/>
  <c r="AL95" i="2"/>
  <c r="AM95" i="2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Z80" i="1"/>
  <c r="BA80" i="1"/>
  <c r="BB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BC80" i="1"/>
  <c r="CT80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B7" i="3"/>
  <c r="C7" i="3"/>
  <c r="AJ277" i="4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A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A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A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A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A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A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A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A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A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A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A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A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A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A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A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A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A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A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A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A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A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A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A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A428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A430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A431" i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432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A433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AR433" i="1"/>
  <c r="AT433" i="1"/>
  <c r="AV433" i="1"/>
  <c r="AX433" i="1"/>
  <c r="A434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AR434" i="1"/>
  <c r="AT434" i="1"/>
  <c r="AV434" i="1"/>
  <c r="AX434" i="1"/>
  <c r="A435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AR435" i="1"/>
  <c r="AT435" i="1"/>
  <c r="AV435" i="1"/>
  <c r="AX435" i="1"/>
  <c r="A436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AR436" i="1"/>
  <c r="AT436" i="1"/>
  <c r="AV436" i="1"/>
  <c r="AX436" i="1"/>
  <c r="A437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AR437" i="1"/>
  <c r="AT437" i="1"/>
  <c r="AV437" i="1"/>
  <c r="AX437" i="1"/>
  <c r="A438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AR438" i="1"/>
  <c r="AT438" i="1"/>
  <c r="AV438" i="1"/>
  <c r="AX438" i="1"/>
  <c r="A439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AR439" i="1"/>
  <c r="AT439" i="1"/>
  <c r="AV439" i="1"/>
  <c r="AX439" i="1"/>
  <c r="A440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AR440" i="1"/>
  <c r="AT440" i="1"/>
  <c r="AV440" i="1"/>
  <c r="AX440" i="1"/>
  <c r="A441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AR441" i="1"/>
  <c r="AT441" i="1"/>
  <c r="AV441" i="1"/>
  <c r="AX441" i="1"/>
  <c r="A442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AR442" i="1"/>
  <c r="AT442" i="1"/>
  <c r="AV442" i="1"/>
  <c r="AX442" i="1"/>
  <c r="A443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AR443" i="1"/>
  <c r="AT443" i="1"/>
  <c r="AV443" i="1"/>
  <c r="AX443" i="1"/>
  <c r="A444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AR444" i="1"/>
  <c r="AT444" i="1"/>
  <c r="AV444" i="1"/>
  <c r="AX444" i="1"/>
  <c r="A445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AR445" i="1"/>
  <c r="AT445" i="1"/>
  <c r="AV445" i="1"/>
  <c r="AX445" i="1"/>
  <c r="A446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AR446" i="1"/>
  <c r="AT446" i="1"/>
  <c r="AV446" i="1"/>
  <c r="AX446" i="1"/>
  <c r="A447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AR447" i="1"/>
  <c r="AT447" i="1"/>
  <c r="AV447" i="1"/>
  <c r="AX447" i="1"/>
  <c r="A448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AR448" i="1"/>
  <c r="AT448" i="1"/>
  <c r="AV448" i="1"/>
  <c r="AX448" i="1"/>
  <c r="A449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AR449" i="1"/>
  <c r="AT449" i="1"/>
  <c r="AV449" i="1"/>
  <c r="AX449" i="1"/>
  <c r="A450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AR450" i="1"/>
  <c r="AT450" i="1"/>
  <c r="AV450" i="1"/>
  <c r="AX450" i="1"/>
  <c r="A451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AR451" i="1"/>
  <c r="AT451" i="1"/>
  <c r="AV451" i="1"/>
  <c r="AX451" i="1"/>
  <c r="A452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AR452" i="1"/>
  <c r="AT452" i="1"/>
  <c r="AV452" i="1"/>
  <c r="AX452" i="1"/>
  <c r="A453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AR453" i="1"/>
  <c r="AT453" i="1"/>
  <c r="AV453" i="1"/>
  <c r="AX453" i="1"/>
  <c r="A454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AR454" i="1"/>
  <c r="AT454" i="1"/>
  <c r="AV454" i="1"/>
  <c r="AX454" i="1"/>
  <c r="A455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AR455" i="1"/>
  <c r="AT455" i="1"/>
  <c r="AV455" i="1"/>
  <c r="AX455" i="1"/>
  <c r="A456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AR456" i="1"/>
  <c r="AT456" i="1"/>
  <c r="AV456" i="1"/>
  <c r="AX456" i="1"/>
  <c r="A457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AR457" i="1"/>
  <c r="AT457" i="1"/>
  <c r="AV457" i="1"/>
  <c r="AX457" i="1"/>
  <c r="A458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AR458" i="1"/>
  <c r="AT458" i="1"/>
  <c r="AV458" i="1"/>
  <c r="AX458" i="1"/>
  <c r="A459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AR459" i="1"/>
  <c r="AT459" i="1"/>
  <c r="AV459" i="1"/>
  <c r="AX459" i="1"/>
  <c r="A460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AR460" i="1"/>
  <c r="AT460" i="1"/>
  <c r="AV460" i="1"/>
  <c r="AX460" i="1"/>
  <c r="A461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AR461" i="1"/>
  <c r="AT461" i="1"/>
  <c r="AV461" i="1"/>
  <c r="AX461" i="1"/>
  <c r="A462" i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AR462" i="1"/>
  <c r="AT462" i="1"/>
  <c r="AV462" i="1"/>
  <c r="AX462" i="1"/>
  <c r="A463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AR463" i="1"/>
  <c r="AT463" i="1"/>
  <c r="AV463" i="1"/>
  <c r="AX463" i="1"/>
  <c r="A464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AR464" i="1"/>
  <c r="AT464" i="1"/>
  <c r="AV464" i="1"/>
  <c r="AX464" i="1"/>
  <c r="A465" i="1"/>
  <c r="D465" i="1"/>
  <c r="F465" i="1"/>
  <c r="H465" i="1"/>
  <c r="J465" i="1"/>
  <c r="L465" i="1"/>
  <c r="N465" i="1"/>
  <c r="P465" i="1"/>
  <c r="R465" i="1"/>
  <c r="T465" i="1"/>
  <c r="V465" i="1"/>
  <c r="X465" i="1"/>
  <c r="Z465" i="1"/>
  <c r="AB465" i="1"/>
  <c r="AD465" i="1"/>
  <c r="AF465" i="1"/>
  <c r="AH465" i="1"/>
  <c r="AJ465" i="1"/>
  <c r="AL465" i="1"/>
  <c r="AN465" i="1"/>
  <c r="AP465" i="1"/>
  <c r="AR465" i="1"/>
  <c r="AT465" i="1"/>
  <c r="AV465" i="1"/>
  <c r="AX465" i="1"/>
  <c r="A466" i="1"/>
  <c r="D466" i="1"/>
  <c r="F466" i="1"/>
  <c r="H466" i="1"/>
  <c r="J466" i="1"/>
  <c r="L466" i="1"/>
  <c r="N466" i="1"/>
  <c r="P466" i="1"/>
  <c r="R466" i="1"/>
  <c r="T466" i="1"/>
  <c r="V466" i="1"/>
  <c r="X466" i="1"/>
  <c r="Z466" i="1"/>
  <c r="AB466" i="1"/>
  <c r="AD466" i="1"/>
  <c r="AF466" i="1"/>
  <c r="AH466" i="1"/>
  <c r="AJ466" i="1"/>
  <c r="AL466" i="1"/>
  <c r="AN466" i="1"/>
  <c r="AP466" i="1"/>
  <c r="AR466" i="1"/>
  <c r="AT466" i="1"/>
  <c r="AV466" i="1"/>
  <c r="AX466" i="1"/>
  <c r="A467" i="1"/>
  <c r="D467" i="1"/>
  <c r="F467" i="1"/>
  <c r="H467" i="1"/>
  <c r="J467" i="1"/>
  <c r="L467" i="1"/>
  <c r="N467" i="1"/>
  <c r="P467" i="1"/>
  <c r="R467" i="1"/>
  <c r="T467" i="1"/>
  <c r="V467" i="1"/>
  <c r="X467" i="1"/>
  <c r="Z467" i="1"/>
  <c r="AB467" i="1"/>
  <c r="AD467" i="1"/>
  <c r="AF467" i="1"/>
  <c r="AH467" i="1"/>
  <c r="AJ467" i="1"/>
  <c r="AL467" i="1"/>
  <c r="AN467" i="1"/>
  <c r="AP467" i="1"/>
  <c r="AR467" i="1"/>
  <c r="AT467" i="1"/>
  <c r="AV467" i="1"/>
  <c r="AX467" i="1"/>
  <c r="A468" i="1"/>
  <c r="D468" i="1"/>
  <c r="F468" i="1"/>
  <c r="H468" i="1"/>
  <c r="J468" i="1"/>
  <c r="L468" i="1"/>
  <c r="N468" i="1"/>
  <c r="P468" i="1"/>
  <c r="R468" i="1"/>
  <c r="T468" i="1"/>
  <c r="V468" i="1"/>
  <c r="X468" i="1"/>
  <c r="Z468" i="1"/>
  <c r="AB468" i="1"/>
  <c r="AD468" i="1"/>
  <c r="AF468" i="1"/>
  <c r="AH468" i="1"/>
  <c r="AJ468" i="1"/>
  <c r="AL468" i="1"/>
  <c r="AN468" i="1"/>
  <c r="AP468" i="1"/>
  <c r="AR468" i="1"/>
  <c r="AT468" i="1"/>
  <c r="AV468" i="1"/>
  <c r="AX468" i="1"/>
  <c r="A469" i="1"/>
  <c r="D469" i="1"/>
  <c r="F469" i="1"/>
  <c r="H469" i="1"/>
  <c r="J469" i="1"/>
  <c r="L469" i="1"/>
  <c r="N469" i="1"/>
  <c r="P469" i="1"/>
  <c r="R469" i="1"/>
  <c r="T469" i="1"/>
  <c r="V469" i="1"/>
  <c r="X469" i="1"/>
  <c r="Z469" i="1"/>
  <c r="AB469" i="1"/>
  <c r="AD469" i="1"/>
  <c r="AF469" i="1"/>
  <c r="AH469" i="1"/>
  <c r="AJ469" i="1"/>
  <c r="AL469" i="1"/>
  <c r="AN469" i="1"/>
  <c r="AP469" i="1"/>
  <c r="AR469" i="1"/>
  <c r="AT469" i="1"/>
  <c r="AV469" i="1"/>
  <c r="AX469" i="1"/>
  <c r="A470" i="1"/>
  <c r="D470" i="1"/>
  <c r="F470" i="1"/>
  <c r="H470" i="1"/>
  <c r="J470" i="1"/>
  <c r="L470" i="1"/>
  <c r="N470" i="1"/>
  <c r="P470" i="1"/>
  <c r="R470" i="1"/>
  <c r="T470" i="1"/>
  <c r="V470" i="1"/>
  <c r="X470" i="1"/>
  <c r="Z470" i="1"/>
  <c r="AB470" i="1"/>
  <c r="AD470" i="1"/>
  <c r="AF470" i="1"/>
  <c r="AH470" i="1"/>
  <c r="AJ470" i="1"/>
  <c r="AL470" i="1"/>
  <c r="AN470" i="1"/>
  <c r="AP470" i="1"/>
  <c r="AR470" i="1"/>
  <c r="AT470" i="1"/>
  <c r="AV470" i="1"/>
  <c r="AX470" i="1"/>
  <c r="A471" i="1"/>
  <c r="D471" i="1"/>
  <c r="F471" i="1"/>
  <c r="H471" i="1"/>
  <c r="J471" i="1"/>
  <c r="L471" i="1"/>
  <c r="N471" i="1"/>
  <c r="P471" i="1"/>
  <c r="R471" i="1"/>
  <c r="T471" i="1"/>
  <c r="V471" i="1"/>
  <c r="X471" i="1"/>
  <c r="Z471" i="1"/>
  <c r="AB471" i="1"/>
  <c r="AD471" i="1"/>
  <c r="AF471" i="1"/>
  <c r="AH471" i="1"/>
  <c r="AJ471" i="1"/>
  <c r="AL471" i="1"/>
  <c r="AN471" i="1"/>
  <c r="AP471" i="1"/>
  <c r="AR471" i="1"/>
  <c r="AT471" i="1"/>
  <c r="AV471" i="1"/>
  <c r="AX471" i="1"/>
  <c r="A472" i="1"/>
  <c r="D472" i="1"/>
  <c r="F472" i="1"/>
  <c r="H472" i="1"/>
  <c r="J472" i="1"/>
  <c r="L472" i="1"/>
  <c r="N472" i="1"/>
  <c r="P472" i="1"/>
  <c r="R472" i="1"/>
  <c r="T472" i="1"/>
  <c r="V472" i="1"/>
  <c r="X472" i="1"/>
  <c r="Z472" i="1"/>
  <c r="AB472" i="1"/>
  <c r="AD472" i="1"/>
  <c r="AF472" i="1"/>
  <c r="AH472" i="1"/>
  <c r="AJ472" i="1"/>
  <c r="AL472" i="1"/>
  <c r="AN472" i="1"/>
  <c r="AP472" i="1"/>
  <c r="AR472" i="1"/>
  <c r="AT472" i="1"/>
  <c r="AV472" i="1"/>
  <c r="AX472" i="1"/>
  <c r="A473" i="1"/>
  <c r="D473" i="1"/>
  <c r="F473" i="1"/>
  <c r="H473" i="1"/>
  <c r="J473" i="1"/>
  <c r="L473" i="1"/>
  <c r="N473" i="1"/>
  <c r="P473" i="1"/>
  <c r="R473" i="1"/>
  <c r="T473" i="1"/>
  <c r="V473" i="1"/>
  <c r="X473" i="1"/>
  <c r="Z473" i="1"/>
  <c r="AB473" i="1"/>
  <c r="AD473" i="1"/>
  <c r="AF473" i="1"/>
  <c r="AH473" i="1"/>
  <c r="AJ473" i="1"/>
  <c r="AL473" i="1"/>
  <c r="AN473" i="1"/>
  <c r="AP473" i="1"/>
  <c r="AR473" i="1"/>
  <c r="AT473" i="1"/>
  <c r="AV473" i="1"/>
  <c r="AX473" i="1"/>
  <c r="A474" i="1"/>
  <c r="D474" i="1"/>
  <c r="F474" i="1"/>
  <c r="H474" i="1"/>
  <c r="J474" i="1"/>
  <c r="L474" i="1"/>
  <c r="N474" i="1"/>
  <c r="P474" i="1"/>
  <c r="R474" i="1"/>
  <c r="T474" i="1"/>
  <c r="V474" i="1"/>
  <c r="X474" i="1"/>
  <c r="Z474" i="1"/>
  <c r="AB474" i="1"/>
  <c r="AD474" i="1"/>
  <c r="AF474" i="1"/>
  <c r="AH474" i="1"/>
  <c r="AJ474" i="1"/>
  <c r="AL474" i="1"/>
  <c r="AN474" i="1"/>
  <c r="AP474" i="1"/>
  <c r="AR474" i="1"/>
  <c r="AT474" i="1"/>
  <c r="AV474" i="1"/>
  <c r="AX474" i="1"/>
  <c r="A475" i="1"/>
  <c r="D475" i="1"/>
  <c r="F475" i="1"/>
  <c r="H475" i="1"/>
  <c r="J475" i="1"/>
  <c r="L475" i="1"/>
  <c r="N475" i="1"/>
  <c r="P475" i="1"/>
  <c r="R475" i="1"/>
  <c r="T475" i="1"/>
  <c r="V475" i="1"/>
  <c r="X475" i="1"/>
  <c r="Z475" i="1"/>
  <c r="AB475" i="1"/>
  <c r="AD475" i="1"/>
  <c r="AF475" i="1"/>
  <c r="AH475" i="1"/>
  <c r="AJ475" i="1"/>
  <c r="AL475" i="1"/>
  <c r="AN475" i="1"/>
  <c r="AP475" i="1"/>
  <c r="AR475" i="1"/>
  <c r="AT475" i="1"/>
  <c r="AV475" i="1"/>
  <c r="AX475" i="1"/>
  <c r="A476" i="1"/>
  <c r="D476" i="1"/>
  <c r="F476" i="1"/>
  <c r="H476" i="1"/>
  <c r="J476" i="1"/>
  <c r="L476" i="1"/>
  <c r="N476" i="1"/>
  <c r="P476" i="1"/>
  <c r="R476" i="1"/>
  <c r="T476" i="1"/>
  <c r="V476" i="1"/>
  <c r="X476" i="1"/>
  <c r="Z476" i="1"/>
  <c r="AB476" i="1"/>
  <c r="AD476" i="1"/>
  <c r="AF476" i="1"/>
  <c r="AH476" i="1"/>
  <c r="AJ476" i="1"/>
  <c r="AL476" i="1"/>
  <c r="AN476" i="1"/>
  <c r="AP476" i="1"/>
  <c r="AR476" i="1"/>
  <c r="AT476" i="1"/>
  <c r="AV476" i="1"/>
  <c r="AX476" i="1"/>
  <c r="A477" i="1"/>
  <c r="D477" i="1"/>
  <c r="F477" i="1"/>
  <c r="H477" i="1"/>
  <c r="J477" i="1"/>
  <c r="L477" i="1"/>
  <c r="N477" i="1"/>
  <c r="P477" i="1"/>
  <c r="R477" i="1"/>
  <c r="T477" i="1"/>
  <c r="V477" i="1"/>
  <c r="X477" i="1"/>
  <c r="Z477" i="1"/>
  <c r="AB477" i="1"/>
  <c r="AD477" i="1"/>
  <c r="AF477" i="1"/>
  <c r="AH477" i="1"/>
  <c r="AJ477" i="1"/>
  <c r="AL477" i="1"/>
  <c r="AN477" i="1"/>
  <c r="AP477" i="1"/>
  <c r="AR477" i="1"/>
  <c r="AT477" i="1"/>
  <c r="AV477" i="1"/>
  <c r="AX477" i="1"/>
  <c r="A478" i="1"/>
  <c r="D478" i="1"/>
  <c r="F478" i="1"/>
  <c r="H478" i="1"/>
  <c r="J478" i="1"/>
  <c r="L478" i="1"/>
  <c r="N478" i="1"/>
  <c r="P478" i="1"/>
  <c r="R478" i="1"/>
  <c r="T478" i="1"/>
  <c r="V478" i="1"/>
  <c r="X478" i="1"/>
  <c r="Z478" i="1"/>
  <c r="AB478" i="1"/>
  <c r="AD478" i="1"/>
  <c r="AF478" i="1"/>
  <c r="AH478" i="1"/>
  <c r="AJ478" i="1"/>
  <c r="AL478" i="1"/>
  <c r="AN478" i="1"/>
  <c r="AP478" i="1"/>
  <c r="AR478" i="1"/>
  <c r="AT478" i="1"/>
  <c r="AV478" i="1"/>
  <c r="AX478" i="1"/>
  <c r="A482" i="1"/>
  <c r="D482" i="1"/>
  <c r="F482" i="1"/>
  <c r="H482" i="1"/>
  <c r="J482" i="1"/>
  <c r="L482" i="1"/>
  <c r="N482" i="1"/>
  <c r="P482" i="1"/>
  <c r="R482" i="1"/>
  <c r="T482" i="1"/>
  <c r="V482" i="1"/>
  <c r="X482" i="1"/>
  <c r="Z482" i="1"/>
  <c r="AB482" i="1"/>
  <c r="AD482" i="1"/>
  <c r="AF482" i="1"/>
  <c r="AH482" i="1"/>
  <c r="AJ482" i="1"/>
  <c r="AL482" i="1"/>
  <c r="AN482" i="1"/>
  <c r="AP482" i="1"/>
  <c r="AR482" i="1"/>
  <c r="AT482" i="1"/>
  <c r="AV482" i="1"/>
  <c r="AX482" i="1"/>
  <c r="A483" i="1"/>
  <c r="D483" i="1"/>
  <c r="F483" i="1"/>
  <c r="H483" i="1"/>
  <c r="J483" i="1"/>
  <c r="L483" i="1"/>
  <c r="N483" i="1"/>
  <c r="P483" i="1"/>
  <c r="R483" i="1"/>
  <c r="T483" i="1"/>
  <c r="V483" i="1"/>
  <c r="X483" i="1"/>
  <c r="Z483" i="1"/>
  <c r="AB483" i="1"/>
  <c r="AD483" i="1"/>
  <c r="AF483" i="1"/>
  <c r="AH483" i="1"/>
  <c r="AJ483" i="1"/>
  <c r="AL483" i="1"/>
  <c r="AN483" i="1"/>
  <c r="AP483" i="1"/>
  <c r="AR483" i="1"/>
  <c r="AT483" i="1"/>
  <c r="AV483" i="1"/>
  <c r="AX483" i="1"/>
  <c r="A484" i="1"/>
  <c r="D484" i="1"/>
  <c r="F484" i="1"/>
  <c r="H484" i="1"/>
  <c r="J484" i="1"/>
  <c r="L484" i="1"/>
  <c r="N484" i="1"/>
  <c r="P484" i="1"/>
  <c r="R484" i="1"/>
  <c r="T484" i="1"/>
  <c r="V484" i="1"/>
  <c r="X484" i="1"/>
  <c r="Z484" i="1"/>
  <c r="AB484" i="1"/>
  <c r="AD484" i="1"/>
  <c r="AF484" i="1"/>
  <c r="AH484" i="1"/>
  <c r="AJ484" i="1"/>
  <c r="AL484" i="1"/>
  <c r="AN484" i="1"/>
  <c r="AP484" i="1"/>
  <c r="AR484" i="1"/>
  <c r="AT484" i="1"/>
  <c r="AV484" i="1"/>
  <c r="AX484" i="1"/>
  <c r="A485" i="1"/>
  <c r="D485" i="1"/>
  <c r="F485" i="1"/>
  <c r="H485" i="1"/>
  <c r="J485" i="1"/>
  <c r="L485" i="1"/>
  <c r="N485" i="1"/>
  <c r="P485" i="1"/>
  <c r="R485" i="1"/>
  <c r="T485" i="1"/>
  <c r="V485" i="1"/>
  <c r="X485" i="1"/>
  <c r="Z485" i="1"/>
  <c r="AB485" i="1"/>
  <c r="AD485" i="1"/>
  <c r="AF485" i="1"/>
  <c r="AH485" i="1"/>
  <c r="AJ485" i="1"/>
  <c r="AL485" i="1"/>
  <c r="AN485" i="1"/>
  <c r="AP485" i="1"/>
  <c r="AR485" i="1"/>
  <c r="AT485" i="1"/>
  <c r="AV485" i="1"/>
  <c r="AX485" i="1"/>
  <c r="A486" i="1"/>
  <c r="D486" i="1"/>
  <c r="F486" i="1"/>
  <c r="H486" i="1"/>
  <c r="J486" i="1"/>
  <c r="L486" i="1"/>
  <c r="N486" i="1"/>
  <c r="P486" i="1"/>
  <c r="R486" i="1"/>
  <c r="T486" i="1"/>
  <c r="V486" i="1"/>
  <c r="X486" i="1"/>
  <c r="Z486" i="1"/>
  <c r="AB486" i="1"/>
  <c r="AD486" i="1"/>
  <c r="AF486" i="1"/>
  <c r="AH486" i="1"/>
  <c r="AJ486" i="1"/>
  <c r="AL486" i="1"/>
  <c r="AN486" i="1"/>
  <c r="AP486" i="1"/>
  <c r="AR486" i="1"/>
  <c r="AT486" i="1"/>
  <c r="AV486" i="1"/>
  <c r="AX486" i="1"/>
  <c r="A487" i="1"/>
  <c r="D487" i="1"/>
  <c r="F487" i="1"/>
  <c r="H487" i="1"/>
  <c r="J487" i="1"/>
  <c r="L487" i="1"/>
  <c r="N487" i="1"/>
  <c r="P487" i="1"/>
  <c r="R487" i="1"/>
  <c r="T487" i="1"/>
  <c r="V487" i="1"/>
  <c r="X487" i="1"/>
  <c r="Z487" i="1"/>
  <c r="AB487" i="1"/>
  <c r="AD487" i="1"/>
  <c r="AF487" i="1"/>
  <c r="AH487" i="1"/>
  <c r="AJ487" i="1"/>
  <c r="AL487" i="1"/>
  <c r="AN487" i="1"/>
  <c r="AP487" i="1"/>
  <c r="AR487" i="1"/>
  <c r="AT487" i="1"/>
  <c r="AV487" i="1"/>
  <c r="AX487" i="1"/>
  <c r="A488" i="1"/>
  <c r="D488" i="1"/>
  <c r="F488" i="1"/>
  <c r="H488" i="1"/>
  <c r="J488" i="1"/>
  <c r="L488" i="1"/>
  <c r="N488" i="1"/>
  <c r="P488" i="1"/>
  <c r="R488" i="1"/>
  <c r="T488" i="1"/>
  <c r="V488" i="1"/>
  <c r="X488" i="1"/>
  <c r="Z488" i="1"/>
  <c r="AB488" i="1"/>
  <c r="AD488" i="1"/>
  <c r="AF488" i="1"/>
  <c r="AH488" i="1"/>
  <c r="AJ488" i="1"/>
  <c r="AL488" i="1"/>
  <c r="AN488" i="1"/>
  <c r="AP488" i="1"/>
  <c r="AR488" i="1"/>
  <c r="AT488" i="1"/>
  <c r="AV488" i="1"/>
  <c r="AX488" i="1"/>
  <c r="A489" i="1"/>
  <c r="D489" i="1"/>
  <c r="F489" i="1"/>
  <c r="H489" i="1"/>
  <c r="J489" i="1"/>
  <c r="L489" i="1"/>
  <c r="N489" i="1"/>
  <c r="P489" i="1"/>
  <c r="R489" i="1"/>
  <c r="T489" i="1"/>
  <c r="V489" i="1"/>
  <c r="X489" i="1"/>
  <c r="Z489" i="1"/>
  <c r="AB489" i="1"/>
  <c r="AD489" i="1"/>
  <c r="AF489" i="1"/>
  <c r="AH489" i="1"/>
  <c r="AJ489" i="1"/>
  <c r="AL489" i="1"/>
  <c r="AN489" i="1"/>
  <c r="AP489" i="1"/>
  <c r="AR489" i="1"/>
  <c r="AT489" i="1"/>
  <c r="AV489" i="1"/>
  <c r="AX489" i="1"/>
  <c r="A490" i="1"/>
  <c r="D490" i="1"/>
  <c r="F490" i="1"/>
  <c r="H490" i="1"/>
  <c r="J490" i="1"/>
  <c r="L490" i="1"/>
  <c r="N490" i="1"/>
  <c r="P490" i="1"/>
  <c r="R490" i="1"/>
  <c r="T490" i="1"/>
  <c r="V490" i="1"/>
  <c r="X490" i="1"/>
  <c r="Z490" i="1"/>
  <c r="AB490" i="1"/>
  <c r="AD490" i="1"/>
  <c r="AF490" i="1"/>
  <c r="AH490" i="1"/>
  <c r="AJ490" i="1"/>
  <c r="AL490" i="1"/>
  <c r="AN490" i="1"/>
  <c r="AP490" i="1"/>
  <c r="AR490" i="1"/>
  <c r="AT490" i="1"/>
  <c r="AV490" i="1"/>
  <c r="AX490" i="1"/>
  <c r="A491" i="1"/>
  <c r="D491" i="1"/>
  <c r="F491" i="1"/>
  <c r="H491" i="1"/>
  <c r="J491" i="1"/>
  <c r="L491" i="1"/>
  <c r="N491" i="1"/>
  <c r="P491" i="1"/>
  <c r="R491" i="1"/>
  <c r="T491" i="1"/>
  <c r="V491" i="1"/>
  <c r="X491" i="1"/>
  <c r="Z491" i="1"/>
  <c r="AB491" i="1"/>
  <c r="AD491" i="1"/>
  <c r="AF491" i="1"/>
  <c r="AH491" i="1"/>
  <c r="AJ491" i="1"/>
  <c r="AL491" i="1"/>
  <c r="AN491" i="1"/>
  <c r="AP491" i="1"/>
  <c r="AR491" i="1"/>
  <c r="AT491" i="1"/>
  <c r="AV491" i="1"/>
  <c r="AX491" i="1"/>
  <c r="A492" i="1"/>
  <c r="D492" i="1"/>
  <c r="F492" i="1"/>
  <c r="H492" i="1"/>
  <c r="J492" i="1"/>
  <c r="L492" i="1"/>
  <c r="N492" i="1"/>
  <c r="P492" i="1"/>
  <c r="R492" i="1"/>
  <c r="T492" i="1"/>
  <c r="V492" i="1"/>
  <c r="X492" i="1"/>
  <c r="Z492" i="1"/>
  <c r="AB492" i="1"/>
  <c r="AD492" i="1"/>
  <c r="AF492" i="1"/>
  <c r="AH492" i="1"/>
  <c r="AJ492" i="1"/>
  <c r="AL492" i="1"/>
  <c r="AN492" i="1"/>
  <c r="AP492" i="1"/>
  <c r="AR492" i="1"/>
  <c r="AT492" i="1"/>
  <c r="AV492" i="1"/>
  <c r="AX492" i="1"/>
  <c r="A493" i="1"/>
  <c r="D493" i="1"/>
  <c r="F493" i="1"/>
  <c r="H493" i="1"/>
  <c r="J493" i="1"/>
  <c r="L493" i="1"/>
  <c r="N493" i="1"/>
  <c r="P493" i="1"/>
  <c r="R493" i="1"/>
  <c r="T493" i="1"/>
  <c r="V493" i="1"/>
  <c r="X493" i="1"/>
  <c r="Z493" i="1"/>
  <c r="AB493" i="1"/>
  <c r="AD493" i="1"/>
  <c r="AF493" i="1"/>
  <c r="AH493" i="1"/>
  <c r="AJ493" i="1"/>
  <c r="AL493" i="1"/>
  <c r="AN493" i="1"/>
  <c r="AP493" i="1"/>
  <c r="AR493" i="1"/>
  <c r="AT493" i="1"/>
  <c r="AV493" i="1"/>
  <c r="AX493" i="1"/>
  <c r="A494" i="1"/>
  <c r="D494" i="1"/>
  <c r="F494" i="1"/>
  <c r="H494" i="1"/>
  <c r="J494" i="1"/>
  <c r="L494" i="1"/>
  <c r="N494" i="1"/>
  <c r="P494" i="1"/>
  <c r="R494" i="1"/>
  <c r="T494" i="1"/>
  <c r="V494" i="1"/>
  <c r="X494" i="1"/>
  <c r="Z494" i="1"/>
  <c r="AB494" i="1"/>
  <c r="AD494" i="1"/>
  <c r="AF494" i="1"/>
  <c r="AH494" i="1"/>
  <c r="AJ494" i="1"/>
  <c r="AL494" i="1"/>
  <c r="AN494" i="1"/>
  <c r="AP494" i="1"/>
  <c r="AR494" i="1"/>
  <c r="AT494" i="1"/>
  <c r="AV494" i="1"/>
  <c r="AX494" i="1"/>
  <c r="A495" i="1"/>
  <c r="D495" i="1"/>
  <c r="F495" i="1"/>
  <c r="H495" i="1"/>
  <c r="J495" i="1"/>
  <c r="L495" i="1"/>
  <c r="N495" i="1"/>
  <c r="P495" i="1"/>
  <c r="R495" i="1"/>
  <c r="T495" i="1"/>
  <c r="V495" i="1"/>
  <c r="X495" i="1"/>
  <c r="Z495" i="1"/>
  <c r="AB495" i="1"/>
  <c r="AD495" i="1"/>
  <c r="AF495" i="1"/>
  <c r="AH495" i="1"/>
  <c r="AJ495" i="1"/>
  <c r="AL495" i="1"/>
  <c r="AN495" i="1"/>
  <c r="AP495" i="1"/>
  <c r="AR495" i="1"/>
  <c r="AT495" i="1"/>
  <c r="AV495" i="1"/>
  <c r="AX495" i="1"/>
  <c r="A496" i="1"/>
  <c r="D496" i="1"/>
  <c r="F496" i="1"/>
  <c r="H496" i="1"/>
  <c r="J496" i="1"/>
  <c r="L496" i="1"/>
  <c r="N496" i="1"/>
  <c r="P496" i="1"/>
  <c r="R496" i="1"/>
  <c r="T496" i="1"/>
  <c r="V496" i="1"/>
  <c r="X496" i="1"/>
  <c r="Z496" i="1"/>
  <c r="AB496" i="1"/>
  <c r="AD496" i="1"/>
  <c r="AF496" i="1"/>
  <c r="AH496" i="1"/>
  <c r="AJ496" i="1"/>
  <c r="AL496" i="1"/>
  <c r="AN496" i="1"/>
  <c r="AP496" i="1"/>
  <c r="AR496" i="1"/>
  <c r="AT496" i="1"/>
  <c r="AV496" i="1"/>
  <c r="AX496" i="1"/>
  <c r="A497" i="1"/>
  <c r="D497" i="1"/>
  <c r="F497" i="1"/>
  <c r="H497" i="1"/>
  <c r="J497" i="1"/>
  <c r="L497" i="1"/>
  <c r="N497" i="1"/>
  <c r="P497" i="1"/>
  <c r="R497" i="1"/>
  <c r="T497" i="1"/>
  <c r="V497" i="1"/>
  <c r="X497" i="1"/>
  <c r="Z497" i="1"/>
  <c r="AB497" i="1"/>
  <c r="AD497" i="1"/>
  <c r="AF497" i="1"/>
  <c r="AH497" i="1"/>
  <c r="AJ497" i="1"/>
  <c r="AL497" i="1"/>
  <c r="AN497" i="1"/>
  <c r="AP497" i="1"/>
  <c r="AR497" i="1"/>
  <c r="AT497" i="1"/>
  <c r="AV497" i="1"/>
  <c r="AX497" i="1"/>
  <c r="A498" i="1"/>
  <c r="D498" i="1"/>
  <c r="F498" i="1"/>
  <c r="H498" i="1"/>
  <c r="J498" i="1"/>
  <c r="L498" i="1"/>
  <c r="N498" i="1"/>
  <c r="P498" i="1"/>
  <c r="R498" i="1"/>
  <c r="T498" i="1"/>
  <c r="V498" i="1"/>
  <c r="X498" i="1"/>
  <c r="Z498" i="1"/>
  <c r="AB498" i="1"/>
  <c r="AD498" i="1"/>
  <c r="AF498" i="1"/>
  <c r="AH498" i="1"/>
  <c r="AJ498" i="1"/>
  <c r="AL498" i="1"/>
  <c r="AN498" i="1"/>
  <c r="AP498" i="1"/>
  <c r="AR498" i="1"/>
  <c r="AT498" i="1"/>
  <c r="AV498" i="1"/>
  <c r="AX498" i="1"/>
  <c r="A499" i="1"/>
  <c r="D499" i="1"/>
  <c r="F499" i="1"/>
  <c r="H499" i="1"/>
  <c r="J499" i="1"/>
  <c r="L499" i="1"/>
  <c r="N499" i="1"/>
  <c r="P499" i="1"/>
  <c r="R499" i="1"/>
  <c r="T499" i="1"/>
  <c r="V499" i="1"/>
  <c r="X499" i="1"/>
  <c r="Z499" i="1"/>
  <c r="AB499" i="1"/>
  <c r="AD499" i="1"/>
  <c r="AF499" i="1"/>
  <c r="AH499" i="1"/>
  <c r="AJ499" i="1"/>
  <c r="AL499" i="1"/>
  <c r="AN499" i="1"/>
  <c r="AP499" i="1"/>
  <c r="AR499" i="1"/>
  <c r="AT499" i="1"/>
  <c r="AV499" i="1"/>
  <c r="AX499" i="1"/>
  <c r="A500" i="1"/>
  <c r="D500" i="1"/>
  <c r="F500" i="1"/>
  <c r="H500" i="1"/>
  <c r="J500" i="1"/>
  <c r="L500" i="1"/>
  <c r="N500" i="1"/>
  <c r="P500" i="1"/>
  <c r="R500" i="1"/>
  <c r="T500" i="1"/>
  <c r="V500" i="1"/>
  <c r="X500" i="1"/>
  <c r="Z500" i="1"/>
  <c r="AB500" i="1"/>
  <c r="AD500" i="1"/>
  <c r="AF500" i="1"/>
  <c r="AH500" i="1"/>
  <c r="AJ500" i="1"/>
  <c r="AL500" i="1"/>
  <c r="AN500" i="1"/>
  <c r="AP500" i="1"/>
  <c r="AR500" i="1"/>
  <c r="AT500" i="1"/>
  <c r="AV500" i="1"/>
  <c r="AX500" i="1"/>
  <c r="A501" i="1"/>
  <c r="D501" i="1"/>
  <c r="F501" i="1"/>
  <c r="H501" i="1"/>
  <c r="J501" i="1"/>
  <c r="L501" i="1"/>
  <c r="N501" i="1"/>
  <c r="P501" i="1"/>
  <c r="R501" i="1"/>
  <c r="T501" i="1"/>
  <c r="V501" i="1"/>
  <c r="X501" i="1"/>
  <c r="Z501" i="1"/>
  <c r="AB501" i="1"/>
  <c r="AD501" i="1"/>
  <c r="AF501" i="1"/>
  <c r="AH501" i="1"/>
  <c r="AJ501" i="1"/>
  <c r="AL501" i="1"/>
  <c r="AN501" i="1"/>
  <c r="AP501" i="1"/>
  <c r="AR501" i="1"/>
  <c r="AT501" i="1"/>
  <c r="AV501" i="1"/>
  <c r="AX501" i="1"/>
  <c r="A502" i="1"/>
  <c r="D502" i="1"/>
  <c r="F502" i="1"/>
  <c r="H502" i="1"/>
  <c r="J502" i="1"/>
  <c r="L502" i="1"/>
  <c r="N502" i="1"/>
  <c r="P502" i="1"/>
  <c r="R502" i="1"/>
  <c r="T502" i="1"/>
  <c r="V502" i="1"/>
  <c r="X502" i="1"/>
  <c r="Z502" i="1"/>
  <c r="AB502" i="1"/>
  <c r="AD502" i="1"/>
  <c r="AF502" i="1"/>
  <c r="AH502" i="1"/>
  <c r="AJ502" i="1"/>
  <c r="AL502" i="1"/>
  <c r="AN502" i="1"/>
  <c r="AP502" i="1"/>
  <c r="AR502" i="1"/>
  <c r="AT502" i="1"/>
  <c r="AV502" i="1"/>
  <c r="AX502" i="1"/>
  <c r="A503" i="1"/>
  <c r="D503" i="1"/>
  <c r="F503" i="1"/>
  <c r="H503" i="1"/>
  <c r="J503" i="1"/>
  <c r="L503" i="1"/>
  <c r="N503" i="1"/>
  <c r="P503" i="1"/>
  <c r="R503" i="1"/>
  <c r="T503" i="1"/>
  <c r="V503" i="1"/>
  <c r="X503" i="1"/>
  <c r="Z503" i="1"/>
  <c r="AB503" i="1"/>
  <c r="AD503" i="1"/>
  <c r="AF503" i="1"/>
  <c r="AH503" i="1"/>
  <c r="AJ503" i="1"/>
  <c r="AL503" i="1"/>
  <c r="AN503" i="1"/>
  <c r="AP503" i="1"/>
  <c r="AR503" i="1"/>
  <c r="AT503" i="1"/>
  <c r="AV503" i="1"/>
  <c r="AX503" i="1"/>
  <c r="A504" i="1"/>
  <c r="D504" i="1"/>
  <c r="F504" i="1"/>
  <c r="H504" i="1"/>
  <c r="J504" i="1"/>
  <c r="L504" i="1"/>
  <c r="N504" i="1"/>
  <c r="P504" i="1"/>
  <c r="R504" i="1"/>
  <c r="T504" i="1"/>
  <c r="V504" i="1"/>
  <c r="X504" i="1"/>
  <c r="Z504" i="1"/>
  <c r="AB504" i="1"/>
  <c r="AD504" i="1"/>
  <c r="AF504" i="1"/>
  <c r="AH504" i="1"/>
  <c r="AJ504" i="1"/>
  <c r="AL504" i="1"/>
  <c r="AN504" i="1"/>
  <c r="AP504" i="1"/>
  <c r="AR504" i="1"/>
  <c r="AT504" i="1"/>
  <c r="AV504" i="1"/>
  <c r="AX504" i="1"/>
  <c r="A505" i="1"/>
  <c r="D505" i="1"/>
  <c r="F505" i="1"/>
  <c r="H505" i="1"/>
  <c r="J505" i="1"/>
  <c r="L505" i="1"/>
  <c r="N505" i="1"/>
  <c r="P505" i="1"/>
  <c r="R505" i="1"/>
  <c r="T505" i="1"/>
  <c r="V505" i="1"/>
  <c r="X505" i="1"/>
  <c r="Z505" i="1"/>
  <c r="AB505" i="1"/>
  <c r="AD505" i="1"/>
  <c r="AF505" i="1"/>
  <c r="AH505" i="1"/>
  <c r="AJ505" i="1"/>
  <c r="AL505" i="1"/>
  <c r="AN505" i="1"/>
  <c r="AP505" i="1"/>
  <c r="AR505" i="1"/>
  <c r="AT505" i="1"/>
  <c r="AV505" i="1"/>
  <c r="AX505" i="1"/>
  <c r="A506" i="1"/>
  <c r="D506" i="1"/>
  <c r="F506" i="1"/>
  <c r="H506" i="1"/>
  <c r="J506" i="1"/>
  <c r="L506" i="1"/>
  <c r="N506" i="1"/>
  <c r="P506" i="1"/>
  <c r="R506" i="1"/>
  <c r="T506" i="1"/>
  <c r="V506" i="1"/>
  <c r="X506" i="1"/>
  <c r="Z506" i="1"/>
  <c r="AB506" i="1"/>
  <c r="AD506" i="1"/>
  <c r="AF506" i="1"/>
  <c r="AH506" i="1"/>
  <c r="AJ506" i="1"/>
  <c r="AL506" i="1"/>
  <c r="AN506" i="1"/>
  <c r="AP506" i="1"/>
  <c r="AR506" i="1"/>
  <c r="AT506" i="1"/>
  <c r="AV506" i="1"/>
  <c r="AX506" i="1"/>
  <c r="A507" i="1"/>
  <c r="D507" i="1"/>
  <c r="F507" i="1"/>
  <c r="H507" i="1"/>
  <c r="J507" i="1"/>
  <c r="L507" i="1"/>
  <c r="N507" i="1"/>
  <c r="P507" i="1"/>
  <c r="R507" i="1"/>
  <c r="T507" i="1"/>
  <c r="V507" i="1"/>
  <c r="X507" i="1"/>
  <c r="Z507" i="1"/>
  <c r="AB507" i="1"/>
  <c r="AD507" i="1"/>
  <c r="AF507" i="1"/>
  <c r="AH507" i="1"/>
  <c r="AJ507" i="1"/>
  <c r="AL507" i="1"/>
  <c r="AN507" i="1"/>
  <c r="AP507" i="1"/>
  <c r="AR507" i="1"/>
  <c r="AT507" i="1"/>
  <c r="AV507" i="1"/>
  <c r="AX507" i="1"/>
  <c r="A508" i="1"/>
  <c r="D508" i="1"/>
  <c r="F508" i="1"/>
  <c r="H508" i="1"/>
  <c r="J508" i="1"/>
  <c r="L508" i="1"/>
  <c r="N508" i="1"/>
  <c r="P508" i="1"/>
  <c r="R508" i="1"/>
  <c r="T508" i="1"/>
  <c r="V508" i="1"/>
  <c r="X508" i="1"/>
  <c r="Z508" i="1"/>
  <c r="AB508" i="1"/>
  <c r="AD508" i="1"/>
  <c r="AF508" i="1"/>
  <c r="AH508" i="1"/>
  <c r="AJ508" i="1"/>
  <c r="AL508" i="1"/>
  <c r="AN508" i="1"/>
  <c r="AP508" i="1"/>
  <c r="AR508" i="1"/>
  <c r="AT508" i="1"/>
  <c r="AV508" i="1"/>
  <c r="AX508" i="1"/>
  <c r="A509" i="1"/>
  <c r="D509" i="1"/>
  <c r="F509" i="1"/>
  <c r="H509" i="1"/>
  <c r="J509" i="1"/>
  <c r="L509" i="1"/>
  <c r="N509" i="1"/>
  <c r="P509" i="1"/>
  <c r="R509" i="1"/>
  <c r="T509" i="1"/>
  <c r="V509" i="1"/>
  <c r="X509" i="1"/>
  <c r="Z509" i="1"/>
  <c r="AB509" i="1"/>
  <c r="AD509" i="1"/>
  <c r="AF509" i="1"/>
  <c r="AH509" i="1"/>
  <c r="AJ509" i="1"/>
  <c r="AL509" i="1"/>
  <c r="AN509" i="1"/>
  <c r="AP509" i="1"/>
  <c r="AR509" i="1"/>
  <c r="AT509" i="1"/>
  <c r="AV509" i="1"/>
  <c r="AX509" i="1"/>
  <c r="A510" i="1"/>
  <c r="D510" i="1"/>
  <c r="F510" i="1"/>
  <c r="H510" i="1"/>
  <c r="J510" i="1"/>
  <c r="L510" i="1"/>
  <c r="N510" i="1"/>
  <c r="P510" i="1"/>
  <c r="R510" i="1"/>
  <c r="T510" i="1"/>
  <c r="V510" i="1"/>
  <c r="X510" i="1"/>
  <c r="Z510" i="1"/>
  <c r="AB510" i="1"/>
  <c r="AD510" i="1"/>
  <c r="AF510" i="1"/>
  <c r="AH510" i="1"/>
  <c r="AJ510" i="1"/>
  <c r="AL510" i="1"/>
  <c r="AN510" i="1"/>
  <c r="AP510" i="1"/>
  <c r="AR510" i="1"/>
  <c r="AT510" i="1"/>
  <c r="AV510" i="1"/>
  <c r="AX510" i="1"/>
  <c r="A511" i="1"/>
  <c r="D511" i="1"/>
  <c r="F511" i="1"/>
  <c r="H511" i="1"/>
  <c r="J511" i="1"/>
  <c r="L511" i="1"/>
  <c r="N511" i="1"/>
  <c r="P511" i="1"/>
  <c r="R511" i="1"/>
  <c r="T511" i="1"/>
  <c r="V511" i="1"/>
  <c r="X511" i="1"/>
  <c r="Z511" i="1"/>
  <c r="AB511" i="1"/>
  <c r="AD511" i="1"/>
  <c r="AF511" i="1"/>
  <c r="AH511" i="1"/>
  <c r="AJ511" i="1"/>
  <c r="AL511" i="1"/>
  <c r="AN511" i="1"/>
  <c r="AP511" i="1"/>
  <c r="AR511" i="1"/>
  <c r="AT511" i="1"/>
  <c r="AV511" i="1"/>
  <c r="AX511" i="1"/>
  <c r="A512" i="1"/>
  <c r="D512" i="1"/>
  <c r="F512" i="1"/>
  <c r="H512" i="1"/>
  <c r="J512" i="1"/>
  <c r="L512" i="1"/>
  <c r="N512" i="1"/>
  <c r="P512" i="1"/>
  <c r="R512" i="1"/>
  <c r="T512" i="1"/>
  <c r="V512" i="1"/>
  <c r="X512" i="1"/>
  <c r="Z512" i="1"/>
  <c r="AB512" i="1"/>
  <c r="AD512" i="1"/>
  <c r="AF512" i="1"/>
  <c r="AH512" i="1"/>
  <c r="AJ512" i="1"/>
  <c r="AL512" i="1"/>
  <c r="AN512" i="1"/>
  <c r="AP512" i="1"/>
  <c r="AR512" i="1"/>
  <c r="AT512" i="1"/>
  <c r="AV512" i="1"/>
  <c r="AX512" i="1"/>
  <c r="A513" i="1"/>
  <c r="D513" i="1"/>
  <c r="F513" i="1"/>
  <c r="H513" i="1"/>
  <c r="J513" i="1"/>
  <c r="L513" i="1"/>
  <c r="N513" i="1"/>
  <c r="P513" i="1"/>
  <c r="R513" i="1"/>
  <c r="T513" i="1"/>
  <c r="V513" i="1"/>
  <c r="X513" i="1"/>
  <c r="Z513" i="1"/>
  <c r="AB513" i="1"/>
  <c r="AD513" i="1"/>
  <c r="AF513" i="1"/>
  <c r="AH513" i="1"/>
  <c r="AJ513" i="1"/>
  <c r="AL513" i="1"/>
  <c r="AN513" i="1"/>
  <c r="AP513" i="1"/>
  <c r="AR513" i="1"/>
  <c r="AT513" i="1"/>
  <c r="AV513" i="1"/>
  <c r="AX513" i="1"/>
  <c r="A514" i="1"/>
  <c r="D514" i="1"/>
  <c r="F514" i="1"/>
  <c r="H514" i="1"/>
  <c r="J514" i="1"/>
  <c r="L514" i="1"/>
  <c r="N514" i="1"/>
  <c r="P514" i="1"/>
  <c r="R514" i="1"/>
  <c r="T514" i="1"/>
  <c r="V514" i="1"/>
  <c r="X514" i="1"/>
  <c r="Z514" i="1"/>
  <c r="AB514" i="1"/>
  <c r="AD514" i="1"/>
  <c r="AF514" i="1"/>
  <c r="AH514" i="1"/>
  <c r="AJ514" i="1"/>
  <c r="AL514" i="1"/>
  <c r="AN514" i="1"/>
  <c r="AP514" i="1"/>
  <c r="AR514" i="1"/>
  <c r="AT514" i="1"/>
  <c r="AV514" i="1"/>
  <c r="AX514" i="1"/>
  <c r="A515" i="1"/>
  <c r="D515" i="1"/>
  <c r="F515" i="1"/>
  <c r="H515" i="1"/>
  <c r="J515" i="1"/>
  <c r="L515" i="1"/>
  <c r="N515" i="1"/>
  <c r="P515" i="1"/>
  <c r="R515" i="1"/>
  <c r="T515" i="1"/>
  <c r="V515" i="1"/>
  <c r="X515" i="1"/>
  <c r="Z515" i="1"/>
  <c r="AB515" i="1"/>
  <c r="AD515" i="1"/>
  <c r="AF515" i="1"/>
  <c r="AH515" i="1"/>
  <c r="AJ515" i="1"/>
  <c r="AL515" i="1"/>
  <c r="AN515" i="1"/>
  <c r="AP515" i="1"/>
  <c r="AR515" i="1"/>
  <c r="AT515" i="1"/>
  <c r="AV515" i="1"/>
  <c r="AX515" i="1"/>
  <c r="A516" i="1"/>
  <c r="D516" i="1"/>
  <c r="F516" i="1"/>
  <c r="H516" i="1"/>
  <c r="J516" i="1"/>
  <c r="L516" i="1"/>
  <c r="N516" i="1"/>
  <c r="P516" i="1"/>
  <c r="R516" i="1"/>
  <c r="T516" i="1"/>
  <c r="V516" i="1"/>
  <c r="X516" i="1"/>
  <c r="Z516" i="1"/>
  <c r="AB516" i="1"/>
  <c r="AD516" i="1"/>
  <c r="AF516" i="1"/>
  <c r="AH516" i="1"/>
  <c r="AJ516" i="1"/>
  <c r="AL516" i="1"/>
  <c r="AN516" i="1"/>
  <c r="AP516" i="1"/>
  <c r="AR516" i="1"/>
  <c r="AT516" i="1"/>
  <c r="AV516" i="1"/>
  <c r="AX516" i="1"/>
  <c r="A517" i="1"/>
  <c r="D517" i="1"/>
  <c r="F517" i="1"/>
  <c r="H517" i="1"/>
  <c r="J517" i="1"/>
  <c r="L517" i="1"/>
  <c r="N517" i="1"/>
  <c r="P517" i="1"/>
  <c r="R517" i="1"/>
  <c r="T517" i="1"/>
  <c r="V517" i="1"/>
  <c r="X517" i="1"/>
  <c r="Z517" i="1"/>
  <c r="AB517" i="1"/>
  <c r="AD517" i="1"/>
  <c r="AF517" i="1"/>
  <c r="AH517" i="1"/>
  <c r="AJ517" i="1"/>
  <c r="AL517" i="1"/>
  <c r="AN517" i="1"/>
  <c r="AP517" i="1"/>
  <c r="AR517" i="1"/>
  <c r="AT517" i="1"/>
  <c r="AV517" i="1"/>
  <c r="AX517" i="1"/>
  <c r="A518" i="1"/>
  <c r="D518" i="1"/>
  <c r="F518" i="1"/>
  <c r="H518" i="1"/>
  <c r="J518" i="1"/>
  <c r="L518" i="1"/>
  <c r="N518" i="1"/>
  <c r="P518" i="1"/>
  <c r="R518" i="1"/>
  <c r="T518" i="1"/>
  <c r="V518" i="1"/>
  <c r="X518" i="1"/>
  <c r="Z518" i="1"/>
  <c r="AB518" i="1"/>
  <c r="AD518" i="1"/>
  <c r="AF518" i="1"/>
  <c r="AH518" i="1"/>
  <c r="AJ518" i="1"/>
  <c r="AL518" i="1"/>
  <c r="AN518" i="1"/>
  <c r="AP518" i="1"/>
  <c r="AR518" i="1"/>
  <c r="AT518" i="1"/>
  <c r="AV518" i="1"/>
  <c r="AX518" i="1"/>
  <c r="A519" i="1"/>
  <c r="D519" i="1"/>
  <c r="F519" i="1"/>
  <c r="H519" i="1"/>
  <c r="J519" i="1"/>
  <c r="L519" i="1"/>
  <c r="N519" i="1"/>
  <c r="P519" i="1"/>
  <c r="R519" i="1"/>
  <c r="T519" i="1"/>
  <c r="V519" i="1"/>
  <c r="X519" i="1"/>
  <c r="Z519" i="1"/>
  <c r="AB519" i="1"/>
  <c r="AD519" i="1"/>
  <c r="AF519" i="1"/>
  <c r="AH519" i="1"/>
  <c r="AJ519" i="1"/>
  <c r="AL519" i="1"/>
  <c r="AN519" i="1"/>
  <c r="AP519" i="1"/>
  <c r="AR519" i="1"/>
  <c r="AT519" i="1"/>
  <c r="AV519" i="1"/>
  <c r="AX519" i="1"/>
  <c r="A522" i="1"/>
  <c r="D522" i="1"/>
  <c r="F522" i="1"/>
  <c r="H522" i="1"/>
  <c r="J522" i="1"/>
  <c r="L522" i="1"/>
  <c r="N522" i="1"/>
  <c r="P522" i="1"/>
  <c r="R522" i="1"/>
  <c r="T522" i="1"/>
  <c r="V522" i="1"/>
  <c r="X522" i="1"/>
  <c r="Z522" i="1"/>
  <c r="AB522" i="1"/>
  <c r="AD522" i="1"/>
  <c r="AF522" i="1"/>
  <c r="AH522" i="1"/>
  <c r="AJ522" i="1"/>
  <c r="AL522" i="1"/>
  <c r="AN522" i="1"/>
  <c r="AP522" i="1"/>
  <c r="AR522" i="1"/>
  <c r="AT522" i="1"/>
  <c r="AV522" i="1"/>
  <c r="AX522" i="1"/>
  <c r="A523" i="1"/>
  <c r="D523" i="1"/>
  <c r="F523" i="1"/>
  <c r="H523" i="1"/>
  <c r="J523" i="1"/>
  <c r="L523" i="1"/>
  <c r="N523" i="1"/>
  <c r="P523" i="1"/>
  <c r="R523" i="1"/>
  <c r="T523" i="1"/>
  <c r="V523" i="1"/>
  <c r="X523" i="1"/>
  <c r="Z523" i="1"/>
  <c r="AB523" i="1"/>
  <c r="AD523" i="1"/>
  <c r="AF523" i="1"/>
  <c r="AH523" i="1"/>
  <c r="AJ523" i="1"/>
  <c r="AL523" i="1"/>
  <c r="AN523" i="1"/>
  <c r="AP523" i="1"/>
  <c r="AR523" i="1"/>
  <c r="AT523" i="1"/>
  <c r="AV523" i="1"/>
  <c r="AX523" i="1"/>
  <c r="A524" i="1"/>
  <c r="D524" i="1"/>
  <c r="F524" i="1"/>
  <c r="H524" i="1"/>
  <c r="J524" i="1"/>
  <c r="L524" i="1"/>
  <c r="N524" i="1"/>
  <c r="P524" i="1"/>
  <c r="R524" i="1"/>
  <c r="T524" i="1"/>
  <c r="V524" i="1"/>
  <c r="X524" i="1"/>
  <c r="Z524" i="1"/>
  <c r="AB524" i="1"/>
  <c r="AD524" i="1"/>
  <c r="AF524" i="1"/>
  <c r="AH524" i="1"/>
  <c r="AJ524" i="1"/>
  <c r="AL524" i="1"/>
  <c r="AN524" i="1"/>
  <c r="AP524" i="1"/>
  <c r="AR524" i="1"/>
  <c r="AT524" i="1"/>
  <c r="AV524" i="1"/>
  <c r="AX524" i="1"/>
  <c r="A525" i="1"/>
  <c r="D525" i="1"/>
  <c r="F525" i="1"/>
  <c r="H525" i="1"/>
  <c r="J525" i="1"/>
  <c r="L525" i="1"/>
  <c r="N525" i="1"/>
  <c r="P525" i="1"/>
  <c r="R525" i="1"/>
  <c r="T525" i="1"/>
  <c r="V525" i="1"/>
  <c r="X525" i="1"/>
  <c r="Z525" i="1"/>
  <c r="AB525" i="1"/>
  <c r="AD525" i="1"/>
  <c r="AF525" i="1"/>
  <c r="AH525" i="1"/>
  <c r="AJ525" i="1"/>
  <c r="AL525" i="1"/>
  <c r="AN525" i="1"/>
  <c r="AP525" i="1"/>
  <c r="AR525" i="1"/>
  <c r="AT525" i="1"/>
  <c r="AV525" i="1"/>
  <c r="AX525" i="1"/>
  <c r="A526" i="1"/>
  <c r="D526" i="1"/>
  <c r="F526" i="1"/>
  <c r="H526" i="1"/>
  <c r="J526" i="1"/>
  <c r="L526" i="1"/>
  <c r="N526" i="1"/>
  <c r="P526" i="1"/>
  <c r="R526" i="1"/>
  <c r="T526" i="1"/>
  <c r="V526" i="1"/>
  <c r="X526" i="1"/>
  <c r="Z526" i="1"/>
  <c r="AB526" i="1"/>
  <c r="AD526" i="1"/>
  <c r="AF526" i="1"/>
  <c r="AH526" i="1"/>
  <c r="AJ526" i="1"/>
  <c r="AL526" i="1"/>
  <c r="AN526" i="1"/>
  <c r="AP526" i="1"/>
  <c r="AR526" i="1"/>
  <c r="AT526" i="1"/>
  <c r="AV526" i="1"/>
  <c r="AX526" i="1"/>
  <c r="A527" i="1"/>
  <c r="D527" i="1"/>
  <c r="F527" i="1"/>
  <c r="H527" i="1"/>
  <c r="J527" i="1"/>
  <c r="L527" i="1"/>
  <c r="N527" i="1"/>
  <c r="P527" i="1"/>
  <c r="R527" i="1"/>
  <c r="T527" i="1"/>
  <c r="V527" i="1"/>
  <c r="X527" i="1"/>
  <c r="Z527" i="1"/>
  <c r="AB527" i="1"/>
  <c r="AD527" i="1"/>
  <c r="AF527" i="1"/>
  <c r="AH527" i="1"/>
  <c r="AJ527" i="1"/>
  <c r="AL527" i="1"/>
  <c r="AN527" i="1"/>
  <c r="AP527" i="1"/>
  <c r="AR527" i="1"/>
  <c r="AT527" i="1"/>
  <c r="AV527" i="1"/>
  <c r="AX527" i="1"/>
  <c r="A528" i="1"/>
  <c r="D528" i="1"/>
  <c r="F528" i="1"/>
  <c r="H528" i="1"/>
  <c r="J528" i="1"/>
  <c r="L528" i="1"/>
  <c r="N528" i="1"/>
  <c r="P528" i="1"/>
  <c r="R528" i="1"/>
  <c r="T528" i="1"/>
  <c r="V528" i="1"/>
  <c r="X528" i="1"/>
  <c r="Z528" i="1"/>
  <c r="AB528" i="1"/>
  <c r="AD528" i="1"/>
  <c r="AF528" i="1"/>
  <c r="AH528" i="1"/>
  <c r="AJ528" i="1"/>
  <c r="AL528" i="1"/>
  <c r="AN528" i="1"/>
  <c r="AP528" i="1"/>
  <c r="AR528" i="1"/>
  <c r="AT528" i="1"/>
  <c r="AV528" i="1"/>
  <c r="AX528" i="1"/>
  <c r="A529" i="1"/>
  <c r="D529" i="1"/>
  <c r="F529" i="1"/>
  <c r="H529" i="1"/>
  <c r="J529" i="1"/>
  <c r="L529" i="1"/>
  <c r="N529" i="1"/>
  <c r="P529" i="1"/>
  <c r="R529" i="1"/>
  <c r="T529" i="1"/>
  <c r="V529" i="1"/>
  <c r="X529" i="1"/>
  <c r="Z529" i="1"/>
  <c r="AB529" i="1"/>
  <c r="AD529" i="1"/>
  <c r="AF529" i="1"/>
  <c r="AH529" i="1"/>
  <c r="AJ529" i="1"/>
  <c r="AL529" i="1"/>
  <c r="AN529" i="1"/>
  <c r="AP529" i="1"/>
  <c r="AR529" i="1"/>
  <c r="AT529" i="1"/>
  <c r="AV529" i="1"/>
  <c r="AX529" i="1"/>
  <c r="A530" i="1"/>
  <c r="D530" i="1"/>
  <c r="F530" i="1"/>
  <c r="H530" i="1"/>
  <c r="J530" i="1"/>
  <c r="L530" i="1"/>
  <c r="N530" i="1"/>
  <c r="P530" i="1"/>
  <c r="R530" i="1"/>
  <c r="T530" i="1"/>
  <c r="V530" i="1"/>
  <c r="X530" i="1"/>
  <c r="Z530" i="1"/>
  <c r="AB530" i="1"/>
  <c r="AD530" i="1"/>
  <c r="AF530" i="1"/>
  <c r="AH530" i="1"/>
  <c r="AJ530" i="1"/>
  <c r="AL530" i="1"/>
  <c r="AN530" i="1"/>
  <c r="AP530" i="1"/>
  <c r="AR530" i="1"/>
  <c r="AT530" i="1"/>
  <c r="AV530" i="1"/>
  <c r="AX530" i="1"/>
  <c r="A531" i="1"/>
  <c r="D531" i="1"/>
  <c r="F531" i="1"/>
  <c r="H531" i="1"/>
  <c r="J531" i="1"/>
  <c r="L531" i="1"/>
  <c r="N531" i="1"/>
  <c r="P531" i="1"/>
  <c r="R531" i="1"/>
  <c r="T531" i="1"/>
  <c r="V531" i="1"/>
  <c r="X531" i="1"/>
  <c r="Z531" i="1"/>
  <c r="AB531" i="1"/>
  <c r="AD531" i="1"/>
  <c r="AF531" i="1"/>
  <c r="AH531" i="1"/>
  <c r="AJ531" i="1"/>
  <c r="AL531" i="1"/>
  <c r="AN531" i="1"/>
  <c r="AP531" i="1"/>
  <c r="AR531" i="1"/>
  <c r="AT531" i="1"/>
  <c r="AV531" i="1"/>
  <c r="AX531" i="1"/>
  <c r="A532" i="1"/>
  <c r="D532" i="1"/>
  <c r="F532" i="1"/>
  <c r="H532" i="1"/>
  <c r="J532" i="1"/>
  <c r="L532" i="1"/>
  <c r="N532" i="1"/>
  <c r="P532" i="1"/>
  <c r="R532" i="1"/>
  <c r="T532" i="1"/>
  <c r="V532" i="1"/>
  <c r="X532" i="1"/>
  <c r="Z532" i="1"/>
  <c r="AB532" i="1"/>
  <c r="AD532" i="1"/>
  <c r="AF532" i="1"/>
  <c r="AH532" i="1"/>
  <c r="AJ532" i="1"/>
  <c r="AL532" i="1"/>
  <c r="AN532" i="1"/>
  <c r="AP532" i="1"/>
  <c r="AR532" i="1"/>
  <c r="AT532" i="1"/>
  <c r="AV532" i="1"/>
  <c r="AX532" i="1"/>
  <c r="A533" i="1"/>
  <c r="D533" i="1"/>
  <c r="F533" i="1"/>
  <c r="H533" i="1"/>
  <c r="J533" i="1"/>
  <c r="L533" i="1"/>
  <c r="N533" i="1"/>
  <c r="P533" i="1"/>
  <c r="R533" i="1"/>
  <c r="T533" i="1"/>
  <c r="V533" i="1"/>
  <c r="X533" i="1"/>
  <c r="Z533" i="1"/>
  <c r="AB533" i="1"/>
  <c r="AD533" i="1"/>
  <c r="AF533" i="1"/>
  <c r="AH533" i="1"/>
  <c r="AJ533" i="1"/>
  <c r="AL533" i="1"/>
  <c r="AN533" i="1"/>
  <c r="AP533" i="1"/>
  <c r="AR533" i="1"/>
  <c r="AT533" i="1"/>
  <c r="AV533" i="1"/>
  <c r="AX533" i="1"/>
  <c r="A534" i="1"/>
  <c r="D534" i="1"/>
  <c r="F534" i="1"/>
  <c r="H534" i="1"/>
  <c r="J534" i="1"/>
  <c r="L534" i="1"/>
  <c r="N534" i="1"/>
  <c r="P534" i="1"/>
  <c r="R534" i="1"/>
  <c r="T534" i="1"/>
  <c r="V534" i="1"/>
  <c r="X534" i="1"/>
  <c r="Z534" i="1"/>
  <c r="AB534" i="1"/>
  <c r="AD534" i="1"/>
  <c r="AF534" i="1"/>
  <c r="AH534" i="1"/>
  <c r="AJ534" i="1"/>
  <c r="AL534" i="1"/>
  <c r="AN534" i="1"/>
  <c r="AP534" i="1"/>
  <c r="AR534" i="1"/>
  <c r="AT534" i="1"/>
  <c r="AV534" i="1"/>
  <c r="AX534" i="1"/>
  <c r="A535" i="1"/>
  <c r="D535" i="1"/>
  <c r="F535" i="1"/>
  <c r="H535" i="1"/>
  <c r="J535" i="1"/>
  <c r="L535" i="1"/>
  <c r="N535" i="1"/>
  <c r="P535" i="1"/>
  <c r="R535" i="1"/>
  <c r="T535" i="1"/>
  <c r="V535" i="1"/>
  <c r="X535" i="1"/>
  <c r="Z535" i="1"/>
  <c r="AB535" i="1"/>
  <c r="AD535" i="1"/>
  <c r="AF535" i="1"/>
  <c r="AH535" i="1"/>
  <c r="AJ535" i="1"/>
  <c r="AL535" i="1"/>
  <c r="AN535" i="1"/>
  <c r="AP535" i="1"/>
  <c r="AR535" i="1"/>
  <c r="AT535" i="1"/>
  <c r="AV535" i="1"/>
  <c r="AX535" i="1"/>
  <c r="A536" i="1"/>
  <c r="D536" i="1"/>
  <c r="F536" i="1"/>
  <c r="H536" i="1"/>
  <c r="J536" i="1"/>
  <c r="L536" i="1"/>
  <c r="N536" i="1"/>
  <c r="P536" i="1"/>
  <c r="R536" i="1"/>
  <c r="T536" i="1"/>
  <c r="V536" i="1"/>
  <c r="X536" i="1"/>
  <c r="Z536" i="1"/>
  <c r="AB536" i="1"/>
  <c r="AD536" i="1"/>
  <c r="AF536" i="1"/>
  <c r="AH536" i="1"/>
  <c r="AJ536" i="1"/>
  <c r="AL536" i="1"/>
  <c r="AN536" i="1"/>
  <c r="AP536" i="1"/>
  <c r="AR536" i="1"/>
  <c r="AT536" i="1"/>
  <c r="AV536" i="1"/>
  <c r="AX536" i="1"/>
  <c r="A537" i="1"/>
  <c r="D537" i="1"/>
  <c r="F537" i="1"/>
  <c r="H537" i="1"/>
  <c r="J537" i="1"/>
  <c r="L537" i="1"/>
  <c r="N537" i="1"/>
  <c r="P537" i="1"/>
  <c r="R537" i="1"/>
  <c r="T537" i="1"/>
  <c r="V537" i="1"/>
  <c r="X537" i="1"/>
  <c r="Z537" i="1"/>
  <c r="AB537" i="1"/>
  <c r="AD537" i="1"/>
  <c r="AF537" i="1"/>
  <c r="AH537" i="1"/>
  <c r="AJ537" i="1"/>
  <c r="AL537" i="1"/>
  <c r="AN537" i="1"/>
  <c r="AP537" i="1"/>
  <c r="AR537" i="1"/>
  <c r="AT537" i="1"/>
  <c r="AV537" i="1"/>
  <c r="AX537" i="1"/>
  <c r="H7" i="3"/>
  <c r="A6" i="3"/>
  <c r="H6" i="3"/>
  <c r="A8" i="3"/>
  <c r="H8" i="3"/>
  <c r="A9" i="3"/>
  <c r="H9" i="3"/>
  <c r="A10" i="3"/>
  <c r="H10" i="3"/>
  <c r="A11" i="3"/>
  <c r="H11" i="3"/>
  <c r="A12" i="3"/>
  <c r="H12" i="3"/>
  <c r="A13" i="3"/>
  <c r="H13" i="3"/>
  <c r="A14" i="3"/>
  <c r="H14" i="3"/>
  <c r="A15" i="3"/>
  <c r="H15" i="3"/>
  <c r="A16" i="3"/>
  <c r="H16" i="3"/>
  <c r="A17" i="3"/>
  <c r="H17" i="3"/>
  <c r="A18" i="3"/>
  <c r="H18" i="3"/>
  <c r="A19" i="3"/>
  <c r="H19" i="3"/>
  <c r="A20" i="3"/>
  <c r="H20" i="3"/>
  <c r="A21" i="3"/>
  <c r="H21" i="3"/>
  <c r="A22" i="3"/>
  <c r="H22" i="3"/>
  <c r="A23" i="3"/>
  <c r="H23" i="3"/>
  <c r="A24" i="3"/>
  <c r="H24" i="3"/>
  <c r="A25" i="3"/>
  <c r="H25" i="3"/>
  <c r="H26" i="3"/>
  <c r="A27" i="3"/>
  <c r="H27" i="3"/>
  <c r="A28" i="3"/>
  <c r="H28" i="3"/>
  <c r="A29" i="3"/>
  <c r="H29" i="3"/>
  <c r="A30" i="3"/>
  <c r="H30" i="3"/>
  <c r="A32" i="3"/>
  <c r="H32" i="3"/>
  <c r="A33" i="3"/>
  <c r="H33" i="3"/>
  <c r="A34" i="3"/>
  <c r="H34" i="3"/>
  <c r="A35" i="3"/>
  <c r="H35" i="3"/>
  <c r="A36" i="3"/>
  <c r="H36" i="3"/>
  <c r="A37" i="3"/>
  <c r="H37" i="3"/>
  <c r="A38" i="3"/>
  <c r="H38" i="3"/>
  <c r="A39" i="3"/>
  <c r="H39" i="3"/>
  <c r="A40" i="3"/>
  <c r="H40" i="3"/>
  <c r="A41" i="3"/>
  <c r="H41" i="3"/>
  <c r="AD94" i="5"/>
  <c r="T277" i="4" a="1"/>
  <c r="T277" i="4"/>
  <c r="AC94" i="5"/>
  <c r="AJ275" i="4"/>
  <c r="AD11" i="5"/>
  <c r="T275" i="4" a="1"/>
  <c r="T275" i="4"/>
  <c r="AC11" i="5"/>
  <c r="E7" i="3"/>
  <c r="A94" i="2"/>
  <c r="AA94" i="2"/>
  <c r="AB94" i="2"/>
  <c r="B361" i="4"/>
  <c r="D361" i="4"/>
  <c r="E354" i="5"/>
  <c r="F11" i="5"/>
  <c r="AC94" i="2"/>
  <c r="H11" i="5"/>
  <c r="I11" i="5"/>
  <c r="AD94" i="2"/>
  <c r="AE94" i="2"/>
  <c r="I361" i="4"/>
  <c r="L354" i="5"/>
  <c r="H361" i="4"/>
  <c r="K354" i="5"/>
  <c r="AF94" i="2"/>
  <c r="AG94" i="2"/>
  <c r="AH94" i="2"/>
  <c r="AI94" i="2"/>
  <c r="AJ94" i="2"/>
  <c r="K361" i="4"/>
  <c r="O354" i="5"/>
  <c r="J361" i="4"/>
  <c r="N354" i="5"/>
  <c r="AK94" i="2"/>
  <c r="M361" i="4"/>
  <c r="R354" i="5"/>
  <c r="L361" i="4"/>
  <c r="Q354" i="5"/>
  <c r="AL94" i="2"/>
  <c r="AM94" i="2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476" i="1"/>
  <c r="BA476" i="1"/>
  <c r="BB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BC476" i="1"/>
  <c r="CT476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453" i="1"/>
  <c r="BA453" i="1"/>
  <c r="BB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BC453" i="1"/>
  <c r="CT453" i="1"/>
  <c r="AZ452" i="1"/>
  <c r="BA452" i="1"/>
  <c r="BB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BC452" i="1"/>
  <c r="CT452" i="1"/>
  <c r="AZ478" i="1"/>
  <c r="BA478" i="1"/>
  <c r="BB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BC478" i="1"/>
  <c r="CT478" i="1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Z505" i="1"/>
  <c r="BA505" i="1"/>
  <c r="BB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BC505" i="1"/>
  <c r="CT505" i="1"/>
  <c r="A93" i="2"/>
  <c r="AA93" i="2"/>
  <c r="AB93" i="2"/>
  <c r="B362" i="4"/>
  <c r="D362" i="4"/>
  <c r="E355" i="5"/>
  <c r="AC93" i="2"/>
  <c r="AD93" i="2"/>
  <c r="AE93" i="2"/>
  <c r="I362" i="4"/>
  <c r="L355" i="5"/>
  <c r="H362" i="4"/>
  <c r="K355" i="5"/>
  <c r="AF93" i="2"/>
  <c r="AG93" i="2"/>
  <c r="AH93" i="2"/>
  <c r="AI93" i="2"/>
  <c r="AJ93" i="2"/>
  <c r="K362" i="4"/>
  <c r="O355" i="5"/>
  <c r="J362" i="4"/>
  <c r="N355" i="5"/>
  <c r="AK93" i="2"/>
  <c r="M362" i="4"/>
  <c r="R355" i="5"/>
  <c r="L362" i="4"/>
  <c r="Q355" i="5"/>
  <c r="AL93" i="2"/>
  <c r="AM93" i="2"/>
  <c r="BB497" i="1"/>
  <c r="AZ497" i="1"/>
  <c r="BA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BC497" i="1"/>
  <c r="CT497" i="1"/>
  <c r="AZ498" i="1"/>
  <c r="BA498" i="1"/>
  <c r="BB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BC498" i="1"/>
  <c r="CT498" i="1"/>
  <c r="AZ504" i="1"/>
  <c r="BA504" i="1"/>
  <c r="BB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BC504" i="1"/>
  <c r="CT504" i="1"/>
  <c r="AZ507" i="1"/>
  <c r="BA507" i="1"/>
  <c r="BB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BC507" i="1"/>
  <c r="CT507" i="1"/>
  <c r="AZ506" i="1"/>
  <c r="BA506" i="1"/>
  <c r="BB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BC506" i="1"/>
  <c r="CT506" i="1"/>
  <c r="AZ503" i="1"/>
  <c r="BA503" i="1"/>
  <c r="BB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BC503" i="1"/>
  <c r="CT503" i="1"/>
  <c r="AZ502" i="1"/>
  <c r="BA502" i="1"/>
  <c r="BB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BC502" i="1"/>
  <c r="CT502" i="1"/>
  <c r="AZ501" i="1"/>
  <c r="BA501" i="1"/>
  <c r="BB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BC501" i="1"/>
  <c r="CT501" i="1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92" i="2"/>
  <c r="AA92" i="2"/>
  <c r="AB92" i="2"/>
  <c r="B304" i="4"/>
  <c r="D304" i="4"/>
  <c r="E317" i="5"/>
  <c r="AC92" i="2"/>
  <c r="AD92" i="2"/>
  <c r="AE92" i="2"/>
  <c r="I304" i="4"/>
  <c r="L317" i="5"/>
  <c r="K317" i="5"/>
  <c r="AF92" i="2"/>
  <c r="AG92" i="2"/>
  <c r="AH92" i="2"/>
  <c r="AI92" i="2"/>
  <c r="AJ92" i="2"/>
  <c r="O317" i="5"/>
  <c r="J304" i="4"/>
  <c r="N317" i="5"/>
  <c r="AK92" i="2"/>
  <c r="M304" i="4"/>
  <c r="R317" i="5"/>
  <c r="L304" i="4"/>
  <c r="Q317" i="5"/>
  <c r="AL92" i="2"/>
  <c r="AM92" i="2"/>
  <c r="AZ499" i="1"/>
  <c r="BA499" i="1"/>
  <c r="BB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BC499" i="1"/>
  <c r="CT499" i="1"/>
  <c r="AZ500" i="1"/>
  <c r="BA500" i="1"/>
  <c r="BB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BC500" i="1"/>
  <c r="CT500" i="1"/>
  <c r="AZ488" i="1"/>
  <c r="BA488" i="1"/>
  <c r="BB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BC488" i="1"/>
  <c r="CT488" i="1"/>
  <c r="AZ487" i="1"/>
  <c r="BA487" i="1"/>
  <c r="BB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BC487" i="1"/>
  <c r="CT487" i="1"/>
  <c r="AZ496" i="1"/>
  <c r="BA496" i="1"/>
  <c r="BB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BC496" i="1"/>
  <c r="CT496" i="1"/>
  <c r="A10" i="13"/>
  <c r="B10" i="13"/>
  <c r="C10" i="13"/>
  <c r="AD317" i="5"/>
  <c r="AC317" i="5"/>
  <c r="E10" i="13"/>
  <c r="F10" i="13"/>
  <c r="G10" i="13"/>
  <c r="H10" i="13"/>
  <c r="A91" i="2"/>
  <c r="AA91" i="2"/>
  <c r="AB91" i="2"/>
  <c r="B101" i="4"/>
  <c r="D101" i="4"/>
  <c r="E295" i="5"/>
  <c r="AC91" i="2"/>
  <c r="AD91" i="2"/>
  <c r="AE91" i="2"/>
  <c r="H101" i="4"/>
  <c r="K295" i="5"/>
  <c r="AF91" i="2"/>
  <c r="AG91" i="2"/>
  <c r="AH91" i="2"/>
  <c r="AI91" i="2"/>
  <c r="AJ91" i="2"/>
  <c r="AK91" i="2"/>
  <c r="M101" i="4"/>
  <c r="R295" i="5"/>
  <c r="L101" i="4"/>
  <c r="Q295" i="5"/>
  <c r="AL91" i="2"/>
  <c r="AM91" i="2"/>
  <c r="AZ494" i="1"/>
  <c r="BA494" i="1"/>
  <c r="BB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BC494" i="1"/>
  <c r="CT494" i="1"/>
  <c r="AZ495" i="1"/>
  <c r="BA495" i="1"/>
  <c r="BB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BC495" i="1"/>
  <c r="CT495" i="1"/>
  <c r="AZ466" i="1"/>
  <c r="BA466" i="1"/>
  <c r="BB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BC466" i="1"/>
  <c r="CT466" i="1"/>
  <c r="AZ465" i="1"/>
  <c r="BA465" i="1"/>
  <c r="BB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BC465" i="1"/>
  <c r="CT465" i="1"/>
  <c r="AZ477" i="1"/>
  <c r="BA477" i="1"/>
  <c r="BB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BC477" i="1"/>
  <c r="CT477" i="1"/>
  <c r="A90" i="2"/>
  <c r="AA90" i="2"/>
  <c r="AB90" i="2"/>
  <c r="B215" i="4"/>
  <c r="D215" i="4"/>
  <c r="E115" i="5"/>
  <c r="AC90" i="2"/>
  <c r="AD90" i="2"/>
  <c r="AE90" i="2"/>
  <c r="K115" i="5"/>
  <c r="L295" i="5"/>
  <c r="AF90" i="2"/>
  <c r="AG90" i="2"/>
  <c r="AH90" i="2"/>
  <c r="AI90" i="2"/>
  <c r="AJ90" i="2"/>
  <c r="N295" i="5"/>
  <c r="O295" i="5"/>
  <c r="AK90" i="2"/>
  <c r="M215" i="4"/>
  <c r="R115" i="5"/>
  <c r="L215" i="4"/>
  <c r="Q115" i="5"/>
  <c r="AL90" i="2"/>
  <c r="AM90" i="2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89" i="2"/>
  <c r="AA89" i="2"/>
  <c r="AB89" i="2"/>
  <c r="B71" i="4"/>
  <c r="D71" i="4"/>
  <c r="E98" i="5"/>
  <c r="F115" i="5"/>
  <c r="AC89" i="2"/>
  <c r="AD89" i="2"/>
  <c r="AE89" i="2"/>
  <c r="H71" i="4"/>
  <c r="K98" i="5"/>
  <c r="AF89" i="2"/>
  <c r="AG89" i="2"/>
  <c r="AH89" i="2"/>
  <c r="AI89" i="2"/>
  <c r="AJ89" i="2"/>
  <c r="AK89" i="2"/>
  <c r="M71" i="4"/>
  <c r="R98" i="5"/>
  <c r="L71" i="4"/>
  <c r="Q98" i="5"/>
  <c r="AL89" i="2"/>
  <c r="AM89" i="2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B118" i="6"/>
  <c r="C118" i="6"/>
  <c r="D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J71" i="4"/>
  <c r="T71" i="4" a="1"/>
  <c r="T71" i="4"/>
  <c r="B98" i="5"/>
  <c r="B70" i="4"/>
  <c r="C70" i="4"/>
  <c r="C71" i="4"/>
  <c r="C98" i="5"/>
  <c r="D70" i="4"/>
  <c r="F98" i="5"/>
  <c r="H98" i="5"/>
  <c r="I98" i="5"/>
  <c r="H70" i="4"/>
  <c r="L98" i="5"/>
  <c r="N98" i="5"/>
  <c r="O98" i="5"/>
  <c r="L70" i="4"/>
  <c r="M70" i="4"/>
  <c r="N70" i="4"/>
  <c r="T98" i="5"/>
  <c r="O70" i="4"/>
  <c r="O71" i="4"/>
  <c r="U98" i="5"/>
  <c r="P70" i="4"/>
  <c r="P71" i="4"/>
  <c r="W98" i="5"/>
  <c r="Q70" i="4"/>
  <c r="Q71" i="4"/>
  <c r="X98" i="5"/>
  <c r="Z98" i="5"/>
  <c r="AA98" i="5"/>
  <c r="AJ70" i="4"/>
  <c r="T70" i="4" a="1"/>
  <c r="T70" i="4"/>
  <c r="AC98" i="5"/>
  <c r="U70" i="4" a="1"/>
  <c r="U70" i="4"/>
  <c r="U71" i="4" a="1"/>
  <c r="U71" i="4"/>
  <c r="AD98" i="5"/>
  <c r="V70" i="4"/>
  <c r="V71" i="4"/>
  <c r="AF98" i="5"/>
  <c r="AG98" i="5"/>
  <c r="X70" i="4"/>
  <c r="X71" i="4"/>
  <c r="AI98" i="5"/>
  <c r="Y70" i="4"/>
  <c r="Y71" i="4"/>
  <c r="AJ98" i="5"/>
  <c r="Z70" i="4"/>
  <c r="Z71" i="4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E71" i="4"/>
  <c r="F71" i="4"/>
  <c r="I71" i="4"/>
  <c r="J71" i="4"/>
  <c r="R71" i="4"/>
  <c r="AA71" i="4"/>
  <c r="AB71" i="4"/>
  <c r="AC71" i="4"/>
  <c r="AD71" i="4"/>
  <c r="AE71" i="4"/>
  <c r="AF71" i="4"/>
  <c r="AI71" i="4"/>
  <c r="AK71" i="4"/>
  <c r="AL71" i="4"/>
  <c r="AM71" i="4"/>
  <c r="A88" i="2"/>
  <c r="AA88" i="2"/>
  <c r="AB88" i="2"/>
  <c r="B247" i="4"/>
  <c r="D247" i="4"/>
  <c r="E260" i="5"/>
  <c r="AC88" i="2"/>
  <c r="AD88" i="2"/>
  <c r="AE88" i="2"/>
  <c r="K260" i="5"/>
  <c r="AF88" i="2"/>
  <c r="AG88" i="2"/>
  <c r="AH88" i="2"/>
  <c r="AI88" i="2"/>
  <c r="AJ88" i="2"/>
  <c r="AK88" i="2"/>
  <c r="M247" i="4"/>
  <c r="R260" i="5"/>
  <c r="L247" i="4"/>
  <c r="Q260" i="5"/>
  <c r="AL88" i="2"/>
  <c r="AM88" i="2"/>
  <c r="D182" i="9"/>
  <c r="E182" i="9"/>
  <c r="F182" i="9"/>
  <c r="G182" i="9"/>
  <c r="H182" i="9"/>
  <c r="E419" i="7"/>
  <c r="C419" i="7"/>
  <c r="D419" i="7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B272" i="4"/>
  <c r="N272" i="4"/>
  <c r="N247" i="4"/>
  <c r="A87" i="2"/>
  <c r="AA87" i="2"/>
  <c r="AB87" i="2"/>
  <c r="B166" i="4"/>
  <c r="D166" i="4"/>
  <c r="E177" i="5"/>
  <c r="AC87" i="2"/>
  <c r="AD87" i="2"/>
  <c r="AE87" i="2"/>
  <c r="L177" i="5"/>
  <c r="K177" i="5"/>
  <c r="AF87" i="2"/>
  <c r="AG87" i="2"/>
  <c r="AH87" i="2"/>
  <c r="AI87" i="2"/>
  <c r="AJ87" i="2"/>
  <c r="O177" i="5"/>
  <c r="N177" i="5"/>
  <c r="AK87" i="2"/>
  <c r="L166" i="4"/>
  <c r="Q177" i="5"/>
  <c r="AL87" i="2"/>
  <c r="AM87" i="2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385" i="1"/>
  <c r="BA385" i="1"/>
  <c r="BB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BC385" i="1"/>
  <c r="CT385" i="1"/>
  <c r="AA61" i="5"/>
  <c r="B153" i="4"/>
  <c r="P153" i="4"/>
  <c r="W61" i="5"/>
  <c r="O61" i="5"/>
  <c r="K61" i="5"/>
  <c r="W153" i="4"/>
  <c r="AG61" i="5"/>
  <c r="AF61" i="5"/>
  <c r="C153" i="4"/>
  <c r="C61" i="5"/>
  <c r="D153" i="4"/>
  <c r="E61" i="5"/>
  <c r="L61" i="5"/>
  <c r="N61" i="5"/>
  <c r="L153" i="4"/>
  <c r="Q61" i="5"/>
  <c r="O153" i="4"/>
  <c r="U61" i="5"/>
  <c r="Q153" i="4"/>
  <c r="X61" i="5"/>
  <c r="R153" i="4"/>
  <c r="Z61" i="5"/>
  <c r="AJ153" i="4"/>
  <c r="T153" i="4" a="1"/>
  <c r="T153" i="4"/>
  <c r="AC61" i="5"/>
  <c r="U153" i="4" a="1"/>
  <c r="U153" i="4"/>
  <c r="AD61" i="5"/>
  <c r="X153" i="4"/>
  <c r="AI61" i="5"/>
  <c r="Y153" i="4"/>
  <c r="AJ61" i="5"/>
  <c r="Z153" i="4"/>
  <c r="AL61" i="5"/>
  <c r="R61" i="5"/>
  <c r="T61" i="5"/>
  <c r="AN61" i="5"/>
  <c r="AA189" i="5"/>
  <c r="B168" i="4"/>
  <c r="P168" i="4"/>
  <c r="W189" i="5"/>
  <c r="O189" i="5"/>
  <c r="K189" i="5"/>
  <c r="W168" i="4"/>
  <c r="AG189" i="5"/>
  <c r="AF189" i="5"/>
  <c r="C168" i="4"/>
  <c r="C189" i="5"/>
  <c r="D168" i="4"/>
  <c r="E189" i="5"/>
  <c r="L189" i="5"/>
  <c r="N189" i="5"/>
  <c r="L168" i="4"/>
  <c r="Q189" i="5"/>
  <c r="O168" i="4"/>
  <c r="U189" i="5"/>
  <c r="Q168" i="4"/>
  <c r="X189" i="5"/>
  <c r="R168" i="4"/>
  <c r="Z189" i="5"/>
  <c r="AJ168" i="4"/>
  <c r="T168" i="4" a="1"/>
  <c r="T168" i="4"/>
  <c r="AC189" i="5"/>
  <c r="AD189" i="5"/>
  <c r="X168" i="4"/>
  <c r="AI189" i="5"/>
  <c r="Y168" i="4"/>
  <c r="AJ189" i="5"/>
  <c r="Z168" i="4"/>
  <c r="AL189" i="5"/>
  <c r="R189" i="5"/>
  <c r="T189" i="5"/>
  <c r="AN189" i="5"/>
  <c r="AA176" i="5"/>
  <c r="B165" i="4"/>
  <c r="P165" i="4"/>
  <c r="W176" i="5"/>
  <c r="O176" i="5"/>
  <c r="K176" i="5"/>
  <c r="W165" i="4"/>
  <c r="AG176" i="5"/>
  <c r="AF176" i="5"/>
  <c r="C165" i="4"/>
  <c r="C176" i="5"/>
  <c r="D165" i="4"/>
  <c r="E176" i="5"/>
  <c r="L176" i="5"/>
  <c r="N176" i="5"/>
  <c r="L165" i="4"/>
  <c r="Q176" i="5"/>
  <c r="O165" i="4"/>
  <c r="U176" i="5"/>
  <c r="Q165" i="4"/>
  <c r="X176" i="5"/>
  <c r="R165" i="4"/>
  <c r="Z176" i="5"/>
  <c r="AJ165" i="4"/>
  <c r="T165" i="4" a="1"/>
  <c r="T165" i="4"/>
  <c r="AC176" i="5"/>
  <c r="AD176" i="5"/>
  <c r="X165" i="4"/>
  <c r="AI176" i="5"/>
  <c r="Y165" i="4"/>
  <c r="AJ176" i="5"/>
  <c r="Z165" i="4"/>
  <c r="AL176" i="5"/>
  <c r="F176" i="5"/>
  <c r="R176" i="5"/>
  <c r="T176" i="5"/>
  <c r="AN176" i="5"/>
  <c r="AA178" i="5"/>
  <c r="B167" i="4"/>
  <c r="P167" i="4"/>
  <c r="W178" i="5"/>
  <c r="O178" i="5"/>
  <c r="H167" i="4"/>
  <c r="K178" i="5"/>
  <c r="W167" i="4"/>
  <c r="AG178" i="5"/>
  <c r="AF178" i="5"/>
  <c r="C167" i="4"/>
  <c r="C178" i="5"/>
  <c r="D167" i="4"/>
  <c r="E178" i="5"/>
  <c r="L178" i="5"/>
  <c r="J167" i="4"/>
  <c r="N178" i="5"/>
  <c r="L167" i="4"/>
  <c r="Q178" i="5"/>
  <c r="M167" i="4"/>
  <c r="R178" i="5"/>
  <c r="T178" i="5"/>
  <c r="O167" i="4"/>
  <c r="U178" i="5"/>
  <c r="Q167" i="4"/>
  <c r="X178" i="5"/>
  <c r="R167" i="4"/>
  <c r="Z178" i="5"/>
  <c r="AJ167" i="4"/>
  <c r="T167" i="4" a="1"/>
  <c r="T167" i="4"/>
  <c r="AC178" i="5"/>
  <c r="AD178" i="5"/>
  <c r="X167" i="4"/>
  <c r="AI178" i="5"/>
  <c r="Y167" i="4"/>
  <c r="AJ178" i="5"/>
  <c r="Z167" i="4"/>
  <c r="AL178" i="5"/>
  <c r="F178" i="5"/>
  <c r="AN178" i="5"/>
  <c r="AA177" i="5"/>
  <c r="P166" i="4"/>
  <c r="W177" i="5"/>
  <c r="W166" i="4"/>
  <c r="AG177" i="5"/>
  <c r="AF177" i="5"/>
  <c r="C166" i="4"/>
  <c r="C177" i="5"/>
  <c r="O166" i="4"/>
  <c r="U177" i="5"/>
  <c r="Q166" i="4"/>
  <c r="X177" i="5"/>
  <c r="R166" i="4"/>
  <c r="Z177" i="5"/>
  <c r="AJ166" i="4"/>
  <c r="T166" i="4" a="1"/>
  <c r="T166" i="4"/>
  <c r="AC177" i="5"/>
  <c r="AD177" i="5"/>
  <c r="X166" i="4"/>
  <c r="AI177" i="5"/>
  <c r="Y166" i="4"/>
  <c r="AJ177" i="5"/>
  <c r="Z166" i="4"/>
  <c r="AL177" i="5"/>
  <c r="F177" i="5"/>
  <c r="R177" i="5"/>
  <c r="T177" i="5"/>
  <c r="AN177" i="5"/>
  <c r="A86" i="2"/>
  <c r="AA86" i="2"/>
  <c r="AB86" i="2"/>
  <c r="B111" i="4"/>
  <c r="D111" i="4"/>
  <c r="E67" i="5"/>
  <c r="AC86" i="2"/>
  <c r="AD86" i="2"/>
  <c r="AE86" i="2"/>
  <c r="H111" i="4"/>
  <c r="K67" i="5"/>
  <c r="AF86" i="2"/>
  <c r="AG86" i="2"/>
  <c r="AH86" i="2"/>
  <c r="AI86" i="2"/>
  <c r="AJ86" i="2"/>
  <c r="AK86" i="2"/>
  <c r="M111" i="4"/>
  <c r="R67" i="5"/>
  <c r="L111" i="4"/>
  <c r="Q67" i="5"/>
  <c r="AL86" i="2"/>
  <c r="AM86" i="2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85" i="2"/>
  <c r="AA85" i="2"/>
  <c r="AB85" i="2"/>
  <c r="B110" i="4"/>
  <c r="D110" i="4"/>
  <c r="E66" i="5"/>
  <c r="AC85" i="2"/>
  <c r="AD85" i="2"/>
  <c r="AE85" i="2"/>
  <c r="H110" i="4"/>
  <c r="K66" i="5"/>
  <c r="AF85" i="2"/>
  <c r="AG85" i="2"/>
  <c r="AH85" i="2"/>
  <c r="AI85" i="2"/>
  <c r="AJ85" i="2"/>
  <c r="AK85" i="2"/>
  <c r="M110" i="4"/>
  <c r="R66" i="5"/>
  <c r="L110" i="4"/>
  <c r="Q66" i="5"/>
  <c r="AL85" i="2"/>
  <c r="AM85" i="2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84" i="2"/>
  <c r="AA84" i="2"/>
  <c r="AB84" i="2"/>
  <c r="B18" i="4"/>
  <c r="D18" i="4"/>
  <c r="E65" i="5"/>
  <c r="AC84" i="2"/>
  <c r="AD84" i="2"/>
  <c r="AE84" i="2"/>
  <c r="H18" i="4"/>
  <c r="K65" i="5"/>
  <c r="AF84" i="2"/>
  <c r="AG84" i="2"/>
  <c r="AH84" i="2"/>
  <c r="AI84" i="2"/>
  <c r="AJ84" i="2"/>
  <c r="AK84" i="2"/>
  <c r="M18" i="4"/>
  <c r="R65" i="5"/>
  <c r="L18" i="4"/>
  <c r="Q65" i="5"/>
  <c r="AL84" i="2"/>
  <c r="AM84" i="2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83" i="2"/>
  <c r="AA83" i="2"/>
  <c r="AB83" i="2"/>
  <c r="B24" i="4"/>
  <c r="D24" i="4"/>
  <c r="E148" i="5"/>
  <c r="F65" i="5"/>
  <c r="AC83" i="2"/>
  <c r="H65" i="5"/>
  <c r="I65" i="5"/>
  <c r="AD83" i="2"/>
  <c r="AE83" i="2"/>
  <c r="I24" i="4"/>
  <c r="L148" i="5"/>
  <c r="K148" i="5"/>
  <c r="L65" i="5"/>
  <c r="AF83" i="2"/>
  <c r="AG83" i="2"/>
  <c r="AH83" i="2"/>
  <c r="AI83" i="2"/>
  <c r="AJ83" i="2"/>
  <c r="O148" i="5"/>
  <c r="J24" i="4"/>
  <c r="N148" i="5"/>
  <c r="N65" i="5"/>
  <c r="O65" i="5"/>
  <c r="AK83" i="2"/>
  <c r="M24" i="4"/>
  <c r="R148" i="5"/>
  <c r="L24" i="4"/>
  <c r="Q148" i="5"/>
  <c r="AL83" i="2"/>
  <c r="AM83" i="2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486" i="1"/>
  <c r="BA486" i="1"/>
  <c r="BB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BC486" i="1"/>
  <c r="CT486" i="1"/>
  <c r="AZ464" i="1"/>
  <c r="BA464" i="1"/>
  <c r="BB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BC464" i="1"/>
  <c r="CT464" i="1"/>
  <c r="AZ463" i="1"/>
  <c r="BA463" i="1"/>
  <c r="BB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BC463" i="1"/>
  <c r="CT463" i="1"/>
  <c r="AZ446" i="1"/>
  <c r="BA446" i="1"/>
  <c r="BB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BC446" i="1"/>
  <c r="CT446" i="1"/>
  <c r="AZ445" i="1"/>
  <c r="BA445" i="1"/>
  <c r="BB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BC445" i="1"/>
  <c r="CT445" i="1"/>
  <c r="AZ444" i="1"/>
  <c r="BA444" i="1"/>
  <c r="BB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BC444" i="1"/>
  <c r="CT444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475" i="1"/>
  <c r="BA475" i="1"/>
  <c r="BB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BC475" i="1"/>
  <c r="CT475" i="1"/>
  <c r="A82" i="2"/>
  <c r="AA82" i="2"/>
  <c r="AB82" i="2"/>
  <c r="B224" i="4"/>
  <c r="E224" i="4"/>
  <c r="F108" i="5"/>
  <c r="D224" i="4"/>
  <c r="E108" i="5"/>
  <c r="F148" i="5"/>
  <c r="AC82" i="2"/>
  <c r="I108" i="5"/>
  <c r="F224" i="4"/>
  <c r="H108" i="5"/>
  <c r="H148" i="5"/>
  <c r="I148" i="5"/>
  <c r="AD82" i="2"/>
  <c r="AE82" i="2"/>
  <c r="H224" i="4"/>
  <c r="K108" i="5"/>
  <c r="AF82" i="2"/>
  <c r="AG82" i="2"/>
  <c r="AH82" i="2"/>
  <c r="AI82" i="2"/>
  <c r="AJ82" i="2"/>
  <c r="AK82" i="2"/>
  <c r="M224" i="4"/>
  <c r="R108" i="5"/>
  <c r="L224" i="4"/>
  <c r="Q108" i="5"/>
  <c r="AL82" i="2"/>
  <c r="AM82" i="2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BC307" i="1"/>
  <c r="CT307" i="1"/>
  <c r="AJ224" i="4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W224" i="4"/>
  <c r="B128" i="4"/>
  <c r="W128" i="4"/>
  <c r="B10" i="3"/>
  <c r="C10" i="3"/>
  <c r="AJ273" i="4"/>
  <c r="AD262" i="5"/>
  <c r="T273" i="4" a="1"/>
  <c r="T273" i="4"/>
  <c r="AC262" i="5"/>
  <c r="AD108" i="5"/>
  <c r="AC108" i="5"/>
  <c r="E10" i="3"/>
  <c r="A81" i="2"/>
  <c r="AA81" i="2"/>
  <c r="AB81" i="2"/>
  <c r="B312" i="4"/>
  <c r="D312" i="4"/>
  <c r="E307" i="5"/>
  <c r="AC81" i="2"/>
  <c r="AD81" i="2"/>
  <c r="AE81" i="2"/>
  <c r="I312" i="4"/>
  <c r="L307" i="5"/>
  <c r="K307" i="5"/>
  <c r="AF81" i="2"/>
  <c r="AG81" i="2"/>
  <c r="AH81" i="2"/>
  <c r="AI81" i="2"/>
  <c r="AJ81" i="2"/>
  <c r="O307" i="5"/>
  <c r="J312" i="4"/>
  <c r="N307" i="5"/>
  <c r="AK81" i="2"/>
  <c r="M312" i="4"/>
  <c r="R307" i="5"/>
  <c r="L312" i="4"/>
  <c r="Q307" i="5"/>
  <c r="AL81" i="2"/>
  <c r="AM81" i="2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95" i="1"/>
  <c r="BA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BC95" i="1"/>
  <c r="CT95" i="1"/>
  <c r="D295" i="6"/>
  <c r="B79" i="4"/>
  <c r="D79" i="4"/>
  <c r="E4" i="5"/>
  <c r="C312" i="4"/>
  <c r="C307" i="5"/>
  <c r="B295" i="4"/>
  <c r="C295" i="4"/>
  <c r="C394" i="7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B309" i="4"/>
  <c r="T309" i="4"/>
  <c r="U309" i="4"/>
  <c r="AJ309" i="4"/>
  <c r="B318" i="4"/>
  <c r="U318" i="4"/>
  <c r="A9" i="13"/>
  <c r="B9" i="13"/>
  <c r="C9" i="13"/>
  <c r="U312" i="4"/>
  <c r="AD307" i="5"/>
  <c r="T312" i="4"/>
  <c r="AC307" i="5"/>
  <c r="E9" i="13"/>
  <c r="F9" i="13"/>
  <c r="G9" i="13"/>
  <c r="H9" i="13"/>
  <c r="A80" i="2"/>
  <c r="AA80" i="2"/>
  <c r="AB80" i="2"/>
  <c r="B306" i="4"/>
  <c r="D306" i="4"/>
  <c r="E314" i="5"/>
  <c r="AC80" i="2"/>
  <c r="AD80" i="2"/>
  <c r="AE80" i="2"/>
  <c r="I306" i="4"/>
  <c r="L314" i="5"/>
  <c r="K314" i="5"/>
  <c r="AF80" i="2"/>
  <c r="AG80" i="2"/>
  <c r="AH80" i="2"/>
  <c r="AI80" i="2"/>
  <c r="AJ80" i="2"/>
  <c r="O314" i="5"/>
  <c r="J306" i="4"/>
  <c r="N314" i="5"/>
  <c r="AK80" i="2"/>
  <c r="M306" i="4"/>
  <c r="R314" i="5"/>
  <c r="L306" i="4"/>
  <c r="Q314" i="5"/>
  <c r="AL80" i="2"/>
  <c r="AM80" i="2"/>
  <c r="AZ454" i="1"/>
  <c r="BA454" i="1"/>
  <c r="BB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BC454" i="1"/>
  <c r="CT454" i="1"/>
  <c r="AZ455" i="1"/>
  <c r="BA455" i="1"/>
  <c r="BB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BC455" i="1"/>
  <c r="CT455" i="1"/>
  <c r="AZ456" i="1"/>
  <c r="BA456" i="1"/>
  <c r="BB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BC456" i="1"/>
  <c r="CT456" i="1"/>
  <c r="B30" i="3"/>
  <c r="C30" i="3"/>
  <c r="AJ109" i="4"/>
  <c r="U109" i="4" a="1"/>
  <c r="U109" i="4"/>
  <c r="AD51" i="5"/>
  <c r="T109" i="4" a="1"/>
  <c r="T109" i="4"/>
  <c r="AC51" i="5"/>
  <c r="E30" i="3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BC224" i="1"/>
  <c r="CT224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BC390" i="1"/>
  <c r="CT390" i="1"/>
  <c r="A79" i="2"/>
  <c r="AA79" i="2"/>
  <c r="AB79" i="2"/>
  <c r="B40" i="4"/>
  <c r="D40" i="4"/>
  <c r="E60" i="5"/>
  <c r="AC79" i="2"/>
  <c r="AD79" i="2"/>
  <c r="AE79" i="2"/>
  <c r="H40" i="4"/>
  <c r="K60" i="5"/>
  <c r="AF79" i="2"/>
  <c r="AG79" i="2"/>
  <c r="AH79" i="2"/>
  <c r="AI79" i="2"/>
  <c r="AJ79" i="2"/>
  <c r="AK79" i="2"/>
  <c r="M40" i="4"/>
  <c r="R60" i="5"/>
  <c r="L40" i="4"/>
  <c r="Q60" i="5"/>
  <c r="AL79" i="2"/>
  <c r="AM79" i="2"/>
  <c r="AZ484" i="1"/>
  <c r="BA484" i="1"/>
  <c r="BB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BC484" i="1"/>
  <c r="CT484" i="1"/>
  <c r="AZ485" i="1"/>
  <c r="BA485" i="1"/>
  <c r="BB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BC485" i="1"/>
  <c r="CT485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B3" i="4"/>
  <c r="X3" i="4"/>
  <c r="B4" i="4"/>
  <c r="X4" i="4"/>
  <c r="B2" i="4"/>
  <c r="I2" i="4"/>
  <c r="I3" i="4"/>
  <c r="I4" i="4"/>
  <c r="B303" i="6"/>
  <c r="C303" i="6"/>
  <c r="D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C4" i="4"/>
  <c r="D4" i="4"/>
  <c r="E4" i="4"/>
  <c r="F4" i="4"/>
  <c r="J4" i="4"/>
  <c r="K4" i="4"/>
  <c r="L4" i="4"/>
  <c r="M4" i="4"/>
  <c r="N4" i="4"/>
  <c r="O4" i="4"/>
  <c r="P4" i="4"/>
  <c r="Q4" i="4"/>
  <c r="R4" i="4"/>
  <c r="AJ4" i="4"/>
  <c r="T4" i="4" a="1"/>
  <c r="T4" i="4"/>
  <c r="U4" i="4" a="1"/>
  <c r="U4" i="4"/>
  <c r="Y4" i="4"/>
  <c r="Z4" i="4"/>
  <c r="AA4" i="4"/>
  <c r="AB4" i="4"/>
  <c r="AC4" i="4"/>
  <c r="AD4" i="4"/>
  <c r="AE4" i="4"/>
  <c r="AF4" i="4"/>
  <c r="AH4" i="4"/>
  <c r="AI4" i="4"/>
  <c r="AK4" i="4"/>
  <c r="AL4" i="4"/>
  <c r="AM4" i="4"/>
  <c r="B303" i="5"/>
  <c r="C3" i="4"/>
  <c r="C303" i="5"/>
  <c r="D3" i="4"/>
  <c r="E303" i="5"/>
  <c r="F303" i="5"/>
  <c r="H303" i="5"/>
  <c r="I303" i="5"/>
  <c r="K303" i="5"/>
  <c r="L303" i="5"/>
  <c r="J3" i="4"/>
  <c r="N303" i="5"/>
  <c r="K3" i="4"/>
  <c r="O303" i="5"/>
  <c r="L3" i="4"/>
  <c r="Q303" i="5"/>
  <c r="M3" i="4"/>
  <c r="R303" i="5"/>
  <c r="N3" i="4"/>
  <c r="T303" i="5"/>
  <c r="O3" i="4"/>
  <c r="U303" i="5"/>
  <c r="P3" i="4"/>
  <c r="W303" i="5"/>
  <c r="Q3" i="4"/>
  <c r="X303" i="5"/>
  <c r="Z303" i="5"/>
  <c r="AA303" i="5"/>
  <c r="AJ3" i="4"/>
  <c r="T3" i="4" a="1"/>
  <c r="T3" i="4"/>
  <c r="AC303" i="5"/>
  <c r="U3" i="4" a="1"/>
  <c r="U3" i="4"/>
  <c r="AD303" i="5"/>
  <c r="AF303" i="5"/>
  <c r="AG303" i="5"/>
  <c r="AI303" i="5"/>
  <c r="Y3" i="4"/>
  <c r="AJ303" i="5"/>
  <c r="Z3" i="4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D417" i="9"/>
  <c r="E417" i="9"/>
  <c r="F417" i="9"/>
  <c r="G417" i="9"/>
  <c r="H417" i="9"/>
  <c r="C418" i="7"/>
  <c r="D418" i="7"/>
  <c r="E418" i="7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E3" i="4"/>
  <c r="F3" i="4"/>
  <c r="R3" i="4"/>
  <c r="AA3" i="4"/>
  <c r="AB3" i="4"/>
  <c r="AC3" i="4"/>
  <c r="AD3" i="4"/>
  <c r="AE3" i="4"/>
  <c r="AF3" i="4"/>
  <c r="AH3" i="4"/>
  <c r="AI3" i="4"/>
  <c r="AK3" i="4"/>
  <c r="AL3" i="4"/>
  <c r="AM3" i="4"/>
  <c r="L2" i="4"/>
  <c r="B5" i="4"/>
  <c r="L5" i="4"/>
  <c r="B302" i="5"/>
  <c r="C2" i="4"/>
  <c r="C302" i="5"/>
  <c r="D2" i="4"/>
  <c r="E302" i="5"/>
  <c r="F302" i="5"/>
  <c r="H302" i="5"/>
  <c r="I302" i="5"/>
  <c r="K302" i="5"/>
  <c r="L302" i="5"/>
  <c r="J2" i="4"/>
  <c r="N302" i="5"/>
  <c r="K2" i="4"/>
  <c r="O302" i="5"/>
  <c r="Q302" i="5"/>
  <c r="M2" i="4"/>
  <c r="R302" i="5"/>
  <c r="N2" i="4"/>
  <c r="T302" i="5"/>
  <c r="O2" i="4"/>
  <c r="U302" i="5"/>
  <c r="W302" i="5"/>
  <c r="Q2" i="4"/>
  <c r="X302" i="5"/>
  <c r="Z302" i="5"/>
  <c r="AA302" i="5"/>
  <c r="AJ2" i="4"/>
  <c r="T2" i="4" a="1"/>
  <c r="T2" i="4"/>
  <c r="AC302" i="5"/>
  <c r="U2" i="4" a="1"/>
  <c r="U2" i="4"/>
  <c r="AD302" i="5"/>
  <c r="AF302" i="5"/>
  <c r="AG302" i="5"/>
  <c r="X2" i="4"/>
  <c r="AI302" i="5"/>
  <c r="Y2" i="4"/>
  <c r="AJ302" i="5"/>
  <c r="Z2" i="4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D416" i="9"/>
  <c r="E416" i="9"/>
  <c r="F416" i="9"/>
  <c r="G416" i="9"/>
  <c r="H416" i="9"/>
  <c r="C417" i="7"/>
  <c r="D417" i="7"/>
  <c r="E417" i="7"/>
  <c r="O301" i="5"/>
  <c r="K301" i="5"/>
  <c r="AG301" i="5"/>
  <c r="AF301" i="5"/>
  <c r="C301" i="5"/>
  <c r="E301" i="5"/>
  <c r="L301" i="5"/>
  <c r="N301" i="5"/>
  <c r="Q301" i="5"/>
  <c r="R301" i="5"/>
  <c r="T301" i="5"/>
  <c r="U301" i="5"/>
  <c r="W301" i="5"/>
  <c r="X301" i="5"/>
  <c r="AA301" i="5"/>
  <c r="AC301" i="5"/>
  <c r="AD301" i="5"/>
  <c r="AI301" i="5"/>
  <c r="AJ301" i="5"/>
  <c r="AL301" i="5"/>
  <c r="H301" i="5"/>
  <c r="I301" i="5"/>
  <c r="Z301" i="5"/>
  <c r="AN301" i="5"/>
  <c r="E2" i="4"/>
  <c r="F2" i="4"/>
  <c r="R2" i="4"/>
  <c r="AA2" i="4"/>
  <c r="AB2" i="4"/>
  <c r="AC2" i="4"/>
  <c r="AD2" i="4"/>
  <c r="AE2" i="4"/>
  <c r="AF2" i="4"/>
  <c r="AH2" i="4"/>
  <c r="AI2" i="4"/>
  <c r="AK2" i="4"/>
  <c r="AL2" i="4"/>
  <c r="AM2" i="4"/>
  <c r="B301" i="5"/>
  <c r="B287" i="4"/>
  <c r="C287" i="4"/>
  <c r="D287" i="4"/>
  <c r="F301" i="5"/>
  <c r="I287" i="4"/>
  <c r="J287" i="4"/>
  <c r="L287" i="4"/>
  <c r="M287" i="4"/>
  <c r="N287" i="4"/>
  <c r="O287" i="4"/>
  <c r="P287" i="4"/>
  <c r="Q287" i="4"/>
  <c r="S287" i="4"/>
  <c r="AJ287" i="4"/>
  <c r="T287" i="4" a="1"/>
  <c r="T287" i="4"/>
  <c r="X287" i="4"/>
  <c r="Y287" i="4"/>
  <c r="Z287" i="4"/>
  <c r="AM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D301" i="6"/>
  <c r="C301" i="6"/>
  <c r="B301" i="6"/>
  <c r="D415" i="9"/>
  <c r="E415" i="9"/>
  <c r="F415" i="9"/>
  <c r="G415" i="9"/>
  <c r="H415" i="9"/>
  <c r="E416" i="7"/>
  <c r="C416" i="7"/>
  <c r="D416" i="7"/>
  <c r="AZ384" i="1"/>
  <c r="BA384" i="1"/>
  <c r="BB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BC384" i="1"/>
  <c r="CT384" i="1"/>
  <c r="AZ383" i="1"/>
  <c r="BA383" i="1"/>
  <c r="BB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BC383" i="1"/>
  <c r="CT383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382" i="1"/>
  <c r="BA382" i="1"/>
  <c r="BB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BC382" i="1"/>
  <c r="CT382" i="1"/>
  <c r="AZ381" i="1"/>
  <c r="BA381" i="1"/>
  <c r="BB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BC381" i="1"/>
  <c r="CT381" i="1"/>
  <c r="AZ380" i="1"/>
  <c r="BA380" i="1"/>
  <c r="BB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BC380" i="1"/>
  <c r="CT380" i="1"/>
  <c r="AZ379" i="1"/>
  <c r="BA379" i="1"/>
  <c r="BB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BC379" i="1"/>
  <c r="CT379" i="1"/>
  <c r="AZ378" i="1"/>
  <c r="BA378" i="1"/>
  <c r="BB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BC378" i="1"/>
  <c r="CT378" i="1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BC377" i="1"/>
  <c r="CT377" i="1"/>
  <c r="AZ376" i="1"/>
  <c r="BA376" i="1"/>
  <c r="BB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BC376" i="1"/>
  <c r="CT376" i="1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AZ374" i="1"/>
  <c r="BA374" i="1"/>
  <c r="BB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BC374" i="1"/>
  <c r="CT374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A78" i="2"/>
  <c r="AA78" i="2"/>
  <c r="AB78" i="2"/>
  <c r="B193" i="4"/>
  <c r="E193" i="4"/>
  <c r="F88" i="5"/>
  <c r="D193" i="4"/>
  <c r="E88" i="5"/>
  <c r="AC78" i="2"/>
  <c r="I88" i="5"/>
  <c r="F193" i="4"/>
  <c r="H88" i="5"/>
  <c r="AD78" i="2"/>
  <c r="AE78" i="2"/>
  <c r="H193" i="4"/>
  <c r="K88" i="5"/>
  <c r="L60" i="5"/>
  <c r="AF78" i="2"/>
  <c r="AG78" i="2"/>
  <c r="AH78" i="2"/>
  <c r="AI78" i="2"/>
  <c r="AJ78" i="2"/>
  <c r="N60" i="5"/>
  <c r="O60" i="5"/>
  <c r="AK78" i="2"/>
  <c r="M193" i="4"/>
  <c r="R88" i="5"/>
  <c r="L193" i="4"/>
  <c r="Q88" i="5"/>
  <c r="AL78" i="2"/>
  <c r="AM78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V193" i="4"/>
  <c r="B68" i="4"/>
  <c r="V68" i="4"/>
  <c r="A77" i="2"/>
  <c r="AA77" i="2"/>
  <c r="AB77" i="2"/>
  <c r="B250" i="4"/>
  <c r="E250" i="4"/>
  <c r="F87" i="5"/>
  <c r="D250" i="4"/>
  <c r="E87" i="5"/>
  <c r="AC77" i="2"/>
  <c r="I87" i="5"/>
  <c r="F250" i="4"/>
  <c r="H87" i="5"/>
  <c r="AD77" i="2"/>
  <c r="AE77" i="2"/>
  <c r="H250" i="4"/>
  <c r="K87" i="5"/>
  <c r="AF77" i="2"/>
  <c r="AG77" i="2"/>
  <c r="AH77" i="2"/>
  <c r="AI77" i="2"/>
  <c r="AJ77" i="2"/>
  <c r="AK77" i="2"/>
  <c r="M250" i="4"/>
  <c r="R87" i="5"/>
  <c r="L250" i="4"/>
  <c r="Q87" i="5"/>
  <c r="AL77" i="2"/>
  <c r="AM77" i="2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BC306" i="1"/>
  <c r="CT306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AZ77" i="1"/>
  <c r="BA77" i="1"/>
  <c r="BB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BC77" i="1"/>
  <c r="CT77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474" i="1"/>
  <c r="BA474" i="1"/>
  <c r="BB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BC474" i="1"/>
  <c r="CT474" i="1"/>
  <c r="AZ473" i="1"/>
  <c r="BA473" i="1"/>
  <c r="BB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BC473" i="1"/>
  <c r="CT473" i="1"/>
  <c r="S312" i="4"/>
  <c r="B311" i="4"/>
  <c r="S311" i="4"/>
  <c r="B308" i="4"/>
  <c r="S308" i="4"/>
  <c r="S304" i="4"/>
  <c r="S306" i="4"/>
  <c r="S318" i="4"/>
  <c r="B317" i="4"/>
  <c r="S317" i="4"/>
  <c r="S309" i="4"/>
  <c r="B310" i="4"/>
  <c r="S310" i="4"/>
  <c r="B319" i="4"/>
  <c r="S319" i="4"/>
  <c r="B313" i="4"/>
  <c r="S313" i="4"/>
  <c r="B307" i="4"/>
  <c r="S307" i="4"/>
  <c r="B314" i="4"/>
  <c r="S314" i="4"/>
  <c r="B316" i="4"/>
  <c r="S316" i="4"/>
  <c r="B315" i="4"/>
  <c r="S315" i="4"/>
  <c r="B305" i="4"/>
  <c r="S305" i="4"/>
  <c r="B190" i="4"/>
  <c r="S190" i="4"/>
  <c r="AZ472" i="1"/>
  <c r="BA472" i="1"/>
  <c r="BB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BC472" i="1"/>
  <c r="CT472" i="1"/>
  <c r="B227" i="4"/>
  <c r="D227" i="4"/>
  <c r="B208" i="4"/>
  <c r="E208" i="4"/>
  <c r="F208" i="4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A76" i="2"/>
  <c r="AB76" i="2"/>
  <c r="B267" i="4"/>
  <c r="E267" i="4"/>
  <c r="F241" i="5"/>
  <c r="D267" i="4"/>
  <c r="E241" i="5"/>
  <c r="AC76" i="2"/>
  <c r="I241" i="5"/>
  <c r="F267" i="4"/>
  <c r="H241" i="5"/>
  <c r="AD76" i="2"/>
  <c r="AE76" i="2"/>
  <c r="H267" i="4"/>
  <c r="K241" i="5"/>
  <c r="AF76" i="2"/>
  <c r="AG76" i="2"/>
  <c r="AH76" i="2"/>
  <c r="AI76" i="2"/>
  <c r="AJ76" i="2"/>
  <c r="AK76" i="2"/>
  <c r="M267" i="4"/>
  <c r="R241" i="5"/>
  <c r="L267" i="4"/>
  <c r="Q241" i="5"/>
  <c r="AL76" i="2"/>
  <c r="AM76" i="2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428" i="1"/>
  <c r="BA428" i="1"/>
  <c r="BB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BC428" i="1"/>
  <c r="CT428" i="1"/>
  <c r="B261" i="6"/>
  <c r="C261" i="6"/>
  <c r="D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B241" i="5"/>
  <c r="B290" i="4"/>
  <c r="C290" i="4"/>
  <c r="C267" i="4"/>
  <c r="C241" i="5"/>
  <c r="D290" i="4"/>
  <c r="E290" i="4"/>
  <c r="F290" i="4"/>
  <c r="L241" i="5"/>
  <c r="N241" i="5"/>
  <c r="O241" i="5"/>
  <c r="L290" i="4"/>
  <c r="M290" i="4"/>
  <c r="N267" i="4"/>
  <c r="T241" i="5"/>
  <c r="O290" i="4"/>
  <c r="O267" i="4"/>
  <c r="U241" i="5"/>
  <c r="P290" i="4"/>
  <c r="P267" i="4"/>
  <c r="W241" i="5"/>
  <c r="Q290" i="4"/>
  <c r="Q267" i="4"/>
  <c r="X241" i="5"/>
  <c r="Z241" i="5"/>
  <c r="S290" i="4"/>
  <c r="S267" i="4"/>
  <c r="AA241" i="5"/>
  <c r="AJ290" i="4"/>
  <c r="T290" i="4" a="1"/>
  <c r="T290" i="4"/>
  <c r="AJ267" i="4"/>
  <c r="T267" i="4" a="1"/>
  <c r="T267" i="4"/>
  <c r="AC241" i="5"/>
  <c r="U290" i="4" a="1"/>
  <c r="U290" i="4"/>
  <c r="U267" i="4" a="1"/>
  <c r="U267" i="4"/>
  <c r="AD241" i="5"/>
  <c r="AF241" i="5"/>
  <c r="AG241" i="5"/>
  <c r="X290" i="4"/>
  <c r="X267" i="4"/>
  <c r="AI241" i="5"/>
  <c r="Y290" i="4"/>
  <c r="Y267" i="4"/>
  <c r="AJ241" i="5"/>
  <c r="Z290" i="4"/>
  <c r="Z267" i="4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I267" i="4"/>
  <c r="J267" i="4"/>
  <c r="R267" i="4"/>
  <c r="AA267" i="4"/>
  <c r="AB267" i="4"/>
  <c r="AC267" i="4"/>
  <c r="AD267" i="4"/>
  <c r="AE267" i="4"/>
  <c r="AF267" i="4"/>
  <c r="AH267" i="4"/>
  <c r="AI267" i="4"/>
  <c r="AK267" i="4"/>
  <c r="AL267" i="4"/>
  <c r="AM267" i="4"/>
  <c r="AA75" i="2"/>
  <c r="AB75" i="2"/>
  <c r="B387" i="4"/>
  <c r="D387" i="4"/>
  <c r="E386" i="5"/>
  <c r="AC75" i="2"/>
  <c r="AD75" i="2"/>
  <c r="AE75" i="2"/>
  <c r="I387" i="4"/>
  <c r="L386" i="5"/>
  <c r="H387" i="4"/>
  <c r="K386" i="5"/>
  <c r="AF75" i="2"/>
  <c r="AG75" i="2"/>
  <c r="AH75" i="2"/>
  <c r="AI75" i="2"/>
  <c r="AJ75" i="2"/>
  <c r="K387" i="4"/>
  <c r="O386" i="5"/>
  <c r="J387" i="4"/>
  <c r="N386" i="5"/>
  <c r="AK75" i="2"/>
  <c r="M387" i="4"/>
  <c r="R386" i="5"/>
  <c r="L387" i="4"/>
  <c r="Q386" i="5"/>
  <c r="AL75" i="2"/>
  <c r="AM75" i="2"/>
  <c r="D336" i="9"/>
  <c r="E336" i="9"/>
  <c r="F336" i="9"/>
  <c r="G336" i="9"/>
  <c r="H336" i="9"/>
  <c r="C415" i="7"/>
  <c r="D415" i="7"/>
  <c r="E415" i="7"/>
  <c r="AZ426" i="1"/>
  <c r="BA426" i="1"/>
  <c r="BB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BC426" i="1"/>
  <c r="CT426" i="1"/>
  <c r="AZ427" i="1"/>
  <c r="BA427" i="1"/>
  <c r="BB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BC427" i="1"/>
  <c r="CT427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B386" i="5"/>
  <c r="B386" i="4"/>
  <c r="C386" i="4"/>
  <c r="C387" i="4"/>
  <c r="C386" i="5"/>
  <c r="D386" i="4"/>
  <c r="F386" i="5"/>
  <c r="H386" i="5"/>
  <c r="I386" i="5"/>
  <c r="H386" i="4"/>
  <c r="I386" i="4"/>
  <c r="J386" i="4"/>
  <c r="K386" i="4"/>
  <c r="L386" i="4"/>
  <c r="M386" i="4"/>
  <c r="N386" i="4"/>
  <c r="N387" i="4"/>
  <c r="T386" i="5"/>
  <c r="O386" i="4"/>
  <c r="O387" i="4"/>
  <c r="U386" i="5"/>
  <c r="P386" i="4"/>
  <c r="P387" i="4"/>
  <c r="W386" i="5"/>
  <c r="Q386" i="4"/>
  <c r="Q387" i="4"/>
  <c r="X386" i="5"/>
  <c r="Z386" i="5"/>
  <c r="S386" i="4"/>
  <c r="S387" i="4"/>
  <c r="AA386" i="5"/>
  <c r="T386" i="4"/>
  <c r="T387" i="4"/>
  <c r="AC386" i="5"/>
  <c r="U386" i="4"/>
  <c r="U387" i="4"/>
  <c r="AD386" i="5"/>
  <c r="V386" i="4"/>
  <c r="V387" i="4"/>
  <c r="AF386" i="5"/>
  <c r="W386" i="4"/>
  <c r="W387" i="4"/>
  <c r="AG386" i="5"/>
  <c r="X386" i="4"/>
  <c r="X387" i="4"/>
  <c r="AI386" i="5"/>
  <c r="Y386" i="4"/>
  <c r="Y387" i="4"/>
  <c r="AJ386" i="5"/>
  <c r="Z386" i="4"/>
  <c r="Z387" i="4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E387" i="4"/>
  <c r="F387" i="4"/>
  <c r="R387" i="4"/>
  <c r="AA387" i="4"/>
  <c r="AB387" i="4"/>
  <c r="AC387" i="4"/>
  <c r="AD387" i="4"/>
  <c r="AE387" i="4"/>
  <c r="AF387" i="4"/>
  <c r="AH387" i="4"/>
  <c r="AI387" i="4"/>
  <c r="AJ387" i="4"/>
  <c r="AK387" i="4"/>
  <c r="AL387" i="4"/>
  <c r="AM387" i="4"/>
  <c r="AA74" i="2"/>
  <c r="AB74" i="2"/>
  <c r="D272" i="4"/>
  <c r="E261" i="5"/>
  <c r="AC74" i="2"/>
  <c r="AD74" i="2"/>
  <c r="AE74" i="2"/>
  <c r="K261" i="5"/>
  <c r="AF74" i="2"/>
  <c r="AG74" i="2"/>
  <c r="AH74" i="2"/>
  <c r="AI74" i="2"/>
  <c r="AJ74" i="2"/>
  <c r="AK74" i="2"/>
  <c r="M272" i="4"/>
  <c r="R261" i="5"/>
  <c r="L272" i="4"/>
  <c r="Q261" i="5"/>
  <c r="AL74" i="2"/>
  <c r="AM74" i="2"/>
  <c r="A7" i="14"/>
  <c r="B7" i="14"/>
  <c r="C7" i="14"/>
  <c r="E7" i="14"/>
  <c r="F7" i="14"/>
  <c r="G7" i="14"/>
  <c r="H7" i="14"/>
  <c r="D409" i="9"/>
  <c r="E409" i="9"/>
  <c r="F409" i="9"/>
  <c r="G409" i="9"/>
  <c r="H409" i="9"/>
  <c r="C414" i="7"/>
  <c r="D414" i="7"/>
  <c r="E414" i="7"/>
  <c r="AZ533" i="1"/>
  <c r="BA533" i="1"/>
  <c r="BB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BC533" i="1"/>
  <c r="CT533" i="1"/>
  <c r="AZ534" i="1"/>
  <c r="BA534" i="1"/>
  <c r="BB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BC534" i="1"/>
  <c r="CT534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A73" i="2"/>
  <c r="AB73" i="2"/>
  <c r="B229" i="4"/>
  <c r="D229" i="4"/>
  <c r="E197" i="5"/>
  <c r="AC73" i="2"/>
  <c r="I197" i="5"/>
  <c r="AD73" i="2"/>
  <c r="AE73" i="2"/>
  <c r="H229" i="4"/>
  <c r="K197" i="5"/>
  <c r="AF73" i="2"/>
  <c r="AG73" i="2"/>
  <c r="AH73" i="2"/>
  <c r="AI73" i="2"/>
  <c r="AJ73" i="2"/>
  <c r="AK73" i="2"/>
  <c r="M229" i="4"/>
  <c r="R197" i="5"/>
  <c r="L229" i="4"/>
  <c r="Q197" i="5"/>
  <c r="AL73" i="2"/>
  <c r="AM73" i="2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359" i="1"/>
  <c r="BA359" i="1"/>
  <c r="BB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BC359" i="1"/>
  <c r="CT359" i="1"/>
  <c r="AZ75" i="1"/>
  <c r="BA75" i="1"/>
  <c r="BB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BC75" i="1"/>
  <c r="CT75" i="1"/>
  <c r="AZ358" i="1"/>
  <c r="BA358" i="1"/>
  <c r="BB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BC358" i="1"/>
  <c r="CT358" i="1"/>
  <c r="AZ357" i="1"/>
  <c r="BA357" i="1"/>
  <c r="BB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BC357" i="1"/>
  <c r="CT357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I198" i="5"/>
  <c r="I199" i="5"/>
  <c r="AZ356" i="1"/>
  <c r="BA356" i="1"/>
  <c r="BB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BC356" i="1"/>
  <c r="CT356" i="1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A72" i="2"/>
  <c r="AB72" i="2"/>
  <c r="B171" i="4"/>
  <c r="D171" i="4"/>
  <c r="E192" i="5"/>
  <c r="AC72" i="2"/>
  <c r="AD72" i="2"/>
  <c r="AE72" i="2"/>
  <c r="H171" i="4"/>
  <c r="K192" i="5"/>
  <c r="AF72" i="2"/>
  <c r="AG72" i="2"/>
  <c r="AH72" i="2"/>
  <c r="AI72" i="2"/>
  <c r="AJ72" i="2"/>
  <c r="AK72" i="2"/>
  <c r="M171" i="4"/>
  <c r="R192" i="5"/>
  <c r="L171" i="4"/>
  <c r="Q192" i="5"/>
  <c r="AL72" i="2"/>
  <c r="AM72" i="2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T303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532" i="1"/>
  <c r="BA532" i="1"/>
  <c r="BB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BC532" i="1"/>
  <c r="CT532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493" i="1"/>
  <c r="BA493" i="1"/>
  <c r="BB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BC493" i="1"/>
  <c r="CT493" i="1"/>
  <c r="AZ492" i="1"/>
  <c r="BA492" i="1"/>
  <c r="BB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BC492" i="1"/>
  <c r="CT492" i="1"/>
  <c r="AZ491" i="1"/>
  <c r="BA491" i="1"/>
  <c r="BB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BC491" i="1"/>
  <c r="CT491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A71" i="2"/>
  <c r="AB71" i="2"/>
  <c r="B170" i="4"/>
  <c r="D170" i="4"/>
  <c r="E191" i="5"/>
  <c r="AC71" i="2"/>
  <c r="AD71" i="2"/>
  <c r="AE71" i="2"/>
  <c r="H170" i="4"/>
  <c r="K191" i="5"/>
  <c r="AF71" i="2"/>
  <c r="AG71" i="2"/>
  <c r="AH71" i="2"/>
  <c r="AI71" i="2"/>
  <c r="AJ71" i="2"/>
  <c r="AK71" i="2"/>
  <c r="M170" i="4"/>
  <c r="R191" i="5"/>
  <c r="L170" i="4"/>
  <c r="Q191" i="5"/>
  <c r="AL71" i="2"/>
  <c r="AM71" i="2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BC284" i="1"/>
  <c r="AZ284" i="1"/>
  <c r="BA284" i="1"/>
  <c r="BB284" i="1"/>
  <c r="S170" i="4"/>
  <c r="AA70" i="2"/>
  <c r="AB70" i="2"/>
  <c r="B150" i="4"/>
  <c r="D150" i="4"/>
  <c r="E43" i="5"/>
  <c r="AC70" i="2"/>
  <c r="AD70" i="2"/>
  <c r="AE70" i="2"/>
  <c r="H150" i="4"/>
  <c r="K43" i="5"/>
  <c r="AF70" i="2"/>
  <c r="AG70" i="2"/>
  <c r="AH70" i="2"/>
  <c r="AI70" i="2"/>
  <c r="AJ70" i="2"/>
  <c r="AK70" i="2"/>
  <c r="M150" i="4"/>
  <c r="R43" i="5"/>
  <c r="L150" i="4"/>
  <c r="Q43" i="5"/>
  <c r="AL70" i="2"/>
  <c r="AM70" i="2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283" i="1"/>
  <c r="BA283" i="1"/>
  <c r="BB283" i="1"/>
  <c r="CT283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A69" i="2"/>
  <c r="AB69" i="2"/>
  <c r="D68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68" i="4"/>
  <c r="Q91" i="5"/>
  <c r="AL69" i="2"/>
  <c r="AM69" i="2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W68" i="4"/>
  <c r="AA68" i="2"/>
  <c r="AB68" i="2"/>
  <c r="B375" i="4"/>
  <c r="D375" i="4"/>
  <c r="E379" i="5"/>
  <c r="AC68" i="2"/>
  <c r="AD68" i="2"/>
  <c r="AE68" i="2"/>
  <c r="I375" i="4"/>
  <c r="L379" i="5"/>
  <c r="H375" i="4"/>
  <c r="K379" i="5"/>
  <c r="AF68" i="2"/>
  <c r="AG68" i="2"/>
  <c r="AH68" i="2"/>
  <c r="AI68" i="2"/>
  <c r="AJ68" i="2"/>
  <c r="K375" i="4"/>
  <c r="O379" i="5"/>
  <c r="J375" i="4"/>
  <c r="N379" i="5"/>
  <c r="AK68" i="2"/>
  <c r="M375" i="4"/>
  <c r="R379" i="5"/>
  <c r="L375" i="4"/>
  <c r="Q379" i="5"/>
  <c r="R91" i="5"/>
  <c r="AL68" i="2"/>
  <c r="AM68" i="2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BC222" i="1"/>
  <c r="CT222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V375" i="4"/>
  <c r="AA67" i="2"/>
  <c r="AB67" i="2"/>
  <c r="B291" i="4"/>
  <c r="E291" i="4"/>
  <c r="F242" i="5"/>
  <c r="D291" i="4"/>
  <c r="E242" i="5"/>
  <c r="AC67" i="2"/>
  <c r="I242" i="5"/>
  <c r="F291" i="4"/>
  <c r="H242" i="5"/>
  <c r="AD67" i="2"/>
  <c r="AE67" i="2"/>
  <c r="K242" i="5"/>
  <c r="AF67" i="2"/>
  <c r="AG67" i="2"/>
  <c r="AH67" i="2"/>
  <c r="AI67" i="2"/>
  <c r="AJ67" i="2"/>
  <c r="AK67" i="2"/>
  <c r="M291" i="4"/>
  <c r="R242" i="5"/>
  <c r="L291" i="4"/>
  <c r="Q242" i="5"/>
  <c r="AL67" i="2"/>
  <c r="AM67" i="2"/>
  <c r="AZ518" i="1"/>
  <c r="BA518" i="1"/>
  <c r="BB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BC518" i="1"/>
  <c r="CT518" i="1"/>
  <c r="AZ519" i="1"/>
  <c r="BA519" i="1"/>
  <c r="BB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BC519" i="1"/>
  <c r="CT519" i="1"/>
  <c r="AZ517" i="1"/>
  <c r="BA517" i="1"/>
  <c r="BB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BC517" i="1"/>
  <c r="CT517" i="1"/>
  <c r="AZ516" i="1"/>
  <c r="BA516" i="1"/>
  <c r="BB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BC516" i="1"/>
  <c r="CT516" i="1"/>
  <c r="AZ441" i="1"/>
  <c r="BA441" i="1"/>
  <c r="BB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BC441" i="1"/>
  <c r="CT441" i="1"/>
  <c r="B220" i="4"/>
  <c r="N220" i="4"/>
  <c r="B221" i="4"/>
  <c r="N221" i="4"/>
  <c r="N227" i="5"/>
  <c r="L227" i="5"/>
  <c r="B182" i="4"/>
  <c r="J182" i="4"/>
  <c r="B124" i="4"/>
  <c r="W124" i="4"/>
  <c r="B126" i="4"/>
  <c r="W126" i="4"/>
  <c r="B127" i="4"/>
  <c r="W127" i="4"/>
  <c r="B130" i="4"/>
  <c r="W130" i="4"/>
  <c r="W132" i="4"/>
  <c r="B133" i="4"/>
  <c r="W133" i="4"/>
  <c r="B135" i="4"/>
  <c r="W135" i="4"/>
  <c r="B136" i="4"/>
  <c r="W136" i="4"/>
  <c r="B137" i="4"/>
  <c r="W137" i="4"/>
  <c r="B138" i="4"/>
  <c r="W138" i="4"/>
  <c r="B139" i="4"/>
  <c r="W139" i="4"/>
  <c r="B140" i="4"/>
  <c r="W140" i="4"/>
  <c r="B142" i="4"/>
  <c r="W142" i="4"/>
  <c r="B145" i="4"/>
  <c r="W145" i="4"/>
  <c r="B146" i="4"/>
  <c r="W146" i="4"/>
  <c r="B147" i="4"/>
  <c r="W147" i="4"/>
  <c r="B148" i="4"/>
  <c r="W148" i="4"/>
  <c r="B149" i="4"/>
  <c r="W149" i="4"/>
  <c r="B141" i="4"/>
  <c r="W141" i="4"/>
  <c r="B143" i="4"/>
  <c r="W143" i="4"/>
  <c r="B144" i="4"/>
  <c r="W144" i="4"/>
  <c r="B154" i="4"/>
  <c r="W154" i="4"/>
  <c r="B155" i="4"/>
  <c r="W155" i="4"/>
  <c r="B157" i="4"/>
  <c r="W157" i="4"/>
  <c r="B156" i="4"/>
  <c r="W156" i="4"/>
  <c r="B158" i="4"/>
  <c r="W158" i="4"/>
  <c r="B159" i="4"/>
  <c r="W159" i="4"/>
  <c r="B160" i="4"/>
  <c r="W160" i="4"/>
  <c r="B161" i="4"/>
  <c r="W161" i="4"/>
  <c r="B162" i="4"/>
  <c r="W162" i="4"/>
  <c r="B163" i="4"/>
  <c r="W163" i="4"/>
  <c r="B164" i="4"/>
  <c r="W164" i="4"/>
  <c r="B169" i="4"/>
  <c r="W169" i="4"/>
  <c r="W170" i="4"/>
  <c r="W171" i="4"/>
  <c r="B172" i="4"/>
  <c r="W172" i="4"/>
  <c r="B174" i="4"/>
  <c r="W174" i="4"/>
  <c r="B175" i="4"/>
  <c r="W175" i="4"/>
  <c r="B177" i="4"/>
  <c r="W177" i="4"/>
  <c r="B178" i="4"/>
  <c r="W178" i="4"/>
  <c r="B179" i="4"/>
  <c r="W179" i="4"/>
  <c r="B183" i="4"/>
  <c r="W183" i="4"/>
  <c r="B184" i="4"/>
  <c r="W184" i="4"/>
  <c r="B186" i="4"/>
  <c r="W186" i="4"/>
  <c r="B187" i="4"/>
  <c r="W187" i="4"/>
  <c r="B188" i="4"/>
  <c r="W188" i="4"/>
  <c r="B189" i="4"/>
  <c r="W189" i="4"/>
  <c r="B176" i="4"/>
  <c r="W176" i="4"/>
  <c r="B180" i="4"/>
  <c r="W180" i="4"/>
  <c r="B181" i="4"/>
  <c r="W181" i="4"/>
  <c r="W182" i="4"/>
  <c r="B185" i="4"/>
  <c r="W185" i="4"/>
  <c r="B173" i="4"/>
  <c r="W173" i="4"/>
  <c r="S173" i="4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438" i="1"/>
  <c r="BA438" i="1"/>
  <c r="BB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BC438" i="1"/>
  <c r="CT438" i="1"/>
  <c r="AA66" i="2"/>
  <c r="AB66" i="2"/>
  <c r="E185" i="4"/>
  <c r="F227" i="5"/>
  <c r="D185" i="4"/>
  <c r="E227" i="5"/>
  <c r="AC66" i="2"/>
  <c r="I227" i="5"/>
  <c r="F185" i="4"/>
  <c r="H227" i="5"/>
  <c r="AD66" i="2"/>
  <c r="AE66" i="2"/>
  <c r="I185" i="4"/>
  <c r="H185" i="4"/>
  <c r="K227" i="5"/>
  <c r="L242" i="5"/>
  <c r="AF66" i="2"/>
  <c r="AG66" i="2"/>
  <c r="AH66" i="2"/>
  <c r="AI66" i="2"/>
  <c r="AJ66" i="2"/>
  <c r="O227" i="5"/>
  <c r="J185" i="4"/>
  <c r="AK66" i="2"/>
  <c r="M185" i="4"/>
  <c r="R227" i="5"/>
  <c r="L185" i="4"/>
  <c r="Q227" i="5"/>
  <c r="AL66" i="2"/>
  <c r="AM66" i="2"/>
  <c r="AZ436" i="1"/>
  <c r="BA436" i="1"/>
  <c r="BB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BC436" i="1"/>
  <c r="CT436" i="1"/>
  <c r="AZ437" i="1"/>
  <c r="BA437" i="1"/>
  <c r="BB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BC437" i="1"/>
  <c r="CT437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A64" i="2"/>
  <c r="AB64" i="2"/>
  <c r="B298" i="4"/>
  <c r="E298" i="4"/>
  <c r="F226" i="5"/>
  <c r="D298" i="4"/>
  <c r="E226" i="5"/>
  <c r="AC64" i="2"/>
  <c r="I226" i="5"/>
  <c r="F298" i="4"/>
  <c r="H226" i="5"/>
  <c r="AD64" i="2"/>
  <c r="AE64" i="2"/>
  <c r="H298" i="4"/>
  <c r="K226" i="5"/>
  <c r="L226" i="5"/>
  <c r="AF64" i="2"/>
  <c r="AG64" i="2"/>
  <c r="AH64" i="2"/>
  <c r="AI64" i="2"/>
  <c r="AJ64" i="2"/>
  <c r="N226" i="5"/>
  <c r="O226" i="5"/>
  <c r="AK64" i="2"/>
  <c r="M298" i="4"/>
  <c r="R226" i="5"/>
  <c r="L298" i="4"/>
  <c r="Q226" i="5"/>
  <c r="AL64" i="2"/>
  <c r="AM64" i="2"/>
  <c r="AG172" i="5"/>
  <c r="AF172" i="5"/>
  <c r="C172" i="5"/>
  <c r="D295" i="4"/>
  <c r="E172" i="5"/>
  <c r="K172" i="5"/>
  <c r="L295" i="4"/>
  <c r="Q172" i="5"/>
  <c r="M295" i="4"/>
  <c r="R172" i="5"/>
  <c r="T172" i="5"/>
  <c r="U172" i="5"/>
  <c r="P295" i="4"/>
  <c r="W172" i="5"/>
  <c r="Q295" i="4"/>
  <c r="X172" i="5"/>
  <c r="AA172" i="5"/>
  <c r="AJ295" i="4"/>
  <c r="T295" i="4" a="1"/>
  <c r="T295" i="4"/>
  <c r="AC172" i="5"/>
  <c r="U295" i="4" a="1"/>
  <c r="U295" i="4"/>
  <c r="AD172" i="5"/>
  <c r="X295" i="4"/>
  <c r="AI172" i="5"/>
  <c r="Y295" i="4"/>
  <c r="AJ172" i="5"/>
  <c r="Z295" i="4"/>
  <c r="AL172" i="5"/>
  <c r="AN172" i="5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D78" i="5"/>
  <c r="AJ191" i="4"/>
  <c r="T191" i="4" a="1"/>
  <c r="T191" i="4"/>
  <c r="AC78" i="5"/>
  <c r="AJ246" i="4"/>
  <c r="U246" i="4" a="1"/>
  <c r="U246" i="4"/>
  <c r="AD85" i="5"/>
  <c r="T246" i="4" a="1"/>
  <c r="T246" i="4"/>
  <c r="AC85" i="5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412" i="1"/>
  <c r="BA412" i="1"/>
  <c r="BB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BC412" i="1"/>
  <c r="CT412" i="1"/>
  <c r="AZ411" i="1"/>
  <c r="BA411" i="1"/>
  <c r="BB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BC411" i="1"/>
  <c r="CT411" i="1"/>
  <c r="AZ413" i="1"/>
  <c r="BA413" i="1"/>
  <c r="BB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BC413" i="1"/>
  <c r="CT413" i="1"/>
  <c r="AZ416" i="1"/>
  <c r="BA416" i="1"/>
  <c r="BB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BC416" i="1"/>
  <c r="CT416" i="1"/>
  <c r="AA65" i="2"/>
  <c r="AB65" i="2"/>
  <c r="D173" i="4"/>
  <c r="E282" i="5"/>
  <c r="AC65" i="2"/>
  <c r="AD65" i="2"/>
  <c r="AE65" i="2"/>
  <c r="H173" i="4"/>
  <c r="K282" i="5"/>
  <c r="AF65" i="2"/>
  <c r="AG65" i="2"/>
  <c r="AH65" i="2"/>
  <c r="AI65" i="2"/>
  <c r="AJ65" i="2"/>
  <c r="AK65" i="2"/>
  <c r="M173" i="4"/>
  <c r="R282" i="5"/>
  <c r="L173" i="4"/>
  <c r="Q282" i="5"/>
  <c r="AL65" i="2"/>
  <c r="AM65" i="2"/>
  <c r="AZ415" i="1"/>
  <c r="BA415" i="1"/>
  <c r="BB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BC415" i="1"/>
  <c r="CT415" i="1"/>
  <c r="AZ410" i="1"/>
  <c r="BA410" i="1"/>
  <c r="BB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BC410" i="1"/>
  <c r="CT410" i="1"/>
  <c r="AA63" i="2"/>
  <c r="AB63" i="2"/>
  <c r="D319" i="4"/>
  <c r="E315" i="5"/>
  <c r="AC63" i="2"/>
  <c r="AD63" i="2"/>
  <c r="AE63" i="2"/>
  <c r="I319" i="4"/>
  <c r="L315" i="5"/>
  <c r="K315" i="5"/>
  <c r="AF63" i="2"/>
  <c r="AG63" i="2"/>
  <c r="AH63" i="2"/>
  <c r="AI63" i="2"/>
  <c r="AJ63" i="2"/>
  <c r="O315" i="5"/>
  <c r="J319" i="4"/>
  <c r="N315" i="5"/>
  <c r="AK63" i="2"/>
  <c r="M319" i="4"/>
  <c r="R315" i="5"/>
  <c r="L319" i="4"/>
  <c r="Q315" i="5"/>
  <c r="AL63" i="2"/>
  <c r="AM63" i="2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Z92" i="1"/>
  <c r="BA92" i="1"/>
  <c r="BB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BC92" i="1"/>
  <c r="CT92" i="1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BC91" i="1"/>
  <c r="CT91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A62" i="2"/>
  <c r="AB62" i="2"/>
  <c r="B203" i="4"/>
  <c r="E203" i="4"/>
  <c r="F223" i="5"/>
  <c r="D203" i="4"/>
  <c r="E223" i="5"/>
  <c r="AC62" i="2"/>
  <c r="I223" i="5"/>
  <c r="F203" i="4"/>
  <c r="H223" i="5"/>
  <c r="AD62" i="2"/>
  <c r="AE62" i="2"/>
  <c r="H203" i="4"/>
  <c r="K223" i="5"/>
  <c r="AF62" i="2"/>
  <c r="AG62" i="2"/>
  <c r="AH62" i="2"/>
  <c r="AI62" i="2"/>
  <c r="AJ62" i="2"/>
  <c r="AK62" i="2"/>
  <c r="M203" i="4"/>
  <c r="R223" i="5"/>
  <c r="L203" i="4"/>
  <c r="Q223" i="5"/>
  <c r="AL62" i="2"/>
  <c r="AM62" i="2"/>
  <c r="AZ490" i="1"/>
  <c r="BA490" i="1"/>
  <c r="BB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BC490" i="1"/>
  <c r="CT490" i="1"/>
  <c r="AZ489" i="1"/>
  <c r="BA489" i="1"/>
  <c r="BB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BC489" i="1"/>
  <c r="CT489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355" i="1"/>
  <c r="BA355" i="1"/>
  <c r="BB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BC355" i="1"/>
  <c r="CT355" i="1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BC414" i="1"/>
  <c r="CT414" i="1"/>
  <c r="X203" i="4"/>
  <c r="AA61" i="2"/>
  <c r="AB61" i="2"/>
  <c r="D310" i="4"/>
  <c r="E305" i="5"/>
  <c r="AC61" i="2"/>
  <c r="AD61" i="2"/>
  <c r="AE61" i="2"/>
  <c r="I310" i="4"/>
  <c r="L305" i="5"/>
  <c r="K305" i="5"/>
  <c r="L223" i="5"/>
  <c r="AF61" i="2"/>
  <c r="AG61" i="2"/>
  <c r="AH61" i="2"/>
  <c r="AI61" i="2"/>
  <c r="AJ61" i="2"/>
  <c r="O305" i="5"/>
  <c r="J310" i="4"/>
  <c r="N305" i="5"/>
  <c r="N223" i="5"/>
  <c r="O223" i="5"/>
  <c r="AK61" i="2"/>
  <c r="M310" i="4"/>
  <c r="R305" i="5"/>
  <c r="L310" i="4"/>
  <c r="Q305" i="5"/>
  <c r="AL61" i="2"/>
  <c r="AM61" i="2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BC409" i="1"/>
  <c r="CT409" i="1"/>
  <c r="AZ408" i="1"/>
  <c r="BA408" i="1"/>
  <c r="BB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BC408" i="1"/>
  <c r="CT408" i="1"/>
  <c r="AA60" i="2"/>
  <c r="AB60" i="2"/>
  <c r="E300" i="5"/>
  <c r="AC60" i="2"/>
  <c r="AD60" i="2"/>
  <c r="AE60" i="2"/>
  <c r="L300" i="5"/>
  <c r="K300" i="5"/>
  <c r="AF60" i="2"/>
  <c r="AG60" i="2"/>
  <c r="AH60" i="2"/>
  <c r="AI60" i="2"/>
  <c r="AJ60" i="2"/>
  <c r="O300" i="5"/>
  <c r="N300" i="5"/>
  <c r="AK60" i="2"/>
  <c r="R300" i="5"/>
  <c r="Q300" i="5"/>
  <c r="AL60" i="2"/>
  <c r="AM60" i="2"/>
  <c r="AZ443" i="1"/>
  <c r="BA443" i="1"/>
  <c r="BB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BC443" i="1"/>
  <c r="CT443" i="1"/>
  <c r="AZ442" i="1"/>
  <c r="BA442" i="1"/>
  <c r="BB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BC442" i="1"/>
  <c r="CT442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10" i="9"/>
  <c r="H411" i="9"/>
  <c r="H412" i="9"/>
  <c r="H413" i="9"/>
  <c r="H414" i="9"/>
  <c r="H2" i="9"/>
  <c r="AM38" i="4"/>
  <c r="A6" i="14"/>
  <c r="H6" i="14"/>
  <c r="G6" i="14"/>
  <c r="F6" i="14"/>
  <c r="AD385" i="5"/>
  <c r="AC385" i="5"/>
  <c r="E6" i="14"/>
  <c r="C6" i="14"/>
  <c r="B6" i="14"/>
  <c r="A8" i="13"/>
  <c r="H8" i="13"/>
  <c r="G8" i="13"/>
  <c r="F8" i="13"/>
  <c r="U314" i="4"/>
  <c r="AD308" i="5"/>
  <c r="T314" i="4"/>
  <c r="AC308" i="5"/>
  <c r="E8" i="13"/>
  <c r="C8" i="13"/>
  <c r="B8" i="13"/>
  <c r="A7" i="13"/>
  <c r="H7" i="13"/>
  <c r="G7" i="13"/>
  <c r="F7" i="13"/>
  <c r="AD313" i="5"/>
  <c r="T318" i="4"/>
  <c r="AC313" i="5"/>
  <c r="E7" i="13"/>
  <c r="C7" i="13"/>
  <c r="B7" i="13"/>
  <c r="A6" i="13"/>
  <c r="H6" i="13"/>
  <c r="G6" i="13"/>
  <c r="F6" i="13"/>
  <c r="U316" i="4"/>
  <c r="AD311" i="5"/>
  <c r="T316" i="4"/>
  <c r="AC311" i="5"/>
  <c r="E6" i="13"/>
  <c r="C6" i="13"/>
  <c r="B6" i="13"/>
  <c r="B300" i="6"/>
  <c r="C300" i="6"/>
  <c r="D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F300" i="5"/>
  <c r="B300" i="5"/>
  <c r="B292" i="4"/>
  <c r="C292" i="4"/>
  <c r="C300" i="5"/>
  <c r="D292" i="4"/>
  <c r="H300" i="5"/>
  <c r="I300" i="5"/>
  <c r="I292" i="4"/>
  <c r="J292" i="4"/>
  <c r="L292" i="4"/>
  <c r="M292" i="4"/>
  <c r="N292" i="4"/>
  <c r="T300" i="5"/>
  <c r="O292" i="4"/>
  <c r="U300" i="5"/>
  <c r="P292" i="4"/>
  <c r="W300" i="5"/>
  <c r="Q292" i="4"/>
  <c r="X300" i="5"/>
  <c r="Z300" i="5"/>
  <c r="S292" i="4"/>
  <c r="AA300" i="5"/>
  <c r="AJ292" i="4"/>
  <c r="T292" i="4" a="1"/>
  <c r="T292" i="4"/>
  <c r="AC300" i="5"/>
  <c r="AD300" i="5"/>
  <c r="AF300" i="5"/>
  <c r="AG300" i="5"/>
  <c r="X292" i="4"/>
  <c r="AI300" i="5"/>
  <c r="Y292" i="4"/>
  <c r="AJ300" i="5"/>
  <c r="Z292" i="4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E287" i="4"/>
  <c r="F287" i="4"/>
  <c r="R287" i="4"/>
  <c r="AA287" i="4"/>
  <c r="AB287" i="4"/>
  <c r="AC287" i="4"/>
  <c r="AD287" i="4"/>
  <c r="AE287" i="4"/>
  <c r="AF287" i="4"/>
  <c r="AH287" i="4"/>
  <c r="AI287" i="4"/>
  <c r="AK287" i="4"/>
  <c r="AL287" i="4"/>
  <c r="AM287" i="4"/>
  <c r="AA59" i="2"/>
  <c r="AB59" i="2"/>
  <c r="B235" i="4"/>
  <c r="E235" i="4"/>
  <c r="F231" i="5"/>
  <c r="D235" i="4"/>
  <c r="E231" i="5"/>
  <c r="AC59" i="2"/>
  <c r="I231" i="5"/>
  <c r="F235" i="4"/>
  <c r="H231" i="5"/>
  <c r="AD59" i="2"/>
  <c r="AE59" i="2"/>
  <c r="H235" i="4"/>
  <c r="K231" i="5"/>
  <c r="AF59" i="2"/>
  <c r="AG59" i="2"/>
  <c r="AH59" i="2"/>
  <c r="AI59" i="2"/>
  <c r="AJ59" i="2"/>
  <c r="AK59" i="2"/>
  <c r="M235" i="4"/>
  <c r="R231" i="5"/>
  <c r="L235" i="4"/>
  <c r="Q231" i="5"/>
  <c r="AL59" i="2"/>
  <c r="AM59" i="2"/>
  <c r="D414" i="9"/>
  <c r="E414" i="9"/>
  <c r="F414" i="9"/>
  <c r="G414" i="9"/>
  <c r="AZ435" i="1"/>
  <c r="BA435" i="1"/>
  <c r="BB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BC435" i="1"/>
  <c r="CT435" i="1"/>
  <c r="AZ434" i="1"/>
  <c r="BA434" i="1"/>
  <c r="BB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BC434" i="1"/>
  <c r="CT434" i="1"/>
  <c r="AZ433" i="1"/>
  <c r="BA433" i="1"/>
  <c r="BB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BC433" i="1"/>
  <c r="CT433" i="1"/>
  <c r="C124" i="7"/>
  <c r="D124" i="7"/>
  <c r="E124" i="7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BC419" i="1"/>
  <c r="CT419" i="1"/>
  <c r="AB29" i="4"/>
  <c r="AB293" i="4"/>
  <c r="AB7" i="4"/>
  <c r="AB8" i="4"/>
  <c r="AB208" i="4"/>
  <c r="AB9" i="4"/>
  <c r="AB134" i="4"/>
  <c r="AB136" i="4"/>
  <c r="AB137" i="4"/>
  <c r="AB282" i="4"/>
  <c r="AB132" i="4"/>
  <c r="AB133" i="4"/>
  <c r="AB257" i="4"/>
  <c r="AB62" i="4"/>
  <c r="AB109" i="4"/>
  <c r="AB124" i="4"/>
  <c r="AB17" i="4"/>
  <c r="AB237" i="4"/>
  <c r="AB270" i="4"/>
  <c r="AB271" i="4"/>
  <c r="AB243" i="4"/>
  <c r="AB245" i="4"/>
  <c r="AB246" i="4"/>
  <c r="AB272" i="4"/>
  <c r="AB248" i="4"/>
  <c r="AB273" i="4"/>
  <c r="AB251" i="4"/>
  <c r="AB274" i="4"/>
  <c r="AB275" i="4"/>
  <c r="AB276" i="4"/>
  <c r="AB277" i="4"/>
  <c r="AB278" i="4"/>
  <c r="AB155" i="4"/>
  <c r="AB5" i="4"/>
  <c r="AB300" i="4"/>
  <c r="AB292" i="4"/>
  <c r="AB268" i="4"/>
  <c r="AB242" i="4"/>
  <c r="AB244" i="4"/>
  <c r="AB247" i="4"/>
  <c r="AB67" i="4"/>
  <c r="AB68" i="4"/>
  <c r="AB207" i="4"/>
  <c r="AB279" i="4"/>
  <c r="AB156" i="4"/>
  <c r="AB194" i="4"/>
  <c r="AB253" i="4"/>
  <c r="AB77" i="4"/>
  <c r="AB217" i="4"/>
  <c r="AB114" i="4"/>
  <c r="AB50" i="4"/>
  <c r="AB89" i="4"/>
  <c r="AB90" i="4"/>
  <c r="AB259" i="4"/>
  <c r="AB286" i="4"/>
  <c r="AB260" i="4"/>
  <c r="AB295" i="4"/>
  <c r="AB296" i="4"/>
  <c r="AB117" i="4"/>
  <c r="AB138" i="4"/>
  <c r="AB139" i="4"/>
  <c r="AB180" i="4"/>
  <c r="AB181" i="4"/>
  <c r="AB141" i="4"/>
  <c r="AB142" i="4"/>
  <c r="AB143" i="4"/>
  <c r="AB144" i="4"/>
  <c r="AB262" i="4"/>
  <c r="AB102" i="4"/>
  <c r="AB266" i="4"/>
  <c r="AB236" i="4"/>
  <c r="AB119" i="4"/>
  <c r="AB120" i="4"/>
  <c r="AB121" i="4"/>
  <c r="AB146" i="4"/>
  <c r="AB122" i="4"/>
  <c r="AB30" i="4"/>
  <c r="AB147" i="4"/>
  <c r="AB148" i="4"/>
  <c r="AB31" i="4"/>
  <c r="AB149" i="4"/>
  <c r="AB290" i="4"/>
  <c r="AB187" i="4"/>
  <c r="AB106" i="4"/>
  <c r="AB107" i="4"/>
  <c r="AB108" i="4"/>
  <c r="AB32" i="4"/>
  <c r="AB61" i="4"/>
  <c r="AB33" i="4"/>
  <c r="AB16" i="4"/>
  <c r="AB269" i="4"/>
  <c r="AB35" i="4"/>
  <c r="AB36" i="4"/>
  <c r="AB37" i="4"/>
  <c r="AB38" i="4"/>
  <c r="AB39" i="4"/>
  <c r="AB40" i="4"/>
  <c r="AB63" i="4"/>
  <c r="AB64" i="4"/>
  <c r="AB65" i="4"/>
  <c r="AB18" i="4"/>
  <c r="AB110" i="4"/>
  <c r="AB111" i="4"/>
  <c r="AB41" i="4"/>
  <c r="AB42" i="4"/>
  <c r="AB43" i="4"/>
  <c r="AB66" i="4"/>
  <c r="AB238" i="4"/>
  <c r="AB239" i="4"/>
  <c r="AB223" i="4"/>
  <c r="AB240" i="4"/>
  <c r="AB241" i="4"/>
  <c r="AB206" i="4"/>
  <c r="AB190" i="4"/>
  <c r="AB191" i="4"/>
  <c r="AB192" i="4"/>
  <c r="AB154" i="4"/>
  <c r="AB250" i="4"/>
  <c r="AB193" i="4"/>
  <c r="AB125" i="4"/>
  <c r="AB44" i="4"/>
  <c r="AB281" i="4"/>
  <c r="AB157" i="4"/>
  <c r="AB19" i="4"/>
  <c r="AB11" i="4"/>
  <c r="AB12" i="4"/>
  <c r="AB214" i="4"/>
  <c r="AB224" i="4"/>
  <c r="AB225" i="4"/>
  <c r="AB126" i="4"/>
  <c r="AB127" i="4"/>
  <c r="AB128" i="4"/>
  <c r="AB158" i="4"/>
  <c r="AB215" i="4"/>
  <c r="AB129" i="4"/>
  <c r="AB112" i="4"/>
  <c r="AB73" i="4"/>
  <c r="AB301" i="4"/>
  <c r="AB131" i="4"/>
  <c r="AB195" i="4"/>
  <c r="AB74" i="4"/>
  <c r="AB252" i="4"/>
  <c r="AB254" i="4"/>
  <c r="AB294" i="4"/>
  <c r="AB196" i="4"/>
  <c r="AB226" i="4"/>
  <c r="AB255" i="4"/>
  <c r="AB78" i="4"/>
  <c r="AB23" i="4"/>
  <c r="AB79" i="4"/>
  <c r="AB283" i="4"/>
  <c r="AB46" i="4"/>
  <c r="AB216" i="4"/>
  <c r="AB81" i="4"/>
  <c r="AB227" i="4"/>
  <c r="AB162" i="4"/>
  <c r="AB256" i="4"/>
  <c r="AB13" i="4"/>
  <c r="AB163" i="4"/>
  <c r="AB24" i="4"/>
  <c r="AB164" i="4"/>
  <c r="AB47" i="4"/>
  <c r="AB48" i="4"/>
  <c r="AB14" i="4"/>
  <c r="AB258" i="4"/>
  <c r="AB197" i="4"/>
  <c r="AB198" i="4"/>
  <c r="AB284" i="4"/>
  <c r="AB285" i="4"/>
  <c r="AB49" i="4"/>
  <c r="AB84" i="4"/>
  <c r="AB85" i="4"/>
  <c r="AB219" i="4"/>
  <c r="AB10" i="4"/>
  <c r="AB115" i="4"/>
  <c r="AB116" i="4"/>
  <c r="AB27" i="4"/>
  <c r="AB28" i="4"/>
  <c r="AB135" i="4"/>
  <c r="AB169" i="4"/>
  <c r="AB170" i="4"/>
  <c r="AB171" i="4"/>
  <c r="AB172" i="4"/>
  <c r="AB173" i="4"/>
  <c r="AB174" i="4"/>
  <c r="AB175" i="4"/>
  <c r="AB199" i="4"/>
  <c r="AB211" i="4"/>
  <c r="AB212" i="4"/>
  <c r="AB140" i="4"/>
  <c r="AB176" i="4"/>
  <c r="AB177" i="4"/>
  <c r="AB178" i="4"/>
  <c r="AB179" i="4"/>
  <c r="AB303" i="4"/>
  <c r="AB200" i="4"/>
  <c r="AB92" i="4"/>
  <c r="AB93" i="4"/>
  <c r="AB94" i="4"/>
  <c r="AB95" i="4"/>
  <c r="AB96" i="4"/>
  <c r="AB97" i="4"/>
  <c r="AB99" i="4"/>
  <c r="AB100" i="4"/>
  <c r="AB220" i="4"/>
  <c r="AB221" i="4"/>
  <c r="AB222" i="4"/>
  <c r="AB232" i="4"/>
  <c r="AB101" i="4"/>
  <c r="AB297" i="4"/>
  <c r="AB233" i="4"/>
  <c r="AB234" i="4"/>
  <c r="AB261" i="4"/>
  <c r="AB145" i="4"/>
  <c r="AB302" i="4"/>
  <c r="AB263" i="4"/>
  <c r="AB264" i="4"/>
  <c r="AB265" i="4"/>
  <c r="AB201" i="4"/>
  <c r="AB182" i="4"/>
  <c r="AB183" i="4"/>
  <c r="AB184" i="4"/>
  <c r="AB203" i="4"/>
  <c r="AB185" i="4"/>
  <c r="AB299" i="4"/>
  <c r="AB235" i="4"/>
  <c r="AB213" i="4"/>
  <c r="AB288" i="4"/>
  <c r="AB289" i="4"/>
  <c r="AB54" i="4"/>
  <c r="AB55" i="4"/>
  <c r="AB56" i="4"/>
  <c r="AB57" i="4"/>
  <c r="AB58" i="4"/>
  <c r="AB59" i="4"/>
  <c r="AB60" i="4"/>
  <c r="AB103" i="4"/>
  <c r="AB188" i="4"/>
  <c r="AB189" i="4"/>
  <c r="AB105" i="4"/>
  <c r="AB150" i="4"/>
  <c r="AB123" i="4"/>
  <c r="AB151" i="4"/>
  <c r="AB34" i="4"/>
  <c r="AB152" i="4"/>
  <c r="AB69" i="4"/>
  <c r="AB70" i="4"/>
  <c r="AB159" i="4"/>
  <c r="AB160" i="4"/>
  <c r="AB75" i="4"/>
  <c r="AB113" i="4"/>
  <c r="AB83" i="4"/>
  <c r="AB26" i="4"/>
  <c r="AB209" i="4"/>
  <c r="AB210" i="4"/>
  <c r="AB98" i="4"/>
  <c r="AB186" i="4"/>
  <c r="AB161" i="4"/>
  <c r="AB45" i="4"/>
  <c r="AB228" i="4"/>
  <c r="AB82" i="4"/>
  <c r="AB229" i="4"/>
  <c r="AB230" i="4"/>
  <c r="AB231" i="4"/>
  <c r="AB204" i="4"/>
  <c r="AB205" i="4"/>
  <c r="AB76" i="4"/>
  <c r="AB6" i="4"/>
  <c r="AB21" i="4"/>
  <c r="AB80" i="4"/>
  <c r="AB218" i="4"/>
  <c r="AB15" i="4"/>
  <c r="AB298" i="4"/>
  <c r="AB118" i="4"/>
  <c r="AB291" i="4"/>
  <c r="AB280" i="4"/>
  <c r="AB22" i="4"/>
  <c r="AB166" i="4"/>
  <c r="AB51" i="4"/>
  <c r="AB153" i="4"/>
  <c r="AB165" i="4"/>
  <c r="AB167" i="4"/>
  <c r="AB168" i="4"/>
  <c r="AB202" i="4"/>
  <c r="AB72" i="4"/>
  <c r="AB86" i="4"/>
  <c r="AB87" i="4"/>
  <c r="AB88" i="4"/>
  <c r="AB91" i="4"/>
  <c r="AB52" i="4"/>
  <c r="AB53" i="4"/>
  <c r="AB104" i="4"/>
  <c r="AB130" i="4"/>
  <c r="AB25" i="4"/>
  <c r="AB20" i="4"/>
  <c r="AB312" i="4"/>
  <c r="AB311" i="4"/>
  <c r="AB309" i="4"/>
  <c r="AB310" i="4"/>
  <c r="AB305" i="4"/>
  <c r="AB306" i="4"/>
  <c r="AB304" i="4"/>
  <c r="AB307" i="4"/>
  <c r="AB308" i="4"/>
  <c r="AB315" i="4"/>
  <c r="AB314" i="4"/>
  <c r="AB316" i="4"/>
  <c r="AB317" i="4"/>
  <c r="AB318" i="4"/>
  <c r="AB313" i="4"/>
  <c r="AB319" i="4"/>
  <c r="AB341" i="4"/>
  <c r="AB342" i="4"/>
  <c r="AB323" i="4"/>
  <c r="AB320" i="4"/>
  <c r="AB324" i="4"/>
  <c r="AB325" i="4"/>
  <c r="AB326" i="4"/>
  <c r="AB352" i="4"/>
  <c r="AB332" i="4"/>
  <c r="AB333" i="4"/>
  <c r="AB334" i="4"/>
  <c r="AB335" i="4"/>
  <c r="AB340" i="4"/>
  <c r="AB337" i="4"/>
  <c r="AB338" i="4"/>
  <c r="AB339" i="4"/>
  <c r="AB348" i="4"/>
  <c r="AB349" i="4"/>
  <c r="AB350" i="4"/>
  <c r="AB347" i="4"/>
  <c r="AB328" i="4"/>
  <c r="AB322" i="4"/>
  <c r="AB329" i="4"/>
  <c r="AB331" i="4"/>
  <c r="AB327" i="4"/>
  <c r="AB336" i="4"/>
  <c r="AB330" i="4"/>
  <c r="AB344" i="4"/>
  <c r="AB343" i="4"/>
  <c r="AB321" i="4"/>
  <c r="AB345" i="4"/>
  <c r="AB346" i="4"/>
  <c r="AB351" i="4"/>
  <c r="AB355" i="4"/>
  <c r="AB366" i="4"/>
  <c r="AB367" i="4"/>
  <c r="AB373" i="4"/>
  <c r="AB368" i="4"/>
  <c r="AB374" i="4"/>
  <c r="AB356" i="4"/>
  <c r="AB353" i="4"/>
  <c r="AB363" i="4"/>
  <c r="AB364" i="4"/>
  <c r="AB369" i="4"/>
  <c r="AB354" i="4"/>
  <c r="AB370" i="4"/>
  <c r="AB371" i="4"/>
  <c r="AB372" i="4"/>
  <c r="AB365" i="4"/>
  <c r="AB357" i="4"/>
  <c r="AB358" i="4"/>
  <c r="AB359" i="4"/>
  <c r="AB360" i="4"/>
  <c r="AB361" i="4"/>
  <c r="AB362" i="4"/>
  <c r="AB376" i="4"/>
  <c r="AB382" i="4"/>
  <c r="AB383" i="4"/>
  <c r="AB384" i="4"/>
  <c r="AB378" i="4"/>
  <c r="AB375" i="4"/>
  <c r="AB381" i="4"/>
  <c r="AB386" i="4"/>
  <c r="AB385" i="4"/>
  <c r="AB379" i="4"/>
  <c r="AB380" i="4"/>
  <c r="AB377" i="4"/>
  <c r="AB389" i="4"/>
  <c r="AB391" i="4"/>
  <c r="AB392" i="4"/>
  <c r="AB390" i="4"/>
  <c r="AB388" i="4"/>
  <c r="AB396" i="4"/>
  <c r="AB401" i="4"/>
  <c r="AB414" i="4"/>
  <c r="AB403" i="4"/>
  <c r="AB404" i="4"/>
  <c r="AB405" i="4"/>
  <c r="AB406" i="4"/>
  <c r="AB409" i="4"/>
  <c r="AB393" i="4"/>
  <c r="AB410" i="4"/>
  <c r="AB411" i="4"/>
  <c r="AB413" i="4"/>
  <c r="AB402" i="4"/>
  <c r="AB394" i="4"/>
  <c r="AB395" i="4"/>
  <c r="AB397" i="4"/>
  <c r="AB398" i="4"/>
  <c r="AB399" i="4"/>
  <c r="AB408" i="4"/>
  <c r="AB400" i="4"/>
  <c r="AB412" i="4"/>
  <c r="AB415" i="4"/>
  <c r="AB416" i="4"/>
  <c r="AB417" i="4"/>
  <c r="AB407" i="4"/>
  <c r="AB249" i="4"/>
  <c r="AA58" i="2"/>
  <c r="AB58" i="2"/>
  <c r="D176" i="4"/>
  <c r="E289" i="5"/>
  <c r="AC58" i="2"/>
  <c r="AD58" i="2"/>
  <c r="AE58" i="2"/>
  <c r="H176" i="4"/>
  <c r="K289" i="5"/>
  <c r="L231" i="5"/>
  <c r="AF58" i="2"/>
  <c r="AG58" i="2"/>
  <c r="AH58" i="2"/>
  <c r="AI58" i="2"/>
  <c r="AJ58" i="2"/>
  <c r="N231" i="5"/>
  <c r="O231" i="5"/>
  <c r="AK58" i="2"/>
  <c r="M176" i="4"/>
  <c r="R289" i="5"/>
  <c r="L176" i="4"/>
  <c r="Q289" i="5"/>
  <c r="AL58" i="2"/>
  <c r="AM58" i="2"/>
  <c r="AZ418" i="1"/>
  <c r="BA418" i="1"/>
  <c r="BB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BC418" i="1"/>
  <c r="CT418" i="1"/>
  <c r="AZ417" i="1"/>
  <c r="BA417" i="1"/>
  <c r="BB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BC417" i="1"/>
  <c r="CT417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30" i="1"/>
  <c r="BA30" i="1"/>
  <c r="BB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BC30" i="1"/>
  <c r="CT30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Z329" i="1"/>
  <c r="BA329" i="1"/>
  <c r="BB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BC329" i="1"/>
  <c r="CT329" i="1"/>
  <c r="AZ328" i="1"/>
  <c r="BA328" i="1"/>
  <c r="BB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BC328" i="1"/>
  <c r="CT328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B387" i="6"/>
  <c r="C387" i="6"/>
  <c r="D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Z537" i="1"/>
  <c r="BA537" i="1"/>
  <c r="BB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BC537" i="1"/>
  <c r="CT537" i="1"/>
  <c r="H387" i="5"/>
  <c r="B385" i="4"/>
  <c r="H385" i="4"/>
  <c r="K387" i="5"/>
  <c r="B387" i="5"/>
  <c r="C385" i="4"/>
  <c r="C387" i="5"/>
  <c r="D385" i="4"/>
  <c r="E387" i="5"/>
  <c r="F387" i="5"/>
  <c r="I387" i="5"/>
  <c r="I385" i="4"/>
  <c r="L387" i="5"/>
  <c r="J385" i="4"/>
  <c r="N387" i="5"/>
  <c r="K385" i="4"/>
  <c r="O387" i="5"/>
  <c r="L385" i="4"/>
  <c r="Q387" i="5"/>
  <c r="M385" i="4"/>
  <c r="R387" i="5"/>
  <c r="N385" i="4"/>
  <c r="T387" i="5"/>
  <c r="O385" i="4"/>
  <c r="U387" i="5"/>
  <c r="P385" i="4"/>
  <c r="W387" i="5"/>
  <c r="Q385" i="4"/>
  <c r="X387" i="5"/>
  <c r="Z387" i="5"/>
  <c r="S385" i="4"/>
  <c r="AA387" i="5"/>
  <c r="T385" i="4"/>
  <c r="AC387" i="5"/>
  <c r="U385" i="4"/>
  <c r="AD387" i="5"/>
  <c r="V385" i="4"/>
  <c r="AF387" i="5"/>
  <c r="W385" i="4"/>
  <c r="AG387" i="5"/>
  <c r="X385" i="4"/>
  <c r="AI387" i="5"/>
  <c r="Y385" i="4"/>
  <c r="AJ387" i="5"/>
  <c r="Z385" i="4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D413" i="9"/>
  <c r="E413" i="9"/>
  <c r="F413" i="9"/>
  <c r="G413" i="9"/>
  <c r="E385" i="4"/>
  <c r="F385" i="4"/>
  <c r="R385" i="4"/>
  <c r="AA385" i="4"/>
  <c r="AC385" i="4"/>
  <c r="AD385" i="4"/>
  <c r="AE385" i="4"/>
  <c r="AF385" i="4"/>
  <c r="AH385" i="4"/>
  <c r="AI385" i="4"/>
  <c r="AJ385" i="4"/>
  <c r="AK385" i="4"/>
  <c r="AL385" i="4"/>
  <c r="AM385" i="4"/>
  <c r="AA53" i="2"/>
  <c r="AB53" i="2"/>
  <c r="E385" i="5"/>
  <c r="AC53" i="2"/>
  <c r="AD53" i="2"/>
  <c r="AE53" i="2"/>
  <c r="L385" i="5"/>
  <c r="K385" i="5"/>
  <c r="AF53" i="2"/>
  <c r="AG53" i="2"/>
  <c r="AH53" i="2"/>
  <c r="AI53" i="2"/>
  <c r="AJ53" i="2"/>
  <c r="O385" i="5"/>
  <c r="N385" i="5"/>
  <c r="AK53" i="2"/>
  <c r="R385" i="5"/>
  <c r="Q385" i="5"/>
  <c r="AL53" i="2"/>
  <c r="AM53" i="2"/>
  <c r="AZ536" i="1"/>
  <c r="BA536" i="1"/>
  <c r="BB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BC536" i="1"/>
  <c r="CT536" i="1"/>
  <c r="AZ535" i="1"/>
  <c r="BA535" i="1"/>
  <c r="BB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BC535" i="1"/>
  <c r="CT535" i="1"/>
  <c r="D44" i="7"/>
  <c r="E44" i="7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A57" i="2"/>
  <c r="AB57" i="2"/>
  <c r="B191" i="4"/>
  <c r="E191" i="4"/>
  <c r="F78" i="5"/>
  <c r="D191" i="4"/>
  <c r="E78" i="5"/>
  <c r="F289" i="5"/>
  <c r="AC57" i="2"/>
  <c r="I78" i="5"/>
  <c r="F191" i="4"/>
  <c r="H78" i="5"/>
  <c r="H289" i="5"/>
  <c r="I289" i="5"/>
  <c r="AD57" i="2"/>
  <c r="AE57" i="2"/>
  <c r="H191" i="4"/>
  <c r="K78" i="5"/>
  <c r="L289" i="5"/>
  <c r="AF57" i="2"/>
  <c r="AG57" i="2"/>
  <c r="AH57" i="2"/>
  <c r="AI57" i="2"/>
  <c r="AJ57" i="2"/>
  <c r="N289" i="5"/>
  <c r="O289" i="5"/>
  <c r="AK57" i="2"/>
  <c r="M191" i="4"/>
  <c r="R78" i="5"/>
  <c r="L191" i="4"/>
  <c r="Q78" i="5"/>
  <c r="AL57" i="2"/>
  <c r="AM57" i="2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AZ352" i="1"/>
  <c r="BA352" i="1"/>
  <c r="BB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BC352" i="1"/>
  <c r="CT352" i="1"/>
  <c r="AZ351" i="1"/>
  <c r="BA351" i="1"/>
  <c r="BB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BC351" i="1"/>
  <c r="CT351" i="1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B266" i="4"/>
  <c r="X266" i="4"/>
  <c r="AL6" i="4"/>
  <c r="AL10" i="4"/>
  <c r="AL7" i="4"/>
  <c r="AL8" i="4"/>
  <c r="AL9" i="4"/>
  <c r="AL12" i="4"/>
  <c r="AL13" i="4"/>
  <c r="AL11" i="4"/>
  <c r="AL15" i="4"/>
  <c r="AL14" i="4"/>
  <c r="AL29" i="4"/>
  <c r="AL26" i="4"/>
  <c r="AL27" i="4"/>
  <c r="AL28" i="4"/>
  <c r="AL19" i="4"/>
  <c r="AL30" i="4"/>
  <c r="AL31" i="4"/>
  <c r="AL17" i="4"/>
  <c r="AL25" i="4"/>
  <c r="AL23" i="4"/>
  <c r="AL24" i="4"/>
  <c r="AL21" i="4"/>
  <c r="AL16" i="4"/>
  <c r="AL22" i="4"/>
  <c r="AL20" i="4"/>
  <c r="AL18" i="4"/>
  <c r="AL52" i="4"/>
  <c r="AL53" i="4"/>
  <c r="AL48" i="4"/>
  <c r="AL50" i="4"/>
  <c r="AL55" i="4"/>
  <c r="AL57" i="4"/>
  <c r="AL51" i="4"/>
  <c r="AL45" i="4"/>
  <c r="AL56" i="4"/>
  <c r="AL54" i="4"/>
  <c r="AL58" i="4"/>
  <c r="AL59" i="4"/>
  <c r="AL60" i="4"/>
  <c r="AL33" i="4"/>
  <c r="AL46" i="4"/>
  <c r="AL47" i="4"/>
  <c r="AL43" i="4"/>
  <c r="AL42" i="4"/>
  <c r="AL34" i="4"/>
  <c r="AL41" i="4"/>
  <c r="AL32" i="4"/>
  <c r="AL35" i="4"/>
  <c r="AL44" i="4"/>
  <c r="AL36" i="4"/>
  <c r="AL39" i="4"/>
  <c r="AL49" i="4"/>
  <c r="AL40" i="4"/>
  <c r="AL37" i="4"/>
  <c r="AL38" i="4"/>
  <c r="AL81" i="4"/>
  <c r="AL86" i="4"/>
  <c r="AL87" i="4"/>
  <c r="AL88" i="4"/>
  <c r="AL72" i="4"/>
  <c r="AL91" i="4"/>
  <c r="AL104" i="4"/>
  <c r="AL77" i="4"/>
  <c r="AL95" i="4"/>
  <c r="AL96" i="4"/>
  <c r="AL97" i="4"/>
  <c r="AL99" i="4"/>
  <c r="AL100" i="4"/>
  <c r="AL84" i="4"/>
  <c r="AL78" i="4"/>
  <c r="AL89" i="4"/>
  <c r="AL90" i="4"/>
  <c r="AL92" i="4"/>
  <c r="AL94" i="4"/>
  <c r="AL62" i="4"/>
  <c r="AL68" i="4"/>
  <c r="AL73" i="4"/>
  <c r="AL76" i="4"/>
  <c r="AL93" i="4"/>
  <c r="AL98" i="4"/>
  <c r="AL75" i="4"/>
  <c r="AL83" i="4"/>
  <c r="AL105" i="4"/>
  <c r="AL67" i="4"/>
  <c r="AL101" i="4"/>
  <c r="AL103" i="4"/>
  <c r="AL82" i="4"/>
  <c r="AL74" i="4"/>
  <c r="AL63" i="4"/>
  <c r="AL66" i="4"/>
  <c r="AL64" i="4"/>
  <c r="AL102" i="4"/>
  <c r="AL65" i="4"/>
  <c r="AL79" i="4"/>
  <c r="AL80" i="4"/>
  <c r="AL61" i="4"/>
  <c r="AL69" i="4"/>
  <c r="AL85" i="4"/>
  <c r="AL70" i="4"/>
  <c r="AL117" i="4"/>
  <c r="AL120" i="4"/>
  <c r="AL118" i="4"/>
  <c r="AL115" i="4"/>
  <c r="AL121" i="4"/>
  <c r="AL116" i="4"/>
  <c r="AL119" i="4"/>
  <c r="AL109" i="4"/>
  <c r="AL122" i="4"/>
  <c r="AL108" i="4"/>
  <c r="AL107" i="4"/>
  <c r="AL113" i="4"/>
  <c r="AL114" i="4"/>
  <c r="AL106" i="4"/>
  <c r="AL111" i="4"/>
  <c r="AL110" i="4"/>
  <c r="AL112" i="4"/>
  <c r="AL134" i="4"/>
  <c r="AL135" i="4"/>
  <c r="AL136" i="4"/>
  <c r="AL137" i="4"/>
  <c r="AL125" i="4"/>
  <c r="AL145" i="4"/>
  <c r="AL133" i="4"/>
  <c r="AL126" i="4"/>
  <c r="AL149" i="4"/>
  <c r="AL131" i="4"/>
  <c r="AL138" i="4"/>
  <c r="AL139" i="4"/>
  <c r="AL141" i="4"/>
  <c r="AL142" i="4"/>
  <c r="AL143" i="4"/>
  <c r="AL144" i="4"/>
  <c r="AL146" i="4"/>
  <c r="AL147" i="4"/>
  <c r="AL127" i="4"/>
  <c r="AL128" i="4"/>
  <c r="AL148" i="4"/>
  <c r="AL124" i="4"/>
  <c r="AL130" i="4"/>
  <c r="AL129" i="4"/>
  <c r="AL132" i="4"/>
  <c r="AL140" i="4"/>
  <c r="AL123" i="4"/>
  <c r="AL153" i="4"/>
  <c r="AL183" i="4"/>
  <c r="AL184" i="4"/>
  <c r="AL155" i="4"/>
  <c r="AL166" i="4"/>
  <c r="AL167" i="4"/>
  <c r="AL160" i="4"/>
  <c r="AL168" i="4"/>
  <c r="AL159" i="4"/>
  <c r="AL165" i="4"/>
  <c r="AL182" i="4"/>
  <c r="AL187" i="4"/>
  <c r="AL180" i="4"/>
  <c r="AL181" i="4"/>
  <c r="AL172" i="4"/>
  <c r="AL177" i="4"/>
  <c r="AL157" i="4"/>
  <c r="AL162" i="4"/>
  <c r="AL169" i="4"/>
  <c r="AL170" i="4"/>
  <c r="AL171" i="4"/>
  <c r="AL178" i="4"/>
  <c r="AL173" i="4"/>
  <c r="AL175" i="4"/>
  <c r="AL176" i="4"/>
  <c r="AL174" i="4"/>
  <c r="AL186" i="4"/>
  <c r="AL161" i="4"/>
  <c r="AL163" i="4"/>
  <c r="AL164" i="4"/>
  <c r="AL156" i="4"/>
  <c r="AL188" i="4"/>
  <c r="AL189" i="4"/>
  <c r="AL185" i="4"/>
  <c r="AL152" i="4"/>
  <c r="AL150" i="4"/>
  <c r="AL151" i="4"/>
  <c r="AL154" i="4"/>
  <c r="AL158" i="4"/>
  <c r="AL179" i="4"/>
  <c r="AL192" i="4"/>
  <c r="AL191" i="4"/>
  <c r="AL196" i="4"/>
  <c r="AL203" i="4"/>
  <c r="AL190" i="4"/>
  <c r="AL194" i="4"/>
  <c r="AL200" i="4"/>
  <c r="AL201" i="4"/>
  <c r="AL198" i="4"/>
  <c r="AL195" i="4"/>
  <c r="AL193" i="4"/>
  <c r="AL204" i="4"/>
  <c r="AL205" i="4"/>
  <c r="AL197" i="4"/>
  <c r="AL199" i="4"/>
  <c r="AL202" i="4"/>
  <c r="AL208" i="4"/>
  <c r="AL210" i="4"/>
  <c r="AL206" i="4"/>
  <c r="AL211" i="4"/>
  <c r="AL212" i="4"/>
  <c r="AL213" i="4"/>
  <c r="AL209" i="4"/>
  <c r="AL207" i="4"/>
  <c r="AL214" i="4"/>
  <c r="AL217" i="4"/>
  <c r="AL222" i="4"/>
  <c r="AL216" i="4"/>
  <c r="AL218" i="4"/>
  <c r="AL215" i="4"/>
  <c r="AL219" i="4"/>
  <c r="AL221" i="4"/>
  <c r="AL220" i="4"/>
  <c r="AL224" i="4"/>
  <c r="AL225" i="4"/>
  <c r="AL236" i="4"/>
  <c r="AL232" i="4"/>
  <c r="AL234" i="4"/>
  <c r="AL226" i="4"/>
  <c r="AL235" i="4"/>
  <c r="AL223" i="4"/>
  <c r="AL233" i="4"/>
  <c r="AL227" i="4"/>
  <c r="AL228" i="4"/>
  <c r="AL229" i="4"/>
  <c r="AL230" i="4"/>
  <c r="AL231" i="4"/>
  <c r="AL249" i="4"/>
  <c r="AL237" i="4"/>
  <c r="AL242" i="4"/>
  <c r="AL244" i="4"/>
  <c r="AL245" i="4"/>
  <c r="AL247" i="4"/>
  <c r="AL248" i="4"/>
  <c r="AL251" i="4"/>
  <c r="AL254" i="4"/>
  <c r="AL268" i="4"/>
  <c r="AL243" i="4"/>
  <c r="AL246" i="4"/>
  <c r="AL255" i="4"/>
  <c r="AL256" i="4"/>
  <c r="AL250" i="4"/>
  <c r="AL252" i="4"/>
  <c r="AL238" i="4"/>
  <c r="AL239" i="4"/>
  <c r="AL253" i="4"/>
  <c r="AL257" i="4"/>
  <c r="AL259" i="4"/>
  <c r="AL260" i="4"/>
  <c r="AL262" i="4"/>
  <c r="AL241" i="4"/>
  <c r="AL258" i="4"/>
  <c r="AL266" i="4"/>
  <c r="AL261" i="4"/>
  <c r="AL263" i="4"/>
  <c r="AL264" i="4"/>
  <c r="AL265" i="4"/>
  <c r="AL240" i="4"/>
  <c r="AL291" i="4"/>
  <c r="AL269" i="4"/>
  <c r="AL270" i="4"/>
  <c r="AL271" i="4"/>
  <c r="AL272" i="4"/>
  <c r="AL273" i="4"/>
  <c r="AL274" i="4"/>
  <c r="AL275" i="4"/>
  <c r="AL276" i="4"/>
  <c r="AL277" i="4"/>
  <c r="AL292" i="4"/>
  <c r="AL278" i="4"/>
  <c r="AL283" i="4"/>
  <c r="AL289" i="4"/>
  <c r="AL284" i="4"/>
  <c r="AL285" i="4"/>
  <c r="AL286" i="4"/>
  <c r="AL290" i="4"/>
  <c r="AL282" i="4"/>
  <c r="AL281" i="4"/>
  <c r="AL280" i="4"/>
  <c r="AL288" i="4"/>
  <c r="AL279" i="4"/>
  <c r="AL293" i="4"/>
  <c r="AL295" i="4"/>
  <c r="AL296" i="4"/>
  <c r="AL297" i="4"/>
  <c r="AL299" i="4"/>
  <c r="AL294" i="4"/>
  <c r="AL298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39" i="4"/>
  <c r="AL337" i="4"/>
  <c r="AL338" i="4"/>
  <c r="AL330" i="4"/>
  <c r="AL336" i="4"/>
  <c r="AL329" i="4"/>
  <c r="AL328" i="4"/>
  <c r="AL331" i="4"/>
  <c r="AL323" i="4"/>
  <c r="AL324" i="4"/>
  <c r="AL325" i="4"/>
  <c r="AL326" i="4"/>
  <c r="AL332" i="4"/>
  <c r="AL333" i="4"/>
  <c r="AL334" i="4"/>
  <c r="AL335" i="4"/>
  <c r="AL327" i="4"/>
  <c r="AL340" i="4"/>
  <c r="AL345" i="4"/>
  <c r="AL343" i="4"/>
  <c r="AL344" i="4"/>
  <c r="AL346" i="4"/>
  <c r="AL341" i="4"/>
  <c r="AL342" i="4"/>
  <c r="AL347" i="4"/>
  <c r="AL351" i="4"/>
  <c r="AL350" i="4"/>
  <c r="AL348" i="4"/>
  <c r="AL349" i="4"/>
  <c r="AL352" i="4"/>
  <c r="AL353" i="4"/>
  <c r="AL354" i="4"/>
  <c r="AL356" i="4"/>
  <c r="AL355" i="4"/>
  <c r="AL357" i="4"/>
  <c r="AL358" i="4"/>
  <c r="AL359" i="4"/>
  <c r="AL360" i="4"/>
  <c r="AL363" i="4"/>
  <c r="AL364" i="4"/>
  <c r="AL361" i="4"/>
  <c r="AL362" i="4"/>
  <c r="AL365" i="4"/>
  <c r="AL366" i="4"/>
  <c r="AL367" i="4"/>
  <c r="AL369" i="4"/>
  <c r="AL370" i="4"/>
  <c r="AL371" i="4"/>
  <c r="AL372" i="4"/>
  <c r="AL368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6" i="4"/>
  <c r="AL388" i="4"/>
  <c r="AL389" i="4"/>
  <c r="AL390" i="4"/>
  <c r="AL391" i="4"/>
  <c r="AL392" i="4"/>
  <c r="AL393" i="4"/>
  <c r="AL396" i="4"/>
  <c r="AL395" i="4"/>
  <c r="AL394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5" i="4"/>
  <c r="B8" i="3"/>
  <c r="C8" i="3"/>
  <c r="E8" i="3"/>
  <c r="AA56" i="2"/>
  <c r="AB56" i="2"/>
  <c r="D236" i="4"/>
  <c r="E20" i="5"/>
  <c r="AC56" i="2"/>
  <c r="AD56" i="2"/>
  <c r="AE56" i="2"/>
  <c r="H236" i="4"/>
  <c r="K20" i="5"/>
  <c r="L78" i="5"/>
  <c r="AF56" i="2"/>
  <c r="AG56" i="2"/>
  <c r="AH56" i="2"/>
  <c r="AI56" i="2"/>
  <c r="AJ56" i="2"/>
  <c r="N78" i="5"/>
  <c r="O78" i="5"/>
  <c r="AK56" i="2"/>
  <c r="M236" i="4"/>
  <c r="R20" i="5"/>
  <c r="L236" i="4"/>
  <c r="Q20" i="5"/>
  <c r="AL56" i="2"/>
  <c r="AM56" i="2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531" i="1"/>
  <c r="BA531" i="1"/>
  <c r="BB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BC531" i="1"/>
  <c r="CT531" i="1"/>
  <c r="AZ530" i="1"/>
  <c r="BA530" i="1"/>
  <c r="BB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BC530" i="1"/>
  <c r="CT530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B366" i="4"/>
  <c r="S366" i="4"/>
  <c r="AZ515" i="1"/>
  <c r="BA515" i="1"/>
  <c r="BB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BC515" i="1"/>
  <c r="CT515" i="1"/>
  <c r="AZ514" i="1"/>
  <c r="BA514" i="1"/>
  <c r="BB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BC514" i="1"/>
  <c r="CT514" i="1"/>
  <c r="AZ471" i="1"/>
  <c r="BA471" i="1"/>
  <c r="BB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BC471" i="1"/>
  <c r="CT471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B60" i="4"/>
  <c r="H60" i="4"/>
  <c r="B151" i="4"/>
  <c r="S151" i="4"/>
  <c r="B231" i="4"/>
  <c r="N231" i="4"/>
  <c r="N185" i="4"/>
  <c r="B34" i="4"/>
  <c r="N34" i="4"/>
  <c r="AA9" i="2"/>
  <c r="AB9" i="2"/>
  <c r="B123" i="4"/>
  <c r="D123" i="4"/>
  <c r="E44" i="5"/>
  <c r="D151" i="4"/>
  <c r="E45" i="5"/>
  <c r="F45" i="5"/>
  <c r="AC9" i="2"/>
  <c r="H45" i="5"/>
  <c r="I45" i="5"/>
  <c r="AD9" i="2"/>
  <c r="AE9" i="2"/>
  <c r="H123" i="4"/>
  <c r="K44" i="5"/>
  <c r="H151" i="4"/>
  <c r="K45" i="5"/>
  <c r="L45" i="5"/>
  <c r="AF9" i="2"/>
  <c r="AG9" i="2"/>
  <c r="AH9" i="2"/>
  <c r="AI9" i="2"/>
  <c r="AJ9" i="2"/>
  <c r="N45" i="5"/>
  <c r="O45" i="5"/>
  <c r="AK9" i="2"/>
  <c r="M123" i="4"/>
  <c r="R44" i="5"/>
  <c r="L123" i="4"/>
  <c r="Q44" i="5"/>
  <c r="M151" i="4"/>
  <c r="R45" i="5"/>
  <c r="L151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AZ24" i="1"/>
  <c r="BA24" i="1"/>
  <c r="BB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B44" i="4"/>
  <c r="S44" i="4"/>
  <c r="B41" i="4"/>
  <c r="S41" i="4"/>
  <c r="B42" i="4"/>
  <c r="S42" i="4"/>
  <c r="B43" i="4"/>
  <c r="S43" i="4"/>
  <c r="B38" i="4"/>
  <c r="S38" i="4"/>
  <c r="B39" i="4"/>
  <c r="S39" i="4"/>
  <c r="S40" i="4"/>
  <c r="B35" i="4"/>
  <c r="S35" i="4"/>
  <c r="B36" i="4"/>
  <c r="S36" i="4"/>
  <c r="B37" i="4"/>
  <c r="S37" i="4"/>
  <c r="S34" i="4"/>
  <c r="B33" i="4"/>
  <c r="S33" i="4"/>
  <c r="B32" i="4"/>
  <c r="S32" i="4"/>
  <c r="N44" i="4"/>
  <c r="AA4" i="2"/>
  <c r="AB4" i="2"/>
  <c r="B69" i="4"/>
  <c r="D69" i="4"/>
  <c r="E264" i="5"/>
  <c r="D44" i="4"/>
  <c r="E255" i="5"/>
  <c r="F255" i="5"/>
  <c r="AC4" i="2"/>
  <c r="H255" i="5"/>
  <c r="I255" i="5"/>
  <c r="AD4" i="2"/>
  <c r="AE4" i="2"/>
  <c r="H69" i="4"/>
  <c r="K264" i="5"/>
  <c r="H44" i="4"/>
  <c r="K255" i="5"/>
  <c r="L255" i="5"/>
  <c r="AF4" i="2"/>
  <c r="AG4" i="2"/>
  <c r="AH4" i="2"/>
  <c r="AI4" i="2"/>
  <c r="AJ4" i="2"/>
  <c r="N255" i="5"/>
  <c r="O255" i="5"/>
  <c r="AK4" i="2"/>
  <c r="M69" i="4"/>
  <c r="R264" i="5"/>
  <c r="L69" i="4"/>
  <c r="Q264" i="5"/>
  <c r="M44" i="4"/>
  <c r="R255" i="5"/>
  <c r="L44" i="4"/>
  <c r="Q255" i="5"/>
  <c r="AL4" i="2"/>
  <c r="AM4" i="2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AZ462" i="1"/>
  <c r="BA462" i="1"/>
  <c r="BB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BC462" i="1"/>
  <c r="CT462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B241" i="4"/>
  <c r="M241" i="4"/>
  <c r="B242" i="4"/>
  <c r="M242" i="4"/>
  <c r="B240" i="4"/>
  <c r="N240" i="4"/>
  <c r="N242" i="4"/>
  <c r="B243" i="4"/>
  <c r="N243" i="4"/>
  <c r="B244" i="4"/>
  <c r="N244" i="4"/>
  <c r="B245" i="4"/>
  <c r="N245" i="4"/>
  <c r="B246" i="4"/>
  <c r="N246" i="4"/>
  <c r="B239" i="4"/>
  <c r="N239" i="4"/>
  <c r="B222" i="4"/>
  <c r="N222" i="4"/>
  <c r="B223" i="4"/>
  <c r="N223" i="4"/>
  <c r="N224" i="4"/>
  <c r="B225" i="4"/>
  <c r="N225" i="4"/>
  <c r="B226" i="4"/>
  <c r="N226" i="4"/>
  <c r="N227" i="4"/>
  <c r="B228" i="4"/>
  <c r="N228" i="4"/>
  <c r="N229" i="4"/>
  <c r="B230" i="4"/>
  <c r="N230" i="4"/>
  <c r="B232" i="4"/>
  <c r="N232" i="4"/>
  <c r="B233" i="4"/>
  <c r="N233" i="4"/>
  <c r="B234" i="4"/>
  <c r="N234" i="4"/>
  <c r="N235" i="4"/>
  <c r="B237" i="4"/>
  <c r="N237" i="4"/>
  <c r="B238" i="4"/>
  <c r="N238" i="4"/>
  <c r="O234" i="4"/>
  <c r="O236" i="4"/>
  <c r="O237" i="4"/>
  <c r="N236" i="4"/>
  <c r="B141" i="6"/>
  <c r="C141" i="6"/>
  <c r="D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B20" i="5"/>
  <c r="C266" i="4"/>
  <c r="C236" i="4"/>
  <c r="C20" i="5"/>
  <c r="D266" i="4"/>
  <c r="F20" i="5"/>
  <c r="H20" i="5"/>
  <c r="I20" i="5"/>
  <c r="H266" i="4"/>
  <c r="L20" i="5"/>
  <c r="N20" i="5"/>
  <c r="O20" i="5"/>
  <c r="L266" i="4"/>
  <c r="M266" i="4"/>
  <c r="N266" i="4"/>
  <c r="T20" i="5"/>
  <c r="O266" i="4"/>
  <c r="U20" i="5"/>
  <c r="P266" i="4"/>
  <c r="P236" i="4"/>
  <c r="W20" i="5"/>
  <c r="Q266" i="4"/>
  <c r="Q236" i="4"/>
  <c r="X20" i="5"/>
  <c r="R266" i="4"/>
  <c r="R236" i="4"/>
  <c r="Z20" i="5"/>
  <c r="S266" i="4"/>
  <c r="S236" i="4"/>
  <c r="AA20" i="5"/>
  <c r="AJ266" i="4"/>
  <c r="T266" i="4" a="1"/>
  <c r="T266" i="4"/>
  <c r="AJ236" i="4"/>
  <c r="T236" i="4" a="1"/>
  <c r="T236" i="4"/>
  <c r="AC20" i="5"/>
  <c r="U266" i="4" a="1"/>
  <c r="U266" i="4"/>
  <c r="U236" i="4" a="1"/>
  <c r="U236" i="4"/>
  <c r="AD20" i="5"/>
  <c r="AF20" i="5"/>
  <c r="AG20" i="5"/>
  <c r="X236" i="4"/>
  <c r="AI20" i="5"/>
  <c r="Y266" i="4"/>
  <c r="Y236" i="4"/>
  <c r="AJ20" i="5"/>
  <c r="Z266" i="4"/>
  <c r="Z236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236" i="4"/>
  <c r="F236" i="4"/>
  <c r="I236" i="4"/>
  <c r="J236" i="4"/>
  <c r="K236" i="4"/>
  <c r="AA236" i="4"/>
  <c r="AC236" i="4"/>
  <c r="AD236" i="4"/>
  <c r="AE236" i="4"/>
  <c r="AF236" i="4"/>
  <c r="AH236" i="4"/>
  <c r="AI236" i="4"/>
  <c r="AK236" i="4"/>
  <c r="AM236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BC422" i="1"/>
  <c r="CT422" i="1"/>
  <c r="D349" i="9"/>
  <c r="E349" i="9"/>
  <c r="F349" i="9"/>
  <c r="G349" i="9"/>
  <c r="C125" i="7"/>
  <c r="D125" i="7"/>
  <c r="E125" i="7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BC423" i="1"/>
  <c r="CT423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389" i="1"/>
  <c r="BA389" i="1"/>
  <c r="BB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BC389" i="1"/>
  <c r="CT389" i="1"/>
  <c r="AZ388" i="1"/>
  <c r="BA388" i="1"/>
  <c r="BB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BC388" i="1"/>
  <c r="CT388" i="1"/>
  <c r="B119" i="4"/>
  <c r="X119" i="4"/>
  <c r="N119" i="4"/>
  <c r="B113" i="4"/>
  <c r="X113" i="4"/>
  <c r="B99" i="4"/>
  <c r="N99" i="4"/>
  <c r="B100" i="4"/>
  <c r="N100" i="4"/>
  <c r="B96" i="4"/>
  <c r="N96" i="4"/>
  <c r="B97" i="4"/>
  <c r="N97" i="4"/>
  <c r="B89" i="4"/>
  <c r="O89" i="4"/>
  <c r="B90" i="4"/>
  <c r="O90" i="4"/>
  <c r="B50" i="4"/>
  <c r="O50" i="4"/>
  <c r="N50" i="4"/>
  <c r="B374" i="4"/>
  <c r="Y374" i="4"/>
  <c r="AJ361" i="5"/>
  <c r="Q189" i="4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V69" i="4"/>
  <c r="E70" i="4"/>
  <c r="F70" i="4"/>
  <c r="I70" i="4"/>
  <c r="J70" i="4"/>
  <c r="R70" i="4"/>
  <c r="AA70" i="4"/>
  <c r="AC70" i="4"/>
  <c r="AD70" i="4"/>
  <c r="AE70" i="4"/>
  <c r="AF70" i="4"/>
  <c r="AH70" i="4"/>
  <c r="AI70" i="4"/>
  <c r="AK70" i="4"/>
  <c r="AM70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L19" i="5"/>
  <c r="N19" i="5"/>
  <c r="L19" i="5"/>
  <c r="B19" i="5"/>
  <c r="C90" i="4"/>
  <c r="C19" i="5"/>
  <c r="D90" i="4"/>
  <c r="F19" i="5"/>
  <c r="H19" i="5"/>
  <c r="I19" i="5"/>
  <c r="H90" i="4"/>
  <c r="O19" i="5"/>
  <c r="L90" i="4"/>
  <c r="M90" i="4"/>
  <c r="T19" i="5"/>
  <c r="U19" i="5"/>
  <c r="P90" i="4"/>
  <c r="W19" i="5"/>
  <c r="Q90" i="4"/>
  <c r="X19" i="5"/>
  <c r="R90" i="4"/>
  <c r="Z19" i="5"/>
  <c r="S90" i="4"/>
  <c r="AA19" i="5"/>
  <c r="AJ90" i="4"/>
  <c r="T90" i="4" a="1"/>
  <c r="T90" i="4"/>
  <c r="AC19" i="5"/>
  <c r="U90" i="4" a="1"/>
  <c r="U90" i="4"/>
  <c r="AD19" i="5"/>
  <c r="AF19" i="5"/>
  <c r="AG19" i="5"/>
  <c r="X90" i="4"/>
  <c r="AI19" i="5"/>
  <c r="Y90" i="4"/>
  <c r="AJ19" i="5"/>
  <c r="Z90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66" i="4"/>
  <c r="F266" i="4"/>
  <c r="I266" i="4"/>
  <c r="J266" i="4"/>
  <c r="K266" i="4"/>
  <c r="AA266" i="4"/>
  <c r="AC266" i="4"/>
  <c r="AD266" i="4"/>
  <c r="AE266" i="4"/>
  <c r="AF266" i="4"/>
  <c r="AH266" i="4"/>
  <c r="AI266" i="4"/>
  <c r="AK266" i="4"/>
  <c r="AM266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BC421" i="1"/>
  <c r="CT421" i="1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BC420" i="1"/>
  <c r="CT420" i="1"/>
  <c r="D348" i="9"/>
  <c r="E348" i="9"/>
  <c r="F348" i="9"/>
  <c r="G348" i="9"/>
  <c r="C123" i="7"/>
  <c r="E123" i="7"/>
  <c r="D123" i="7"/>
  <c r="AG3" i="5"/>
  <c r="AF3" i="5"/>
  <c r="B78" i="4"/>
  <c r="C78" i="4"/>
  <c r="C3" i="5"/>
  <c r="D78" i="4"/>
  <c r="E3" i="5"/>
  <c r="H78" i="4"/>
  <c r="K3" i="5"/>
  <c r="L78" i="4"/>
  <c r="Q3" i="5"/>
  <c r="M78" i="4"/>
  <c r="R3" i="5"/>
  <c r="T3" i="5"/>
  <c r="O78" i="4"/>
  <c r="U3" i="5"/>
  <c r="P78" i="4"/>
  <c r="W3" i="5"/>
  <c r="Q78" i="4"/>
  <c r="X3" i="5"/>
  <c r="S78" i="4"/>
  <c r="AA3" i="5"/>
  <c r="AJ78" i="4"/>
  <c r="T78" i="4" a="1"/>
  <c r="T78" i="4"/>
  <c r="AC3" i="5"/>
  <c r="U78" i="4" a="1"/>
  <c r="U78" i="4"/>
  <c r="AD3" i="5"/>
  <c r="X78" i="4"/>
  <c r="AI3" i="5"/>
  <c r="Y78" i="4"/>
  <c r="AJ3" i="5"/>
  <c r="Z78" i="4"/>
  <c r="AL3" i="5"/>
  <c r="F3" i="5"/>
  <c r="L3" i="5"/>
  <c r="N3" i="5"/>
  <c r="O3" i="5"/>
  <c r="H3" i="5"/>
  <c r="I3" i="5"/>
  <c r="Z3" i="5"/>
  <c r="AN3" i="5"/>
  <c r="O4" i="5"/>
  <c r="H79" i="4"/>
  <c r="K4" i="5"/>
  <c r="AG4" i="5"/>
  <c r="AF4" i="5"/>
  <c r="C79" i="4"/>
  <c r="C4" i="5"/>
  <c r="I79" i="4"/>
  <c r="L4" i="5"/>
  <c r="J79" i="4"/>
  <c r="N4" i="5"/>
  <c r="L79" i="4"/>
  <c r="Q4" i="5"/>
  <c r="M79" i="4"/>
  <c r="R4" i="5"/>
  <c r="T4" i="5"/>
  <c r="O79" i="4"/>
  <c r="U4" i="5"/>
  <c r="W4" i="5"/>
  <c r="Q79" i="4"/>
  <c r="X4" i="5"/>
  <c r="AA4" i="5"/>
  <c r="AJ79" i="4"/>
  <c r="T79" i="4" a="1"/>
  <c r="T79" i="4"/>
  <c r="AC4" i="5"/>
  <c r="U79" i="4" a="1"/>
  <c r="U79" i="4"/>
  <c r="AD4" i="5"/>
  <c r="X79" i="4"/>
  <c r="AI4" i="5"/>
  <c r="Y79" i="4"/>
  <c r="AJ4" i="5"/>
  <c r="Z79" i="4"/>
  <c r="AL4" i="5"/>
  <c r="F4" i="5"/>
  <c r="H4" i="5"/>
  <c r="I4" i="5"/>
  <c r="Z4" i="5"/>
  <c r="AN4" i="5"/>
  <c r="AG5" i="5"/>
  <c r="AF5" i="5"/>
  <c r="C140" i="4"/>
  <c r="C5" i="5"/>
  <c r="D140" i="4"/>
  <c r="E5" i="5"/>
  <c r="E140" i="4"/>
  <c r="F5" i="5"/>
  <c r="F140" i="4"/>
  <c r="H5" i="5"/>
  <c r="I5" i="5"/>
  <c r="H140" i="4"/>
  <c r="K5" i="5"/>
  <c r="L140" i="4"/>
  <c r="Q5" i="5"/>
  <c r="M140" i="4"/>
  <c r="T5" i="5"/>
  <c r="U5" i="5"/>
  <c r="P140" i="4"/>
  <c r="W5" i="5"/>
  <c r="Q140" i="4"/>
  <c r="X5" i="5"/>
  <c r="S140" i="4"/>
  <c r="AA5" i="5"/>
  <c r="AJ140" i="4"/>
  <c r="T140" i="4" a="1"/>
  <c r="T140" i="4"/>
  <c r="AC5" i="5"/>
  <c r="U140" i="4" a="1"/>
  <c r="U140" i="4"/>
  <c r="AD5" i="5"/>
  <c r="X140" i="4"/>
  <c r="AI5" i="5"/>
  <c r="Y140" i="4"/>
  <c r="AJ5" i="5"/>
  <c r="Z140" i="4"/>
  <c r="AL5" i="5"/>
  <c r="L5" i="5"/>
  <c r="N5" i="5"/>
  <c r="O5" i="5"/>
  <c r="Z5" i="5"/>
  <c r="AN5" i="5"/>
  <c r="AG6" i="5"/>
  <c r="AF6" i="5"/>
  <c r="C220" i="4"/>
  <c r="C6" i="5"/>
  <c r="D220" i="4"/>
  <c r="E6" i="5"/>
  <c r="H220" i="4"/>
  <c r="K6" i="5"/>
  <c r="L220" i="4"/>
  <c r="Q6" i="5"/>
  <c r="M220" i="4"/>
  <c r="R6" i="5"/>
  <c r="T6" i="5"/>
  <c r="O220" i="4"/>
  <c r="U6" i="5"/>
  <c r="P220" i="4"/>
  <c r="W6" i="5"/>
  <c r="Q220" i="4"/>
  <c r="X6" i="5"/>
  <c r="S220" i="4"/>
  <c r="AA6" i="5"/>
  <c r="AD6" i="5"/>
  <c r="X220" i="4"/>
  <c r="AI6" i="5"/>
  <c r="Y220" i="4"/>
  <c r="AJ6" i="5"/>
  <c r="Z220" i="4"/>
  <c r="AL6" i="5"/>
  <c r="F6" i="5"/>
  <c r="H6" i="5"/>
  <c r="I6" i="5"/>
  <c r="L6" i="5"/>
  <c r="N6" i="5"/>
  <c r="O6" i="5"/>
  <c r="Z6" i="5"/>
  <c r="AN6" i="5"/>
  <c r="AG7" i="5"/>
  <c r="AF7" i="5"/>
  <c r="C221" i="4"/>
  <c r="C7" i="5"/>
  <c r="D221" i="4"/>
  <c r="E7" i="5"/>
  <c r="H221" i="4"/>
  <c r="K7" i="5"/>
  <c r="L221" i="4"/>
  <c r="Q7" i="5"/>
  <c r="M221" i="4"/>
  <c r="R7" i="5"/>
  <c r="T7" i="5"/>
  <c r="O221" i="4"/>
  <c r="U7" i="5"/>
  <c r="P221" i="4"/>
  <c r="W7" i="5"/>
  <c r="Q221" i="4"/>
  <c r="X7" i="5"/>
  <c r="S221" i="4"/>
  <c r="AA7" i="5"/>
  <c r="AD7" i="5"/>
  <c r="X221" i="4"/>
  <c r="AI7" i="5"/>
  <c r="Y221" i="4"/>
  <c r="AJ7" i="5"/>
  <c r="Z221" i="4"/>
  <c r="AL7" i="5"/>
  <c r="F7" i="5"/>
  <c r="H7" i="5"/>
  <c r="I7" i="5"/>
  <c r="L7" i="5"/>
  <c r="N7" i="5"/>
  <c r="O7" i="5"/>
  <c r="Z7" i="5"/>
  <c r="AN7" i="5"/>
  <c r="AG8" i="5"/>
  <c r="AF8" i="5"/>
  <c r="C186" i="4"/>
  <c r="C8" i="5"/>
  <c r="D186" i="4"/>
  <c r="E8" i="5"/>
  <c r="H186" i="4"/>
  <c r="K8" i="5"/>
  <c r="L186" i="4"/>
  <c r="Q8" i="5"/>
  <c r="M186" i="4"/>
  <c r="R8" i="5"/>
  <c r="T8" i="5"/>
  <c r="O186" i="4"/>
  <c r="U8" i="5"/>
  <c r="P186" i="4"/>
  <c r="W8" i="5"/>
  <c r="Q186" i="4"/>
  <c r="X8" i="5"/>
  <c r="S186" i="4"/>
  <c r="AA8" i="5"/>
  <c r="AJ186" i="4"/>
  <c r="T186" i="4" a="1"/>
  <c r="T186" i="4"/>
  <c r="AC8" i="5"/>
  <c r="U186" i="4" a="1"/>
  <c r="U186" i="4"/>
  <c r="AD8" i="5"/>
  <c r="X186" i="4"/>
  <c r="AI8" i="5"/>
  <c r="Y186" i="4"/>
  <c r="AJ8" i="5"/>
  <c r="Z186" i="4"/>
  <c r="AL8" i="5"/>
  <c r="F8" i="5"/>
  <c r="H8" i="5"/>
  <c r="I8" i="5"/>
  <c r="L8" i="5"/>
  <c r="N8" i="5"/>
  <c r="O8" i="5"/>
  <c r="Z8" i="5"/>
  <c r="AN8" i="5"/>
  <c r="AG9" i="5"/>
  <c r="AF9" i="5"/>
  <c r="C239" i="4"/>
  <c r="C9" i="5"/>
  <c r="D239" i="4"/>
  <c r="E9" i="5"/>
  <c r="E239" i="4"/>
  <c r="F9" i="5"/>
  <c r="F239" i="4"/>
  <c r="H9" i="5"/>
  <c r="I9" i="5"/>
  <c r="H239" i="4"/>
  <c r="K9" i="5"/>
  <c r="L239" i="4"/>
  <c r="Q9" i="5"/>
  <c r="M239" i="4"/>
  <c r="R9" i="5"/>
  <c r="T9" i="5"/>
  <c r="O239" i="4"/>
  <c r="U9" i="5"/>
  <c r="P239" i="4"/>
  <c r="W9" i="5"/>
  <c r="Q239" i="4"/>
  <c r="X9" i="5"/>
  <c r="S239" i="4"/>
  <c r="AA9" i="5"/>
  <c r="AJ239" i="4"/>
  <c r="T239" i="4" a="1"/>
  <c r="T239" i="4"/>
  <c r="AC9" i="5"/>
  <c r="U239" i="4" a="1"/>
  <c r="U239" i="4"/>
  <c r="AD9" i="5"/>
  <c r="X239" i="4"/>
  <c r="AI9" i="5"/>
  <c r="Y239" i="4"/>
  <c r="AJ9" i="5"/>
  <c r="Z239" i="4"/>
  <c r="AL9" i="5"/>
  <c r="L9" i="5"/>
  <c r="N9" i="5"/>
  <c r="O9" i="5"/>
  <c r="Z9" i="5"/>
  <c r="AN9" i="5"/>
  <c r="AG10" i="5"/>
  <c r="AF10" i="5"/>
  <c r="B274" i="4"/>
  <c r="C274" i="4"/>
  <c r="C10" i="5"/>
  <c r="D274" i="4"/>
  <c r="E10" i="5"/>
  <c r="K10" i="5"/>
  <c r="L274" i="4"/>
  <c r="Q10" i="5"/>
  <c r="M274" i="4"/>
  <c r="R10" i="5"/>
  <c r="T10" i="5"/>
  <c r="U10" i="5"/>
  <c r="P274" i="4"/>
  <c r="W10" i="5"/>
  <c r="Q274" i="4"/>
  <c r="X10" i="5"/>
  <c r="S274" i="4"/>
  <c r="AA10" i="5"/>
  <c r="AJ274" i="4"/>
  <c r="T274" i="4" a="1"/>
  <c r="T274" i="4"/>
  <c r="AC10" i="5"/>
  <c r="AD10" i="5"/>
  <c r="X274" i="4"/>
  <c r="AI10" i="5"/>
  <c r="Y274" i="4"/>
  <c r="AJ10" i="5"/>
  <c r="Z274" i="4"/>
  <c r="AL10" i="5"/>
  <c r="F10" i="5"/>
  <c r="H10" i="5"/>
  <c r="I10" i="5"/>
  <c r="L10" i="5"/>
  <c r="N10" i="5"/>
  <c r="O10" i="5"/>
  <c r="Z10" i="5"/>
  <c r="AN10" i="5"/>
  <c r="AG11" i="5"/>
  <c r="AF11" i="5"/>
  <c r="C275" i="4"/>
  <c r="C11" i="5"/>
  <c r="T11" i="5"/>
  <c r="U11" i="5"/>
  <c r="P275" i="4"/>
  <c r="W11" i="5"/>
  <c r="Q275" i="4"/>
  <c r="X11" i="5"/>
  <c r="S275" i="4"/>
  <c r="AA11" i="5"/>
  <c r="X275" i="4"/>
  <c r="AI11" i="5"/>
  <c r="Y275" i="4"/>
  <c r="AJ11" i="5"/>
  <c r="Z275" i="4"/>
  <c r="AL11" i="5"/>
  <c r="L11" i="5"/>
  <c r="N11" i="5"/>
  <c r="O11" i="5"/>
  <c r="Z11" i="5"/>
  <c r="AN11" i="5"/>
  <c r="S159" i="4"/>
  <c r="AA12" i="5"/>
  <c r="P159" i="4"/>
  <c r="W12" i="5"/>
  <c r="O12" i="5"/>
  <c r="K12" i="5"/>
  <c r="AG12" i="5"/>
  <c r="AF12" i="5"/>
  <c r="C159" i="4"/>
  <c r="C12" i="5"/>
  <c r="D159" i="4"/>
  <c r="E12" i="5"/>
  <c r="E159" i="4"/>
  <c r="F12" i="5"/>
  <c r="F159" i="4"/>
  <c r="H12" i="5"/>
  <c r="I12" i="5"/>
  <c r="L159" i="4"/>
  <c r="Q12" i="5"/>
  <c r="M159" i="4"/>
  <c r="R12" i="5"/>
  <c r="T12" i="5"/>
  <c r="O159" i="4"/>
  <c r="U12" i="5"/>
  <c r="Q159" i="4"/>
  <c r="X12" i="5"/>
  <c r="R159" i="4"/>
  <c r="Z12" i="5"/>
  <c r="AJ159" i="4"/>
  <c r="T159" i="4" a="1"/>
  <c r="T159" i="4"/>
  <c r="AC12" i="5"/>
  <c r="U159" i="4" a="1"/>
  <c r="U159" i="4"/>
  <c r="AD12" i="5"/>
  <c r="X159" i="4"/>
  <c r="AI12" i="5"/>
  <c r="Y159" i="4"/>
  <c r="AJ12" i="5"/>
  <c r="Z159" i="4"/>
  <c r="AL12" i="5"/>
  <c r="AN12" i="5"/>
  <c r="S160" i="4"/>
  <c r="AA13" i="5"/>
  <c r="P160" i="4"/>
  <c r="W13" i="5"/>
  <c r="O13" i="5"/>
  <c r="K13" i="5"/>
  <c r="AG13" i="5"/>
  <c r="AF13" i="5"/>
  <c r="C160" i="4"/>
  <c r="C13" i="5"/>
  <c r="D160" i="4"/>
  <c r="E13" i="5"/>
  <c r="E160" i="4"/>
  <c r="F13" i="5"/>
  <c r="F160" i="4"/>
  <c r="H13" i="5"/>
  <c r="I13" i="5"/>
  <c r="I160" i="4"/>
  <c r="L13" i="5"/>
  <c r="J160" i="4"/>
  <c r="N13" i="5"/>
  <c r="L160" i="4"/>
  <c r="Q13" i="5"/>
  <c r="M160" i="4"/>
  <c r="R13" i="5"/>
  <c r="T13" i="5"/>
  <c r="U13" i="5"/>
  <c r="Q160" i="4"/>
  <c r="X13" i="5"/>
  <c r="R160" i="4"/>
  <c r="Z13" i="5"/>
  <c r="AJ160" i="4"/>
  <c r="T160" i="4" a="1"/>
  <c r="T160" i="4"/>
  <c r="AC13" i="5"/>
  <c r="U160" i="4" a="1"/>
  <c r="U160" i="4"/>
  <c r="AD13" i="5"/>
  <c r="X160" i="4"/>
  <c r="AI13" i="5"/>
  <c r="Y160" i="4"/>
  <c r="AJ13" i="5"/>
  <c r="Z160" i="4"/>
  <c r="AL13" i="5"/>
  <c r="AN13" i="5"/>
  <c r="AG14" i="5"/>
  <c r="AF14" i="5"/>
  <c r="B131" i="4"/>
  <c r="C131" i="4"/>
  <c r="C14" i="5"/>
  <c r="D131" i="4"/>
  <c r="E14" i="5"/>
  <c r="E131" i="4"/>
  <c r="F14" i="5"/>
  <c r="F131" i="4"/>
  <c r="H14" i="5"/>
  <c r="I14" i="5"/>
  <c r="H131" i="4"/>
  <c r="K14" i="5"/>
  <c r="L131" i="4"/>
  <c r="Q14" i="5"/>
  <c r="M131" i="4"/>
  <c r="R14" i="5"/>
  <c r="T14" i="5"/>
  <c r="O131" i="4"/>
  <c r="U14" i="5"/>
  <c r="P131" i="4"/>
  <c r="W14" i="5"/>
  <c r="Q131" i="4"/>
  <c r="X14" i="5"/>
  <c r="S131" i="4"/>
  <c r="AA14" i="5"/>
  <c r="AJ131" i="4"/>
  <c r="T131" i="4" a="1"/>
  <c r="T131" i="4"/>
  <c r="AC14" i="5"/>
  <c r="U131" i="4" a="1"/>
  <c r="U131" i="4"/>
  <c r="AD14" i="5"/>
  <c r="X131" i="4"/>
  <c r="AI14" i="5"/>
  <c r="Y131" i="4"/>
  <c r="AJ14" i="5"/>
  <c r="Z131" i="4"/>
  <c r="AL14" i="5"/>
  <c r="L14" i="5"/>
  <c r="N14" i="5"/>
  <c r="O14" i="5"/>
  <c r="Z14" i="5"/>
  <c r="AN14" i="5"/>
  <c r="AG15" i="5"/>
  <c r="AF15" i="5"/>
  <c r="B253" i="4"/>
  <c r="C253" i="4"/>
  <c r="C15" i="5"/>
  <c r="D253" i="4"/>
  <c r="E15" i="5"/>
  <c r="E253" i="4"/>
  <c r="F15" i="5"/>
  <c r="F253" i="4"/>
  <c r="H15" i="5"/>
  <c r="I15" i="5"/>
  <c r="K15" i="5"/>
  <c r="L253" i="4"/>
  <c r="Q15" i="5"/>
  <c r="M253" i="4"/>
  <c r="R15" i="5"/>
  <c r="T15" i="5"/>
  <c r="O253" i="4"/>
  <c r="U15" i="5"/>
  <c r="P253" i="4"/>
  <c r="W15" i="5"/>
  <c r="Q253" i="4"/>
  <c r="X15" i="5"/>
  <c r="S253" i="4"/>
  <c r="AA15" i="5"/>
  <c r="AJ253" i="4"/>
  <c r="T253" i="4" a="1"/>
  <c r="T253" i="4"/>
  <c r="AC15" i="5"/>
  <c r="U253" i="4" a="1"/>
  <c r="U253" i="4"/>
  <c r="AD15" i="5"/>
  <c r="X253" i="4"/>
  <c r="AI15" i="5"/>
  <c r="Y253" i="4"/>
  <c r="AJ15" i="5"/>
  <c r="Z253" i="4"/>
  <c r="AL15" i="5"/>
  <c r="L15" i="5"/>
  <c r="N15" i="5"/>
  <c r="O15" i="5"/>
  <c r="Z15" i="5"/>
  <c r="AN15" i="5"/>
  <c r="S50" i="4"/>
  <c r="AA16" i="5"/>
  <c r="P50" i="4"/>
  <c r="W16" i="5"/>
  <c r="AG16" i="5"/>
  <c r="AF16" i="5"/>
  <c r="C50" i="4"/>
  <c r="C16" i="5"/>
  <c r="D50" i="4"/>
  <c r="E16" i="5"/>
  <c r="K16" i="5"/>
  <c r="L50" i="4"/>
  <c r="Q16" i="5"/>
  <c r="M50" i="4"/>
  <c r="R16" i="5"/>
  <c r="T16" i="5"/>
  <c r="U16" i="5"/>
  <c r="Q50" i="4"/>
  <c r="X16" i="5"/>
  <c r="R50" i="4"/>
  <c r="Z16" i="5"/>
  <c r="AJ50" i="4"/>
  <c r="T50" i="4" a="1"/>
  <c r="T50" i="4"/>
  <c r="AC16" i="5"/>
  <c r="U50" i="4" a="1"/>
  <c r="U50" i="4"/>
  <c r="AD16" i="5"/>
  <c r="X50" i="4"/>
  <c r="AI16" i="5"/>
  <c r="Y50" i="4"/>
  <c r="AJ16" i="5"/>
  <c r="Z50" i="4"/>
  <c r="AL16" i="5"/>
  <c r="L16" i="5"/>
  <c r="N16" i="5"/>
  <c r="O16" i="5"/>
  <c r="F16" i="5"/>
  <c r="H16" i="5"/>
  <c r="I16" i="5"/>
  <c r="AN16" i="5"/>
  <c r="S89" i="4"/>
  <c r="AA17" i="5"/>
  <c r="P89" i="4"/>
  <c r="W17" i="5"/>
  <c r="AG17" i="5"/>
  <c r="AF17" i="5"/>
  <c r="C89" i="4"/>
  <c r="C17" i="5"/>
  <c r="D89" i="4"/>
  <c r="E17" i="5"/>
  <c r="H89" i="4"/>
  <c r="K17" i="5"/>
  <c r="L89" i="4"/>
  <c r="Q17" i="5"/>
  <c r="M89" i="4"/>
  <c r="R17" i="5"/>
  <c r="T17" i="5"/>
  <c r="U17" i="5"/>
  <c r="Q89" i="4"/>
  <c r="X17" i="5"/>
  <c r="R89" i="4"/>
  <c r="Z17" i="5"/>
  <c r="AJ89" i="4"/>
  <c r="T89" i="4" a="1"/>
  <c r="T89" i="4"/>
  <c r="AC17" i="5"/>
  <c r="U89" i="4" a="1"/>
  <c r="U89" i="4"/>
  <c r="AD17" i="5"/>
  <c r="X89" i="4"/>
  <c r="AI17" i="5"/>
  <c r="Y89" i="4"/>
  <c r="AJ17" i="5"/>
  <c r="Z89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94" i="4"/>
  <c r="C94" i="4"/>
  <c r="C21" i="5"/>
  <c r="D94" i="4"/>
  <c r="E21" i="5"/>
  <c r="L94" i="4"/>
  <c r="Q21" i="5"/>
  <c r="M94" i="4"/>
  <c r="R21" i="5"/>
  <c r="T21" i="5"/>
  <c r="O94" i="4"/>
  <c r="U21" i="5"/>
  <c r="P94" i="4"/>
  <c r="W21" i="5"/>
  <c r="Q94" i="4"/>
  <c r="X21" i="5"/>
  <c r="S94" i="4"/>
  <c r="AA21" i="5"/>
  <c r="AJ94" i="4"/>
  <c r="T94" i="4" a="1"/>
  <c r="T94" i="4"/>
  <c r="AC21" i="5"/>
  <c r="U94" i="4" a="1"/>
  <c r="U94" i="4"/>
  <c r="AD21" i="5"/>
  <c r="X94" i="4"/>
  <c r="AI21" i="5"/>
  <c r="Y94" i="4"/>
  <c r="AJ21" i="5"/>
  <c r="Z94" i="4"/>
  <c r="AL21" i="5"/>
  <c r="L21" i="5"/>
  <c r="N21" i="5"/>
  <c r="O21" i="5"/>
  <c r="F21" i="5"/>
  <c r="H21" i="5"/>
  <c r="I21" i="5"/>
  <c r="Z21" i="5"/>
  <c r="AN21" i="5"/>
  <c r="AG22" i="5"/>
  <c r="AF22" i="5"/>
  <c r="B95" i="4"/>
  <c r="C95" i="4"/>
  <c r="C22" i="5"/>
  <c r="D95" i="4"/>
  <c r="E22" i="5"/>
  <c r="H95" i="4"/>
  <c r="K22" i="5"/>
  <c r="L95" i="4"/>
  <c r="Q22" i="5"/>
  <c r="M95" i="4"/>
  <c r="R22" i="5"/>
  <c r="T22" i="5"/>
  <c r="O95" i="4"/>
  <c r="U22" i="5"/>
  <c r="P95" i="4"/>
  <c r="W22" i="5"/>
  <c r="Q95" i="4"/>
  <c r="X22" i="5"/>
  <c r="S95" i="4"/>
  <c r="AA22" i="5"/>
  <c r="AJ95" i="4"/>
  <c r="T95" i="4" a="1"/>
  <c r="T95" i="4"/>
  <c r="AC22" i="5"/>
  <c r="U95" i="4" a="1"/>
  <c r="U95" i="4"/>
  <c r="AD22" i="5"/>
  <c r="X95" i="4"/>
  <c r="AI22" i="5"/>
  <c r="Y95" i="4"/>
  <c r="AJ22" i="5"/>
  <c r="Z95" i="4"/>
  <c r="AL22" i="5"/>
  <c r="L22" i="5"/>
  <c r="N22" i="5"/>
  <c r="O22" i="5"/>
  <c r="F22" i="5"/>
  <c r="H22" i="5"/>
  <c r="I22" i="5"/>
  <c r="Z22" i="5"/>
  <c r="AN22" i="5"/>
  <c r="AG23" i="5"/>
  <c r="AF23" i="5"/>
  <c r="C96" i="4"/>
  <c r="C23" i="5"/>
  <c r="D96" i="4"/>
  <c r="E23" i="5"/>
  <c r="H96" i="4"/>
  <c r="K23" i="5"/>
  <c r="I96" i="4"/>
  <c r="L23" i="5"/>
  <c r="J96" i="4"/>
  <c r="N23" i="5"/>
  <c r="O23" i="5"/>
  <c r="L96" i="4"/>
  <c r="Q23" i="5"/>
  <c r="M96" i="4"/>
  <c r="R23" i="5"/>
  <c r="T23" i="5"/>
  <c r="O96" i="4"/>
  <c r="U23" i="5"/>
  <c r="P96" i="4"/>
  <c r="W23" i="5"/>
  <c r="Q96" i="4"/>
  <c r="X23" i="5"/>
  <c r="S96" i="4"/>
  <c r="AA23" i="5"/>
  <c r="AJ96" i="4"/>
  <c r="T96" i="4" a="1"/>
  <c r="T96" i="4"/>
  <c r="AC23" i="5"/>
  <c r="U96" i="4" a="1"/>
  <c r="U96" i="4"/>
  <c r="AD23" i="5"/>
  <c r="X96" i="4"/>
  <c r="AI23" i="5"/>
  <c r="Y96" i="4"/>
  <c r="AJ23" i="5"/>
  <c r="Z96" i="4"/>
  <c r="AL23" i="5"/>
  <c r="F23" i="5"/>
  <c r="H23" i="5"/>
  <c r="I23" i="5"/>
  <c r="Z23" i="5"/>
  <c r="AN23" i="5"/>
  <c r="AG24" i="5"/>
  <c r="AF24" i="5"/>
  <c r="C97" i="4"/>
  <c r="C24" i="5"/>
  <c r="D97" i="4"/>
  <c r="E24" i="5"/>
  <c r="H97" i="4"/>
  <c r="K24" i="5"/>
  <c r="L97" i="4"/>
  <c r="Q24" i="5"/>
  <c r="M97" i="4"/>
  <c r="R24" i="5"/>
  <c r="T24" i="5"/>
  <c r="O97" i="4"/>
  <c r="U24" i="5"/>
  <c r="P97" i="4"/>
  <c r="W24" i="5"/>
  <c r="Q97" i="4"/>
  <c r="X24" i="5"/>
  <c r="S97" i="4"/>
  <c r="AA24" i="5"/>
  <c r="AJ97" i="4"/>
  <c r="T97" i="4" a="1"/>
  <c r="T97" i="4"/>
  <c r="AC24" i="5"/>
  <c r="U97" i="4" a="1"/>
  <c r="U97" i="4"/>
  <c r="AD24" i="5"/>
  <c r="X97" i="4"/>
  <c r="AI24" i="5"/>
  <c r="Y97" i="4"/>
  <c r="AJ24" i="5"/>
  <c r="Z97" i="4"/>
  <c r="AL24" i="5"/>
  <c r="L24" i="5"/>
  <c r="N24" i="5"/>
  <c r="O24" i="5"/>
  <c r="F24" i="5"/>
  <c r="H24" i="5"/>
  <c r="I24" i="5"/>
  <c r="Z24" i="5"/>
  <c r="AN24" i="5"/>
  <c r="AG25" i="5"/>
  <c r="AF25" i="5"/>
  <c r="C99" i="4"/>
  <c r="C25" i="5"/>
  <c r="D99" i="4"/>
  <c r="E25" i="5"/>
  <c r="H99" i="4"/>
  <c r="K25" i="5"/>
  <c r="L99" i="4"/>
  <c r="Q25" i="5"/>
  <c r="M99" i="4"/>
  <c r="R25" i="5"/>
  <c r="T25" i="5"/>
  <c r="O99" i="4"/>
  <c r="U25" i="5"/>
  <c r="P99" i="4"/>
  <c r="W25" i="5"/>
  <c r="Q99" i="4"/>
  <c r="X25" i="5"/>
  <c r="S99" i="4"/>
  <c r="AA25" i="5"/>
  <c r="AJ99" i="4"/>
  <c r="T99" i="4" a="1"/>
  <c r="T99" i="4"/>
  <c r="AC25" i="5"/>
  <c r="U99" i="4" a="1"/>
  <c r="U99" i="4"/>
  <c r="AD25" i="5"/>
  <c r="X99" i="4"/>
  <c r="AI25" i="5"/>
  <c r="Y99" i="4"/>
  <c r="AJ25" i="5"/>
  <c r="Z99" i="4"/>
  <c r="AL25" i="5"/>
  <c r="L25" i="5"/>
  <c r="N25" i="5"/>
  <c r="O25" i="5"/>
  <c r="F25" i="5"/>
  <c r="H25" i="5"/>
  <c r="I25" i="5"/>
  <c r="Z25" i="5"/>
  <c r="AN25" i="5"/>
  <c r="AG26" i="5"/>
  <c r="AF26" i="5"/>
  <c r="C100" i="4"/>
  <c r="C26" i="5"/>
  <c r="D100" i="4"/>
  <c r="E26" i="5"/>
  <c r="H100" i="4"/>
  <c r="K26" i="5"/>
  <c r="L100" i="4"/>
  <c r="Q26" i="5"/>
  <c r="M100" i="4"/>
  <c r="R26" i="5"/>
  <c r="T26" i="5"/>
  <c r="O100" i="4"/>
  <c r="U26" i="5"/>
  <c r="P100" i="4"/>
  <c r="W26" i="5"/>
  <c r="Q100" i="4"/>
  <c r="X26" i="5"/>
  <c r="S100" i="4"/>
  <c r="AA26" i="5"/>
  <c r="AJ100" i="4"/>
  <c r="T100" i="4" a="1"/>
  <c r="T100" i="4"/>
  <c r="AC26" i="5"/>
  <c r="U100" i="4" a="1"/>
  <c r="U100" i="4"/>
  <c r="AD26" i="5"/>
  <c r="X100" i="4"/>
  <c r="AI26" i="5"/>
  <c r="Y100" i="4"/>
  <c r="AJ26" i="5"/>
  <c r="Z100" i="4"/>
  <c r="AL26" i="5"/>
  <c r="L26" i="5"/>
  <c r="N26" i="5"/>
  <c r="O26" i="5"/>
  <c r="F26" i="5"/>
  <c r="H26" i="5"/>
  <c r="I26" i="5"/>
  <c r="Z26" i="5"/>
  <c r="AN26" i="5"/>
  <c r="AG27" i="5"/>
  <c r="AF27" i="5"/>
  <c r="B262" i="4"/>
  <c r="C262" i="4"/>
  <c r="C27" i="5"/>
  <c r="D262" i="4"/>
  <c r="E27" i="5"/>
  <c r="E262" i="4"/>
  <c r="F27" i="5"/>
  <c r="F262" i="4"/>
  <c r="H27" i="5"/>
  <c r="I27" i="5"/>
  <c r="K27" i="5"/>
  <c r="L262" i="4"/>
  <c r="Q27" i="5"/>
  <c r="M262" i="4"/>
  <c r="R27" i="5"/>
  <c r="T27" i="5"/>
  <c r="O262" i="4"/>
  <c r="U27" i="5"/>
  <c r="P262" i="4"/>
  <c r="W27" i="5"/>
  <c r="Q262" i="4"/>
  <c r="X27" i="5"/>
  <c r="S262" i="4"/>
  <c r="AA27" i="5"/>
  <c r="AJ262" i="4"/>
  <c r="T262" i="4" a="1"/>
  <c r="T262" i="4"/>
  <c r="AC27" i="5"/>
  <c r="U262" i="4" a="1"/>
  <c r="U262" i="4"/>
  <c r="AD27" i="5"/>
  <c r="X262" i="4"/>
  <c r="AI27" i="5"/>
  <c r="Y262" i="4"/>
  <c r="AJ27" i="5"/>
  <c r="Z262" i="4"/>
  <c r="AL27" i="5"/>
  <c r="L27" i="5"/>
  <c r="N27" i="5"/>
  <c r="O27" i="5"/>
  <c r="Z27" i="5"/>
  <c r="AN27" i="5"/>
  <c r="AG28" i="5"/>
  <c r="AF28" i="5"/>
  <c r="C182" i="4"/>
  <c r="C28" i="5"/>
  <c r="D182" i="4"/>
  <c r="E28" i="5"/>
  <c r="E182" i="4"/>
  <c r="F28" i="5"/>
  <c r="F182" i="4"/>
  <c r="H28" i="5"/>
  <c r="I28" i="5"/>
  <c r="H182" i="4"/>
  <c r="K28" i="5"/>
  <c r="L182" i="4"/>
  <c r="Q28" i="5"/>
  <c r="M182" i="4"/>
  <c r="R28" i="5"/>
  <c r="N182" i="4"/>
  <c r="T28" i="5"/>
  <c r="O182" i="4"/>
  <c r="U28" i="5"/>
  <c r="P182" i="4"/>
  <c r="W28" i="5"/>
  <c r="Q182" i="4"/>
  <c r="X28" i="5"/>
  <c r="S182" i="4"/>
  <c r="AA28" i="5"/>
  <c r="AJ182" i="4"/>
  <c r="T182" i="4" a="1"/>
  <c r="T182" i="4"/>
  <c r="AC28" i="5"/>
  <c r="U182" i="4" a="1"/>
  <c r="U182" i="4"/>
  <c r="AD28" i="5"/>
  <c r="X182" i="4"/>
  <c r="AI28" i="5"/>
  <c r="Y182" i="4"/>
  <c r="AJ28" i="5"/>
  <c r="Z182" i="4"/>
  <c r="AL28" i="5"/>
  <c r="L28" i="5"/>
  <c r="N28" i="5"/>
  <c r="O28" i="5"/>
  <c r="Z28" i="5"/>
  <c r="AN28" i="5"/>
  <c r="O29" i="5"/>
  <c r="B52" i="4"/>
  <c r="H52" i="4"/>
  <c r="K29" i="5"/>
  <c r="AG29" i="5"/>
  <c r="AF29" i="5"/>
  <c r="C52" i="4"/>
  <c r="C29" i="5"/>
  <c r="D52" i="4"/>
  <c r="E29" i="5"/>
  <c r="I52" i="4"/>
  <c r="L29" i="5"/>
  <c r="J52" i="4"/>
  <c r="N29" i="5"/>
  <c r="L52" i="4"/>
  <c r="Q29" i="5"/>
  <c r="M52" i="4"/>
  <c r="R29" i="5"/>
  <c r="T29" i="5"/>
  <c r="O52" i="4"/>
  <c r="U29" i="5"/>
  <c r="P52" i="4"/>
  <c r="W29" i="5"/>
  <c r="Q52" i="4"/>
  <c r="X29" i="5"/>
  <c r="AA29" i="5"/>
  <c r="AJ52" i="4"/>
  <c r="T52" i="4" a="1"/>
  <c r="T52" i="4"/>
  <c r="AC29" i="5"/>
  <c r="U52" i="4" a="1"/>
  <c r="U52" i="4"/>
  <c r="AD29" i="5"/>
  <c r="Y52" i="4"/>
  <c r="AJ29" i="5"/>
  <c r="Z52" i="4"/>
  <c r="AL29" i="5"/>
  <c r="F29" i="5"/>
  <c r="H29" i="5"/>
  <c r="I29" i="5"/>
  <c r="Z29" i="5"/>
  <c r="AN29" i="5"/>
  <c r="AG30" i="5"/>
  <c r="AF30" i="5"/>
  <c r="B53" i="4"/>
  <c r="C53" i="4"/>
  <c r="C30" i="5"/>
  <c r="D53" i="4"/>
  <c r="E30" i="5"/>
  <c r="H53" i="4"/>
  <c r="K30" i="5"/>
  <c r="L53" i="4"/>
  <c r="Q30" i="5"/>
  <c r="M53" i="4"/>
  <c r="R30" i="5"/>
  <c r="T30" i="5"/>
  <c r="O53" i="4"/>
  <c r="U30" i="5"/>
  <c r="P53" i="4"/>
  <c r="W30" i="5"/>
  <c r="Q53" i="4"/>
  <c r="X30" i="5"/>
  <c r="AA30" i="5"/>
  <c r="AJ53" i="4"/>
  <c r="T53" i="4" a="1"/>
  <c r="T53" i="4"/>
  <c r="AC30" i="5"/>
  <c r="U53" i="4" a="1"/>
  <c r="U53" i="4"/>
  <c r="AD30" i="5"/>
  <c r="Y53" i="4"/>
  <c r="AJ30" i="5"/>
  <c r="Z53" i="4"/>
  <c r="AL30" i="5"/>
  <c r="L30" i="5"/>
  <c r="N30" i="5"/>
  <c r="O30" i="5"/>
  <c r="F30" i="5"/>
  <c r="H30" i="5"/>
  <c r="I30" i="5"/>
  <c r="Z30" i="5"/>
  <c r="AN30" i="5"/>
  <c r="S119" i="4"/>
  <c r="AA31" i="5"/>
  <c r="P119" i="4"/>
  <c r="W31" i="5"/>
  <c r="AG31" i="5"/>
  <c r="AF31" i="5"/>
  <c r="C119" i="4"/>
  <c r="C31" i="5"/>
  <c r="D119" i="4"/>
  <c r="E31" i="5"/>
  <c r="K31" i="5"/>
  <c r="L119" i="4"/>
  <c r="Q31" i="5"/>
  <c r="M119" i="4"/>
  <c r="R31" i="5"/>
  <c r="T31" i="5"/>
  <c r="O119" i="4"/>
  <c r="U31" i="5"/>
  <c r="Q119" i="4"/>
  <c r="X31" i="5"/>
  <c r="R119" i="4"/>
  <c r="Z31" i="5"/>
  <c r="AJ119" i="4"/>
  <c r="T119" i="4" a="1"/>
  <c r="T119" i="4"/>
  <c r="AC31" i="5"/>
  <c r="U119" i="4" a="1"/>
  <c r="U119" i="4"/>
  <c r="AD31" i="5"/>
  <c r="AI31" i="5"/>
  <c r="Y119" i="4"/>
  <c r="AJ31" i="5"/>
  <c r="Z119" i="4"/>
  <c r="AL31" i="5"/>
  <c r="L31" i="5"/>
  <c r="N31" i="5"/>
  <c r="O31" i="5"/>
  <c r="F31" i="5"/>
  <c r="H31" i="5"/>
  <c r="I31" i="5"/>
  <c r="AN31" i="5"/>
  <c r="B120" i="4"/>
  <c r="S120" i="4"/>
  <c r="AA32" i="5"/>
  <c r="P120" i="4"/>
  <c r="W32" i="5"/>
  <c r="AG32" i="5"/>
  <c r="AF32" i="5"/>
  <c r="C120" i="4"/>
  <c r="C32" i="5"/>
  <c r="D120" i="4"/>
  <c r="E32" i="5"/>
  <c r="K32" i="5"/>
  <c r="L120" i="4"/>
  <c r="Q32" i="5"/>
  <c r="M120" i="4"/>
  <c r="R32" i="5"/>
  <c r="T32" i="5"/>
  <c r="O120" i="4"/>
  <c r="U32" i="5"/>
  <c r="Q120" i="4"/>
  <c r="X32" i="5"/>
  <c r="R120" i="4"/>
  <c r="Z32" i="5"/>
  <c r="AJ120" i="4"/>
  <c r="T120" i="4" a="1"/>
  <c r="T120" i="4"/>
  <c r="AC32" i="5"/>
  <c r="U120" i="4" a="1"/>
  <c r="U120" i="4"/>
  <c r="AD32" i="5"/>
  <c r="X120" i="4"/>
  <c r="AI32" i="5"/>
  <c r="Y120" i="4"/>
  <c r="AJ32" i="5"/>
  <c r="Z120" i="4"/>
  <c r="AL32" i="5"/>
  <c r="L32" i="5"/>
  <c r="N32" i="5"/>
  <c r="O32" i="5"/>
  <c r="F32" i="5"/>
  <c r="H32" i="5"/>
  <c r="I32" i="5"/>
  <c r="AN32" i="5"/>
  <c r="B121" i="4"/>
  <c r="S121" i="4"/>
  <c r="AA33" i="5"/>
  <c r="P121" i="4"/>
  <c r="W33" i="5"/>
  <c r="AG33" i="5"/>
  <c r="AF33" i="5"/>
  <c r="C121" i="4"/>
  <c r="C33" i="5"/>
  <c r="D121" i="4"/>
  <c r="E33" i="5"/>
  <c r="K33" i="5"/>
  <c r="L121" i="4"/>
  <c r="Q33" i="5"/>
  <c r="M121" i="4"/>
  <c r="R33" i="5"/>
  <c r="T33" i="5"/>
  <c r="O121" i="4"/>
  <c r="U33" i="5"/>
  <c r="Q121" i="4"/>
  <c r="X33" i="5"/>
  <c r="R121" i="4"/>
  <c r="Z33" i="5"/>
  <c r="AJ121" i="4"/>
  <c r="T121" i="4" a="1"/>
  <c r="T121" i="4"/>
  <c r="AC33" i="5"/>
  <c r="U121" i="4" a="1"/>
  <c r="U121" i="4"/>
  <c r="AD33" i="5"/>
  <c r="X121" i="4"/>
  <c r="AI33" i="5"/>
  <c r="Y121" i="4"/>
  <c r="AJ33" i="5"/>
  <c r="Z121" i="4"/>
  <c r="AL33" i="5"/>
  <c r="L33" i="5"/>
  <c r="N33" i="5"/>
  <c r="O33" i="5"/>
  <c r="F33" i="5"/>
  <c r="H33" i="5"/>
  <c r="I33" i="5"/>
  <c r="AN33" i="5"/>
  <c r="B122" i="4"/>
  <c r="S122" i="4"/>
  <c r="AA34" i="5"/>
  <c r="P122" i="4"/>
  <c r="W34" i="5"/>
  <c r="AG34" i="5"/>
  <c r="AF34" i="5"/>
  <c r="C122" i="4"/>
  <c r="C34" i="5"/>
  <c r="D122" i="4"/>
  <c r="E34" i="5"/>
  <c r="K34" i="5"/>
  <c r="L122" i="4"/>
  <c r="Q34" i="5"/>
  <c r="M122" i="4"/>
  <c r="R34" i="5"/>
  <c r="T34" i="5"/>
  <c r="O122" i="4"/>
  <c r="U34" i="5"/>
  <c r="Q122" i="4"/>
  <c r="X34" i="5"/>
  <c r="R122" i="4"/>
  <c r="Z34" i="5"/>
  <c r="AJ122" i="4"/>
  <c r="T122" i="4" a="1"/>
  <c r="T122" i="4"/>
  <c r="AC34" i="5"/>
  <c r="U122" i="4" a="1"/>
  <c r="U122" i="4"/>
  <c r="AD34" i="5"/>
  <c r="X122" i="4"/>
  <c r="AI34" i="5"/>
  <c r="Y122" i="4"/>
  <c r="AJ34" i="5"/>
  <c r="Z122" i="4"/>
  <c r="AL34" i="5"/>
  <c r="L34" i="5"/>
  <c r="N34" i="5"/>
  <c r="O34" i="5"/>
  <c r="F34" i="5"/>
  <c r="H34" i="5"/>
  <c r="I34" i="5"/>
  <c r="AN34" i="5"/>
  <c r="AG35" i="5"/>
  <c r="AF35" i="5"/>
  <c r="C187" i="4"/>
  <c r="C35" i="5"/>
  <c r="D187" i="4"/>
  <c r="E35" i="5"/>
  <c r="K35" i="5"/>
  <c r="L187" i="4"/>
  <c r="Q35" i="5"/>
  <c r="M187" i="4"/>
  <c r="R35" i="5"/>
  <c r="T35" i="5"/>
  <c r="O187" i="4"/>
  <c r="U35" i="5"/>
  <c r="P187" i="4"/>
  <c r="W35" i="5"/>
  <c r="Q187" i="4"/>
  <c r="X35" i="5"/>
  <c r="S187" i="4"/>
  <c r="AA35" i="5"/>
  <c r="AJ187" i="4"/>
  <c r="T187" i="4" a="1"/>
  <c r="T187" i="4"/>
  <c r="AC35" i="5"/>
  <c r="U187" i="4" a="1"/>
  <c r="U187" i="4"/>
  <c r="AD35" i="5"/>
  <c r="AI35" i="5"/>
  <c r="Y187" i="4"/>
  <c r="AJ35" i="5"/>
  <c r="Z187" i="4"/>
  <c r="AL35" i="5"/>
  <c r="L35" i="5"/>
  <c r="F35" i="5"/>
  <c r="H35" i="5"/>
  <c r="I35" i="5"/>
  <c r="N35" i="5"/>
  <c r="O35" i="5"/>
  <c r="Z35" i="5"/>
  <c r="AN35" i="5"/>
  <c r="AG36" i="5"/>
  <c r="AF36" i="5"/>
  <c r="C188" i="4"/>
  <c r="C36" i="5"/>
  <c r="D188" i="4"/>
  <c r="E36" i="5"/>
  <c r="K36" i="5"/>
  <c r="L188" i="4"/>
  <c r="Q36" i="5"/>
  <c r="M188" i="4"/>
  <c r="T36" i="5"/>
  <c r="O188" i="4"/>
  <c r="U36" i="5"/>
  <c r="P188" i="4"/>
  <c r="W36" i="5"/>
  <c r="Q188" i="4"/>
  <c r="X36" i="5"/>
  <c r="S188" i="4"/>
  <c r="AA36" i="5"/>
  <c r="AJ188" i="4"/>
  <c r="T188" i="4" a="1"/>
  <c r="T188" i="4"/>
  <c r="AC36" i="5"/>
  <c r="U188" i="4" a="1"/>
  <c r="U188" i="4"/>
  <c r="AD36" i="5"/>
  <c r="X188" i="4"/>
  <c r="AI36" i="5"/>
  <c r="Y188" i="4"/>
  <c r="AJ36" i="5"/>
  <c r="Z188" i="4"/>
  <c r="AL36" i="5"/>
  <c r="L36" i="5"/>
  <c r="F36" i="5"/>
  <c r="H36" i="5"/>
  <c r="I36" i="5"/>
  <c r="N36" i="5"/>
  <c r="O36" i="5"/>
  <c r="Z36" i="5"/>
  <c r="AN36" i="5"/>
  <c r="AG37" i="5"/>
  <c r="AF37" i="5"/>
  <c r="C189" i="4"/>
  <c r="C37" i="5"/>
  <c r="D189" i="4"/>
  <c r="E37" i="5"/>
  <c r="K37" i="5"/>
  <c r="L189" i="4"/>
  <c r="Q37" i="5"/>
  <c r="M189" i="4"/>
  <c r="T37" i="5"/>
  <c r="O189" i="4"/>
  <c r="U37" i="5"/>
  <c r="P189" i="4"/>
  <c r="W37" i="5"/>
  <c r="S189" i="4"/>
  <c r="AA37" i="5"/>
  <c r="AJ189" i="4"/>
  <c r="T189" i="4" a="1"/>
  <c r="T189" i="4"/>
  <c r="AC37" i="5"/>
  <c r="U189" i="4" a="1"/>
  <c r="U189" i="4"/>
  <c r="AD37" i="5"/>
  <c r="X189" i="4"/>
  <c r="AI37" i="5"/>
  <c r="Y189" i="4"/>
  <c r="AJ37" i="5"/>
  <c r="Z189" i="4"/>
  <c r="AL37" i="5"/>
  <c r="L37" i="5"/>
  <c r="F37" i="5"/>
  <c r="H37" i="5"/>
  <c r="I37" i="5"/>
  <c r="N37" i="5"/>
  <c r="O37" i="5"/>
  <c r="Z37" i="5"/>
  <c r="AN37" i="5"/>
  <c r="AG38" i="5"/>
  <c r="AF38" i="5"/>
  <c r="B106" i="4"/>
  <c r="C106" i="4"/>
  <c r="C38" i="5"/>
  <c r="D106" i="4"/>
  <c r="E38" i="5"/>
  <c r="H106" i="4"/>
  <c r="K38" i="5"/>
  <c r="L106" i="4"/>
  <c r="Q38" i="5"/>
  <c r="M106" i="4"/>
  <c r="R38" i="5"/>
  <c r="T38" i="5"/>
  <c r="U38" i="5"/>
  <c r="P106" i="4"/>
  <c r="W38" i="5"/>
  <c r="Q106" i="4"/>
  <c r="X38" i="5"/>
  <c r="AA38" i="5"/>
  <c r="AJ106" i="4"/>
  <c r="T106" i="4" a="1"/>
  <c r="T106" i="4"/>
  <c r="AC38" i="5"/>
  <c r="U106" i="4" a="1"/>
  <c r="U106" i="4"/>
  <c r="AD38" i="5"/>
  <c r="X106" i="4"/>
  <c r="AI38" i="5"/>
  <c r="Y106" i="4"/>
  <c r="AJ38" i="5"/>
  <c r="Z106" i="4"/>
  <c r="AL38" i="5"/>
  <c r="F38" i="5"/>
  <c r="H38" i="5"/>
  <c r="I38" i="5"/>
  <c r="L38" i="5"/>
  <c r="N38" i="5"/>
  <c r="O38" i="5"/>
  <c r="Z38" i="5"/>
  <c r="AN38" i="5"/>
  <c r="AG39" i="5"/>
  <c r="AF39" i="5"/>
  <c r="B107" i="4"/>
  <c r="C107" i="4"/>
  <c r="C39" i="5"/>
  <c r="D107" i="4"/>
  <c r="E39" i="5"/>
  <c r="H107" i="4"/>
  <c r="K39" i="5"/>
  <c r="L107" i="4"/>
  <c r="Q39" i="5"/>
  <c r="M107" i="4"/>
  <c r="R39" i="5"/>
  <c r="N107" i="4"/>
  <c r="T39" i="5"/>
  <c r="O107" i="4"/>
  <c r="U39" i="5"/>
  <c r="P107" i="4"/>
  <c r="W39" i="5"/>
  <c r="Q107" i="4"/>
  <c r="X39" i="5"/>
  <c r="AA39" i="5"/>
  <c r="AJ107" i="4"/>
  <c r="T107" i="4" a="1"/>
  <c r="T107" i="4"/>
  <c r="AC39" i="5"/>
  <c r="U107" i="4" a="1"/>
  <c r="U107" i="4"/>
  <c r="AD39" i="5"/>
  <c r="X107" i="4"/>
  <c r="AI39" i="5"/>
  <c r="Y107" i="4"/>
  <c r="AJ39" i="5"/>
  <c r="Z107" i="4"/>
  <c r="AL39" i="5"/>
  <c r="F39" i="5"/>
  <c r="H39" i="5"/>
  <c r="I39" i="5"/>
  <c r="L39" i="5"/>
  <c r="N39" i="5"/>
  <c r="O39" i="5"/>
  <c r="Z39" i="5"/>
  <c r="AN39" i="5"/>
  <c r="AG40" i="5"/>
  <c r="AF40" i="5"/>
  <c r="B108" i="4"/>
  <c r="C108" i="4"/>
  <c r="C40" i="5"/>
  <c r="D108" i="4"/>
  <c r="E40" i="5"/>
  <c r="H108" i="4"/>
  <c r="K40" i="5"/>
  <c r="L108" i="4"/>
  <c r="Q40" i="5"/>
  <c r="M108" i="4"/>
  <c r="R40" i="5"/>
  <c r="T40" i="5"/>
  <c r="U40" i="5"/>
  <c r="P108" i="4"/>
  <c r="W40" i="5"/>
  <c r="Q108" i="4"/>
  <c r="X40" i="5"/>
  <c r="AA40" i="5"/>
  <c r="AJ108" i="4"/>
  <c r="T108" i="4" a="1"/>
  <c r="T108" i="4"/>
  <c r="AC40" i="5"/>
  <c r="U108" i="4" a="1"/>
  <c r="U108" i="4"/>
  <c r="AD40" i="5"/>
  <c r="X108" i="4"/>
  <c r="AI40" i="5"/>
  <c r="Y108" i="4"/>
  <c r="AJ40" i="5"/>
  <c r="Z108" i="4"/>
  <c r="AL40" i="5"/>
  <c r="F40" i="5"/>
  <c r="H40" i="5"/>
  <c r="I40" i="5"/>
  <c r="L40" i="5"/>
  <c r="N40" i="5"/>
  <c r="O40" i="5"/>
  <c r="Z40" i="5"/>
  <c r="AN40" i="5"/>
  <c r="AG41" i="5"/>
  <c r="AF41" i="5"/>
  <c r="C32" i="4"/>
  <c r="C41" i="5"/>
  <c r="D32" i="4"/>
  <c r="E41" i="5"/>
  <c r="H32" i="4"/>
  <c r="K41" i="5"/>
  <c r="L32" i="4"/>
  <c r="Q41" i="5"/>
  <c r="M32" i="4"/>
  <c r="R41" i="5"/>
  <c r="T41" i="5"/>
  <c r="U41" i="5"/>
  <c r="P32" i="4"/>
  <c r="W41" i="5"/>
  <c r="Q32" i="4"/>
  <c r="X41" i="5"/>
  <c r="AA41" i="5"/>
  <c r="AJ32" i="4"/>
  <c r="T32" i="4" a="1"/>
  <c r="T32" i="4"/>
  <c r="AC41" i="5"/>
  <c r="U32" i="4" a="1"/>
  <c r="U32" i="4"/>
  <c r="AD41" i="5"/>
  <c r="X32" i="4"/>
  <c r="AI41" i="5"/>
  <c r="Y32" i="4"/>
  <c r="AJ41" i="5"/>
  <c r="Z32" i="4"/>
  <c r="AL41" i="5"/>
  <c r="F41" i="5"/>
  <c r="H41" i="5"/>
  <c r="I41" i="5"/>
  <c r="L41" i="5"/>
  <c r="N41" i="5"/>
  <c r="O41" i="5"/>
  <c r="Z41" i="5"/>
  <c r="AN41" i="5"/>
  <c r="AG42" i="5"/>
  <c r="AF42" i="5"/>
  <c r="B61" i="4"/>
  <c r="C61" i="4"/>
  <c r="C42" i="5"/>
  <c r="D61" i="4"/>
  <c r="E42" i="5"/>
  <c r="H61" i="4"/>
  <c r="K42" i="5"/>
  <c r="L61" i="4"/>
  <c r="Q42" i="5"/>
  <c r="M61" i="4"/>
  <c r="R42" i="5"/>
  <c r="T42" i="5"/>
  <c r="U42" i="5"/>
  <c r="P61" i="4"/>
  <c r="W42" i="5"/>
  <c r="Q61" i="4"/>
  <c r="X42" i="5"/>
  <c r="AA42" i="5"/>
  <c r="AJ61" i="4"/>
  <c r="T61" i="4" a="1"/>
  <c r="T61" i="4"/>
  <c r="AC42" i="5"/>
  <c r="U61" i="4" a="1"/>
  <c r="U61" i="4"/>
  <c r="AD42" i="5"/>
  <c r="X61" i="4"/>
  <c r="AI42" i="5"/>
  <c r="Y61" i="4"/>
  <c r="AJ42" i="5"/>
  <c r="Z61" i="4"/>
  <c r="AL42" i="5"/>
  <c r="F42" i="5"/>
  <c r="H42" i="5"/>
  <c r="I42" i="5"/>
  <c r="L42" i="5"/>
  <c r="N42" i="5"/>
  <c r="O42" i="5"/>
  <c r="Z42" i="5"/>
  <c r="AN42" i="5"/>
  <c r="AG43" i="5"/>
  <c r="AF43" i="5"/>
  <c r="C150" i="4"/>
  <c r="C43" i="5"/>
  <c r="T43" i="5"/>
  <c r="O150" i="4"/>
  <c r="U43" i="5"/>
  <c r="P150" i="4"/>
  <c r="W43" i="5"/>
  <c r="Q150" i="4"/>
  <c r="X43" i="5"/>
  <c r="AA43" i="5"/>
  <c r="AJ150" i="4"/>
  <c r="T150" i="4" a="1"/>
  <c r="T150" i="4"/>
  <c r="AC43" i="5"/>
  <c r="U150" i="4" a="1"/>
  <c r="U150" i="4"/>
  <c r="AD43" i="5"/>
  <c r="X150" i="4"/>
  <c r="AI43" i="5"/>
  <c r="Y150" i="4"/>
  <c r="AJ43" i="5"/>
  <c r="Z150" i="4"/>
  <c r="AL43" i="5"/>
  <c r="F43" i="5"/>
  <c r="H43" i="5"/>
  <c r="I43" i="5"/>
  <c r="L43" i="5"/>
  <c r="N43" i="5"/>
  <c r="O43" i="5"/>
  <c r="Z43" i="5"/>
  <c r="AN43" i="5"/>
  <c r="AG44" i="5"/>
  <c r="AF44" i="5"/>
  <c r="C123" i="4"/>
  <c r="C44" i="5"/>
  <c r="N123" i="4"/>
  <c r="T44" i="5"/>
  <c r="O123" i="4"/>
  <c r="U44" i="5"/>
  <c r="P123" i="4"/>
  <c r="W44" i="5"/>
  <c r="Q123" i="4"/>
  <c r="X44" i="5"/>
  <c r="AA44" i="5"/>
  <c r="AJ123" i="4"/>
  <c r="T123" i="4" a="1"/>
  <c r="T123" i="4"/>
  <c r="AC44" i="5"/>
  <c r="U123" i="4" a="1"/>
  <c r="U123" i="4"/>
  <c r="AD44" i="5"/>
  <c r="X123" i="4"/>
  <c r="AI44" i="5"/>
  <c r="Y123" i="4"/>
  <c r="AJ44" i="5"/>
  <c r="Z123" i="4"/>
  <c r="AL44" i="5"/>
  <c r="F44" i="5"/>
  <c r="H44" i="5"/>
  <c r="I44" i="5"/>
  <c r="L44" i="5"/>
  <c r="N44" i="5"/>
  <c r="O44" i="5"/>
  <c r="Z44" i="5"/>
  <c r="AN44" i="5"/>
  <c r="AG45" i="5"/>
  <c r="AF45" i="5"/>
  <c r="C151" i="4"/>
  <c r="C45" i="5"/>
  <c r="T45" i="5"/>
  <c r="O151" i="4"/>
  <c r="U45" i="5"/>
  <c r="P151" i="4"/>
  <c r="W45" i="5"/>
  <c r="Q151" i="4"/>
  <c r="X45" i="5"/>
  <c r="AA45" i="5"/>
  <c r="AJ151" i="4"/>
  <c r="T151" i="4" a="1"/>
  <c r="T151" i="4"/>
  <c r="AC45" i="5"/>
  <c r="U151" i="4" a="1"/>
  <c r="U151" i="4"/>
  <c r="AD45" i="5"/>
  <c r="X151" i="4"/>
  <c r="AI45" i="5"/>
  <c r="Y151" i="4"/>
  <c r="AJ45" i="5"/>
  <c r="Z151" i="4"/>
  <c r="AL45" i="5"/>
  <c r="Z45" i="5"/>
  <c r="AN45" i="5"/>
  <c r="AG46" i="5"/>
  <c r="AF46" i="5"/>
  <c r="C33" i="4"/>
  <c r="C46" i="5"/>
  <c r="D33" i="4"/>
  <c r="E46" i="5"/>
  <c r="H33" i="4"/>
  <c r="K46" i="5"/>
  <c r="L33" i="4"/>
  <c r="Q46" i="5"/>
  <c r="M33" i="4"/>
  <c r="R46" i="5"/>
  <c r="T46" i="5"/>
  <c r="U46" i="5"/>
  <c r="P33" i="4"/>
  <c r="W46" i="5"/>
  <c r="Q33" i="4"/>
  <c r="X46" i="5"/>
  <c r="AA46" i="5"/>
  <c r="AJ33" i="4"/>
  <c r="T33" i="4" a="1"/>
  <c r="T33" i="4"/>
  <c r="AC46" i="5"/>
  <c r="U33" i="4" a="1"/>
  <c r="U33" i="4"/>
  <c r="AD46" i="5"/>
  <c r="Y33" i="4"/>
  <c r="AJ46" i="5"/>
  <c r="Z33" i="4"/>
  <c r="AL46" i="5"/>
  <c r="F46" i="5"/>
  <c r="H46" i="5"/>
  <c r="I46" i="5"/>
  <c r="L46" i="5"/>
  <c r="N46" i="5"/>
  <c r="O46" i="5"/>
  <c r="Z46" i="5"/>
  <c r="AN46" i="5"/>
  <c r="AG47" i="5"/>
  <c r="AF47" i="5"/>
  <c r="C34" i="4"/>
  <c r="C47" i="5"/>
  <c r="D34" i="4"/>
  <c r="E47" i="5"/>
  <c r="H34" i="4"/>
  <c r="K47" i="5"/>
  <c r="L34" i="4"/>
  <c r="Q47" i="5"/>
  <c r="M34" i="4"/>
  <c r="R47" i="5"/>
  <c r="T47" i="5"/>
  <c r="O34" i="4"/>
  <c r="U47" i="5"/>
  <c r="P34" i="4"/>
  <c r="W47" i="5"/>
  <c r="Q34" i="4"/>
  <c r="X47" i="5"/>
  <c r="AA47" i="5"/>
  <c r="AJ34" i="4"/>
  <c r="T34" i="4" a="1"/>
  <c r="T34" i="4"/>
  <c r="AC47" i="5"/>
  <c r="U34" i="4" a="1"/>
  <c r="U34" i="4"/>
  <c r="AD47" i="5"/>
  <c r="X34" i="4"/>
  <c r="AI47" i="5"/>
  <c r="Y34" i="4"/>
  <c r="AJ47" i="5"/>
  <c r="Z34" i="4"/>
  <c r="AL47" i="5"/>
  <c r="F47" i="5"/>
  <c r="H47" i="5"/>
  <c r="I47" i="5"/>
  <c r="L47" i="5"/>
  <c r="N47" i="5"/>
  <c r="O47" i="5"/>
  <c r="Z47" i="5"/>
  <c r="AN47" i="5"/>
  <c r="AG48" i="5"/>
  <c r="AF48" i="5"/>
  <c r="B16" i="4"/>
  <c r="C16" i="4"/>
  <c r="C48" i="5"/>
  <c r="D16" i="4"/>
  <c r="E48" i="5"/>
  <c r="H16" i="4"/>
  <c r="K48" i="5"/>
  <c r="L16" i="4"/>
  <c r="Q48" i="5"/>
  <c r="M16" i="4"/>
  <c r="R48" i="5"/>
  <c r="T48" i="5"/>
  <c r="U48" i="5"/>
  <c r="P16" i="4"/>
  <c r="W48" i="5"/>
  <c r="Q16" i="4"/>
  <c r="X48" i="5"/>
  <c r="AA48" i="5"/>
  <c r="AJ16" i="4"/>
  <c r="T16" i="4" a="1"/>
  <c r="T16" i="4"/>
  <c r="AC48" i="5"/>
  <c r="U16" i="4" a="1"/>
  <c r="U16" i="4"/>
  <c r="AD48" i="5"/>
  <c r="X16" i="4"/>
  <c r="AI48" i="5"/>
  <c r="Y16" i="4"/>
  <c r="AJ48" i="5"/>
  <c r="Z16" i="4"/>
  <c r="AL48" i="5"/>
  <c r="F48" i="5"/>
  <c r="H48" i="5"/>
  <c r="I48" i="5"/>
  <c r="L48" i="5"/>
  <c r="N48" i="5"/>
  <c r="O48" i="5"/>
  <c r="Z48" i="5"/>
  <c r="AN48" i="5"/>
  <c r="AG49" i="5"/>
  <c r="AF49" i="5"/>
  <c r="B152" i="4"/>
  <c r="C152" i="4"/>
  <c r="C49" i="5"/>
  <c r="D152" i="4"/>
  <c r="E49" i="5"/>
  <c r="H152" i="4"/>
  <c r="K49" i="5"/>
  <c r="L152" i="4"/>
  <c r="Q49" i="5"/>
  <c r="M152" i="4"/>
  <c r="R49" i="5"/>
  <c r="T49" i="5"/>
  <c r="O152" i="4"/>
  <c r="U49" i="5"/>
  <c r="P152" i="4"/>
  <c r="W49" i="5"/>
  <c r="Q152" i="4"/>
  <c r="X49" i="5"/>
  <c r="AA49" i="5"/>
  <c r="AJ152" i="4"/>
  <c r="T152" i="4" a="1"/>
  <c r="T152" i="4"/>
  <c r="AC49" i="5"/>
  <c r="U152" i="4" a="1"/>
  <c r="U152" i="4"/>
  <c r="AD49" i="5"/>
  <c r="X152" i="4"/>
  <c r="AI49" i="5"/>
  <c r="Y152" i="4"/>
  <c r="AJ49" i="5"/>
  <c r="Z152" i="4"/>
  <c r="AL49" i="5"/>
  <c r="F49" i="5"/>
  <c r="H49" i="5"/>
  <c r="I49" i="5"/>
  <c r="L49" i="5"/>
  <c r="N49" i="5"/>
  <c r="O49" i="5"/>
  <c r="Z49" i="5"/>
  <c r="AN49" i="5"/>
  <c r="AG50" i="5"/>
  <c r="AF50" i="5"/>
  <c r="B62" i="4"/>
  <c r="C62" i="4"/>
  <c r="C50" i="5"/>
  <c r="D62" i="4"/>
  <c r="E50" i="5"/>
  <c r="L62" i="4"/>
  <c r="Q50" i="5"/>
  <c r="M62" i="4"/>
  <c r="R50" i="5"/>
  <c r="T50" i="5"/>
  <c r="U50" i="5"/>
  <c r="P62" i="4"/>
  <c r="W50" i="5"/>
  <c r="Q62" i="4"/>
  <c r="X50" i="5"/>
  <c r="S62" i="4"/>
  <c r="AA50" i="5"/>
  <c r="AJ62" i="4"/>
  <c r="T62" i="4" a="1"/>
  <c r="T62" i="4"/>
  <c r="AC50" i="5"/>
  <c r="U62" i="4" a="1"/>
  <c r="U62" i="4"/>
  <c r="AD50" i="5"/>
  <c r="X62" i="4"/>
  <c r="AI50" i="5"/>
  <c r="Y62" i="4"/>
  <c r="AJ50" i="5"/>
  <c r="Z62" i="4"/>
  <c r="AL50" i="5"/>
  <c r="L50" i="5"/>
  <c r="F50" i="5"/>
  <c r="H50" i="5"/>
  <c r="I50" i="5"/>
  <c r="N50" i="5"/>
  <c r="O50" i="5"/>
  <c r="Z50" i="5"/>
  <c r="AN50" i="5"/>
  <c r="AG51" i="5"/>
  <c r="AF51" i="5"/>
  <c r="B109" i="4"/>
  <c r="C109" i="4"/>
  <c r="C51" i="5"/>
  <c r="D109" i="4"/>
  <c r="E51" i="5"/>
  <c r="L109" i="4"/>
  <c r="Q51" i="5"/>
  <c r="M109" i="4"/>
  <c r="R51" i="5"/>
  <c r="N109" i="4"/>
  <c r="T51" i="5"/>
  <c r="O109" i="4"/>
  <c r="U51" i="5"/>
  <c r="P109" i="4"/>
  <c r="W51" i="5"/>
  <c r="Q109" i="4"/>
  <c r="X51" i="5"/>
  <c r="S109" i="4"/>
  <c r="AA51" i="5"/>
  <c r="X109" i="4"/>
  <c r="AI51" i="5"/>
  <c r="Y109" i="4"/>
  <c r="AJ51" i="5"/>
  <c r="Z109" i="4"/>
  <c r="AL51" i="5"/>
  <c r="L51" i="5"/>
  <c r="F51" i="5"/>
  <c r="H51" i="5"/>
  <c r="I51" i="5"/>
  <c r="N51" i="5"/>
  <c r="O51" i="5"/>
  <c r="Z51" i="5"/>
  <c r="AN51" i="5"/>
  <c r="AG52" i="5"/>
  <c r="AF52" i="5"/>
  <c r="C124" i="4"/>
  <c r="C52" i="5"/>
  <c r="D124" i="4"/>
  <c r="E52" i="5"/>
  <c r="L124" i="4"/>
  <c r="Q52" i="5"/>
  <c r="M124" i="4"/>
  <c r="R52" i="5"/>
  <c r="T52" i="5"/>
  <c r="U52" i="5"/>
  <c r="P124" i="4"/>
  <c r="W52" i="5"/>
  <c r="Q124" i="4"/>
  <c r="X52" i="5"/>
  <c r="S124" i="4"/>
  <c r="AA52" i="5"/>
  <c r="AJ124" i="4"/>
  <c r="T124" i="4" a="1"/>
  <c r="T124" i="4"/>
  <c r="AC52" i="5"/>
  <c r="U124" i="4" a="1"/>
  <c r="U124" i="4"/>
  <c r="AD52" i="5"/>
  <c r="X124" i="4"/>
  <c r="AI52" i="5"/>
  <c r="Y124" i="4"/>
  <c r="AJ52" i="5"/>
  <c r="Z124" i="4"/>
  <c r="AL52" i="5"/>
  <c r="L52" i="5"/>
  <c r="F52" i="5"/>
  <c r="H52" i="5"/>
  <c r="I52" i="5"/>
  <c r="N52" i="5"/>
  <c r="O52" i="5"/>
  <c r="Z52" i="5"/>
  <c r="AN52" i="5"/>
  <c r="AG53" i="5"/>
  <c r="AF53" i="5"/>
  <c r="B17" i="4"/>
  <c r="C17" i="4"/>
  <c r="C53" i="5"/>
  <c r="D17" i="4"/>
  <c r="E53" i="5"/>
  <c r="L17" i="4"/>
  <c r="Q53" i="5"/>
  <c r="M17" i="4"/>
  <c r="R53" i="5"/>
  <c r="T53" i="5"/>
  <c r="U53" i="5"/>
  <c r="P17" i="4"/>
  <c r="W53" i="5"/>
  <c r="Q17" i="4"/>
  <c r="X53" i="5"/>
  <c r="S17" i="4"/>
  <c r="AA53" i="5"/>
  <c r="AJ17" i="4"/>
  <c r="T17" i="4" a="1"/>
  <c r="T17" i="4"/>
  <c r="AC53" i="5"/>
  <c r="U17" i="4" a="1"/>
  <c r="U17" i="4"/>
  <c r="AD53" i="5"/>
  <c r="X17" i="4"/>
  <c r="AI53" i="5"/>
  <c r="Y17" i="4"/>
  <c r="AJ53" i="5"/>
  <c r="Z17" i="4"/>
  <c r="AL53" i="5"/>
  <c r="L53" i="5"/>
  <c r="F53" i="5"/>
  <c r="H53" i="5"/>
  <c r="I53" i="5"/>
  <c r="N53" i="5"/>
  <c r="O53" i="5"/>
  <c r="Z53" i="5"/>
  <c r="AN53" i="5"/>
  <c r="AG54" i="5"/>
  <c r="AF54" i="5"/>
  <c r="C237" i="4"/>
  <c r="C54" i="5"/>
  <c r="D237" i="4"/>
  <c r="E54" i="5"/>
  <c r="K54" i="5"/>
  <c r="I237" i="4"/>
  <c r="L54" i="5"/>
  <c r="J237" i="4"/>
  <c r="N54" i="5"/>
  <c r="O54" i="5"/>
  <c r="L237" i="4"/>
  <c r="Q54" i="5"/>
  <c r="M237" i="4"/>
  <c r="R54" i="5"/>
  <c r="T54" i="5"/>
  <c r="U54" i="5"/>
  <c r="P237" i="4"/>
  <c r="W54" i="5"/>
  <c r="Q237" i="4"/>
  <c r="X54" i="5"/>
  <c r="S237" i="4"/>
  <c r="AA54" i="5"/>
  <c r="AJ237" i="4"/>
  <c r="T237" i="4" a="1"/>
  <c r="T237" i="4"/>
  <c r="AC54" i="5"/>
  <c r="AD54" i="5"/>
  <c r="X237" i="4"/>
  <c r="AI54" i="5"/>
  <c r="Y237" i="4"/>
  <c r="AJ54" i="5"/>
  <c r="Z237" i="4"/>
  <c r="AL54" i="5"/>
  <c r="F54" i="5"/>
  <c r="H54" i="5"/>
  <c r="I54" i="5"/>
  <c r="Z54" i="5"/>
  <c r="AN54" i="5"/>
  <c r="AG55" i="5"/>
  <c r="AF55" i="5"/>
  <c r="C35" i="4"/>
  <c r="C55" i="5"/>
  <c r="D35" i="4"/>
  <c r="E55" i="5"/>
  <c r="H35" i="4"/>
  <c r="K55" i="5"/>
  <c r="L35" i="4"/>
  <c r="Q55" i="5"/>
  <c r="M35" i="4"/>
  <c r="R55" i="5"/>
  <c r="N35" i="4"/>
  <c r="T55" i="5"/>
  <c r="O35" i="4"/>
  <c r="U55" i="5"/>
  <c r="P35" i="4"/>
  <c r="W55" i="5"/>
  <c r="Q35" i="4"/>
  <c r="X55" i="5"/>
  <c r="AA55" i="5"/>
  <c r="AJ35" i="4"/>
  <c r="T35" i="4" a="1"/>
  <c r="T35" i="4"/>
  <c r="AC55" i="5"/>
  <c r="U35" i="4" a="1"/>
  <c r="U35" i="4"/>
  <c r="AD55" i="5"/>
  <c r="X35" i="4"/>
  <c r="AI55" i="5"/>
  <c r="Y35" i="4"/>
  <c r="AJ55" i="5"/>
  <c r="Z35" i="4"/>
  <c r="AL55" i="5"/>
  <c r="L55" i="5"/>
  <c r="N55" i="5"/>
  <c r="O55" i="5"/>
  <c r="F55" i="5"/>
  <c r="H55" i="5"/>
  <c r="I55" i="5"/>
  <c r="Z55" i="5"/>
  <c r="AN55" i="5"/>
  <c r="AG56" i="5"/>
  <c r="AF56" i="5"/>
  <c r="C36" i="4"/>
  <c r="C56" i="5"/>
  <c r="D36" i="4"/>
  <c r="E56" i="5"/>
  <c r="H36" i="4"/>
  <c r="K56" i="5"/>
  <c r="L36" i="4"/>
  <c r="Q56" i="5"/>
  <c r="M36" i="4"/>
  <c r="R56" i="5"/>
  <c r="N36" i="4"/>
  <c r="T56" i="5"/>
  <c r="O36" i="4"/>
  <c r="U56" i="5"/>
  <c r="P36" i="4"/>
  <c r="W56" i="5"/>
  <c r="Q36" i="4"/>
  <c r="X56" i="5"/>
  <c r="AA56" i="5"/>
  <c r="AJ36" i="4"/>
  <c r="T36" i="4" a="1"/>
  <c r="T36" i="4"/>
  <c r="AC56" i="5"/>
  <c r="U36" i="4" a="1"/>
  <c r="U36" i="4"/>
  <c r="AD56" i="5"/>
  <c r="X36" i="4"/>
  <c r="AI56" i="5"/>
  <c r="Y36" i="4"/>
  <c r="AJ56" i="5"/>
  <c r="Z36" i="4"/>
  <c r="AL56" i="5"/>
  <c r="L56" i="5"/>
  <c r="N56" i="5"/>
  <c r="O56" i="5"/>
  <c r="F56" i="5"/>
  <c r="H56" i="5"/>
  <c r="I56" i="5"/>
  <c r="Z56" i="5"/>
  <c r="AN56" i="5"/>
  <c r="AG57" i="5"/>
  <c r="AF57" i="5"/>
  <c r="C37" i="4"/>
  <c r="C57" i="5"/>
  <c r="D37" i="4"/>
  <c r="E57" i="5"/>
  <c r="H37" i="4"/>
  <c r="K57" i="5"/>
  <c r="L37" i="4"/>
  <c r="Q57" i="5"/>
  <c r="M37" i="4"/>
  <c r="R57" i="5"/>
  <c r="T57" i="5"/>
  <c r="U57" i="5"/>
  <c r="P37" i="4"/>
  <c r="W57" i="5"/>
  <c r="Q37" i="4"/>
  <c r="X57" i="5"/>
  <c r="AA57" i="5"/>
  <c r="AJ37" i="4"/>
  <c r="T37" i="4" a="1"/>
  <c r="T37" i="4"/>
  <c r="AC57" i="5"/>
  <c r="U37" i="4" a="1"/>
  <c r="U37" i="4"/>
  <c r="AD57" i="5"/>
  <c r="X37" i="4"/>
  <c r="AI57" i="5"/>
  <c r="Y37" i="4"/>
  <c r="AJ57" i="5"/>
  <c r="Z37" i="4"/>
  <c r="AL57" i="5"/>
  <c r="L57" i="5"/>
  <c r="N57" i="5"/>
  <c r="O57" i="5"/>
  <c r="F57" i="5"/>
  <c r="H57" i="5"/>
  <c r="I57" i="5"/>
  <c r="Z57" i="5"/>
  <c r="AN57" i="5"/>
  <c r="AG58" i="5"/>
  <c r="AF58" i="5"/>
  <c r="C38" i="4"/>
  <c r="C58" i="5"/>
  <c r="D38" i="4"/>
  <c r="E58" i="5"/>
  <c r="H38" i="4"/>
  <c r="K58" i="5"/>
  <c r="I38" i="4"/>
  <c r="L58" i="5"/>
  <c r="J38" i="4"/>
  <c r="N58" i="5"/>
  <c r="O58" i="5"/>
  <c r="L38" i="4"/>
  <c r="Q58" i="5"/>
  <c r="M38" i="4"/>
  <c r="R58" i="5"/>
  <c r="N38" i="4"/>
  <c r="T58" i="5"/>
  <c r="O38" i="4"/>
  <c r="U58" i="5"/>
  <c r="P38" i="4"/>
  <c r="W58" i="5"/>
  <c r="Q38" i="4"/>
  <c r="X58" i="5"/>
  <c r="AA58" i="5"/>
  <c r="AJ38" i="4"/>
  <c r="T38" i="4" a="1"/>
  <c r="T38" i="4"/>
  <c r="AC58" i="5"/>
  <c r="U38" i="4" a="1"/>
  <c r="U38" i="4"/>
  <c r="AD58" i="5"/>
  <c r="X38" i="4"/>
  <c r="AI58" i="5"/>
  <c r="Y38" i="4"/>
  <c r="AJ58" i="5"/>
  <c r="Z38" i="4"/>
  <c r="AL58" i="5"/>
  <c r="F58" i="5"/>
  <c r="H58" i="5"/>
  <c r="I58" i="5"/>
  <c r="Z58" i="5"/>
  <c r="AN58" i="5"/>
  <c r="AG59" i="5"/>
  <c r="AF59" i="5"/>
  <c r="C39" i="4"/>
  <c r="C59" i="5"/>
  <c r="D39" i="4"/>
  <c r="E59" i="5"/>
  <c r="H39" i="4"/>
  <c r="K59" i="5"/>
  <c r="L39" i="4"/>
  <c r="Q59" i="5"/>
  <c r="M39" i="4"/>
  <c r="R59" i="5"/>
  <c r="N39" i="4"/>
  <c r="T59" i="5"/>
  <c r="O39" i="4"/>
  <c r="U59" i="5"/>
  <c r="P39" i="4"/>
  <c r="W59" i="5"/>
  <c r="Q39" i="4"/>
  <c r="X59" i="5"/>
  <c r="AA59" i="5"/>
  <c r="AJ39" i="4"/>
  <c r="T39" i="4" a="1"/>
  <c r="T39" i="4"/>
  <c r="AC59" i="5"/>
  <c r="U39" i="4" a="1"/>
  <c r="U39" i="4"/>
  <c r="AD59" i="5"/>
  <c r="X39" i="4"/>
  <c r="AI59" i="5"/>
  <c r="Y39" i="4"/>
  <c r="AJ59" i="5"/>
  <c r="Z39" i="4"/>
  <c r="AL59" i="5"/>
  <c r="L59" i="5"/>
  <c r="N59" i="5"/>
  <c r="O59" i="5"/>
  <c r="F59" i="5"/>
  <c r="H59" i="5"/>
  <c r="I59" i="5"/>
  <c r="Z59" i="5"/>
  <c r="AN59" i="5"/>
  <c r="AG60" i="5"/>
  <c r="AF60" i="5"/>
  <c r="C40" i="4"/>
  <c r="C60" i="5"/>
  <c r="T60" i="5"/>
  <c r="U60" i="5"/>
  <c r="P40" i="4"/>
  <c r="W60" i="5"/>
  <c r="Q40" i="4"/>
  <c r="X60" i="5"/>
  <c r="AA60" i="5"/>
  <c r="AJ40" i="4"/>
  <c r="T40" i="4" a="1"/>
  <c r="T40" i="4"/>
  <c r="AC60" i="5"/>
  <c r="U40" i="4" a="1"/>
  <c r="U40" i="4"/>
  <c r="AD60" i="5"/>
  <c r="X40" i="4"/>
  <c r="AI60" i="5"/>
  <c r="Y40" i="4"/>
  <c r="AJ60" i="5"/>
  <c r="Z40" i="4"/>
  <c r="AL60" i="5"/>
  <c r="F60" i="5"/>
  <c r="H60" i="5"/>
  <c r="I60" i="5"/>
  <c r="Z60" i="5"/>
  <c r="AN60" i="5"/>
  <c r="F61" i="5"/>
  <c r="H61" i="5"/>
  <c r="I61" i="5"/>
  <c r="AG62" i="5"/>
  <c r="AF62" i="5"/>
  <c r="B63" i="4"/>
  <c r="C63" i="4"/>
  <c r="C62" i="5"/>
  <c r="D63" i="4"/>
  <c r="E62" i="5"/>
  <c r="H63" i="4"/>
  <c r="K62" i="5"/>
  <c r="L63" i="4"/>
  <c r="Q62" i="5"/>
  <c r="M63" i="4"/>
  <c r="R62" i="5"/>
  <c r="T62" i="5"/>
  <c r="U62" i="5"/>
  <c r="P63" i="4"/>
  <c r="W62" i="5"/>
  <c r="Q63" i="4"/>
  <c r="X62" i="5"/>
  <c r="AA62" i="5"/>
  <c r="AJ63" i="4"/>
  <c r="T63" i="4" a="1"/>
  <c r="T63" i="4"/>
  <c r="AC62" i="5"/>
  <c r="U63" i="4" a="1"/>
  <c r="U63" i="4"/>
  <c r="AD62" i="5"/>
  <c r="AI62" i="5"/>
  <c r="Y63" i="4"/>
  <c r="AJ62" i="5"/>
  <c r="Z63" i="4"/>
  <c r="AL62" i="5"/>
  <c r="F62" i="5"/>
  <c r="H62" i="5"/>
  <c r="I62" i="5"/>
  <c r="L62" i="5"/>
  <c r="N62" i="5"/>
  <c r="O62" i="5"/>
  <c r="Z62" i="5"/>
  <c r="AN62" i="5"/>
  <c r="AG63" i="5"/>
  <c r="AF63" i="5"/>
  <c r="B64" i="4"/>
  <c r="C64" i="4"/>
  <c r="C63" i="5"/>
  <c r="D64" i="4"/>
  <c r="E63" i="5"/>
  <c r="H64" i="4"/>
  <c r="K63" i="5"/>
  <c r="L64" i="4"/>
  <c r="Q63" i="5"/>
  <c r="M64" i="4"/>
  <c r="R63" i="5"/>
  <c r="T63" i="5"/>
  <c r="U63" i="5"/>
  <c r="P64" i="4"/>
  <c r="W63" i="5"/>
  <c r="Q64" i="4"/>
  <c r="X63" i="5"/>
  <c r="AA63" i="5"/>
  <c r="AJ64" i="4"/>
  <c r="T64" i="4" a="1"/>
  <c r="T64" i="4"/>
  <c r="AC63" i="5"/>
  <c r="U64" i="4" a="1"/>
  <c r="U64" i="4"/>
  <c r="AD63" i="5"/>
  <c r="Y64" i="4"/>
  <c r="AJ63" i="5"/>
  <c r="Z64" i="4"/>
  <c r="AL63" i="5"/>
  <c r="F63" i="5"/>
  <c r="H63" i="5"/>
  <c r="I63" i="5"/>
  <c r="L63" i="5"/>
  <c r="N63" i="5"/>
  <c r="O63" i="5"/>
  <c r="Z63" i="5"/>
  <c r="AN63" i="5"/>
  <c r="AG64" i="5"/>
  <c r="AF64" i="5"/>
  <c r="B65" i="4"/>
  <c r="C65" i="4"/>
  <c r="C64" i="5"/>
  <c r="D65" i="4"/>
  <c r="E64" i="5"/>
  <c r="H65" i="4"/>
  <c r="K64" i="5"/>
  <c r="L65" i="4"/>
  <c r="Q64" i="5"/>
  <c r="M65" i="4"/>
  <c r="R64" i="5"/>
  <c r="T64" i="5"/>
  <c r="U64" i="5"/>
  <c r="P65" i="4"/>
  <c r="W64" i="5"/>
  <c r="Q65" i="4"/>
  <c r="X64" i="5"/>
  <c r="AA64" i="5"/>
  <c r="AJ65" i="4"/>
  <c r="T65" i="4" a="1"/>
  <c r="T65" i="4"/>
  <c r="AC64" i="5"/>
  <c r="U65" i="4" a="1"/>
  <c r="U65" i="4"/>
  <c r="AD64" i="5"/>
  <c r="Y65" i="4"/>
  <c r="AJ64" i="5"/>
  <c r="Z65" i="4"/>
  <c r="AL64" i="5"/>
  <c r="F64" i="5"/>
  <c r="H64" i="5"/>
  <c r="I64" i="5"/>
  <c r="L64" i="5"/>
  <c r="N64" i="5"/>
  <c r="O64" i="5"/>
  <c r="Z64" i="5"/>
  <c r="AN64" i="5"/>
  <c r="AG65" i="5"/>
  <c r="AF65" i="5"/>
  <c r="C18" i="4"/>
  <c r="C65" i="5"/>
  <c r="T65" i="5"/>
  <c r="U65" i="5"/>
  <c r="P18" i="4"/>
  <c r="W65" i="5"/>
  <c r="Q18" i="4"/>
  <c r="X65" i="5"/>
  <c r="AA65" i="5"/>
  <c r="AJ18" i="4"/>
  <c r="T18" i="4" a="1"/>
  <c r="T18" i="4"/>
  <c r="AC65" i="5"/>
  <c r="U18" i="4" a="1"/>
  <c r="U18" i="4"/>
  <c r="AD65" i="5"/>
  <c r="X18" i="4"/>
  <c r="AI65" i="5"/>
  <c r="Y18" i="4"/>
  <c r="AJ65" i="5"/>
  <c r="Z18" i="4"/>
  <c r="AL65" i="5"/>
  <c r="Z65" i="5"/>
  <c r="AN65" i="5"/>
  <c r="AG66" i="5"/>
  <c r="AF66" i="5"/>
  <c r="C110" i="4"/>
  <c r="C66" i="5"/>
  <c r="T66" i="5"/>
  <c r="U66" i="5"/>
  <c r="P110" i="4"/>
  <c r="W66" i="5"/>
  <c r="Q110" i="4"/>
  <c r="X66" i="5"/>
  <c r="AA66" i="5"/>
  <c r="AJ110" i="4"/>
  <c r="T110" i="4" a="1"/>
  <c r="T110" i="4"/>
  <c r="AC66" i="5"/>
  <c r="U110" i="4" a="1"/>
  <c r="U110" i="4"/>
  <c r="AD66" i="5"/>
  <c r="X110" i="4"/>
  <c r="AI66" i="5"/>
  <c r="Y110" i="4"/>
  <c r="AJ66" i="5"/>
  <c r="Z110" i="4"/>
  <c r="AL66" i="5"/>
  <c r="F66" i="5"/>
  <c r="H66" i="5"/>
  <c r="I66" i="5"/>
  <c r="L66" i="5"/>
  <c r="N66" i="5"/>
  <c r="O66" i="5"/>
  <c r="Z66" i="5"/>
  <c r="AN66" i="5"/>
  <c r="AG67" i="5"/>
  <c r="AF67" i="5"/>
  <c r="C111" i="4"/>
  <c r="C67" i="5"/>
  <c r="T67" i="5"/>
  <c r="U67" i="5"/>
  <c r="P111" i="4"/>
  <c r="W67" i="5"/>
  <c r="Q111" i="4"/>
  <c r="X67" i="5"/>
  <c r="AA67" i="5"/>
  <c r="AJ111" i="4"/>
  <c r="T111" i="4" a="1"/>
  <c r="T111" i="4"/>
  <c r="AC67" i="5"/>
  <c r="U111" i="4" a="1"/>
  <c r="U111" i="4"/>
  <c r="AD67" i="5"/>
  <c r="X111" i="4"/>
  <c r="AI67" i="5"/>
  <c r="Y111" i="4"/>
  <c r="AJ67" i="5"/>
  <c r="Z111" i="4"/>
  <c r="AL67" i="5"/>
  <c r="F67" i="5"/>
  <c r="H67" i="5"/>
  <c r="I67" i="5"/>
  <c r="L67" i="5"/>
  <c r="N67" i="5"/>
  <c r="O67" i="5"/>
  <c r="Z67" i="5"/>
  <c r="AN67" i="5"/>
  <c r="AG68" i="5"/>
  <c r="AF68" i="5"/>
  <c r="C41" i="4"/>
  <c r="C68" i="5"/>
  <c r="D41" i="4"/>
  <c r="E68" i="5"/>
  <c r="H41" i="4"/>
  <c r="K68" i="5"/>
  <c r="L41" i="4"/>
  <c r="Q68" i="5"/>
  <c r="M41" i="4"/>
  <c r="R68" i="5"/>
  <c r="T68" i="5"/>
  <c r="U68" i="5"/>
  <c r="P41" i="4"/>
  <c r="W68" i="5"/>
  <c r="Q41" i="4"/>
  <c r="X68" i="5"/>
  <c r="AA68" i="5"/>
  <c r="AJ41" i="4"/>
  <c r="T41" i="4" a="1"/>
  <c r="T41" i="4"/>
  <c r="AC68" i="5"/>
  <c r="U41" i="4" a="1"/>
  <c r="U41" i="4"/>
  <c r="AD68" i="5"/>
  <c r="Y41" i="4"/>
  <c r="AJ68" i="5"/>
  <c r="Z41" i="4"/>
  <c r="AL68" i="5"/>
  <c r="F68" i="5"/>
  <c r="H68" i="5"/>
  <c r="I68" i="5"/>
  <c r="L68" i="5"/>
  <c r="N68" i="5"/>
  <c r="O68" i="5"/>
  <c r="Z68" i="5"/>
  <c r="AN68" i="5"/>
  <c r="AG69" i="5"/>
  <c r="AF69" i="5"/>
  <c r="C42" i="4"/>
  <c r="C69" i="5"/>
  <c r="D42" i="4"/>
  <c r="E69" i="5"/>
  <c r="H42" i="4"/>
  <c r="K69" i="5"/>
  <c r="I42" i="4"/>
  <c r="L69" i="5"/>
  <c r="J42" i="4"/>
  <c r="N69" i="5"/>
  <c r="O69" i="5"/>
  <c r="L42" i="4"/>
  <c r="Q69" i="5"/>
  <c r="M42" i="4"/>
  <c r="R69" i="5"/>
  <c r="N42" i="4"/>
  <c r="T69" i="5"/>
  <c r="O42" i="4"/>
  <c r="U69" i="5"/>
  <c r="P42" i="4"/>
  <c r="W69" i="5"/>
  <c r="Q42" i="4"/>
  <c r="X69" i="5"/>
  <c r="AA69" i="5"/>
  <c r="AJ42" i="4"/>
  <c r="T42" i="4" a="1"/>
  <c r="T42" i="4"/>
  <c r="AC69" i="5"/>
  <c r="AD69" i="5"/>
  <c r="X42" i="4"/>
  <c r="AI69" i="5"/>
  <c r="Y42" i="4"/>
  <c r="AJ69" i="5"/>
  <c r="Z42" i="4"/>
  <c r="AL69" i="5"/>
  <c r="F69" i="5"/>
  <c r="H69" i="5"/>
  <c r="I69" i="5"/>
  <c r="Z69" i="5"/>
  <c r="AN69" i="5"/>
  <c r="AG70" i="5"/>
  <c r="AF70" i="5"/>
  <c r="C43" i="4"/>
  <c r="C70" i="5"/>
  <c r="D43" i="4"/>
  <c r="E70" i="5"/>
  <c r="H43" i="4"/>
  <c r="K70" i="5"/>
  <c r="L43" i="4"/>
  <c r="Q70" i="5"/>
  <c r="M43" i="4"/>
  <c r="R70" i="5"/>
  <c r="N43" i="4"/>
  <c r="T70" i="5"/>
  <c r="O43" i="4"/>
  <c r="U70" i="5"/>
  <c r="P43" i="4"/>
  <c r="W70" i="5"/>
  <c r="Q43" i="4"/>
  <c r="X70" i="5"/>
  <c r="AA70" i="5"/>
  <c r="AJ43" i="4"/>
  <c r="T43" i="4" a="1"/>
  <c r="T43" i="4"/>
  <c r="AC70" i="5"/>
  <c r="U43" i="4" a="1"/>
  <c r="U43" i="4"/>
  <c r="AD70" i="5"/>
  <c r="Y43" i="4"/>
  <c r="AJ70" i="5"/>
  <c r="Z43" i="4"/>
  <c r="AL70" i="5"/>
  <c r="F70" i="5"/>
  <c r="H70" i="5"/>
  <c r="I70" i="5"/>
  <c r="L70" i="5"/>
  <c r="N70" i="5"/>
  <c r="O70" i="5"/>
  <c r="Z70" i="5"/>
  <c r="AN70" i="5"/>
  <c r="AG71" i="5"/>
  <c r="AF71" i="5"/>
  <c r="B66" i="4"/>
  <c r="C66" i="4"/>
  <c r="C71" i="5"/>
  <c r="D66" i="4"/>
  <c r="E71" i="5"/>
  <c r="H66" i="4"/>
  <c r="K71" i="5"/>
  <c r="L66" i="4"/>
  <c r="Q71" i="5"/>
  <c r="M66" i="4"/>
  <c r="R71" i="5"/>
  <c r="T71" i="5"/>
  <c r="U71" i="5"/>
  <c r="P66" i="4"/>
  <c r="W71" i="5"/>
  <c r="Q66" i="4"/>
  <c r="X71" i="5"/>
  <c r="AA71" i="5"/>
  <c r="AJ66" i="4"/>
  <c r="T66" i="4" a="1"/>
  <c r="T66" i="4"/>
  <c r="AC71" i="5"/>
  <c r="U66" i="4" a="1"/>
  <c r="U66" i="4"/>
  <c r="AD71" i="5"/>
  <c r="Y66" i="4"/>
  <c r="AJ71" i="5"/>
  <c r="Z66" i="4"/>
  <c r="AL71" i="5"/>
  <c r="F71" i="5"/>
  <c r="H71" i="5"/>
  <c r="I71" i="5"/>
  <c r="L71" i="5"/>
  <c r="N71" i="5"/>
  <c r="O71" i="5"/>
  <c r="Z71" i="5"/>
  <c r="AN71" i="5"/>
  <c r="AG72" i="5"/>
  <c r="AF72" i="5"/>
  <c r="C238" i="4"/>
  <c r="C72" i="5"/>
  <c r="D238" i="4"/>
  <c r="E72" i="5"/>
  <c r="H238" i="4"/>
  <c r="K72" i="5"/>
  <c r="L238" i="4"/>
  <c r="Q72" i="5"/>
  <c r="M238" i="4"/>
  <c r="R72" i="5"/>
  <c r="T72" i="5"/>
  <c r="O238" i="4"/>
  <c r="U72" i="5"/>
  <c r="P238" i="4"/>
  <c r="W72" i="5"/>
  <c r="Q238" i="4"/>
  <c r="X72" i="5"/>
  <c r="S238" i="4"/>
  <c r="AA72" i="5"/>
  <c r="AJ238" i="4"/>
  <c r="T238" i="4" a="1"/>
  <c r="T238" i="4"/>
  <c r="AC72" i="5"/>
  <c r="U238" i="4" a="1"/>
  <c r="U238" i="4"/>
  <c r="AD72" i="5"/>
  <c r="X238" i="4"/>
  <c r="AI72" i="5"/>
  <c r="Y238" i="4"/>
  <c r="AJ72" i="5"/>
  <c r="Z238" i="4"/>
  <c r="AL72" i="5"/>
  <c r="F72" i="5"/>
  <c r="H72" i="5"/>
  <c r="I72" i="5"/>
  <c r="L72" i="5"/>
  <c r="N72" i="5"/>
  <c r="O72" i="5"/>
  <c r="Z72" i="5"/>
  <c r="AN72" i="5"/>
  <c r="AG73" i="5"/>
  <c r="AF73" i="5"/>
  <c r="C223" i="4"/>
  <c r="C73" i="5"/>
  <c r="D223" i="4"/>
  <c r="E73" i="5"/>
  <c r="E223" i="4"/>
  <c r="F73" i="5"/>
  <c r="F223" i="4"/>
  <c r="H73" i="5"/>
  <c r="I73" i="5"/>
  <c r="H223" i="4"/>
  <c r="K73" i="5"/>
  <c r="L223" i="4"/>
  <c r="Q73" i="5"/>
  <c r="M223" i="4"/>
  <c r="R73" i="5"/>
  <c r="T73" i="5"/>
  <c r="U73" i="5"/>
  <c r="P223" i="4"/>
  <c r="W73" i="5"/>
  <c r="Q223" i="4"/>
  <c r="X73" i="5"/>
  <c r="S223" i="4"/>
  <c r="AA73" i="5"/>
  <c r="AJ223" i="4"/>
  <c r="T223" i="4" a="1"/>
  <c r="T223" i="4"/>
  <c r="AC73" i="5"/>
  <c r="U223" i="4" a="1"/>
  <c r="U223" i="4"/>
  <c r="AD73" i="5"/>
  <c r="X223" i="4"/>
  <c r="AI73" i="5"/>
  <c r="Y223" i="4"/>
  <c r="AJ73" i="5"/>
  <c r="Z223" i="4"/>
  <c r="AL73" i="5"/>
  <c r="L73" i="5"/>
  <c r="N73" i="5"/>
  <c r="O73" i="5"/>
  <c r="Z73" i="5"/>
  <c r="AN73" i="5"/>
  <c r="AG74" i="5"/>
  <c r="AF74" i="5"/>
  <c r="C240" i="4"/>
  <c r="C74" i="5"/>
  <c r="D240" i="4"/>
  <c r="E74" i="5"/>
  <c r="H240" i="4"/>
  <c r="K74" i="5"/>
  <c r="L240" i="4"/>
  <c r="Q74" i="5"/>
  <c r="M240" i="4"/>
  <c r="R74" i="5"/>
  <c r="T74" i="5"/>
  <c r="U74" i="5"/>
  <c r="P240" i="4"/>
  <c r="W74" i="5"/>
  <c r="Q240" i="4"/>
  <c r="X74" i="5"/>
  <c r="S240" i="4"/>
  <c r="AA74" i="5"/>
  <c r="AJ240" i="4"/>
  <c r="T240" i="4" a="1"/>
  <c r="T240" i="4"/>
  <c r="AC74" i="5"/>
  <c r="U240" i="4" a="1"/>
  <c r="U240" i="4"/>
  <c r="AD74" i="5"/>
  <c r="X240" i="4"/>
  <c r="AI74" i="5"/>
  <c r="Y240" i="4"/>
  <c r="AJ74" i="5"/>
  <c r="Z240" i="4"/>
  <c r="AL74" i="5"/>
  <c r="F74" i="5"/>
  <c r="H74" i="5"/>
  <c r="I74" i="5"/>
  <c r="L74" i="5"/>
  <c r="N74" i="5"/>
  <c r="O74" i="5"/>
  <c r="Z74" i="5"/>
  <c r="AN74" i="5"/>
  <c r="AG75" i="5"/>
  <c r="AF75" i="5"/>
  <c r="C241" i="4"/>
  <c r="C75" i="5"/>
  <c r="D241" i="4"/>
  <c r="E75" i="5"/>
  <c r="H241" i="4"/>
  <c r="K75" i="5"/>
  <c r="L241" i="4"/>
  <c r="Q75" i="5"/>
  <c r="R75" i="5"/>
  <c r="T75" i="5"/>
  <c r="O241" i="4"/>
  <c r="U75" i="5"/>
  <c r="P241" i="4"/>
  <c r="W75" i="5"/>
  <c r="Q241" i="4"/>
  <c r="X75" i="5"/>
  <c r="S241" i="4"/>
  <c r="AA75" i="5"/>
  <c r="AJ241" i="4"/>
  <c r="T241" i="4" a="1"/>
  <c r="T241" i="4"/>
  <c r="AC75" i="5"/>
  <c r="U241" i="4" a="1"/>
  <c r="U241" i="4"/>
  <c r="AD75" i="5"/>
  <c r="X241" i="4"/>
  <c r="AI75" i="5"/>
  <c r="Y241" i="4"/>
  <c r="AJ75" i="5"/>
  <c r="Z241" i="4"/>
  <c r="AL75" i="5"/>
  <c r="F75" i="5"/>
  <c r="H75" i="5"/>
  <c r="I75" i="5"/>
  <c r="L75" i="5"/>
  <c r="N75" i="5"/>
  <c r="O75" i="5"/>
  <c r="Z75" i="5"/>
  <c r="AN75" i="5"/>
  <c r="AG76" i="5"/>
  <c r="AF76" i="5"/>
  <c r="B206" i="4"/>
  <c r="C206" i="4"/>
  <c r="C76" i="5"/>
  <c r="D206" i="4"/>
  <c r="E76" i="5"/>
  <c r="H206" i="4"/>
  <c r="K76" i="5"/>
  <c r="L206" i="4"/>
  <c r="Q76" i="5"/>
  <c r="M206" i="4"/>
  <c r="R76" i="5"/>
  <c r="T76" i="5"/>
  <c r="U76" i="5"/>
  <c r="P206" i="4"/>
  <c r="W76" i="5"/>
  <c r="Q206" i="4"/>
  <c r="X76" i="5"/>
  <c r="S206" i="4"/>
  <c r="AA76" i="5"/>
  <c r="AJ206" i="4"/>
  <c r="T206" i="4" a="1"/>
  <c r="T206" i="4"/>
  <c r="AC76" i="5"/>
  <c r="U206" i="4" a="1"/>
  <c r="U206" i="4"/>
  <c r="AD76" i="5"/>
  <c r="X206" i="4"/>
  <c r="AI76" i="5"/>
  <c r="Y206" i="4"/>
  <c r="AJ76" i="5"/>
  <c r="Z206" i="4"/>
  <c r="AL76" i="5"/>
  <c r="F76" i="5"/>
  <c r="H76" i="5"/>
  <c r="I76" i="5"/>
  <c r="L76" i="5"/>
  <c r="N76" i="5"/>
  <c r="O76" i="5"/>
  <c r="Z76" i="5"/>
  <c r="AN76" i="5"/>
  <c r="AG77" i="5"/>
  <c r="AF77" i="5"/>
  <c r="C190" i="4"/>
  <c r="C77" i="5"/>
  <c r="D190" i="4"/>
  <c r="E77" i="5"/>
  <c r="E190" i="4"/>
  <c r="F77" i="5"/>
  <c r="F190" i="4"/>
  <c r="H77" i="5"/>
  <c r="I77" i="5"/>
  <c r="H190" i="4"/>
  <c r="K77" i="5"/>
  <c r="L190" i="4"/>
  <c r="Q77" i="5"/>
  <c r="M190" i="4"/>
  <c r="R77" i="5"/>
  <c r="T77" i="5"/>
  <c r="U77" i="5"/>
  <c r="P190" i="4"/>
  <c r="W77" i="5"/>
  <c r="Q190" i="4"/>
  <c r="X77" i="5"/>
  <c r="AA77" i="5"/>
  <c r="AJ190" i="4"/>
  <c r="T190" i="4" a="1"/>
  <c r="T190" i="4"/>
  <c r="AC77" i="5"/>
  <c r="AD77" i="5"/>
  <c r="X190" i="4"/>
  <c r="AI77" i="5"/>
  <c r="Y190" i="4"/>
  <c r="AJ77" i="5"/>
  <c r="Z190" i="4"/>
  <c r="AL77" i="5"/>
  <c r="L77" i="5"/>
  <c r="N77" i="5"/>
  <c r="O77" i="5"/>
  <c r="Z77" i="5"/>
  <c r="AN77" i="5"/>
  <c r="AG78" i="5"/>
  <c r="AF78" i="5"/>
  <c r="C191" i="4"/>
  <c r="C78" i="5"/>
  <c r="T78" i="5"/>
  <c r="U78" i="5"/>
  <c r="P191" i="4"/>
  <c r="W78" i="5"/>
  <c r="Q191" i="4"/>
  <c r="X78" i="5"/>
  <c r="S191" i="4"/>
  <c r="AA78" i="5"/>
  <c r="X191" i="4"/>
  <c r="AI78" i="5"/>
  <c r="Y191" i="4"/>
  <c r="AJ78" i="5"/>
  <c r="Z191" i="4"/>
  <c r="AL78" i="5"/>
  <c r="Z78" i="5"/>
  <c r="AN78" i="5"/>
  <c r="AG79" i="5"/>
  <c r="AF79" i="5"/>
  <c r="B192" i="4"/>
  <c r="C192" i="4"/>
  <c r="C79" i="5"/>
  <c r="D192" i="4"/>
  <c r="E79" i="5"/>
  <c r="E192" i="4"/>
  <c r="F79" i="5"/>
  <c r="F192" i="4"/>
  <c r="H79" i="5"/>
  <c r="I79" i="5"/>
  <c r="H192" i="4"/>
  <c r="K79" i="5"/>
  <c r="L192" i="4"/>
  <c r="Q79" i="5"/>
  <c r="M192" i="4"/>
  <c r="R79" i="5"/>
  <c r="T79" i="5"/>
  <c r="U79" i="5"/>
  <c r="P192" i="4"/>
  <c r="W79" i="5"/>
  <c r="Q192" i="4"/>
  <c r="X79" i="5"/>
  <c r="S192" i="4"/>
  <c r="AA79" i="5"/>
  <c r="AJ192" i="4"/>
  <c r="T192" i="4" a="1"/>
  <c r="T192" i="4"/>
  <c r="AC79" i="5"/>
  <c r="AD79" i="5"/>
  <c r="X192" i="4"/>
  <c r="AI79" i="5"/>
  <c r="Y192" i="4"/>
  <c r="AJ79" i="5"/>
  <c r="Z192" i="4"/>
  <c r="AL79" i="5"/>
  <c r="L79" i="5"/>
  <c r="N79" i="5"/>
  <c r="O79" i="5"/>
  <c r="Z79" i="5"/>
  <c r="AN79" i="5"/>
  <c r="AG80" i="5"/>
  <c r="AF80" i="5"/>
  <c r="C154" i="4"/>
  <c r="C80" i="5"/>
  <c r="D154" i="4"/>
  <c r="E80" i="5"/>
  <c r="H154" i="4"/>
  <c r="K80" i="5"/>
  <c r="L154" i="4"/>
  <c r="Q80" i="5"/>
  <c r="M154" i="4"/>
  <c r="R80" i="5"/>
  <c r="T80" i="5"/>
  <c r="O154" i="4"/>
  <c r="U80" i="5"/>
  <c r="P154" i="4"/>
  <c r="W80" i="5"/>
  <c r="Q154" i="4"/>
  <c r="X80" i="5"/>
  <c r="S154" i="4"/>
  <c r="AA80" i="5"/>
  <c r="AJ154" i="4"/>
  <c r="T154" i="4" a="1"/>
  <c r="T154" i="4"/>
  <c r="AC80" i="5"/>
  <c r="U154" i="4" a="1"/>
  <c r="U154" i="4"/>
  <c r="AD80" i="5"/>
  <c r="X154" i="4"/>
  <c r="AI80" i="5"/>
  <c r="Y154" i="4"/>
  <c r="AJ80" i="5"/>
  <c r="Z154" i="4"/>
  <c r="AL80" i="5"/>
  <c r="F80" i="5"/>
  <c r="H80" i="5"/>
  <c r="I80" i="5"/>
  <c r="L80" i="5"/>
  <c r="N80" i="5"/>
  <c r="O80" i="5"/>
  <c r="Z80" i="5"/>
  <c r="AN80" i="5"/>
  <c r="AG81" i="5"/>
  <c r="AF81" i="5"/>
  <c r="C242" i="4"/>
  <c r="C81" i="5"/>
  <c r="D242" i="4"/>
  <c r="E81" i="5"/>
  <c r="K81" i="5"/>
  <c r="L242" i="4"/>
  <c r="Q81" i="5"/>
  <c r="R81" i="5"/>
  <c r="T81" i="5"/>
  <c r="O242" i="4"/>
  <c r="U81" i="5"/>
  <c r="P242" i="4"/>
  <c r="W81" i="5"/>
  <c r="Q242" i="4"/>
  <c r="X81" i="5"/>
  <c r="S242" i="4"/>
  <c r="AA81" i="5"/>
  <c r="AJ242" i="4"/>
  <c r="T242" i="4" a="1"/>
  <c r="T242" i="4"/>
  <c r="AC81" i="5"/>
  <c r="AD81" i="5"/>
  <c r="X242" i="4"/>
  <c r="AI81" i="5"/>
  <c r="Y242" i="4"/>
  <c r="AJ81" i="5"/>
  <c r="Z242" i="4"/>
  <c r="AL81" i="5"/>
  <c r="F81" i="5"/>
  <c r="H81" i="5"/>
  <c r="I81" i="5"/>
  <c r="L81" i="5"/>
  <c r="N81" i="5"/>
  <c r="O81" i="5"/>
  <c r="Z81" i="5"/>
  <c r="AN81" i="5"/>
  <c r="AG82" i="5"/>
  <c r="AF82" i="5"/>
  <c r="C243" i="4"/>
  <c r="C82" i="5"/>
  <c r="D243" i="4"/>
  <c r="E82" i="5"/>
  <c r="K82" i="5"/>
  <c r="L243" i="4"/>
  <c r="Q82" i="5"/>
  <c r="M243" i="4"/>
  <c r="R82" i="5"/>
  <c r="T82" i="5"/>
  <c r="O243" i="4"/>
  <c r="U82" i="5"/>
  <c r="P243" i="4"/>
  <c r="W82" i="5"/>
  <c r="Q243" i="4"/>
  <c r="X82" i="5"/>
  <c r="S243" i="4"/>
  <c r="AA82" i="5"/>
  <c r="AJ243" i="4"/>
  <c r="T243" i="4" a="1"/>
  <c r="T243" i="4"/>
  <c r="AC82" i="5"/>
  <c r="U243" i="4" a="1"/>
  <c r="U243" i="4"/>
  <c r="AD82" i="5"/>
  <c r="X243" i="4"/>
  <c r="AI82" i="5"/>
  <c r="Y243" i="4"/>
  <c r="AJ82" i="5"/>
  <c r="Z243" i="4"/>
  <c r="AL82" i="5"/>
  <c r="F82" i="5"/>
  <c r="H82" i="5"/>
  <c r="I82" i="5"/>
  <c r="L82" i="5"/>
  <c r="N82" i="5"/>
  <c r="O82" i="5"/>
  <c r="Z82" i="5"/>
  <c r="AN82" i="5"/>
  <c r="AG83" i="5"/>
  <c r="AF83" i="5"/>
  <c r="C244" i="4"/>
  <c r="C83" i="5"/>
  <c r="D244" i="4"/>
  <c r="E83" i="5"/>
  <c r="K83" i="5"/>
  <c r="L244" i="4"/>
  <c r="Q83" i="5"/>
  <c r="M244" i="4"/>
  <c r="R83" i="5"/>
  <c r="T83" i="5"/>
  <c r="O244" i="4"/>
  <c r="U83" i="5"/>
  <c r="P244" i="4"/>
  <c r="W83" i="5"/>
  <c r="Q244" i="4"/>
  <c r="X83" i="5"/>
  <c r="S244" i="4"/>
  <c r="AA83" i="5"/>
  <c r="AJ244" i="4"/>
  <c r="T244" i="4" a="1"/>
  <c r="T244" i="4"/>
  <c r="AC83" i="5"/>
  <c r="AD83" i="5"/>
  <c r="X244" i="4"/>
  <c r="AI83" i="5"/>
  <c r="Y244" i="4"/>
  <c r="AJ83" i="5"/>
  <c r="Z244" i="4"/>
  <c r="AL83" i="5"/>
  <c r="F83" i="5"/>
  <c r="H83" i="5"/>
  <c r="I83" i="5"/>
  <c r="L83" i="5"/>
  <c r="N83" i="5"/>
  <c r="O83" i="5"/>
  <c r="Z83" i="5"/>
  <c r="AN83" i="5"/>
  <c r="AG84" i="5"/>
  <c r="AF84" i="5"/>
  <c r="C245" i="4"/>
  <c r="C84" i="5"/>
  <c r="D245" i="4"/>
  <c r="E84" i="5"/>
  <c r="K84" i="5"/>
  <c r="L245" i="4"/>
  <c r="Q84" i="5"/>
  <c r="M245" i="4"/>
  <c r="R84" i="5"/>
  <c r="T84" i="5"/>
  <c r="U84" i="5"/>
  <c r="P245" i="4"/>
  <c r="W84" i="5"/>
  <c r="Q245" i="4"/>
  <c r="X84" i="5"/>
  <c r="S245" i="4"/>
  <c r="AA84" i="5"/>
  <c r="AJ245" i="4"/>
  <c r="T245" i="4" a="1"/>
  <c r="T245" i="4"/>
  <c r="AC84" i="5"/>
  <c r="AD84" i="5"/>
  <c r="X245" i="4"/>
  <c r="AI84" i="5"/>
  <c r="Y245" i="4"/>
  <c r="AJ84" i="5"/>
  <c r="Z245" i="4"/>
  <c r="AL84" i="5"/>
  <c r="F84" i="5"/>
  <c r="H84" i="5"/>
  <c r="I84" i="5"/>
  <c r="L84" i="5"/>
  <c r="N84" i="5"/>
  <c r="O84" i="5"/>
  <c r="Z84" i="5"/>
  <c r="AN84" i="5"/>
  <c r="AG85" i="5"/>
  <c r="AF85" i="5"/>
  <c r="C246" i="4"/>
  <c r="C85" i="5"/>
  <c r="D246" i="4"/>
  <c r="E85" i="5"/>
  <c r="K85" i="5"/>
  <c r="L246" i="4"/>
  <c r="Q85" i="5"/>
  <c r="M246" i="4"/>
  <c r="R85" i="5"/>
  <c r="T85" i="5"/>
  <c r="O246" i="4"/>
  <c r="U85" i="5"/>
  <c r="P246" i="4"/>
  <c r="W85" i="5"/>
  <c r="Q246" i="4"/>
  <c r="X85" i="5"/>
  <c r="S246" i="4"/>
  <c r="AA85" i="5"/>
  <c r="X246" i="4"/>
  <c r="AI85" i="5"/>
  <c r="Y246" i="4"/>
  <c r="AJ85" i="5"/>
  <c r="Z246" i="4"/>
  <c r="AL85" i="5"/>
  <c r="F85" i="5"/>
  <c r="H85" i="5"/>
  <c r="I85" i="5"/>
  <c r="L85" i="5"/>
  <c r="N85" i="5"/>
  <c r="O85" i="5"/>
  <c r="Z85" i="5"/>
  <c r="AN85" i="5"/>
  <c r="AG86" i="5"/>
  <c r="AF86" i="5"/>
  <c r="B248" i="4"/>
  <c r="C248" i="4"/>
  <c r="C86" i="5"/>
  <c r="D248" i="4"/>
  <c r="E86" i="5"/>
  <c r="K86" i="5"/>
  <c r="L248" i="4"/>
  <c r="Q86" i="5"/>
  <c r="M248" i="4"/>
  <c r="R86" i="5"/>
  <c r="T86" i="5"/>
  <c r="U86" i="5"/>
  <c r="P248" i="4"/>
  <c r="W86" i="5"/>
  <c r="Q248" i="4"/>
  <c r="X86" i="5"/>
  <c r="S248" i="4"/>
  <c r="AA86" i="5"/>
  <c r="AJ248" i="4"/>
  <c r="T248" i="4" a="1"/>
  <c r="T248" i="4"/>
  <c r="AC86" i="5"/>
  <c r="AD86" i="5"/>
  <c r="X248" i="4"/>
  <c r="AI86" i="5"/>
  <c r="Y248" i="4"/>
  <c r="AJ86" i="5"/>
  <c r="Z248" i="4"/>
  <c r="AL86" i="5"/>
  <c r="F86" i="5"/>
  <c r="H86" i="5"/>
  <c r="I86" i="5"/>
  <c r="L86" i="5"/>
  <c r="N86" i="5"/>
  <c r="O86" i="5"/>
  <c r="Z86" i="5"/>
  <c r="AN86" i="5"/>
  <c r="AG87" i="5"/>
  <c r="AF87" i="5"/>
  <c r="C250" i="4"/>
  <c r="C87" i="5"/>
  <c r="T87" i="5"/>
  <c r="O250" i="4"/>
  <c r="U87" i="5"/>
  <c r="P250" i="4"/>
  <c r="W87" i="5"/>
  <c r="Q250" i="4"/>
  <c r="X87" i="5"/>
  <c r="S250" i="4"/>
  <c r="AA87" i="5"/>
  <c r="AJ250" i="4"/>
  <c r="T250" i="4" a="1"/>
  <c r="T250" i="4"/>
  <c r="AC87" i="5"/>
  <c r="U250" i="4" a="1"/>
  <c r="U250" i="4"/>
  <c r="AD87" i="5"/>
  <c r="X250" i="4"/>
  <c r="AI87" i="5"/>
  <c r="Y250" i="4"/>
  <c r="AJ87" i="5"/>
  <c r="Z250" i="4"/>
  <c r="AL87" i="5"/>
  <c r="L87" i="5"/>
  <c r="N87" i="5"/>
  <c r="O87" i="5"/>
  <c r="Z87" i="5"/>
  <c r="AN87" i="5"/>
  <c r="AG88" i="5"/>
  <c r="AF88" i="5"/>
  <c r="C193" i="4"/>
  <c r="C88" i="5"/>
  <c r="T88" i="5"/>
  <c r="O193" i="4"/>
  <c r="U88" i="5"/>
  <c r="P193" i="4"/>
  <c r="W88" i="5"/>
  <c r="Q193" i="4"/>
  <c r="X88" i="5"/>
  <c r="S193" i="4"/>
  <c r="AA88" i="5"/>
  <c r="AJ193" i="4"/>
  <c r="T193" i="4" a="1"/>
  <c r="T193" i="4"/>
  <c r="AC88" i="5"/>
  <c r="U193" i="4" a="1"/>
  <c r="U193" i="4"/>
  <c r="AD88" i="5"/>
  <c r="X193" i="4"/>
  <c r="AI88" i="5"/>
  <c r="Y193" i="4"/>
  <c r="AJ88" i="5"/>
  <c r="Z193" i="4"/>
  <c r="AL88" i="5"/>
  <c r="L88" i="5"/>
  <c r="N88" i="5"/>
  <c r="O88" i="5"/>
  <c r="Z88" i="5"/>
  <c r="AN88" i="5"/>
  <c r="AG89" i="5"/>
  <c r="AF89" i="5"/>
  <c r="B125" i="4"/>
  <c r="C125" i="4"/>
  <c r="C89" i="5"/>
  <c r="D125" i="4"/>
  <c r="E89" i="5"/>
  <c r="E125" i="4"/>
  <c r="F89" i="5"/>
  <c r="F125" i="4"/>
  <c r="H89" i="5"/>
  <c r="I89" i="5"/>
  <c r="H125" i="4"/>
  <c r="K89" i="5"/>
  <c r="L125" i="4"/>
  <c r="Q89" i="5"/>
  <c r="M125" i="4"/>
  <c r="R89" i="5"/>
  <c r="T89" i="5"/>
  <c r="U89" i="5"/>
  <c r="P125" i="4"/>
  <c r="W89" i="5"/>
  <c r="Q125" i="4"/>
  <c r="X89" i="5"/>
  <c r="S125" i="4"/>
  <c r="AA89" i="5"/>
  <c r="AJ125" i="4"/>
  <c r="T125" i="4" a="1"/>
  <c r="T125" i="4"/>
  <c r="AC89" i="5"/>
  <c r="U125" i="4" a="1"/>
  <c r="U125" i="4"/>
  <c r="AD89" i="5"/>
  <c r="X125" i="4"/>
  <c r="AI89" i="5"/>
  <c r="Y125" i="4"/>
  <c r="AJ89" i="5"/>
  <c r="Z125" i="4"/>
  <c r="AL89" i="5"/>
  <c r="L89" i="5"/>
  <c r="N89" i="5"/>
  <c r="O89" i="5"/>
  <c r="Z89" i="5"/>
  <c r="AN89" i="5"/>
  <c r="B67" i="4"/>
  <c r="S67" i="4"/>
  <c r="AA90" i="5"/>
  <c r="P67" i="4"/>
  <c r="W90" i="5"/>
  <c r="K67" i="4"/>
  <c r="O90" i="5"/>
  <c r="H67" i="4"/>
  <c r="K90" i="5"/>
  <c r="W67" i="4"/>
  <c r="AG90" i="5"/>
  <c r="V67" i="4"/>
  <c r="AF90" i="5"/>
  <c r="C67" i="4"/>
  <c r="C90" i="5"/>
  <c r="D67" i="4"/>
  <c r="E90" i="5"/>
  <c r="G67" i="4"/>
  <c r="I90" i="5"/>
  <c r="I67" i="4"/>
  <c r="L90" i="5"/>
  <c r="J67" i="4"/>
  <c r="N90" i="5"/>
  <c r="L67" i="4"/>
  <c r="Q90" i="5"/>
  <c r="O67" i="4"/>
  <c r="U90" i="5"/>
  <c r="Q67" i="4"/>
  <c r="X90" i="5"/>
  <c r="R67" i="4"/>
  <c r="Z90" i="5"/>
  <c r="AJ67" i="4"/>
  <c r="T67" i="4" a="1"/>
  <c r="T67" i="4"/>
  <c r="AC90" i="5"/>
  <c r="U67" i="4" a="1"/>
  <c r="U67" i="4"/>
  <c r="AD90" i="5"/>
  <c r="X67" i="4"/>
  <c r="AI90" i="5"/>
  <c r="Y67" i="4"/>
  <c r="AJ90" i="5"/>
  <c r="Z67" i="4"/>
  <c r="AL90" i="5"/>
  <c r="R90" i="5"/>
  <c r="T90" i="5"/>
  <c r="F90" i="5"/>
  <c r="H90" i="5"/>
  <c r="AN90" i="5"/>
  <c r="S68" i="4"/>
  <c r="AA91" i="5"/>
  <c r="P68" i="4"/>
  <c r="W91" i="5"/>
  <c r="AG91" i="5"/>
  <c r="AF91" i="5"/>
  <c r="C68" i="4"/>
  <c r="C91" i="5"/>
  <c r="O68" i="4"/>
  <c r="U91" i="5"/>
  <c r="Q68" i="4"/>
  <c r="X91" i="5"/>
  <c r="R68" i="4"/>
  <c r="Z91" i="5"/>
  <c r="X68" i="4"/>
  <c r="AI91" i="5"/>
  <c r="Y68" i="4"/>
  <c r="AJ91" i="5"/>
  <c r="Z68" i="4"/>
  <c r="AL91" i="5"/>
  <c r="T91" i="5"/>
  <c r="F91" i="5"/>
  <c r="H91" i="5"/>
  <c r="AN91" i="5"/>
  <c r="O92" i="5"/>
  <c r="K92" i="5"/>
  <c r="AG92" i="5"/>
  <c r="AF92" i="5"/>
  <c r="B251" i="4"/>
  <c r="C251" i="4"/>
  <c r="C92" i="5"/>
  <c r="D251" i="4"/>
  <c r="E92" i="5"/>
  <c r="I251" i="4"/>
  <c r="L92" i="5"/>
  <c r="J251" i="4"/>
  <c r="N92" i="5"/>
  <c r="L251" i="4"/>
  <c r="Q92" i="5"/>
  <c r="M251" i="4"/>
  <c r="R92" i="5"/>
  <c r="T92" i="5"/>
  <c r="U92" i="5"/>
  <c r="P251" i="4"/>
  <c r="W92" i="5"/>
  <c r="Q251" i="4"/>
  <c r="X92" i="5"/>
  <c r="S251" i="4"/>
  <c r="AA92" i="5"/>
  <c r="AJ251" i="4"/>
  <c r="T251" i="4" a="1"/>
  <c r="T251" i="4"/>
  <c r="AC92" i="5"/>
  <c r="AD92" i="5"/>
  <c r="X251" i="4"/>
  <c r="AI92" i="5"/>
  <c r="Y251" i="4"/>
  <c r="AJ92" i="5"/>
  <c r="Z251" i="4"/>
  <c r="AL92" i="5"/>
  <c r="F92" i="5"/>
  <c r="H92" i="5"/>
  <c r="I92" i="5"/>
  <c r="Z92" i="5"/>
  <c r="AN92" i="5"/>
  <c r="AG93" i="5"/>
  <c r="AF93" i="5"/>
  <c r="B276" i="4"/>
  <c r="C276" i="4"/>
  <c r="C93" i="5"/>
  <c r="D276" i="4"/>
  <c r="E93" i="5"/>
  <c r="K93" i="5"/>
  <c r="L276" i="4"/>
  <c r="Q93" i="5"/>
  <c r="M276" i="4"/>
  <c r="R93" i="5"/>
  <c r="T93" i="5"/>
  <c r="U93" i="5"/>
  <c r="P276" i="4"/>
  <c r="W93" i="5"/>
  <c r="Q276" i="4"/>
  <c r="X93" i="5"/>
  <c r="S276" i="4"/>
  <c r="AA93" i="5"/>
  <c r="AJ276" i="4"/>
  <c r="T276" i="4" a="1"/>
  <c r="T276" i="4"/>
  <c r="AC93" i="5"/>
  <c r="AD93" i="5"/>
  <c r="X276" i="4"/>
  <c r="AI93" i="5"/>
  <c r="Y276" i="4"/>
  <c r="AJ93" i="5"/>
  <c r="Z276" i="4"/>
  <c r="AL93" i="5"/>
  <c r="F93" i="5"/>
  <c r="H93" i="5"/>
  <c r="I93" i="5"/>
  <c r="L93" i="5"/>
  <c r="N93" i="5"/>
  <c r="O93" i="5"/>
  <c r="Z93" i="5"/>
  <c r="AN93" i="5"/>
  <c r="AG94" i="5"/>
  <c r="AF94" i="5"/>
  <c r="B277" i="4"/>
  <c r="C277" i="4"/>
  <c r="C94" i="5"/>
  <c r="D277" i="4"/>
  <c r="E94" i="5"/>
  <c r="K94" i="5"/>
  <c r="L277" i="4"/>
  <c r="Q94" i="5"/>
  <c r="M277" i="4"/>
  <c r="R94" i="5"/>
  <c r="N277" i="4"/>
  <c r="T94" i="5"/>
  <c r="O277" i="4"/>
  <c r="U94" i="5"/>
  <c r="P277" i="4"/>
  <c r="W94" i="5"/>
  <c r="Q277" i="4"/>
  <c r="X94" i="5"/>
  <c r="S277" i="4"/>
  <c r="AA94" i="5"/>
  <c r="X277" i="4"/>
  <c r="AI94" i="5"/>
  <c r="Y277" i="4"/>
  <c r="AJ94" i="5"/>
  <c r="Z277" i="4"/>
  <c r="AL94" i="5"/>
  <c r="F94" i="5"/>
  <c r="H94" i="5"/>
  <c r="I94" i="5"/>
  <c r="L94" i="5"/>
  <c r="N94" i="5"/>
  <c r="O94" i="5"/>
  <c r="Z94" i="5"/>
  <c r="AN94" i="5"/>
  <c r="AG95" i="5"/>
  <c r="AF95" i="5"/>
  <c r="B278" i="4"/>
  <c r="C278" i="4"/>
  <c r="C95" i="5"/>
  <c r="D278" i="4"/>
  <c r="E95" i="5"/>
  <c r="K95" i="5"/>
  <c r="L278" i="4"/>
  <c r="Q95" i="5"/>
  <c r="M278" i="4"/>
  <c r="R95" i="5"/>
  <c r="T95" i="5"/>
  <c r="U95" i="5"/>
  <c r="P278" i="4"/>
  <c r="W95" i="5"/>
  <c r="Q278" i="4"/>
  <c r="X95" i="5"/>
  <c r="S278" i="4"/>
  <c r="AA95" i="5"/>
  <c r="AJ278" i="4"/>
  <c r="T278" i="4" a="1"/>
  <c r="T278" i="4"/>
  <c r="AC95" i="5"/>
  <c r="U278" i="4" a="1"/>
  <c r="U278" i="4"/>
  <c r="AD95" i="5"/>
  <c r="X278" i="4"/>
  <c r="AI95" i="5"/>
  <c r="Y278" i="4"/>
  <c r="AJ95" i="5"/>
  <c r="Z278" i="4"/>
  <c r="AL95" i="5"/>
  <c r="F95" i="5"/>
  <c r="H95" i="5"/>
  <c r="I95" i="5"/>
  <c r="L95" i="5"/>
  <c r="N95" i="5"/>
  <c r="O95" i="5"/>
  <c r="Z95" i="5"/>
  <c r="AN95" i="5"/>
  <c r="AG96" i="5"/>
  <c r="AF96" i="5"/>
  <c r="B207" i="4"/>
  <c r="C207" i="4"/>
  <c r="C96" i="5"/>
  <c r="D207" i="4"/>
  <c r="E96" i="5"/>
  <c r="K96" i="5"/>
  <c r="L207" i="4"/>
  <c r="Q96" i="5"/>
  <c r="M207" i="4"/>
  <c r="R96" i="5"/>
  <c r="T96" i="5"/>
  <c r="U96" i="5"/>
  <c r="P207" i="4"/>
  <c r="W96" i="5"/>
  <c r="Q207" i="4"/>
  <c r="X96" i="5"/>
  <c r="AA96" i="5"/>
  <c r="AJ207" i="4"/>
  <c r="T207" i="4" a="1"/>
  <c r="T207" i="4"/>
  <c r="AC96" i="5"/>
  <c r="U207" i="4" a="1"/>
  <c r="U207" i="4"/>
  <c r="AD96" i="5"/>
  <c r="Y207" i="4"/>
  <c r="AJ96" i="5"/>
  <c r="Z207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9" i="5"/>
  <c r="AF99" i="5"/>
  <c r="B279" i="4"/>
  <c r="C279" i="4"/>
  <c r="C99" i="5"/>
  <c r="D279" i="4"/>
  <c r="E99" i="5"/>
  <c r="K99" i="5"/>
  <c r="L279" i="4"/>
  <c r="Q99" i="5"/>
  <c r="M279" i="4"/>
  <c r="R99" i="5"/>
  <c r="T99" i="5"/>
  <c r="U99" i="5"/>
  <c r="P279" i="4"/>
  <c r="W99" i="5"/>
  <c r="Q279" i="4"/>
  <c r="X99" i="5"/>
  <c r="AA99" i="5"/>
  <c r="AJ279" i="4"/>
  <c r="T279" i="4" a="1"/>
  <c r="T279" i="4"/>
  <c r="AC99" i="5"/>
  <c r="U279" i="4" a="1"/>
  <c r="U279" i="4"/>
  <c r="AD99" i="5"/>
  <c r="Y279" i="4"/>
  <c r="AJ99" i="5"/>
  <c r="Z279" i="4"/>
  <c r="AL99" i="5"/>
  <c r="F99" i="5"/>
  <c r="H99" i="5"/>
  <c r="I99" i="5"/>
  <c r="L99" i="5"/>
  <c r="N99" i="5"/>
  <c r="O99" i="5"/>
  <c r="Z99" i="5"/>
  <c r="AN99" i="5"/>
  <c r="AG100" i="5"/>
  <c r="AF100" i="5"/>
  <c r="B280" i="4"/>
  <c r="C280" i="4"/>
  <c r="C100" i="5"/>
  <c r="D280" i="4"/>
  <c r="E100" i="5"/>
  <c r="K100" i="5"/>
  <c r="L280" i="4"/>
  <c r="Q100" i="5"/>
  <c r="M280" i="4"/>
  <c r="R100" i="5"/>
  <c r="T100" i="5"/>
  <c r="O280" i="4"/>
  <c r="U100" i="5"/>
  <c r="P280" i="4"/>
  <c r="W100" i="5"/>
  <c r="Q280" i="4"/>
  <c r="X100" i="5"/>
  <c r="S280" i="4"/>
  <c r="AA100" i="5"/>
  <c r="AJ280" i="4"/>
  <c r="T280" i="4" a="1"/>
  <c r="T280" i="4"/>
  <c r="AC100" i="5"/>
  <c r="U280" i="4" a="1"/>
  <c r="U280" i="4"/>
  <c r="AD100" i="5"/>
  <c r="X280" i="4"/>
  <c r="AI100" i="5"/>
  <c r="Y280" i="4"/>
  <c r="AJ100" i="5"/>
  <c r="Z280" i="4"/>
  <c r="AL100" i="5"/>
  <c r="F100" i="5"/>
  <c r="I100" i="5"/>
  <c r="L100" i="5"/>
  <c r="N100" i="5"/>
  <c r="O100" i="5"/>
  <c r="Z100" i="5"/>
  <c r="AN100" i="5"/>
  <c r="AG101" i="5"/>
  <c r="AF101" i="5"/>
  <c r="B281" i="4"/>
  <c r="C281" i="4"/>
  <c r="C101" i="5"/>
  <c r="D281" i="4"/>
  <c r="E101" i="5"/>
  <c r="H281" i="4"/>
  <c r="K101" i="5"/>
  <c r="L281" i="4"/>
  <c r="Q101" i="5"/>
  <c r="M281" i="4"/>
  <c r="R101" i="5"/>
  <c r="N281" i="4"/>
  <c r="T101" i="5"/>
  <c r="O281" i="4"/>
  <c r="U101" i="5"/>
  <c r="P281" i="4"/>
  <c r="W101" i="5"/>
  <c r="Q281" i="4"/>
  <c r="X101" i="5"/>
  <c r="S281" i="4"/>
  <c r="AA101" i="5"/>
  <c r="AJ281" i="4"/>
  <c r="T281" i="4" a="1"/>
  <c r="T281" i="4"/>
  <c r="AC101" i="5"/>
  <c r="U281" i="4" a="1"/>
  <c r="U281" i="4"/>
  <c r="AD101" i="5"/>
  <c r="X281" i="4"/>
  <c r="AI101" i="5"/>
  <c r="Y281" i="4"/>
  <c r="AJ101" i="5"/>
  <c r="Z281" i="4"/>
  <c r="AL101" i="5"/>
  <c r="F101" i="5"/>
  <c r="I101" i="5"/>
  <c r="L101" i="5"/>
  <c r="N101" i="5"/>
  <c r="O101" i="5"/>
  <c r="Z101" i="5"/>
  <c r="AN101" i="5"/>
  <c r="O102" i="5"/>
  <c r="H157" i="4"/>
  <c r="K102" i="5"/>
  <c r="AG102" i="5"/>
  <c r="AF102" i="5"/>
  <c r="C157" i="4"/>
  <c r="C102" i="5"/>
  <c r="D157" i="4"/>
  <c r="E102" i="5"/>
  <c r="I157" i="4"/>
  <c r="L102" i="5"/>
  <c r="J157" i="4"/>
  <c r="N102" i="5"/>
  <c r="L157" i="4"/>
  <c r="Q102" i="5"/>
  <c r="M157" i="4"/>
  <c r="R102" i="5"/>
  <c r="T102" i="5"/>
  <c r="U102" i="5"/>
  <c r="P157" i="4"/>
  <c r="W102" i="5"/>
  <c r="Q157" i="4"/>
  <c r="X102" i="5"/>
  <c r="S157" i="4"/>
  <c r="AA102" i="5"/>
  <c r="AJ157" i="4"/>
  <c r="T157" i="4" a="1"/>
  <c r="T157" i="4"/>
  <c r="AC102" i="5"/>
  <c r="U157" i="4" a="1"/>
  <c r="U157" i="4"/>
  <c r="AD102" i="5"/>
  <c r="X157" i="4"/>
  <c r="AI102" i="5"/>
  <c r="Y157" i="4"/>
  <c r="AJ102" i="5"/>
  <c r="Z157" i="4"/>
  <c r="AL102" i="5"/>
  <c r="H102" i="5"/>
  <c r="I102" i="5"/>
  <c r="F102" i="5"/>
  <c r="Z102" i="5"/>
  <c r="AN102" i="5"/>
  <c r="AG103" i="5"/>
  <c r="AF103" i="5"/>
  <c r="B19" i="4"/>
  <c r="C19" i="4"/>
  <c r="C103" i="5"/>
  <c r="D19" i="4"/>
  <c r="E103" i="5"/>
  <c r="E19" i="4"/>
  <c r="F103" i="5"/>
  <c r="F19" i="4"/>
  <c r="H103" i="5"/>
  <c r="I103" i="5"/>
  <c r="H19" i="4"/>
  <c r="K103" i="5"/>
  <c r="L19" i="4"/>
  <c r="Q103" i="5"/>
  <c r="M19" i="4"/>
  <c r="R103" i="5"/>
  <c r="N19" i="4"/>
  <c r="T103" i="5"/>
  <c r="O19" i="4"/>
  <c r="U103" i="5"/>
  <c r="P19" i="4"/>
  <c r="W103" i="5"/>
  <c r="Q19" i="4"/>
  <c r="X103" i="5"/>
  <c r="S19" i="4"/>
  <c r="AA103" i="5"/>
  <c r="AJ19" i="4"/>
  <c r="T19" i="4" a="1"/>
  <c r="T19" i="4"/>
  <c r="AC103" i="5"/>
  <c r="U19" i="4" a="1"/>
  <c r="U19" i="4"/>
  <c r="AD103" i="5"/>
  <c r="X19" i="4"/>
  <c r="AI103" i="5"/>
  <c r="Y19" i="4"/>
  <c r="AJ103" i="5"/>
  <c r="Z19" i="4"/>
  <c r="AL103" i="5"/>
  <c r="L103" i="5"/>
  <c r="N103" i="5"/>
  <c r="O103" i="5"/>
  <c r="Z103" i="5"/>
  <c r="AN103" i="5"/>
  <c r="AG104" i="5"/>
  <c r="AF104" i="5"/>
  <c r="B11" i="4"/>
  <c r="C11" i="4"/>
  <c r="C104" i="5"/>
  <c r="D11" i="4"/>
  <c r="E104" i="5"/>
  <c r="E11" i="4"/>
  <c r="F104" i="5"/>
  <c r="F11" i="4"/>
  <c r="H104" i="5"/>
  <c r="I104" i="5"/>
  <c r="H11" i="4"/>
  <c r="K104" i="5"/>
  <c r="L11" i="4"/>
  <c r="Q104" i="5"/>
  <c r="M11" i="4"/>
  <c r="R104" i="5"/>
  <c r="T104" i="5"/>
  <c r="O11" i="4"/>
  <c r="U104" i="5"/>
  <c r="P11" i="4"/>
  <c r="W104" i="5"/>
  <c r="Q11" i="4"/>
  <c r="X104" i="5"/>
  <c r="S11" i="4"/>
  <c r="AA104" i="5"/>
  <c r="AJ11" i="4"/>
  <c r="T11" i="4" a="1"/>
  <c r="T11" i="4"/>
  <c r="AC104" i="5"/>
  <c r="U11" i="4" a="1"/>
  <c r="U11" i="4"/>
  <c r="AD104" i="5"/>
  <c r="X11" i="4"/>
  <c r="AI104" i="5"/>
  <c r="Y11" i="4"/>
  <c r="AJ104" i="5"/>
  <c r="Z11" i="4"/>
  <c r="AL104" i="5"/>
  <c r="L104" i="5"/>
  <c r="N104" i="5"/>
  <c r="O104" i="5"/>
  <c r="Z104" i="5"/>
  <c r="AN104" i="5"/>
  <c r="AG105" i="5"/>
  <c r="AF105" i="5"/>
  <c r="B12" i="4"/>
  <c r="C12" i="4"/>
  <c r="C105" i="5"/>
  <c r="D12" i="4"/>
  <c r="E105" i="5"/>
  <c r="E12" i="4"/>
  <c r="F105" i="5"/>
  <c r="F12" i="4"/>
  <c r="H105" i="5"/>
  <c r="I105" i="5"/>
  <c r="H12" i="4"/>
  <c r="K105" i="5"/>
  <c r="L12" i="4"/>
  <c r="Q105" i="5"/>
  <c r="M12" i="4"/>
  <c r="R105" i="5"/>
  <c r="T105" i="5"/>
  <c r="O12" i="4"/>
  <c r="U105" i="5"/>
  <c r="P12" i="4"/>
  <c r="W105" i="5"/>
  <c r="Q12" i="4"/>
  <c r="X105" i="5"/>
  <c r="S12" i="4"/>
  <c r="AA105" i="5"/>
  <c r="AJ12" i="4"/>
  <c r="T12" i="4" a="1"/>
  <c r="T12" i="4"/>
  <c r="AC105" i="5"/>
  <c r="U12" i="4" a="1"/>
  <c r="U12" i="4"/>
  <c r="AD105" i="5"/>
  <c r="X12" i="4"/>
  <c r="AI105" i="5"/>
  <c r="Y12" i="4"/>
  <c r="AJ105" i="5"/>
  <c r="Z12" i="4"/>
  <c r="AL105" i="5"/>
  <c r="L105" i="5"/>
  <c r="N105" i="5"/>
  <c r="O105" i="5"/>
  <c r="Z105" i="5"/>
  <c r="AN105" i="5"/>
  <c r="AG106" i="5"/>
  <c r="AF106" i="5"/>
  <c r="C156" i="4"/>
  <c r="C106" i="5"/>
  <c r="D156" i="4"/>
  <c r="E106" i="5"/>
  <c r="E156" i="4"/>
  <c r="F106" i="5"/>
  <c r="F156" i="4"/>
  <c r="H106" i="5"/>
  <c r="I106" i="5"/>
  <c r="K106" i="5"/>
  <c r="L156" i="4"/>
  <c r="Q106" i="5"/>
  <c r="M156" i="4"/>
  <c r="R106" i="5"/>
  <c r="T106" i="5"/>
  <c r="O156" i="4"/>
  <c r="U106" i="5"/>
  <c r="P156" i="4"/>
  <c r="W106" i="5"/>
  <c r="Q156" i="4"/>
  <c r="X106" i="5"/>
  <c r="S156" i="4"/>
  <c r="AA106" i="5"/>
  <c r="AJ156" i="4"/>
  <c r="T156" i="4" a="1"/>
  <c r="T156" i="4"/>
  <c r="AC106" i="5"/>
  <c r="U156" i="4" a="1"/>
  <c r="U156" i="4"/>
  <c r="AD106" i="5"/>
  <c r="X156" i="4"/>
  <c r="AI106" i="5"/>
  <c r="Y156" i="4"/>
  <c r="AJ106" i="5"/>
  <c r="Z156" i="4"/>
  <c r="AL106" i="5"/>
  <c r="L106" i="5"/>
  <c r="N106" i="5"/>
  <c r="O106" i="5"/>
  <c r="Z106" i="5"/>
  <c r="AN106" i="5"/>
  <c r="AG107" i="5"/>
  <c r="AF107" i="5"/>
  <c r="B214" i="4"/>
  <c r="C214" i="4"/>
  <c r="C107" i="5"/>
  <c r="D214" i="4"/>
  <c r="E107" i="5"/>
  <c r="E214" i="4"/>
  <c r="F107" i="5"/>
  <c r="F214" i="4"/>
  <c r="H107" i="5"/>
  <c r="I107" i="5"/>
  <c r="H214" i="4"/>
  <c r="K107" i="5"/>
  <c r="L214" i="4"/>
  <c r="Q107" i="5"/>
  <c r="M214" i="4"/>
  <c r="R107" i="5"/>
  <c r="T107" i="5"/>
  <c r="U107" i="5"/>
  <c r="P214" i="4"/>
  <c r="W107" i="5"/>
  <c r="Q214" i="4"/>
  <c r="X107" i="5"/>
  <c r="S214" i="4"/>
  <c r="AA107" i="5"/>
  <c r="AJ214" i="4"/>
  <c r="T214" i="4" a="1"/>
  <c r="T214" i="4"/>
  <c r="AC107" i="5"/>
  <c r="U214" i="4" a="1"/>
  <c r="U214" i="4"/>
  <c r="AD107" i="5"/>
  <c r="X214" i="4"/>
  <c r="AI107" i="5"/>
  <c r="Y214" i="4"/>
  <c r="AJ107" i="5"/>
  <c r="Z214" i="4"/>
  <c r="AL107" i="5"/>
  <c r="L107" i="5"/>
  <c r="N107" i="5"/>
  <c r="O107" i="5"/>
  <c r="Z107" i="5"/>
  <c r="AN107" i="5"/>
  <c r="AG108" i="5"/>
  <c r="AF108" i="5"/>
  <c r="C224" i="4"/>
  <c r="C108" i="5"/>
  <c r="T108" i="5"/>
  <c r="U108" i="5"/>
  <c r="P224" i="4"/>
  <c r="W108" i="5"/>
  <c r="Q224" i="4"/>
  <c r="X108" i="5"/>
  <c r="S224" i="4"/>
  <c r="AA108" i="5"/>
  <c r="AI108" i="5"/>
  <c r="Y224" i="4"/>
  <c r="AJ108" i="5"/>
  <c r="Z224" i="4"/>
  <c r="AL108" i="5"/>
  <c r="L108" i="5"/>
  <c r="N108" i="5"/>
  <c r="O108" i="5"/>
  <c r="Z108" i="5"/>
  <c r="AN108" i="5"/>
  <c r="AG109" i="5"/>
  <c r="AF109" i="5"/>
  <c r="C225" i="4"/>
  <c r="C109" i="5"/>
  <c r="D225" i="4"/>
  <c r="E109" i="5"/>
  <c r="E225" i="4"/>
  <c r="F109" i="5"/>
  <c r="F225" i="4"/>
  <c r="H109" i="5"/>
  <c r="I109" i="5"/>
  <c r="H225" i="4"/>
  <c r="K109" i="5"/>
  <c r="L225" i="4"/>
  <c r="Q109" i="5"/>
  <c r="M225" i="4"/>
  <c r="R109" i="5"/>
  <c r="T109" i="5"/>
  <c r="U109" i="5"/>
  <c r="P225" i="4"/>
  <c r="W109" i="5"/>
  <c r="Q225" i="4"/>
  <c r="X109" i="5"/>
  <c r="S225" i="4"/>
  <c r="AA109" i="5"/>
  <c r="AJ225" i="4"/>
  <c r="T225" i="4" a="1"/>
  <c r="T225" i="4"/>
  <c r="AC109" i="5"/>
  <c r="U225" i="4" a="1"/>
  <c r="U225" i="4"/>
  <c r="AD109" i="5"/>
  <c r="AI109" i="5"/>
  <c r="Y225" i="4"/>
  <c r="AJ109" i="5"/>
  <c r="Z225" i="4"/>
  <c r="AL109" i="5"/>
  <c r="L109" i="5"/>
  <c r="N109" i="5"/>
  <c r="O109" i="5"/>
  <c r="Z109" i="5"/>
  <c r="AN109" i="5"/>
  <c r="AG110" i="5"/>
  <c r="AF110" i="5"/>
  <c r="B72" i="4"/>
  <c r="C72" i="4"/>
  <c r="C110" i="5"/>
  <c r="D72" i="4"/>
  <c r="E110" i="5"/>
  <c r="H72" i="4"/>
  <c r="K110" i="5"/>
  <c r="L72" i="4"/>
  <c r="Q110" i="5"/>
  <c r="M72" i="4"/>
  <c r="R110" i="5"/>
  <c r="T110" i="5"/>
  <c r="O72" i="4"/>
  <c r="U110" i="5"/>
  <c r="P72" i="4"/>
  <c r="W110" i="5"/>
  <c r="Q72" i="4"/>
  <c r="X110" i="5"/>
  <c r="S72" i="4"/>
  <c r="AA110" i="5"/>
  <c r="AJ72" i="4"/>
  <c r="T72" i="4" a="1"/>
  <c r="T72" i="4"/>
  <c r="AC110" i="5"/>
  <c r="U72" i="4" a="1"/>
  <c r="U72" i="4"/>
  <c r="AD110" i="5"/>
  <c r="X72" i="4"/>
  <c r="AI110" i="5"/>
  <c r="Y72" i="4"/>
  <c r="AJ110" i="5"/>
  <c r="Z72" i="4"/>
  <c r="AL110" i="5"/>
  <c r="F110" i="5"/>
  <c r="H110" i="5"/>
  <c r="I110" i="5"/>
  <c r="L110" i="5"/>
  <c r="N110" i="5"/>
  <c r="O110" i="5"/>
  <c r="Z110" i="5"/>
  <c r="AN110" i="5"/>
  <c r="AG111" i="5"/>
  <c r="AF111" i="5"/>
  <c r="C126" i="4"/>
  <c r="C111" i="5"/>
  <c r="D126" i="4"/>
  <c r="E111" i="5"/>
  <c r="E126" i="4"/>
  <c r="F111" i="5"/>
  <c r="F126" i="4"/>
  <c r="H111" i="5"/>
  <c r="I111" i="5"/>
  <c r="H126" i="4"/>
  <c r="K111" i="5"/>
  <c r="L126" i="4"/>
  <c r="Q111" i="5"/>
  <c r="M126" i="4"/>
  <c r="R111" i="5"/>
  <c r="T111" i="5"/>
  <c r="O126" i="4"/>
  <c r="U111" i="5"/>
  <c r="P126" i="4"/>
  <c r="W111" i="5"/>
  <c r="Q126" i="4"/>
  <c r="X111" i="5"/>
  <c r="S126" i="4"/>
  <c r="AA111" i="5"/>
  <c r="AJ126" i="4"/>
  <c r="T126" i="4" a="1"/>
  <c r="T126" i="4"/>
  <c r="AC111" i="5"/>
  <c r="U126" i="4" a="1"/>
  <c r="U126" i="4"/>
  <c r="AD111" i="5"/>
  <c r="X126" i="4"/>
  <c r="AI111" i="5"/>
  <c r="Y126" i="4"/>
  <c r="AJ111" i="5"/>
  <c r="Z126" i="4"/>
  <c r="AL111" i="5"/>
  <c r="L111" i="5"/>
  <c r="N111" i="5"/>
  <c r="O111" i="5"/>
  <c r="Z111" i="5"/>
  <c r="AN111" i="5"/>
  <c r="AG112" i="5"/>
  <c r="AF112" i="5"/>
  <c r="C127" i="4"/>
  <c r="C112" i="5"/>
  <c r="D127" i="4"/>
  <c r="E112" i="5"/>
  <c r="H127" i="4"/>
  <c r="K112" i="5"/>
  <c r="L127" i="4"/>
  <c r="Q112" i="5"/>
  <c r="M127" i="4"/>
  <c r="R112" i="5"/>
  <c r="T112" i="5"/>
  <c r="O127" i="4"/>
  <c r="U112" i="5"/>
  <c r="P127" i="4"/>
  <c r="W112" i="5"/>
  <c r="Q127" i="4"/>
  <c r="X112" i="5"/>
  <c r="S127" i="4"/>
  <c r="AA112" i="5"/>
  <c r="AJ127" i="4"/>
  <c r="T127" i="4" a="1"/>
  <c r="T127" i="4"/>
  <c r="AC112" i="5"/>
  <c r="U127" i="4" a="1"/>
  <c r="U127" i="4"/>
  <c r="AD112" i="5"/>
  <c r="X127" i="4"/>
  <c r="AI112" i="5"/>
  <c r="Y127" i="4"/>
  <c r="AJ112" i="5"/>
  <c r="Z127" i="4"/>
  <c r="AL112" i="5"/>
  <c r="F112" i="5"/>
  <c r="H112" i="5"/>
  <c r="I112" i="5"/>
  <c r="L112" i="5"/>
  <c r="N112" i="5"/>
  <c r="O112" i="5"/>
  <c r="Z112" i="5"/>
  <c r="AN112" i="5"/>
  <c r="AG113" i="5"/>
  <c r="AF113" i="5"/>
  <c r="C128" i="4"/>
  <c r="C113" i="5"/>
  <c r="D128" i="4"/>
  <c r="E113" i="5"/>
  <c r="H128" i="4"/>
  <c r="K113" i="5"/>
  <c r="L128" i="4"/>
  <c r="Q113" i="5"/>
  <c r="M128" i="4"/>
  <c r="R113" i="5"/>
  <c r="T113" i="5"/>
  <c r="O128" i="4"/>
  <c r="U113" i="5"/>
  <c r="P128" i="4"/>
  <c r="W113" i="5"/>
  <c r="Q128" i="4"/>
  <c r="X113" i="5"/>
  <c r="S128" i="4"/>
  <c r="AA113" i="5"/>
  <c r="AJ128" i="4"/>
  <c r="T128" i="4" a="1"/>
  <c r="T128" i="4"/>
  <c r="AC113" i="5"/>
  <c r="U128" i="4" a="1"/>
  <c r="U128" i="4"/>
  <c r="AD113" i="5"/>
  <c r="X128" i="4"/>
  <c r="AI113" i="5"/>
  <c r="Y128" i="4"/>
  <c r="AJ113" i="5"/>
  <c r="Z128" i="4"/>
  <c r="AL113" i="5"/>
  <c r="F113" i="5"/>
  <c r="H113" i="5"/>
  <c r="I113" i="5"/>
  <c r="L113" i="5"/>
  <c r="N113" i="5"/>
  <c r="O113" i="5"/>
  <c r="Z113" i="5"/>
  <c r="AN113" i="5"/>
  <c r="AG114" i="5"/>
  <c r="AF114" i="5"/>
  <c r="C158" i="4"/>
  <c r="C114" i="5"/>
  <c r="D158" i="4"/>
  <c r="E114" i="5"/>
  <c r="H158" i="4"/>
  <c r="K114" i="5"/>
  <c r="L158" i="4"/>
  <c r="Q114" i="5"/>
  <c r="M158" i="4"/>
  <c r="R114" i="5"/>
  <c r="T114" i="5"/>
  <c r="O158" i="4"/>
  <c r="U114" i="5"/>
  <c r="P158" i="4"/>
  <c r="W114" i="5"/>
  <c r="Q158" i="4"/>
  <c r="X114" i="5"/>
  <c r="S158" i="4"/>
  <c r="AA114" i="5"/>
  <c r="AJ158" i="4"/>
  <c r="T158" i="4" a="1"/>
  <c r="T158" i="4"/>
  <c r="AC114" i="5"/>
  <c r="U158" i="4" a="1"/>
  <c r="U158" i="4"/>
  <c r="AD114" i="5"/>
  <c r="X158" i="4"/>
  <c r="AI114" i="5"/>
  <c r="Y158" i="4"/>
  <c r="AJ114" i="5"/>
  <c r="Z158" i="4"/>
  <c r="AL114" i="5"/>
  <c r="F114" i="5"/>
  <c r="H114" i="5"/>
  <c r="I114" i="5"/>
  <c r="L114" i="5"/>
  <c r="N114" i="5"/>
  <c r="O114" i="5"/>
  <c r="Z114" i="5"/>
  <c r="AN114" i="5"/>
  <c r="AG115" i="5"/>
  <c r="AF115" i="5"/>
  <c r="C215" i="4"/>
  <c r="C115" i="5"/>
  <c r="T115" i="5"/>
  <c r="O215" i="4"/>
  <c r="U115" i="5"/>
  <c r="P215" i="4"/>
  <c r="W115" i="5"/>
  <c r="Q215" i="4"/>
  <c r="X115" i="5"/>
  <c r="S215" i="4"/>
  <c r="AA115" i="5"/>
  <c r="AJ215" i="4"/>
  <c r="T215" i="4" a="1"/>
  <c r="T215" i="4"/>
  <c r="AC115" i="5"/>
  <c r="U215" i="4" a="1"/>
  <c r="U215" i="4"/>
  <c r="AD115" i="5"/>
  <c r="X215" i="4"/>
  <c r="AI115" i="5"/>
  <c r="Y215" i="4"/>
  <c r="AJ115" i="5"/>
  <c r="Z215" i="4"/>
  <c r="AL115" i="5"/>
  <c r="H115" i="5"/>
  <c r="I115" i="5"/>
  <c r="L115" i="5"/>
  <c r="N115" i="5"/>
  <c r="O115" i="5"/>
  <c r="Z115" i="5"/>
  <c r="AN115" i="5"/>
  <c r="AG116" i="5"/>
  <c r="AF116" i="5"/>
  <c r="B112" i="4"/>
  <c r="C112" i="4"/>
  <c r="C116" i="5"/>
  <c r="D112" i="4"/>
  <c r="E116" i="5"/>
  <c r="H112" i="4"/>
  <c r="K116" i="5"/>
  <c r="L112" i="4"/>
  <c r="Q116" i="5"/>
  <c r="M112" i="4"/>
  <c r="R116" i="5"/>
  <c r="T116" i="5"/>
  <c r="U116" i="5"/>
  <c r="P112" i="4"/>
  <c r="W116" i="5"/>
  <c r="Q112" i="4"/>
  <c r="X116" i="5"/>
  <c r="AA116" i="5"/>
  <c r="AJ112" i="4"/>
  <c r="T112" i="4" a="1"/>
  <c r="T112" i="4"/>
  <c r="AC116" i="5"/>
  <c r="U112" i="4" a="1"/>
  <c r="U112" i="4"/>
  <c r="AD116" i="5"/>
  <c r="X112" i="4"/>
  <c r="AI116" i="5"/>
  <c r="Y112" i="4"/>
  <c r="AJ116" i="5"/>
  <c r="Z112" i="4"/>
  <c r="AL116" i="5"/>
  <c r="F116" i="5"/>
  <c r="H116" i="5"/>
  <c r="I116" i="5"/>
  <c r="L116" i="5"/>
  <c r="N116" i="5"/>
  <c r="O116" i="5"/>
  <c r="Z116" i="5"/>
  <c r="AN116" i="5"/>
  <c r="O117" i="5"/>
  <c r="K117" i="5"/>
  <c r="AG117" i="5"/>
  <c r="AF117" i="5"/>
  <c r="B73" i="4"/>
  <c r="C73" i="4"/>
  <c r="C117" i="5"/>
  <c r="D73" i="4"/>
  <c r="E117" i="5"/>
  <c r="E73" i="4"/>
  <c r="F117" i="5"/>
  <c r="F73" i="4"/>
  <c r="H117" i="5"/>
  <c r="I117" i="5"/>
  <c r="I73" i="4"/>
  <c r="L117" i="5"/>
  <c r="J73" i="4"/>
  <c r="N117" i="5"/>
  <c r="L73" i="4"/>
  <c r="Q117" i="5"/>
  <c r="M73" i="4"/>
  <c r="R117" i="5"/>
  <c r="T117" i="5"/>
  <c r="U117" i="5"/>
  <c r="P73" i="4"/>
  <c r="W117" i="5"/>
  <c r="AA117" i="5"/>
  <c r="AJ73" i="4"/>
  <c r="T73" i="4" a="1"/>
  <c r="T73" i="4"/>
  <c r="AC117" i="5"/>
  <c r="U73" i="4" a="1"/>
  <c r="U73" i="4"/>
  <c r="AD117" i="5"/>
  <c r="Y73" i="4"/>
  <c r="AJ117" i="5"/>
  <c r="Z73" i="4"/>
  <c r="AL117" i="5"/>
  <c r="X117" i="5"/>
  <c r="Z117" i="5"/>
  <c r="AN117" i="5"/>
  <c r="AG118" i="5"/>
  <c r="AF118" i="5"/>
  <c r="B194" i="4"/>
  <c r="C194" i="4"/>
  <c r="C118" i="5"/>
  <c r="D194" i="4"/>
  <c r="E118" i="5"/>
  <c r="K118" i="5"/>
  <c r="L194" i="4"/>
  <c r="Q118" i="5"/>
  <c r="M194" i="4"/>
  <c r="R118" i="5"/>
  <c r="T118" i="5"/>
  <c r="U118" i="5"/>
  <c r="P194" i="4"/>
  <c r="W118" i="5"/>
  <c r="Q194" i="4"/>
  <c r="X118" i="5"/>
  <c r="S194" i="4"/>
  <c r="AA118" i="5"/>
  <c r="AJ194" i="4"/>
  <c r="T194" i="4" a="1"/>
  <c r="T194" i="4"/>
  <c r="AC118" i="5"/>
  <c r="U194" i="4" a="1"/>
  <c r="U194" i="4"/>
  <c r="AD118" i="5"/>
  <c r="X194" i="4"/>
  <c r="AI118" i="5"/>
  <c r="F118" i="5"/>
  <c r="H118" i="5"/>
  <c r="I118" i="5"/>
  <c r="L118" i="5"/>
  <c r="N118" i="5"/>
  <c r="O118" i="5"/>
  <c r="Z118" i="5"/>
  <c r="AN118" i="5"/>
  <c r="AA119" i="5"/>
  <c r="P5" i="4"/>
  <c r="W119" i="5"/>
  <c r="AG119" i="5"/>
  <c r="AF119" i="5"/>
  <c r="C5" i="4"/>
  <c r="C119" i="5"/>
  <c r="D5" i="4"/>
  <c r="E119" i="5"/>
  <c r="K119" i="5"/>
  <c r="Q119" i="5"/>
  <c r="M5" i="4"/>
  <c r="R119" i="5"/>
  <c r="T119" i="5"/>
  <c r="U119" i="5"/>
  <c r="Q5" i="4"/>
  <c r="X119" i="5"/>
  <c r="R5" i="4"/>
  <c r="Z119" i="5"/>
  <c r="AJ5" i="4"/>
  <c r="T5" i="4" a="1"/>
  <c r="T5" i="4"/>
  <c r="AC119" i="5"/>
  <c r="U5" i="4" a="1"/>
  <c r="U5" i="4"/>
  <c r="AD119" i="5"/>
  <c r="Y5" i="4"/>
  <c r="AJ119" i="5"/>
  <c r="Z5" i="4"/>
  <c r="AL119" i="5"/>
  <c r="F119" i="5"/>
  <c r="H119" i="5"/>
  <c r="I119" i="5"/>
  <c r="L119" i="5"/>
  <c r="N119" i="5"/>
  <c r="O119" i="5"/>
  <c r="AN119" i="5"/>
  <c r="AG120" i="5"/>
  <c r="AF120" i="5"/>
  <c r="B195" i="4"/>
  <c r="C195" i="4"/>
  <c r="C120" i="5"/>
  <c r="D195" i="4"/>
  <c r="E120" i="5"/>
  <c r="E195" i="4"/>
  <c r="F120" i="5"/>
  <c r="F195" i="4"/>
  <c r="H120" i="5"/>
  <c r="I120" i="5"/>
  <c r="K120" i="5"/>
  <c r="L195" i="4"/>
  <c r="Q120" i="5"/>
  <c r="M195" i="4"/>
  <c r="R120" i="5"/>
  <c r="T120" i="5"/>
  <c r="O195" i="4"/>
  <c r="U120" i="5"/>
  <c r="P195" i="4"/>
  <c r="W120" i="5"/>
  <c r="Q195" i="4"/>
  <c r="X120" i="5"/>
  <c r="AA120" i="5"/>
  <c r="AJ195" i="4"/>
  <c r="T195" i="4" a="1"/>
  <c r="T195" i="4"/>
  <c r="AC120" i="5"/>
  <c r="U195" i="4" a="1"/>
  <c r="U195" i="4"/>
  <c r="AD120" i="5"/>
  <c r="X195" i="4"/>
  <c r="AI120" i="5"/>
  <c r="Y195" i="4"/>
  <c r="AJ120" i="5"/>
  <c r="Z195" i="4"/>
  <c r="AL120" i="5"/>
  <c r="L120" i="5"/>
  <c r="N120" i="5"/>
  <c r="O120" i="5"/>
  <c r="Z120" i="5"/>
  <c r="AN120" i="5"/>
  <c r="AG121" i="5"/>
  <c r="AF121" i="5"/>
  <c r="B21" i="4"/>
  <c r="C21" i="4"/>
  <c r="C121" i="5"/>
  <c r="D21" i="4"/>
  <c r="E121" i="5"/>
  <c r="H21" i="4"/>
  <c r="K121" i="5"/>
  <c r="L21" i="4"/>
  <c r="Q121" i="5"/>
  <c r="M21" i="4"/>
  <c r="R121" i="5"/>
  <c r="T121" i="5"/>
  <c r="U121" i="5"/>
  <c r="W121" i="5"/>
  <c r="Q21" i="4"/>
  <c r="X121" i="5"/>
  <c r="AA121" i="5"/>
  <c r="AJ21" i="4"/>
  <c r="T21" i="4" a="1"/>
  <c r="T21" i="4"/>
  <c r="AC121" i="5"/>
  <c r="U21" i="4" a="1"/>
  <c r="U21" i="4"/>
  <c r="AD121" i="5"/>
  <c r="Y21" i="4"/>
  <c r="AJ121" i="5"/>
  <c r="Z21" i="4"/>
  <c r="AL121" i="5"/>
  <c r="F121" i="5"/>
  <c r="H121" i="5"/>
  <c r="I121" i="5"/>
  <c r="L121" i="5"/>
  <c r="N121" i="5"/>
  <c r="O121" i="5"/>
  <c r="Z121" i="5"/>
  <c r="AN121" i="5"/>
  <c r="AG122" i="5"/>
  <c r="AF122" i="5"/>
  <c r="B74" i="4"/>
  <c r="C74" i="4"/>
  <c r="C122" i="5"/>
  <c r="D74" i="4"/>
  <c r="E122" i="5"/>
  <c r="H74" i="4"/>
  <c r="K122" i="5"/>
  <c r="L74" i="4"/>
  <c r="Q122" i="5"/>
  <c r="M74" i="4"/>
  <c r="R122" i="5"/>
  <c r="N74" i="4"/>
  <c r="T122" i="5"/>
  <c r="U122" i="5"/>
  <c r="W122" i="5"/>
  <c r="Q74" i="4"/>
  <c r="X122" i="5"/>
  <c r="AA122" i="5"/>
  <c r="AJ74" i="4"/>
  <c r="T74" i="4" a="1"/>
  <c r="T74" i="4"/>
  <c r="AC122" i="5"/>
  <c r="U74" i="4" a="1"/>
  <c r="U74" i="4"/>
  <c r="AD122" i="5"/>
  <c r="X74" i="4"/>
  <c r="AI122" i="5"/>
  <c r="Y74" i="4"/>
  <c r="AJ122" i="5"/>
  <c r="Z74" i="4"/>
  <c r="AL122" i="5"/>
  <c r="F122" i="5"/>
  <c r="H122" i="5"/>
  <c r="I122" i="5"/>
  <c r="L122" i="5"/>
  <c r="N122" i="5"/>
  <c r="O122" i="5"/>
  <c r="Z122" i="5"/>
  <c r="AN122" i="5"/>
  <c r="AG123" i="5"/>
  <c r="AF123" i="5"/>
  <c r="B22" i="4"/>
  <c r="C22" i="4"/>
  <c r="C123" i="5"/>
  <c r="D22" i="4"/>
  <c r="E123" i="5"/>
  <c r="H22" i="4"/>
  <c r="K123" i="5"/>
  <c r="L22" i="4"/>
  <c r="Q123" i="5"/>
  <c r="R123" i="5"/>
  <c r="T123" i="5"/>
  <c r="O22" i="4"/>
  <c r="U123" i="5"/>
  <c r="P22" i="4"/>
  <c r="W123" i="5"/>
  <c r="Q22" i="4"/>
  <c r="X123" i="5"/>
  <c r="AA123" i="5"/>
  <c r="AJ22" i="4"/>
  <c r="T22" i="4" a="1"/>
  <c r="T22" i="4"/>
  <c r="AC123" i="5"/>
  <c r="U22" i="4" a="1"/>
  <c r="U22" i="4"/>
  <c r="AD123" i="5"/>
  <c r="Y22" i="4"/>
  <c r="AJ123" i="5"/>
  <c r="Z22" i="4"/>
  <c r="AL123" i="5"/>
  <c r="F123" i="5"/>
  <c r="H123" i="5"/>
  <c r="I123" i="5"/>
  <c r="L123" i="5"/>
  <c r="N123" i="5"/>
  <c r="O123" i="5"/>
  <c r="Z123" i="5"/>
  <c r="AN123" i="5"/>
  <c r="O124" i="5"/>
  <c r="B252" i="4"/>
  <c r="H252" i="4"/>
  <c r="K124" i="5"/>
  <c r="AG124" i="5"/>
  <c r="AF124" i="5"/>
  <c r="C252" i="4"/>
  <c r="C124" i="5"/>
  <c r="D252" i="4"/>
  <c r="E124" i="5"/>
  <c r="E252" i="4"/>
  <c r="F124" i="5"/>
  <c r="F252" i="4"/>
  <c r="H124" i="5"/>
  <c r="I124" i="5"/>
  <c r="I252" i="4"/>
  <c r="L124" i="5"/>
  <c r="J252" i="4"/>
  <c r="N124" i="5"/>
  <c r="L252" i="4"/>
  <c r="Q124" i="5"/>
  <c r="M252" i="4"/>
  <c r="R124" i="5"/>
  <c r="T124" i="5"/>
  <c r="O252" i="4"/>
  <c r="U124" i="5"/>
  <c r="P252" i="4"/>
  <c r="W124" i="5"/>
  <c r="Q252" i="4"/>
  <c r="X124" i="5"/>
  <c r="S252" i="4"/>
  <c r="AA124" i="5"/>
  <c r="AJ252" i="4"/>
  <c r="T252" i="4" a="1"/>
  <c r="T252" i="4"/>
  <c r="AC124" i="5"/>
  <c r="U252" i="4" a="1"/>
  <c r="U252" i="4"/>
  <c r="AD124" i="5"/>
  <c r="X252" i="4"/>
  <c r="AI124" i="5"/>
  <c r="Y252" i="4"/>
  <c r="AJ124" i="5"/>
  <c r="Z252" i="4"/>
  <c r="AL124" i="5"/>
  <c r="Z124" i="5"/>
  <c r="AN124" i="5"/>
  <c r="AG125" i="5"/>
  <c r="AF125" i="5"/>
  <c r="B75" i="4"/>
  <c r="C75" i="4"/>
  <c r="C125" i="5"/>
  <c r="D75" i="4"/>
  <c r="E125" i="5"/>
  <c r="H75" i="4"/>
  <c r="K125" i="5"/>
  <c r="L75" i="4"/>
  <c r="Q125" i="5"/>
  <c r="M75" i="4"/>
  <c r="R125" i="5"/>
  <c r="T125" i="5"/>
  <c r="O75" i="4"/>
  <c r="U125" i="5"/>
  <c r="P75" i="4"/>
  <c r="W125" i="5"/>
  <c r="Q75" i="4"/>
  <c r="X125" i="5"/>
  <c r="AA125" i="5"/>
  <c r="AJ75" i="4"/>
  <c r="T75" i="4" a="1"/>
  <c r="T75" i="4"/>
  <c r="AC125" i="5"/>
  <c r="U75" i="4" a="1"/>
  <c r="U75" i="4"/>
  <c r="AD125" i="5"/>
  <c r="X75" i="4"/>
  <c r="AI125" i="5"/>
  <c r="Y75" i="4"/>
  <c r="AJ125" i="5"/>
  <c r="Z75" i="4"/>
  <c r="AL125" i="5"/>
  <c r="F125" i="5"/>
  <c r="H125" i="5"/>
  <c r="I125" i="5"/>
  <c r="L125" i="5"/>
  <c r="N125" i="5"/>
  <c r="O125" i="5"/>
  <c r="Z125" i="5"/>
  <c r="AN125" i="5"/>
  <c r="AG126" i="5"/>
  <c r="AF126" i="5"/>
  <c r="B254" i="4"/>
  <c r="C254" i="4"/>
  <c r="C126" i="5"/>
  <c r="D254" i="4"/>
  <c r="E126" i="5"/>
  <c r="H254" i="4"/>
  <c r="K126" i="5"/>
  <c r="L254" i="4"/>
  <c r="Q126" i="5"/>
  <c r="M254" i="4"/>
  <c r="R126" i="5"/>
  <c r="T126" i="5"/>
  <c r="U126" i="5"/>
  <c r="P254" i="4"/>
  <c r="W126" i="5"/>
  <c r="Q254" i="4"/>
  <c r="X126" i="5"/>
  <c r="S254" i="4"/>
  <c r="AA126" i="5"/>
  <c r="AJ254" i="4"/>
  <c r="T254" i="4" a="1"/>
  <c r="T254" i="4"/>
  <c r="AC126" i="5"/>
  <c r="U254" i="4" a="1"/>
  <c r="U254" i="4"/>
  <c r="AD126" i="5"/>
  <c r="X254" i="4"/>
  <c r="AI126" i="5"/>
  <c r="Y254" i="4"/>
  <c r="AJ126" i="5"/>
  <c r="Z254" i="4"/>
  <c r="AL126" i="5"/>
  <c r="F126" i="5"/>
  <c r="H126" i="5"/>
  <c r="I126" i="5"/>
  <c r="L126" i="5"/>
  <c r="N126" i="5"/>
  <c r="O126" i="5"/>
  <c r="Z126" i="5"/>
  <c r="AN126" i="5"/>
  <c r="AG127" i="5"/>
  <c r="AF127" i="5"/>
  <c r="B294" i="4"/>
  <c r="C294" i="4"/>
  <c r="C127" i="5"/>
  <c r="D294" i="4"/>
  <c r="E127" i="5"/>
  <c r="H294" i="4"/>
  <c r="K127" i="5"/>
  <c r="L294" i="4"/>
  <c r="Q127" i="5"/>
  <c r="M294" i="4"/>
  <c r="R127" i="5"/>
  <c r="T127" i="5"/>
  <c r="O294" i="4"/>
  <c r="U127" i="5"/>
  <c r="P294" i="4"/>
  <c r="W127" i="5"/>
  <c r="Q294" i="4"/>
  <c r="X127" i="5"/>
  <c r="S294" i="4"/>
  <c r="AA127" i="5"/>
  <c r="AJ294" i="4"/>
  <c r="T294" i="4" a="1"/>
  <c r="T294" i="4"/>
  <c r="AC127" i="5"/>
  <c r="U294" i="4" a="1"/>
  <c r="U294" i="4"/>
  <c r="AD127" i="5"/>
  <c r="X294" i="4"/>
  <c r="AI127" i="5"/>
  <c r="Y294" i="4"/>
  <c r="AJ127" i="5"/>
  <c r="Z294" i="4"/>
  <c r="AL127" i="5"/>
  <c r="F127" i="5"/>
  <c r="H127" i="5"/>
  <c r="I127" i="5"/>
  <c r="L127" i="5"/>
  <c r="N127" i="5"/>
  <c r="O127" i="5"/>
  <c r="Z127" i="5"/>
  <c r="AN127" i="5"/>
  <c r="AG128" i="5"/>
  <c r="AF128" i="5"/>
  <c r="B300" i="4"/>
  <c r="C300" i="4"/>
  <c r="C128" i="5"/>
  <c r="D300" i="4"/>
  <c r="E128" i="5"/>
  <c r="K128" i="5"/>
  <c r="L300" i="4"/>
  <c r="Q128" i="5"/>
  <c r="M300" i="4"/>
  <c r="R128" i="5"/>
  <c r="T128" i="5"/>
  <c r="O300" i="4"/>
  <c r="U128" i="5"/>
  <c r="P300" i="4"/>
  <c r="W128" i="5"/>
  <c r="Q300" i="4"/>
  <c r="X128" i="5"/>
  <c r="AA128" i="5"/>
  <c r="AJ300" i="4"/>
  <c r="T300" i="4" a="1"/>
  <c r="T300" i="4"/>
  <c r="AC128" i="5"/>
  <c r="U300" i="4" a="1"/>
  <c r="U300" i="4"/>
  <c r="AD128" i="5"/>
  <c r="X300" i="4"/>
  <c r="AI128" i="5"/>
  <c r="Y300" i="4"/>
  <c r="AJ128" i="5"/>
  <c r="Z300" i="4"/>
  <c r="AL128" i="5"/>
  <c r="F128" i="5"/>
  <c r="H128" i="5"/>
  <c r="I128" i="5"/>
  <c r="L128" i="5"/>
  <c r="N128" i="5"/>
  <c r="O128" i="5"/>
  <c r="Z128" i="5"/>
  <c r="AN128" i="5"/>
  <c r="AG129" i="5"/>
  <c r="AF129" i="5"/>
  <c r="B196" i="4"/>
  <c r="C196" i="4"/>
  <c r="C129" i="5"/>
  <c r="D196" i="4"/>
  <c r="E129" i="5"/>
  <c r="E196" i="4"/>
  <c r="F129" i="5"/>
  <c r="F196" i="4"/>
  <c r="H129" i="5"/>
  <c r="I129" i="5"/>
  <c r="H196" i="4"/>
  <c r="K129" i="5"/>
  <c r="L196" i="4"/>
  <c r="Q129" i="5"/>
  <c r="M196" i="4"/>
  <c r="R129" i="5"/>
  <c r="T129" i="5"/>
  <c r="U129" i="5"/>
  <c r="P196" i="4"/>
  <c r="W129" i="5"/>
  <c r="Q196" i="4"/>
  <c r="X129" i="5"/>
  <c r="S196" i="4"/>
  <c r="AA129" i="5"/>
  <c r="AJ196" i="4"/>
  <c r="T196" i="4" a="1"/>
  <c r="T196" i="4"/>
  <c r="AC129" i="5"/>
  <c r="U196" i="4" a="1"/>
  <c r="U196" i="4"/>
  <c r="AD129" i="5"/>
  <c r="X196" i="4"/>
  <c r="AI129" i="5"/>
  <c r="Y196" i="4"/>
  <c r="AJ129" i="5"/>
  <c r="Z196" i="4"/>
  <c r="AL129" i="5"/>
  <c r="L129" i="5"/>
  <c r="N129" i="5"/>
  <c r="O129" i="5"/>
  <c r="Z129" i="5"/>
  <c r="AN129" i="5"/>
  <c r="B7" i="4"/>
  <c r="S7" i="4"/>
  <c r="AA130" i="5"/>
  <c r="P7" i="4"/>
  <c r="W130" i="5"/>
  <c r="AG130" i="5"/>
  <c r="AF130" i="5"/>
  <c r="C7" i="4"/>
  <c r="C130" i="5"/>
  <c r="D7" i="4"/>
  <c r="E130" i="5"/>
  <c r="E7" i="4"/>
  <c r="F130" i="5"/>
  <c r="F7" i="4"/>
  <c r="H130" i="5"/>
  <c r="I130" i="5"/>
  <c r="K130" i="5"/>
  <c r="L7" i="4"/>
  <c r="Q130" i="5"/>
  <c r="U130" i="5"/>
  <c r="Q7" i="4"/>
  <c r="X130" i="5"/>
  <c r="R7" i="4"/>
  <c r="Z130" i="5"/>
  <c r="AJ7" i="4"/>
  <c r="T7" i="4" a="1"/>
  <c r="T7" i="4"/>
  <c r="AC130" i="5"/>
  <c r="U7" i="4" a="1"/>
  <c r="U7" i="4"/>
  <c r="AD130" i="5"/>
  <c r="X7" i="4"/>
  <c r="AI130" i="5"/>
  <c r="Y7" i="4"/>
  <c r="AJ130" i="5"/>
  <c r="Z7" i="4"/>
  <c r="AL130" i="5"/>
  <c r="R130" i="5"/>
  <c r="T130" i="5"/>
  <c r="L130" i="5"/>
  <c r="N130" i="5"/>
  <c r="O130" i="5"/>
  <c r="AN130" i="5"/>
  <c r="AG131" i="5"/>
  <c r="AF131" i="5"/>
  <c r="C226" i="4"/>
  <c r="C131" i="5"/>
  <c r="D226" i="4"/>
  <c r="E131" i="5"/>
  <c r="E226" i="4"/>
  <c r="F131" i="5"/>
  <c r="F226" i="4"/>
  <c r="H131" i="5"/>
  <c r="I131" i="5"/>
  <c r="H226" i="4"/>
  <c r="K131" i="5"/>
  <c r="L226" i="4"/>
  <c r="Q131" i="5"/>
  <c r="M226" i="4"/>
  <c r="R131" i="5"/>
  <c r="T131" i="5"/>
  <c r="U131" i="5"/>
  <c r="P226" i="4"/>
  <c r="W131" i="5"/>
  <c r="Q226" i="4"/>
  <c r="X131" i="5"/>
  <c r="S226" i="4"/>
  <c r="AA131" i="5"/>
  <c r="AJ226" i="4"/>
  <c r="T226" i="4" a="1"/>
  <c r="T226" i="4"/>
  <c r="AC131" i="5"/>
  <c r="U226" i="4" a="1"/>
  <c r="U226" i="4"/>
  <c r="AD131" i="5"/>
  <c r="X226" i="4"/>
  <c r="AI131" i="5"/>
  <c r="Y226" i="4"/>
  <c r="AJ131" i="5"/>
  <c r="Z226" i="4"/>
  <c r="AL131" i="5"/>
  <c r="Z131" i="5"/>
  <c r="L131" i="5"/>
  <c r="N131" i="5"/>
  <c r="O131" i="5"/>
  <c r="AN131" i="5"/>
  <c r="AG132" i="5"/>
  <c r="AF132" i="5"/>
  <c r="B255" i="4"/>
  <c r="C255" i="4"/>
  <c r="C132" i="5"/>
  <c r="D255" i="4"/>
  <c r="E132" i="5"/>
  <c r="E255" i="4"/>
  <c r="F132" i="5"/>
  <c r="F255" i="4"/>
  <c r="H132" i="5"/>
  <c r="I132" i="5"/>
  <c r="H255" i="4"/>
  <c r="K132" i="5"/>
  <c r="L255" i="4"/>
  <c r="Q132" i="5"/>
  <c r="M255" i="4"/>
  <c r="R132" i="5"/>
  <c r="T132" i="5"/>
  <c r="O255" i="4"/>
  <c r="U132" i="5"/>
  <c r="P255" i="4"/>
  <c r="W132" i="5"/>
  <c r="Q255" i="4"/>
  <c r="X132" i="5"/>
  <c r="AA132" i="5"/>
  <c r="AJ255" i="4"/>
  <c r="T255" i="4" a="1"/>
  <c r="T255" i="4"/>
  <c r="AC132" i="5"/>
  <c r="U255" i="4" a="1"/>
  <c r="U255" i="4"/>
  <c r="AD132" i="5"/>
  <c r="X255" i="4"/>
  <c r="AI132" i="5"/>
  <c r="Y255" i="4"/>
  <c r="AJ132" i="5"/>
  <c r="Z255" i="4"/>
  <c r="AL132" i="5"/>
  <c r="Z132" i="5"/>
  <c r="L132" i="5"/>
  <c r="N132" i="5"/>
  <c r="O132" i="5"/>
  <c r="AN132" i="5"/>
  <c r="AG133" i="5"/>
  <c r="AF133" i="5"/>
  <c r="B77" i="4"/>
  <c r="C77" i="4"/>
  <c r="C133" i="5"/>
  <c r="D77" i="4"/>
  <c r="E133" i="5"/>
  <c r="E77" i="4"/>
  <c r="F133" i="5"/>
  <c r="F77" i="4"/>
  <c r="H133" i="5"/>
  <c r="I133" i="5"/>
  <c r="K133" i="5"/>
  <c r="L77" i="4"/>
  <c r="Q133" i="5"/>
  <c r="M77" i="4"/>
  <c r="R133" i="5"/>
  <c r="T133" i="5"/>
  <c r="U133" i="5"/>
  <c r="P77" i="4"/>
  <c r="W133" i="5"/>
  <c r="Q77" i="4"/>
  <c r="X133" i="5"/>
  <c r="S77" i="4"/>
  <c r="AA133" i="5"/>
  <c r="AJ77" i="4"/>
  <c r="T77" i="4" a="1"/>
  <c r="T77" i="4"/>
  <c r="AC133" i="5"/>
  <c r="U77" i="4" a="1"/>
  <c r="U77" i="4"/>
  <c r="AD133" i="5"/>
  <c r="X77" i="4"/>
  <c r="AI133" i="5"/>
  <c r="Y77" i="4"/>
  <c r="AJ133" i="5"/>
  <c r="Z77" i="4"/>
  <c r="AL133" i="5"/>
  <c r="Z133" i="5"/>
  <c r="L133" i="5"/>
  <c r="N133" i="5"/>
  <c r="O133" i="5"/>
  <c r="AN133" i="5"/>
  <c r="AA134" i="5"/>
  <c r="P133" i="4"/>
  <c r="W134" i="5"/>
  <c r="O134" i="5"/>
  <c r="K134" i="5"/>
  <c r="AG134" i="5"/>
  <c r="AF134" i="5"/>
  <c r="C133" i="4"/>
  <c r="C134" i="5"/>
  <c r="D133" i="4"/>
  <c r="E134" i="5"/>
  <c r="I133" i="4"/>
  <c r="L134" i="5"/>
  <c r="J133" i="4"/>
  <c r="N134" i="5"/>
  <c r="L133" i="4"/>
  <c r="Q134" i="5"/>
  <c r="M133" i="4"/>
  <c r="R134" i="5"/>
  <c r="T134" i="5"/>
  <c r="U134" i="5"/>
  <c r="Q133" i="4"/>
  <c r="X134" i="5"/>
  <c r="R133" i="4"/>
  <c r="Z134" i="5"/>
  <c r="AJ133" i="4"/>
  <c r="T133" i="4" a="1"/>
  <c r="T133" i="4"/>
  <c r="AC134" i="5"/>
  <c r="U133" i="4" a="1"/>
  <c r="U133" i="4"/>
  <c r="AD134" i="5"/>
  <c r="X133" i="4"/>
  <c r="AI134" i="5"/>
  <c r="Y133" i="4"/>
  <c r="AJ134" i="5"/>
  <c r="Z133" i="4"/>
  <c r="AL134" i="5"/>
  <c r="F134" i="5"/>
  <c r="H134" i="5"/>
  <c r="I134" i="5"/>
  <c r="AN134" i="5"/>
  <c r="O135" i="5"/>
  <c r="K135" i="5"/>
  <c r="AG135" i="5"/>
  <c r="AF135" i="5"/>
  <c r="B23" i="4"/>
  <c r="C23" i="4"/>
  <c r="C135" i="5"/>
  <c r="D23" i="4"/>
  <c r="E135" i="5"/>
  <c r="I23" i="4"/>
  <c r="L135" i="5"/>
  <c r="J23" i="4"/>
  <c r="N135" i="5"/>
  <c r="L23" i="4"/>
  <c r="Q135" i="5"/>
  <c r="M23" i="4"/>
  <c r="R135" i="5"/>
  <c r="T135" i="5"/>
  <c r="U135" i="5"/>
  <c r="P23" i="4"/>
  <c r="W135" i="5"/>
  <c r="Q23" i="4"/>
  <c r="X135" i="5"/>
  <c r="AA135" i="5"/>
  <c r="AJ23" i="4"/>
  <c r="T23" i="4" a="1"/>
  <c r="T23" i="4"/>
  <c r="AC135" i="5"/>
  <c r="U23" i="4" a="1"/>
  <c r="U23" i="4"/>
  <c r="AD135" i="5"/>
  <c r="X23" i="4"/>
  <c r="AI135" i="5"/>
  <c r="Y23" i="4"/>
  <c r="AJ135" i="5"/>
  <c r="Z23" i="4"/>
  <c r="AL135" i="5"/>
  <c r="Z135" i="5"/>
  <c r="F135" i="5"/>
  <c r="H135" i="5"/>
  <c r="I135" i="5"/>
  <c r="AN135" i="5"/>
  <c r="AG136" i="5"/>
  <c r="AF136" i="5"/>
  <c r="B283" i="4"/>
  <c r="C283" i="4"/>
  <c r="C136" i="5"/>
  <c r="D283" i="4"/>
  <c r="E136" i="5"/>
  <c r="H283" i="4"/>
  <c r="K136" i="5"/>
  <c r="L283" i="4"/>
  <c r="Q136" i="5"/>
  <c r="M283" i="4"/>
  <c r="R136" i="5"/>
  <c r="T136" i="5"/>
  <c r="O283" i="4"/>
  <c r="U136" i="5"/>
  <c r="P283" i="4"/>
  <c r="W136" i="5"/>
  <c r="Q283" i="4"/>
  <c r="X136" i="5"/>
  <c r="S283" i="4"/>
  <c r="AA136" i="5"/>
  <c r="AJ283" i="4"/>
  <c r="T283" i="4" a="1"/>
  <c r="T283" i="4"/>
  <c r="AC136" i="5"/>
  <c r="U283" i="4" a="1"/>
  <c r="U283" i="4"/>
  <c r="AD136" i="5"/>
  <c r="X283" i="4"/>
  <c r="AI136" i="5"/>
  <c r="Y283" i="4"/>
  <c r="AJ136" i="5"/>
  <c r="Z283" i="4"/>
  <c r="AL136" i="5"/>
  <c r="L136" i="5"/>
  <c r="N136" i="5"/>
  <c r="O136" i="5"/>
  <c r="Z136" i="5"/>
  <c r="F136" i="5"/>
  <c r="H136" i="5"/>
  <c r="I136" i="5"/>
  <c r="AN136" i="5"/>
  <c r="O137" i="5"/>
  <c r="B46" i="4"/>
  <c r="H46" i="4"/>
  <c r="K137" i="5"/>
  <c r="AG137" i="5"/>
  <c r="AF137" i="5"/>
  <c r="C46" i="4"/>
  <c r="C137" i="5"/>
  <c r="D46" i="4"/>
  <c r="E137" i="5"/>
  <c r="I46" i="4"/>
  <c r="L137" i="5"/>
  <c r="J46" i="4"/>
  <c r="N137" i="5"/>
  <c r="L46" i="4"/>
  <c r="Q137" i="5"/>
  <c r="M46" i="4"/>
  <c r="R137" i="5"/>
  <c r="T137" i="5"/>
  <c r="U137" i="5"/>
  <c r="P46" i="4"/>
  <c r="W137" i="5"/>
  <c r="Q46" i="4"/>
  <c r="X137" i="5"/>
  <c r="AA137" i="5"/>
  <c r="AJ46" i="4"/>
  <c r="T46" i="4" a="1"/>
  <c r="T46" i="4"/>
  <c r="AC137" i="5"/>
  <c r="U46" i="4" a="1"/>
  <c r="U46" i="4"/>
  <c r="AD137" i="5"/>
  <c r="X46" i="4"/>
  <c r="AI137" i="5"/>
  <c r="Y46" i="4"/>
  <c r="AJ137" i="5"/>
  <c r="Z46" i="4"/>
  <c r="AL137" i="5"/>
  <c r="Z137" i="5"/>
  <c r="F137" i="5"/>
  <c r="H137" i="5"/>
  <c r="I137" i="5"/>
  <c r="AN137" i="5"/>
  <c r="B8" i="4"/>
  <c r="S8" i="4"/>
  <c r="AA138" i="5"/>
  <c r="P8" i="4"/>
  <c r="W138" i="5"/>
  <c r="AG138" i="5"/>
  <c r="AF138" i="5"/>
  <c r="C8" i="4"/>
  <c r="C138" i="5"/>
  <c r="D8" i="4"/>
  <c r="E138" i="5"/>
  <c r="K138" i="5"/>
  <c r="L8" i="4"/>
  <c r="Q138" i="5"/>
  <c r="U138" i="5"/>
  <c r="Q8" i="4"/>
  <c r="X138" i="5"/>
  <c r="R8" i="4"/>
  <c r="Z138" i="5"/>
  <c r="AJ8" i="4"/>
  <c r="T8" i="4" a="1"/>
  <c r="T8" i="4"/>
  <c r="AC138" i="5"/>
  <c r="U8" i="4" a="1"/>
  <c r="U8" i="4"/>
  <c r="AD138" i="5"/>
  <c r="X8" i="4"/>
  <c r="AI138" i="5"/>
  <c r="Y8" i="4"/>
  <c r="AJ138" i="5"/>
  <c r="Z8" i="4"/>
  <c r="AL138" i="5"/>
  <c r="L138" i="5"/>
  <c r="N138" i="5"/>
  <c r="O138" i="5"/>
  <c r="R138" i="5"/>
  <c r="T138" i="5"/>
  <c r="F138" i="5"/>
  <c r="H138" i="5"/>
  <c r="I138" i="5"/>
  <c r="AN138" i="5"/>
  <c r="AG139" i="5"/>
  <c r="AF139" i="5"/>
  <c r="B216" i="4"/>
  <c r="C216" i="4"/>
  <c r="C139" i="5"/>
  <c r="D216" i="4"/>
  <c r="E139" i="5"/>
  <c r="H216" i="4"/>
  <c r="K139" i="5"/>
  <c r="L216" i="4"/>
  <c r="Q139" i="5"/>
  <c r="M216" i="4"/>
  <c r="R139" i="5"/>
  <c r="T139" i="5"/>
  <c r="O216" i="4"/>
  <c r="U139" i="5"/>
  <c r="P216" i="4"/>
  <c r="W139" i="5"/>
  <c r="Q216" i="4"/>
  <c r="X139" i="5"/>
  <c r="S216" i="4"/>
  <c r="AA139" i="5"/>
  <c r="AJ216" i="4"/>
  <c r="T216" i="4" a="1"/>
  <c r="T216" i="4"/>
  <c r="AC139" i="5"/>
  <c r="U216" i="4" a="1"/>
  <c r="U216" i="4"/>
  <c r="AD139" i="5"/>
  <c r="X216" i="4"/>
  <c r="AI139" i="5"/>
  <c r="Y216" i="4"/>
  <c r="AJ139" i="5"/>
  <c r="Z216" i="4"/>
  <c r="AL139" i="5"/>
  <c r="L139" i="5"/>
  <c r="N139" i="5"/>
  <c r="O139" i="5"/>
  <c r="F139" i="5"/>
  <c r="H139" i="5"/>
  <c r="I139" i="5"/>
  <c r="Z139" i="5"/>
  <c r="AN139" i="5"/>
  <c r="AG140" i="5"/>
  <c r="AF140" i="5"/>
  <c r="B217" i="4"/>
  <c r="C217" i="4"/>
  <c r="C140" i="5"/>
  <c r="D217" i="4"/>
  <c r="E140" i="5"/>
  <c r="E217" i="4"/>
  <c r="F140" i="5"/>
  <c r="F217" i="4"/>
  <c r="H140" i="5"/>
  <c r="I140" i="5"/>
  <c r="K140" i="5"/>
  <c r="L217" i="4"/>
  <c r="Q140" i="5"/>
  <c r="M217" i="4"/>
  <c r="R140" i="5"/>
  <c r="T140" i="5"/>
  <c r="U140" i="5"/>
  <c r="P217" i="4"/>
  <c r="W140" i="5"/>
  <c r="Q217" i="4"/>
  <c r="X140" i="5"/>
  <c r="S217" i="4"/>
  <c r="AA140" i="5"/>
  <c r="AJ217" i="4"/>
  <c r="T217" i="4" a="1"/>
  <c r="T217" i="4"/>
  <c r="AC140" i="5"/>
  <c r="U217" i="4" a="1"/>
  <c r="U217" i="4"/>
  <c r="AD140" i="5"/>
  <c r="X217" i="4"/>
  <c r="AI140" i="5"/>
  <c r="Y217" i="4"/>
  <c r="AJ140" i="5"/>
  <c r="Z217" i="4"/>
  <c r="AL140" i="5"/>
  <c r="L140" i="5"/>
  <c r="N140" i="5"/>
  <c r="O140" i="5"/>
  <c r="Z140" i="5"/>
  <c r="AN140" i="5"/>
  <c r="AG141" i="5"/>
  <c r="AF141" i="5"/>
  <c r="B81" i="4"/>
  <c r="C81" i="4"/>
  <c r="C141" i="5"/>
  <c r="D81" i="4"/>
  <c r="E141" i="5"/>
  <c r="E81" i="4"/>
  <c r="F141" i="5"/>
  <c r="F81" i="4"/>
  <c r="H141" i="5"/>
  <c r="I141" i="5"/>
  <c r="H81" i="4"/>
  <c r="K141" i="5"/>
  <c r="L81" i="4"/>
  <c r="Q141" i="5"/>
  <c r="M81" i="4"/>
  <c r="R141" i="5"/>
  <c r="T141" i="5"/>
  <c r="U141" i="5"/>
  <c r="P81" i="4"/>
  <c r="W141" i="5"/>
  <c r="Q81" i="4"/>
  <c r="X141" i="5"/>
  <c r="S81" i="4"/>
  <c r="AA141" i="5"/>
  <c r="AJ81" i="4"/>
  <c r="T81" i="4" a="1"/>
  <c r="T81" i="4"/>
  <c r="AC141" i="5"/>
  <c r="U81" i="4" a="1"/>
  <c r="U81" i="4"/>
  <c r="AD141" i="5"/>
  <c r="X81" i="4"/>
  <c r="AI141" i="5"/>
  <c r="Y81" i="4"/>
  <c r="AJ141" i="5"/>
  <c r="Z81" i="4"/>
  <c r="AL141" i="5"/>
  <c r="L141" i="5"/>
  <c r="N141" i="5"/>
  <c r="O141" i="5"/>
  <c r="Z141" i="5"/>
  <c r="AN141" i="5"/>
  <c r="AG142" i="5"/>
  <c r="AF142" i="5"/>
  <c r="C227" i="4"/>
  <c r="C142" i="5"/>
  <c r="E142" i="5"/>
  <c r="E227" i="4"/>
  <c r="F142" i="5"/>
  <c r="F227" i="4"/>
  <c r="H142" i="5"/>
  <c r="I142" i="5"/>
  <c r="H227" i="4"/>
  <c r="K142" i="5"/>
  <c r="L227" i="4"/>
  <c r="Q142" i="5"/>
  <c r="M227" i="4"/>
  <c r="R142" i="5"/>
  <c r="T142" i="5"/>
  <c r="O227" i="4"/>
  <c r="U142" i="5"/>
  <c r="P227" i="4"/>
  <c r="W142" i="5"/>
  <c r="Q227" i="4"/>
  <c r="X142" i="5"/>
  <c r="S227" i="4"/>
  <c r="AA142" i="5"/>
  <c r="AJ227" i="4"/>
  <c r="T227" i="4" a="1"/>
  <c r="T227" i="4"/>
  <c r="AC142" i="5"/>
  <c r="U227" i="4" a="1"/>
  <c r="U227" i="4"/>
  <c r="AD142" i="5"/>
  <c r="X227" i="4"/>
  <c r="AI142" i="5"/>
  <c r="Y227" i="4"/>
  <c r="AJ142" i="5"/>
  <c r="Z227" i="4"/>
  <c r="AL142" i="5"/>
  <c r="L142" i="5"/>
  <c r="N142" i="5"/>
  <c r="O142" i="5"/>
  <c r="Z142" i="5"/>
  <c r="AN142" i="5"/>
  <c r="O143" i="5"/>
  <c r="K143" i="5"/>
  <c r="AG143" i="5"/>
  <c r="AF143" i="5"/>
  <c r="C208" i="4"/>
  <c r="C143" i="5"/>
  <c r="E143" i="5"/>
  <c r="I208" i="4"/>
  <c r="L143" i="5"/>
  <c r="J208" i="4"/>
  <c r="N143" i="5"/>
  <c r="L208" i="4"/>
  <c r="Q143" i="5"/>
  <c r="M208" i="4"/>
  <c r="R143" i="5"/>
  <c r="T143" i="5"/>
  <c r="U143" i="5"/>
  <c r="P208" i="4"/>
  <c r="W143" i="5"/>
  <c r="Q208" i="4"/>
  <c r="X143" i="5"/>
  <c r="AA143" i="5"/>
  <c r="AJ208" i="4"/>
  <c r="T208" i="4" a="1"/>
  <c r="T208" i="4"/>
  <c r="AC143" i="5"/>
  <c r="U208" i="4" a="1"/>
  <c r="U208" i="4"/>
  <c r="AD143" i="5"/>
  <c r="X208" i="4"/>
  <c r="AI143" i="5"/>
  <c r="Y208" i="4"/>
  <c r="AJ143" i="5"/>
  <c r="Z208" i="4"/>
  <c r="AL143" i="5"/>
  <c r="F143" i="5"/>
  <c r="H143" i="5"/>
  <c r="I143" i="5"/>
  <c r="Z143" i="5"/>
  <c r="AN143" i="5"/>
  <c r="AG144" i="5"/>
  <c r="AF144" i="5"/>
  <c r="C162" i="4"/>
  <c r="C144" i="5"/>
  <c r="D162" i="4"/>
  <c r="E144" i="5"/>
  <c r="H162" i="4"/>
  <c r="K144" i="5"/>
  <c r="L162" i="4"/>
  <c r="Q144" i="5"/>
  <c r="M162" i="4"/>
  <c r="R144" i="5"/>
  <c r="T144" i="5"/>
  <c r="U144" i="5"/>
  <c r="P162" i="4"/>
  <c r="W144" i="5"/>
  <c r="Q162" i="4"/>
  <c r="X144" i="5"/>
  <c r="S162" i="4"/>
  <c r="AA144" i="5"/>
  <c r="AJ162" i="4"/>
  <c r="T162" i="4" a="1"/>
  <c r="T162" i="4"/>
  <c r="AC144" i="5"/>
  <c r="U162" i="4" a="1"/>
  <c r="U162" i="4"/>
  <c r="AD144" i="5"/>
  <c r="X162" i="4"/>
  <c r="AI144" i="5"/>
  <c r="Y162" i="4"/>
  <c r="AJ144" i="5"/>
  <c r="Z162" i="4"/>
  <c r="AL144" i="5"/>
  <c r="F144" i="5"/>
  <c r="H144" i="5"/>
  <c r="I144" i="5"/>
  <c r="L144" i="5"/>
  <c r="N144" i="5"/>
  <c r="O144" i="5"/>
  <c r="Z144" i="5"/>
  <c r="AN144" i="5"/>
  <c r="O145" i="5"/>
  <c r="H228" i="4"/>
  <c r="K145" i="5"/>
  <c r="AG145" i="5"/>
  <c r="AF145" i="5"/>
  <c r="C228" i="4"/>
  <c r="C145" i="5"/>
  <c r="D228" i="4"/>
  <c r="E145" i="5"/>
  <c r="E228" i="4"/>
  <c r="F145" i="5"/>
  <c r="F228" i="4"/>
  <c r="H145" i="5"/>
  <c r="I145" i="5"/>
  <c r="I228" i="4"/>
  <c r="L145" i="5"/>
  <c r="J228" i="4"/>
  <c r="N145" i="5"/>
  <c r="L228" i="4"/>
  <c r="Q145" i="5"/>
  <c r="M228" i="4"/>
  <c r="R145" i="5"/>
  <c r="T145" i="5"/>
  <c r="O228" i="4"/>
  <c r="U145" i="5"/>
  <c r="P228" i="4"/>
  <c r="W145" i="5"/>
  <c r="Q228" i="4"/>
  <c r="X145" i="5"/>
  <c r="AA145" i="5"/>
  <c r="AJ228" i="4"/>
  <c r="T228" i="4" a="1"/>
  <c r="T228" i="4"/>
  <c r="AC145" i="5"/>
  <c r="U228" i="4" a="1"/>
  <c r="U228" i="4"/>
  <c r="AD145" i="5"/>
  <c r="X228" i="4"/>
  <c r="AI145" i="5"/>
  <c r="Y228" i="4"/>
  <c r="AJ145" i="5"/>
  <c r="Z228" i="4"/>
  <c r="AL145" i="5"/>
  <c r="Z145" i="5"/>
  <c r="AN145" i="5"/>
  <c r="AG146" i="5"/>
  <c r="AF146" i="5"/>
  <c r="B256" i="4"/>
  <c r="C256" i="4"/>
  <c r="C146" i="5"/>
  <c r="D256" i="4"/>
  <c r="E146" i="5"/>
  <c r="E256" i="4"/>
  <c r="F146" i="5"/>
  <c r="F256" i="4"/>
  <c r="H146" i="5"/>
  <c r="I146" i="5"/>
  <c r="H256" i="4"/>
  <c r="K146" i="5"/>
  <c r="L256" i="4"/>
  <c r="Q146" i="5"/>
  <c r="M256" i="4"/>
  <c r="R146" i="5"/>
  <c r="T146" i="5"/>
  <c r="O256" i="4"/>
  <c r="U146" i="5"/>
  <c r="P256" i="4"/>
  <c r="W146" i="5"/>
  <c r="Q256" i="4"/>
  <c r="X146" i="5"/>
  <c r="S256" i="4"/>
  <c r="AA146" i="5"/>
  <c r="AJ256" i="4"/>
  <c r="T256" i="4" a="1"/>
  <c r="T256" i="4"/>
  <c r="AC146" i="5"/>
  <c r="U256" i="4" a="1"/>
  <c r="U256" i="4"/>
  <c r="AD146" i="5"/>
  <c r="X256" i="4"/>
  <c r="AI146" i="5"/>
  <c r="Y256" i="4"/>
  <c r="AJ146" i="5"/>
  <c r="Z256" i="4"/>
  <c r="AL146" i="5"/>
  <c r="L146" i="5"/>
  <c r="N146" i="5"/>
  <c r="O146" i="5"/>
  <c r="Z146" i="5"/>
  <c r="AN146" i="5"/>
  <c r="AG147" i="5"/>
  <c r="AF147" i="5"/>
  <c r="B13" i="4"/>
  <c r="C13" i="4"/>
  <c r="C147" i="5"/>
  <c r="D13" i="4"/>
  <c r="E147" i="5"/>
  <c r="E13" i="4"/>
  <c r="F147" i="5"/>
  <c r="F13" i="4"/>
  <c r="H147" i="5"/>
  <c r="I147" i="5"/>
  <c r="H13" i="4"/>
  <c r="K147" i="5"/>
  <c r="L13" i="4"/>
  <c r="Q147" i="5"/>
  <c r="M13" i="4"/>
  <c r="R147" i="5"/>
  <c r="T147" i="5"/>
  <c r="O13" i="4"/>
  <c r="U147" i="5"/>
  <c r="P13" i="4"/>
  <c r="W147" i="5"/>
  <c r="Q13" i="4"/>
  <c r="X147" i="5"/>
  <c r="S13" i="4"/>
  <c r="AA147" i="5"/>
  <c r="AJ13" i="4"/>
  <c r="T13" i="4" a="1"/>
  <c r="T13" i="4"/>
  <c r="AC147" i="5"/>
  <c r="U13" i="4" a="1"/>
  <c r="U13" i="4"/>
  <c r="AD147" i="5"/>
  <c r="X13" i="4"/>
  <c r="AI147" i="5"/>
  <c r="Y13" i="4"/>
  <c r="AJ147" i="5"/>
  <c r="Z13" i="4"/>
  <c r="AL147" i="5"/>
  <c r="L147" i="5"/>
  <c r="N147" i="5"/>
  <c r="O147" i="5"/>
  <c r="Z147" i="5"/>
  <c r="AN147" i="5"/>
  <c r="AG148" i="5"/>
  <c r="AF148" i="5"/>
  <c r="C24" i="4"/>
  <c r="C148" i="5"/>
  <c r="T148" i="5"/>
  <c r="U148" i="5"/>
  <c r="P24" i="4"/>
  <c r="W148" i="5"/>
  <c r="Q24" i="4"/>
  <c r="X148" i="5"/>
  <c r="AA148" i="5"/>
  <c r="AJ24" i="4"/>
  <c r="T24" i="4" a="1"/>
  <c r="T24" i="4"/>
  <c r="AC148" i="5"/>
  <c r="U24" i="4" a="1"/>
  <c r="U24" i="4"/>
  <c r="AD148" i="5"/>
  <c r="X24" i="4"/>
  <c r="AI148" i="5"/>
  <c r="Y24" i="4"/>
  <c r="AJ148" i="5"/>
  <c r="Z24" i="4"/>
  <c r="AL148" i="5"/>
  <c r="Z148" i="5"/>
  <c r="AN148" i="5"/>
  <c r="O149" i="5"/>
  <c r="K149" i="5"/>
  <c r="AG149" i="5"/>
  <c r="AF149" i="5"/>
  <c r="B257" i="4"/>
  <c r="C257" i="4"/>
  <c r="C149" i="5"/>
  <c r="D257" i="4"/>
  <c r="E149" i="5"/>
  <c r="E257" i="4"/>
  <c r="F149" i="5"/>
  <c r="F257" i="4"/>
  <c r="H149" i="5"/>
  <c r="I149" i="5"/>
  <c r="I257" i="4"/>
  <c r="L149" i="5"/>
  <c r="J257" i="4"/>
  <c r="N149" i="5"/>
  <c r="L257" i="4"/>
  <c r="Q149" i="5"/>
  <c r="M257" i="4"/>
  <c r="R149" i="5"/>
  <c r="T149" i="5"/>
  <c r="U149" i="5"/>
  <c r="P257" i="4"/>
  <c r="W149" i="5"/>
  <c r="Q257" i="4"/>
  <c r="X149" i="5"/>
  <c r="S257" i="4"/>
  <c r="AA149" i="5"/>
  <c r="AJ257" i="4"/>
  <c r="T257" i="4" a="1"/>
  <c r="T257" i="4"/>
  <c r="AC149" i="5"/>
  <c r="U257" i="4" a="1"/>
  <c r="U257" i="4"/>
  <c r="AD149" i="5"/>
  <c r="X257" i="4"/>
  <c r="AI149" i="5"/>
  <c r="Y257" i="4"/>
  <c r="AJ149" i="5"/>
  <c r="Z257" i="4"/>
  <c r="AL149" i="5"/>
  <c r="Z149" i="5"/>
  <c r="AN149" i="5"/>
  <c r="B9" i="4"/>
  <c r="S9" i="4"/>
  <c r="AA150" i="5"/>
  <c r="P9" i="4"/>
  <c r="W150" i="5"/>
  <c r="AG150" i="5"/>
  <c r="AF150" i="5"/>
  <c r="C9" i="4"/>
  <c r="C150" i="5"/>
  <c r="D9" i="4"/>
  <c r="E150" i="5"/>
  <c r="K150" i="5"/>
  <c r="L9" i="4"/>
  <c r="Q150" i="5"/>
  <c r="U150" i="5"/>
  <c r="Q9" i="4"/>
  <c r="X150" i="5"/>
  <c r="R9" i="4"/>
  <c r="Z150" i="5"/>
  <c r="AJ9" i="4"/>
  <c r="T9" i="4" a="1"/>
  <c r="T9" i="4"/>
  <c r="AC150" i="5"/>
  <c r="U9" i="4" a="1"/>
  <c r="U9" i="4"/>
  <c r="AD150" i="5"/>
  <c r="X9" i="4"/>
  <c r="AI150" i="5"/>
  <c r="Y9" i="4"/>
  <c r="AJ150" i="5"/>
  <c r="Z9" i="4"/>
  <c r="AL150" i="5"/>
  <c r="F150" i="5"/>
  <c r="H150" i="5"/>
  <c r="I150" i="5"/>
  <c r="L150" i="5"/>
  <c r="N150" i="5"/>
  <c r="O150" i="5"/>
  <c r="R150" i="5"/>
  <c r="T150" i="5"/>
  <c r="AN150" i="5"/>
  <c r="AG151" i="5"/>
  <c r="AF151" i="5"/>
  <c r="B82" i="4"/>
  <c r="C82" i="4"/>
  <c r="C151" i="5"/>
  <c r="D82" i="4"/>
  <c r="E151" i="5"/>
  <c r="E82" i="4"/>
  <c r="F151" i="5"/>
  <c r="F82" i="4"/>
  <c r="H151" i="5"/>
  <c r="I151" i="5"/>
  <c r="H82" i="4"/>
  <c r="K151" i="5"/>
  <c r="L82" i="4"/>
  <c r="Q151" i="5"/>
  <c r="M82" i="4"/>
  <c r="R151" i="5"/>
  <c r="T151" i="5"/>
  <c r="O82" i="4"/>
  <c r="U151" i="5"/>
  <c r="P82" i="4"/>
  <c r="W151" i="5"/>
  <c r="Q82" i="4"/>
  <c r="X151" i="5"/>
  <c r="AA151" i="5"/>
  <c r="AJ82" i="4"/>
  <c r="T82" i="4" a="1"/>
  <c r="T82" i="4"/>
  <c r="AC151" i="5"/>
  <c r="U82" i="4" a="1"/>
  <c r="U82" i="4"/>
  <c r="AD151" i="5"/>
  <c r="X82" i="4"/>
  <c r="AI151" i="5"/>
  <c r="Y82" i="4"/>
  <c r="AJ151" i="5"/>
  <c r="Z82" i="4"/>
  <c r="AL151" i="5"/>
  <c r="L151" i="5"/>
  <c r="N151" i="5"/>
  <c r="O151" i="5"/>
  <c r="Z151" i="5"/>
  <c r="AN151" i="5"/>
  <c r="O152" i="5"/>
  <c r="B47" i="4"/>
  <c r="H47" i="4"/>
  <c r="K152" i="5"/>
  <c r="AG152" i="5"/>
  <c r="AF152" i="5"/>
  <c r="C47" i="4"/>
  <c r="C152" i="5"/>
  <c r="D47" i="4"/>
  <c r="E152" i="5"/>
  <c r="I47" i="4"/>
  <c r="L152" i="5"/>
  <c r="J47" i="4"/>
  <c r="N152" i="5"/>
  <c r="L47" i="4"/>
  <c r="Q152" i="5"/>
  <c r="M47" i="4"/>
  <c r="R152" i="5"/>
  <c r="T152" i="5"/>
  <c r="U152" i="5"/>
  <c r="P47" i="4"/>
  <c r="W152" i="5"/>
  <c r="Q47" i="4"/>
  <c r="X152" i="5"/>
  <c r="S47" i="4"/>
  <c r="AA152" i="5"/>
  <c r="AJ47" i="4"/>
  <c r="T47" i="4" a="1"/>
  <c r="T47" i="4"/>
  <c r="AC152" i="5"/>
  <c r="U47" i="4" a="1"/>
  <c r="U47" i="4"/>
  <c r="AD152" i="5"/>
  <c r="X47" i="4"/>
  <c r="AI152" i="5"/>
  <c r="Y47" i="4"/>
  <c r="AJ152" i="5"/>
  <c r="Z47" i="4"/>
  <c r="AL152" i="5"/>
  <c r="F152" i="5"/>
  <c r="H152" i="5"/>
  <c r="I152" i="5"/>
  <c r="Z152" i="5"/>
  <c r="AN152" i="5"/>
  <c r="B218" i="4"/>
  <c r="S218" i="4"/>
  <c r="AA153" i="5"/>
  <c r="P218" i="4"/>
  <c r="W153" i="5"/>
  <c r="AG153" i="5"/>
  <c r="AF153" i="5"/>
  <c r="C218" i="4"/>
  <c r="C153" i="5"/>
  <c r="D218" i="4"/>
  <c r="E153" i="5"/>
  <c r="E218" i="4"/>
  <c r="F153" i="5"/>
  <c r="F218" i="4"/>
  <c r="H153" i="5"/>
  <c r="I153" i="5"/>
  <c r="K153" i="5"/>
  <c r="L218" i="4"/>
  <c r="Q153" i="5"/>
  <c r="M218" i="4"/>
  <c r="R153" i="5"/>
  <c r="T153" i="5"/>
  <c r="O218" i="4"/>
  <c r="U153" i="5"/>
  <c r="Q218" i="4"/>
  <c r="X153" i="5"/>
  <c r="R218" i="4"/>
  <c r="Z153" i="5"/>
  <c r="AJ218" i="4"/>
  <c r="T218" i="4" a="1"/>
  <c r="T218" i="4"/>
  <c r="AC153" i="5"/>
  <c r="U218" i="4" a="1"/>
  <c r="U218" i="4"/>
  <c r="AD153" i="5"/>
  <c r="X218" i="4"/>
  <c r="AI153" i="5"/>
  <c r="Y218" i="4"/>
  <c r="AJ153" i="5"/>
  <c r="Z218" i="4"/>
  <c r="AL153" i="5"/>
  <c r="L153" i="5"/>
  <c r="N153" i="5"/>
  <c r="O153" i="5"/>
  <c r="AN153" i="5"/>
  <c r="O154" i="5"/>
  <c r="B14" i="4"/>
  <c r="H14" i="4"/>
  <c r="K154" i="5"/>
  <c r="AG154" i="5"/>
  <c r="AF154" i="5"/>
  <c r="C14" i="4"/>
  <c r="C154" i="5"/>
  <c r="D14" i="4"/>
  <c r="E154" i="5"/>
  <c r="I14" i="4"/>
  <c r="L154" i="5"/>
  <c r="J14" i="4"/>
  <c r="N154" i="5"/>
  <c r="L14" i="4"/>
  <c r="Q154" i="5"/>
  <c r="M14" i="4"/>
  <c r="R154" i="5"/>
  <c r="T154" i="5"/>
  <c r="U154" i="5"/>
  <c r="P14" i="4"/>
  <c r="W154" i="5"/>
  <c r="Q14" i="4"/>
  <c r="X154" i="5"/>
  <c r="S14" i="4"/>
  <c r="AA154" i="5"/>
  <c r="AJ14" i="4"/>
  <c r="T14" i="4" a="1"/>
  <c r="T14" i="4"/>
  <c r="AC154" i="5"/>
  <c r="U14" i="4" a="1"/>
  <c r="U14" i="4"/>
  <c r="AD154" i="5"/>
  <c r="X14" i="4"/>
  <c r="AI154" i="5"/>
  <c r="Y14" i="4"/>
  <c r="AJ154" i="5"/>
  <c r="Z14" i="4"/>
  <c r="AL154" i="5"/>
  <c r="F154" i="5"/>
  <c r="H154" i="5"/>
  <c r="I154" i="5"/>
  <c r="Z154" i="5"/>
  <c r="AN154" i="5"/>
  <c r="AG155" i="5"/>
  <c r="AF155" i="5"/>
  <c r="B83" i="4"/>
  <c r="C83" i="4"/>
  <c r="C155" i="5"/>
  <c r="D83" i="4"/>
  <c r="E155" i="5"/>
  <c r="H83" i="4"/>
  <c r="K155" i="5"/>
  <c r="L83" i="4"/>
  <c r="Q155" i="5"/>
  <c r="M83" i="4"/>
  <c r="R155" i="5"/>
  <c r="T155" i="5"/>
  <c r="O83" i="4"/>
  <c r="U155" i="5"/>
  <c r="P83" i="4"/>
  <c r="W155" i="5"/>
  <c r="Q83" i="4"/>
  <c r="X155" i="5"/>
  <c r="AA155" i="5"/>
  <c r="AJ83" i="4"/>
  <c r="T83" i="4" a="1"/>
  <c r="T83" i="4"/>
  <c r="AC155" i="5"/>
  <c r="U83" i="4" a="1"/>
  <c r="U83" i="4"/>
  <c r="AD155" i="5"/>
  <c r="X83" i="4"/>
  <c r="AI155" i="5"/>
  <c r="Y83" i="4"/>
  <c r="AJ155" i="5"/>
  <c r="Z83" i="4"/>
  <c r="AL155" i="5"/>
  <c r="F155" i="5"/>
  <c r="H155" i="5"/>
  <c r="I155" i="5"/>
  <c r="L155" i="5"/>
  <c r="N155" i="5"/>
  <c r="O155" i="5"/>
  <c r="Z155" i="5"/>
  <c r="AN155" i="5"/>
  <c r="AG156" i="5"/>
  <c r="AF156" i="5"/>
  <c r="B258" i="4"/>
  <c r="C258" i="4"/>
  <c r="C156" i="5"/>
  <c r="D258" i="4"/>
  <c r="E156" i="5"/>
  <c r="E258" i="4"/>
  <c r="F156" i="5"/>
  <c r="F258" i="4"/>
  <c r="H156" i="5"/>
  <c r="I156" i="5"/>
  <c r="H258" i="4"/>
  <c r="K156" i="5"/>
  <c r="L258" i="4"/>
  <c r="Q156" i="5"/>
  <c r="M258" i="4"/>
  <c r="R156" i="5"/>
  <c r="T156" i="5"/>
  <c r="O258" i="4"/>
  <c r="U156" i="5"/>
  <c r="P258" i="4"/>
  <c r="W156" i="5"/>
  <c r="Q258" i="4"/>
  <c r="X156" i="5"/>
  <c r="S258" i="4"/>
  <c r="AA156" i="5"/>
  <c r="AJ258" i="4"/>
  <c r="T258" i="4" a="1"/>
  <c r="T258" i="4"/>
  <c r="AC156" i="5"/>
  <c r="U258" i="4" a="1"/>
  <c r="U258" i="4"/>
  <c r="AD156" i="5"/>
  <c r="X258" i="4"/>
  <c r="AI156" i="5"/>
  <c r="Y258" i="4"/>
  <c r="AJ156" i="5"/>
  <c r="Z258" i="4"/>
  <c r="AL156" i="5"/>
  <c r="L156" i="5"/>
  <c r="N156" i="5"/>
  <c r="O156" i="5"/>
  <c r="Z156" i="5"/>
  <c r="AN156" i="5"/>
  <c r="AA157" i="5"/>
  <c r="B25" i="4"/>
  <c r="P25" i="4"/>
  <c r="W157" i="5"/>
  <c r="O157" i="5"/>
  <c r="H25" i="4"/>
  <c r="K157" i="5"/>
  <c r="AG157" i="5"/>
  <c r="AF157" i="5"/>
  <c r="C25" i="4"/>
  <c r="C157" i="5"/>
  <c r="D25" i="4"/>
  <c r="E157" i="5"/>
  <c r="I25" i="4"/>
  <c r="L157" i="5"/>
  <c r="J25" i="4"/>
  <c r="N157" i="5"/>
  <c r="L25" i="4"/>
  <c r="Q157" i="5"/>
  <c r="M25" i="4"/>
  <c r="R157" i="5"/>
  <c r="T157" i="5"/>
  <c r="O25" i="4"/>
  <c r="U157" i="5"/>
  <c r="Q25" i="4"/>
  <c r="X157" i="5"/>
  <c r="R25" i="4"/>
  <c r="Z157" i="5"/>
  <c r="AJ25" i="4"/>
  <c r="T25" i="4" a="1"/>
  <c r="T25" i="4"/>
  <c r="AC157" i="5"/>
  <c r="U25" i="4" a="1"/>
  <c r="U25" i="4"/>
  <c r="AD157" i="5"/>
  <c r="X25" i="4"/>
  <c r="AI157" i="5"/>
  <c r="Y25" i="4"/>
  <c r="AJ157" i="5"/>
  <c r="Z25" i="4"/>
  <c r="AL157" i="5"/>
  <c r="F157" i="5"/>
  <c r="H157" i="5"/>
  <c r="I157" i="5"/>
  <c r="AN157" i="5"/>
  <c r="AG158" i="5"/>
  <c r="AF158" i="5"/>
  <c r="B197" i="4"/>
  <c r="C197" i="4"/>
  <c r="C158" i="5"/>
  <c r="D197" i="4"/>
  <c r="E158" i="5"/>
  <c r="H197" i="4"/>
  <c r="K158" i="5"/>
  <c r="L197" i="4"/>
  <c r="Q158" i="5"/>
  <c r="M197" i="4"/>
  <c r="R158" i="5"/>
  <c r="T158" i="5"/>
  <c r="U158" i="5"/>
  <c r="P197" i="4"/>
  <c r="W158" i="5"/>
  <c r="Q197" i="4"/>
  <c r="X158" i="5"/>
  <c r="S197" i="4"/>
  <c r="AA158" i="5"/>
  <c r="AJ197" i="4"/>
  <c r="T197" i="4" a="1"/>
  <c r="T197" i="4"/>
  <c r="AC158" i="5"/>
  <c r="U197" i="4" a="1"/>
  <c r="U197" i="4"/>
  <c r="AD158" i="5"/>
  <c r="X197" i="4"/>
  <c r="AI158" i="5"/>
  <c r="Y197" i="4"/>
  <c r="AJ158" i="5"/>
  <c r="Z197" i="4"/>
  <c r="AL158" i="5"/>
  <c r="F158" i="5"/>
  <c r="H158" i="5"/>
  <c r="I158" i="5"/>
  <c r="L158" i="5"/>
  <c r="N158" i="5"/>
  <c r="O158" i="5"/>
  <c r="Z158" i="5"/>
  <c r="AN158" i="5"/>
  <c r="AG159" i="5"/>
  <c r="AF159" i="5"/>
  <c r="B198" i="4"/>
  <c r="C198" i="4"/>
  <c r="C159" i="5"/>
  <c r="D198" i="4"/>
  <c r="E159" i="5"/>
  <c r="E198" i="4"/>
  <c r="F159" i="5"/>
  <c r="F198" i="4"/>
  <c r="H159" i="5"/>
  <c r="I159" i="5"/>
  <c r="H198" i="4"/>
  <c r="K159" i="5"/>
  <c r="L198" i="4"/>
  <c r="Q159" i="5"/>
  <c r="M198" i="4"/>
  <c r="R159" i="5"/>
  <c r="T159" i="5"/>
  <c r="O198" i="4"/>
  <c r="U159" i="5"/>
  <c r="P198" i="4"/>
  <c r="W159" i="5"/>
  <c r="Q198" i="4"/>
  <c r="X159" i="5"/>
  <c r="S198" i="4"/>
  <c r="AA159" i="5"/>
  <c r="AJ198" i="4"/>
  <c r="T198" i="4" a="1"/>
  <c r="T198" i="4"/>
  <c r="AC159" i="5"/>
  <c r="U198" i="4" a="1"/>
  <c r="U198" i="4"/>
  <c r="AD159" i="5"/>
  <c r="X198" i="4"/>
  <c r="AI159" i="5"/>
  <c r="Y198" i="4"/>
  <c r="AJ159" i="5"/>
  <c r="Z198" i="4"/>
  <c r="AL159" i="5"/>
  <c r="L159" i="5"/>
  <c r="N159" i="5"/>
  <c r="O159" i="5"/>
  <c r="Z159" i="5"/>
  <c r="AN159" i="5"/>
  <c r="AG160" i="5"/>
  <c r="AF160" i="5"/>
  <c r="B284" i="4"/>
  <c r="C284" i="4"/>
  <c r="C160" i="5"/>
  <c r="D284" i="4"/>
  <c r="E160" i="5"/>
  <c r="E284" i="4"/>
  <c r="F160" i="5"/>
  <c r="F284" i="4"/>
  <c r="H160" i="5"/>
  <c r="I160" i="5"/>
  <c r="H284" i="4"/>
  <c r="K160" i="5"/>
  <c r="L284" i="4"/>
  <c r="Q160" i="5"/>
  <c r="M284" i="4"/>
  <c r="R160" i="5"/>
  <c r="T160" i="5"/>
  <c r="O284" i="4"/>
  <c r="U160" i="5"/>
  <c r="P284" i="4"/>
  <c r="W160" i="5"/>
  <c r="Q284" i="4"/>
  <c r="X160" i="5"/>
  <c r="S284" i="4"/>
  <c r="AA160" i="5"/>
  <c r="AJ284" i="4"/>
  <c r="T284" i="4" a="1"/>
  <c r="T284" i="4"/>
  <c r="AC160" i="5"/>
  <c r="U284" i="4" a="1"/>
  <c r="U284" i="4"/>
  <c r="AD160" i="5"/>
  <c r="X284" i="4"/>
  <c r="AI160" i="5"/>
  <c r="Y284" i="4"/>
  <c r="AJ160" i="5"/>
  <c r="Z284" i="4"/>
  <c r="AL160" i="5"/>
  <c r="L160" i="5"/>
  <c r="N160" i="5"/>
  <c r="O160" i="5"/>
  <c r="Z160" i="5"/>
  <c r="AN160" i="5"/>
  <c r="AG161" i="5"/>
  <c r="AF161" i="5"/>
  <c r="B285" i="4"/>
  <c r="C285" i="4"/>
  <c r="C161" i="5"/>
  <c r="D285" i="4"/>
  <c r="E161" i="5"/>
  <c r="E285" i="4"/>
  <c r="F161" i="5"/>
  <c r="F285" i="4"/>
  <c r="H161" i="5"/>
  <c r="I161" i="5"/>
  <c r="H285" i="4"/>
  <c r="K161" i="5"/>
  <c r="L285" i="4"/>
  <c r="Q161" i="5"/>
  <c r="M285" i="4"/>
  <c r="R161" i="5"/>
  <c r="T161" i="5"/>
  <c r="O285" i="4"/>
  <c r="U161" i="5"/>
  <c r="P285" i="4"/>
  <c r="W161" i="5"/>
  <c r="Q285" i="4"/>
  <c r="X161" i="5"/>
  <c r="S285" i="4"/>
  <c r="AA161" i="5"/>
  <c r="AJ285" i="4"/>
  <c r="T285" i="4" a="1"/>
  <c r="T285" i="4"/>
  <c r="AC161" i="5"/>
  <c r="U285" i="4" a="1"/>
  <c r="U285" i="4"/>
  <c r="AD161" i="5"/>
  <c r="X285" i="4"/>
  <c r="AI161" i="5"/>
  <c r="Y285" i="4"/>
  <c r="AJ161" i="5"/>
  <c r="Z285" i="4"/>
  <c r="AL161" i="5"/>
  <c r="L161" i="5"/>
  <c r="N161" i="5"/>
  <c r="O161" i="5"/>
  <c r="Z161" i="5"/>
  <c r="AN161" i="5"/>
  <c r="AG162" i="5"/>
  <c r="AF162" i="5"/>
  <c r="B49" i="4"/>
  <c r="C49" i="4"/>
  <c r="C162" i="5"/>
  <c r="D49" i="4"/>
  <c r="E162" i="5"/>
  <c r="H49" i="4"/>
  <c r="K162" i="5"/>
  <c r="L49" i="4"/>
  <c r="Q162" i="5"/>
  <c r="M49" i="4"/>
  <c r="R162" i="5"/>
  <c r="N49" i="4"/>
  <c r="T162" i="5"/>
  <c r="O49" i="4"/>
  <c r="U162" i="5"/>
  <c r="P49" i="4"/>
  <c r="W162" i="5"/>
  <c r="Q49" i="4"/>
  <c r="X162" i="5"/>
  <c r="AA162" i="5"/>
  <c r="AJ49" i="4"/>
  <c r="T49" i="4" a="1"/>
  <c r="T49" i="4"/>
  <c r="AC162" i="5"/>
  <c r="U49" i="4" a="1"/>
  <c r="U49" i="4"/>
  <c r="AD162" i="5"/>
  <c r="X49" i="4"/>
  <c r="AI162" i="5"/>
  <c r="Y49" i="4"/>
  <c r="AJ162" i="5"/>
  <c r="Z49" i="4"/>
  <c r="AL162" i="5"/>
  <c r="F162" i="5"/>
  <c r="H162" i="5"/>
  <c r="I162" i="5"/>
  <c r="L162" i="5"/>
  <c r="N162" i="5"/>
  <c r="O162" i="5"/>
  <c r="Z162" i="5"/>
  <c r="AN162" i="5"/>
  <c r="AG163" i="5"/>
  <c r="AF163" i="5"/>
  <c r="B84" i="4"/>
  <c r="C84" i="4"/>
  <c r="C163" i="5"/>
  <c r="D84" i="4"/>
  <c r="E163" i="5"/>
  <c r="H84" i="4"/>
  <c r="K163" i="5"/>
  <c r="L84" i="4"/>
  <c r="Q163" i="5"/>
  <c r="M84" i="4"/>
  <c r="R163" i="5"/>
  <c r="T163" i="5"/>
  <c r="U163" i="5"/>
  <c r="P84" i="4"/>
  <c r="W163" i="5"/>
  <c r="Q84" i="4"/>
  <c r="X163" i="5"/>
  <c r="AA163" i="5"/>
  <c r="AJ84" i="4"/>
  <c r="T84" i="4" a="1"/>
  <c r="T84" i="4"/>
  <c r="AC163" i="5"/>
  <c r="U84" i="4" a="1"/>
  <c r="U84" i="4"/>
  <c r="AD163" i="5"/>
  <c r="Y84" i="4"/>
  <c r="AJ163" i="5"/>
  <c r="Z84" i="4"/>
  <c r="AL163" i="5"/>
  <c r="F163" i="5"/>
  <c r="H163" i="5"/>
  <c r="I163" i="5"/>
  <c r="L163" i="5"/>
  <c r="N163" i="5"/>
  <c r="O163" i="5"/>
  <c r="Z163" i="5"/>
  <c r="AN163" i="5"/>
  <c r="AG164" i="5"/>
  <c r="AF164" i="5"/>
  <c r="B219" i="4"/>
  <c r="C219" i="4"/>
  <c r="C164" i="5"/>
  <c r="D219" i="4"/>
  <c r="E164" i="5"/>
  <c r="H219" i="4"/>
  <c r="K164" i="5"/>
  <c r="L219" i="4"/>
  <c r="Q164" i="5"/>
  <c r="M219" i="4"/>
  <c r="R164" i="5"/>
  <c r="T164" i="5"/>
  <c r="O219" i="4"/>
  <c r="U164" i="5"/>
  <c r="P219" i="4"/>
  <c r="W164" i="5"/>
  <c r="Q219" i="4"/>
  <c r="X164" i="5"/>
  <c r="S219" i="4"/>
  <c r="AA164" i="5"/>
  <c r="AJ219" i="4"/>
  <c r="T219" i="4" a="1"/>
  <c r="T219" i="4"/>
  <c r="AC164" i="5"/>
  <c r="U219" i="4" a="1"/>
  <c r="U219" i="4"/>
  <c r="AD164" i="5"/>
  <c r="X219" i="4"/>
  <c r="AI164" i="5"/>
  <c r="Y219" i="4"/>
  <c r="AJ164" i="5"/>
  <c r="Z219" i="4"/>
  <c r="AL164" i="5"/>
  <c r="F164" i="5"/>
  <c r="H164" i="5"/>
  <c r="I164" i="5"/>
  <c r="L164" i="5"/>
  <c r="N164" i="5"/>
  <c r="O164" i="5"/>
  <c r="Z164" i="5"/>
  <c r="AN164" i="5"/>
  <c r="O165" i="5"/>
  <c r="K165" i="5"/>
  <c r="AG165" i="5"/>
  <c r="AF165" i="5"/>
  <c r="B86" i="4"/>
  <c r="C86" i="4"/>
  <c r="C165" i="5"/>
  <c r="D86" i="4"/>
  <c r="E165" i="5"/>
  <c r="E86" i="4"/>
  <c r="F165" i="5"/>
  <c r="F86" i="4"/>
  <c r="H165" i="5"/>
  <c r="I165" i="5"/>
  <c r="I86" i="4"/>
  <c r="L165" i="5"/>
  <c r="J86" i="4"/>
  <c r="N165" i="5"/>
  <c r="L86" i="4"/>
  <c r="Q165" i="5"/>
  <c r="M86" i="4"/>
  <c r="R165" i="5"/>
  <c r="T165" i="5"/>
  <c r="O86" i="4"/>
  <c r="U165" i="5"/>
  <c r="P86" i="4"/>
  <c r="W165" i="5"/>
  <c r="Q86" i="4"/>
  <c r="X165" i="5"/>
  <c r="S86" i="4"/>
  <c r="AA165" i="5"/>
  <c r="AJ86" i="4"/>
  <c r="T86" i="4" a="1"/>
  <c r="T86" i="4"/>
  <c r="AC165" i="5"/>
  <c r="U86" i="4" a="1"/>
  <c r="U86" i="4"/>
  <c r="AD165" i="5"/>
  <c r="X86" i="4"/>
  <c r="AI165" i="5"/>
  <c r="Y86" i="4"/>
  <c r="AJ165" i="5"/>
  <c r="Z86" i="4"/>
  <c r="AL165" i="5"/>
  <c r="Z165" i="5"/>
  <c r="AN165" i="5"/>
  <c r="O166" i="5"/>
  <c r="B87" i="4"/>
  <c r="H87" i="4"/>
  <c r="K166" i="5"/>
  <c r="AG166" i="5"/>
  <c r="AF166" i="5"/>
  <c r="C87" i="4"/>
  <c r="C166" i="5"/>
  <c r="D87" i="4"/>
  <c r="E166" i="5"/>
  <c r="E87" i="4"/>
  <c r="F166" i="5"/>
  <c r="F87" i="4"/>
  <c r="H166" i="5"/>
  <c r="I166" i="5"/>
  <c r="L166" i="5"/>
  <c r="J87" i="4"/>
  <c r="N166" i="5"/>
  <c r="L87" i="4"/>
  <c r="Q166" i="5"/>
  <c r="M87" i="4"/>
  <c r="R166" i="5"/>
  <c r="T166" i="5"/>
  <c r="O87" i="4"/>
  <c r="U166" i="5"/>
  <c r="P87" i="4"/>
  <c r="W166" i="5"/>
  <c r="Q87" i="4"/>
  <c r="X166" i="5"/>
  <c r="S87" i="4"/>
  <c r="AA166" i="5"/>
  <c r="AJ87" i="4"/>
  <c r="T87" i="4" a="1"/>
  <c r="T87" i="4"/>
  <c r="AC166" i="5"/>
  <c r="U87" i="4" a="1"/>
  <c r="U87" i="4"/>
  <c r="AD166" i="5"/>
  <c r="X87" i="4"/>
  <c r="AI166" i="5"/>
  <c r="Y87" i="4"/>
  <c r="AJ166" i="5"/>
  <c r="Z87" i="4"/>
  <c r="AL166" i="5"/>
  <c r="Z166" i="5"/>
  <c r="AN166" i="5"/>
  <c r="O167" i="5"/>
  <c r="B88" i="4"/>
  <c r="H88" i="4"/>
  <c r="K167" i="5"/>
  <c r="AG167" i="5"/>
  <c r="AF167" i="5"/>
  <c r="C88" i="4"/>
  <c r="C167" i="5"/>
  <c r="D88" i="4"/>
  <c r="E167" i="5"/>
  <c r="E88" i="4"/>
  <c r="F167" i="5"/>
  <c r="F88" i="4"/>
  <c r="H167" i="5"/>
  <c r="I167" i="5"/>
  <c r="I88" i="4"/>
  <c r="L167" i="5"/>
  <c r="J88" i="4"/>
  <c r="N167" i="5"/>
  <c r="L88" i="4"/>
  <c r="Q167" i="5"/>
  <c r="M88" i="4"/>
  <c r="R167" i="5"/>
  <c r="T167" i="5"/>
  <c r="O88" i="4"/>
  <c r="U167" i="5"/>
  <c r="P88" i="4"/>
  <c r="W167" i="5"/>
  <c r="Q88" i="4"/>
  <c r="X167" i="5"/>
  <c r="AA167" i="5"/>
  <c r="AJ88" i="4"/>
  <c r="T88" i="4" a="1"/>
  <c r="T88" i="4"/>
  <c r="AC167" i="5"/>
  <c r="U88" i="4" a="1"/>
  <c r="U88" i="4"/>
  <c r="AD167" i="5"/>
  <c r="AI167" i="5"/>
  <c r="Y88" i="4"/>
  <c r="AJ167" i="5"/>
  <c r="Z88" i="4"/>
  <c r="AL167" i="5"/>
  <c r="Z167" i="5"/>
  <c r="AN167" i="5"/>
  <c r="AG168" i="5"/>
  <c r="AF168" i="5"/>
  <c r="B259" i="4"/>
  <c r="C259" i="4"/>
  <c r="C168" i="5"/>
  <c r="D259" i="4"/>
  <c r="E168" i="5"/>
  <c r="K168" i="5"/>
  <c r="L259" i="4"/>
  <c r="Q168" i="5"/>
  <c r="M259" i="4"/>
  <c r="R168" i="5"/>
  <c r="T168" i="5"/>
  <c r="U168" i="5"/>
  <c r="P259" i="4"/>
  <c r="W168" i="5"/>
  <c r="Q259" i="4"/>
  <c r="X168" i="5"/>
  <c r="S259" i="4"/>
  <c r="AA168" i="5"/>
  <c r="AJ259" i="4"/>
  <c r="T259" i="4" a="1"/>
  <c r="T259" i="4"/>
  <c r="AC168" i="5"/>
  <c r="U259" i="4" a="1"/>
  <c r="U259" i="4"/>
  <c r="AD168" i="5"/>
  <c r="X259" i="4"/>
  <c r="AI168" i="5"/>
  <c r="Y259" i="4"/>
  <c r="AJ168" i="5"/>
  <c r="Z259" i="4"/>
  <c r="AL168" i="5"/>
  <c r="F168" i="5"/>
  <c r="H168" i="5"/>
  <c r="I168" i="5"/>
  <c r="L168" i="5"/>
  <c r="N168" i="5"/>
  <c r="O168" i="5"/>
  <c r="Z168" i="5"/>
  <c r="AN168" i="5"/>
  <c r="AG169" i="5"/>
  <c r="AF169" i="5"/>
  <c r="B286" i="4"/>
  <c r="C286" i="4"/>
  <c r="C169" i="5"/>
  <c r="D286" i="4"/>
  <c r="E169" i="5"/>
  <c r="K169" i="5"/>
  <c r="L286" i="4"/>
  <c r="Q169" i="5"/>
  <c r="M286" i="4"/>
  <c r="R169" i="5"/>
  <c r="T169" i="5"/>
  <c r="U169" i="5"/>
  <c r="P286" i="4"/>
  <c r="W169" i="5"/>
  <c r="Q286" i="4"/>
  <c r="X169" i="5"/>
  <c r="S286" i="4"/>
  <c r="AA169" i="5"/>
  <c r="AJ286" i="4"/>
  <c r="T286" i="4" a="1"/>
  <c r="T286" i="4"/>
  <c r="AC169" i="5"/>
  <c r="U286" i="4" a="1"/>
  <c r="U286" i="4"/>
  <c r="AD169" i="5"/>
  <c r="X286" i="4"/>
  <c r="AI169" i="5"/>
  <c r="Y286" i="4"/>
  <c r="AJ169" i="5"/>
  <c r="Z286" i="4"/>
  <c r="AL169" i="5"/>
  <c r="F169" i="5"/>
  <c r="H169" i="5"/>
  <c r="I169" i="5"/>
  <c r="L169" i="5"/>
  <c r="N169" i="5"/>
  <c r="O169" i="5"/>
  <c r="Z169" i="5"/>
  <c r="AN169" i="5"/>
  <c r="AG170" i="5"/>
  <c r="AF170" i="5"/>
  <c r="B260" i="4"/>
  <c r="C260" i="4"/>
  <c r="C170" i="5"/>
  <c r="E170" i="5"/>
  <c r="K170" i="5"/>
  <c r="L260" i="4"/>
  <c r="Q170" i="5"/>
  <c r="M260" i="4"/>
  <c r="R170" i="5"/>
  <c r="T170" i="5"/>
  <c r="O260" i="4"/>
  <c r="U170" i="5"/>
  <c r="P260" i="4"/>
  <c r="W170" i="5"/>
  <c r="Q260" i="4"/>
  <c r="X170" i="5"/>
  <c r="S260" i="4"/>
  <c r="AA170" i="5"/>
  <c r="AJ260" i="4"/>
  <c r="T260" i="4" a="1"/>
  <c r="T260" i="4"/>
  <c r="AC170" i="5"/>
  <c r="U260" i="4" a="1"/>
  <c r="U260" i="4"/>
  <c r="AD170" i="5"/>
  <c r="X260" i="4"/>
  <c r="AI170" i="5"/>
  <c r="Y260" i="4"/>
  <c r="AJ170" i="5"/>
  <c r="Z260" i="4"/>
  <c r="AL170" i="5"/>
  <c r="F170" i="5"/>
  <c r="H170" i="5"/>
  <c r="I170" i="5"/>
  <c r="L170" i="5"/>
  <c r="N170" i="5"/>
  <c r="O170" i="5"/>
  <c r="Z170" i="5"/>
  <c r="AN170" i="5"/>
  <c r="AG171" i="5"/>
  <c r="AF171" i="5"/>
  <c r="B91" i="4"/>
  <c r="C91" i="4"/>
  <c r="C171" i="5"/>
  <c r="D91" i="4"/>
  <c r="E171" i="5"/>
  <c r="H91" i="4"/>
  <c r="K171" i="5"/>
  <c r="L91" i="4"/>
  <c r="Q171" i="5"/>
  <c r="M91" i="4"/>
  <c r="R171" i="5"/>
  <c r="T171" i="5"/>
  <c r="O91" i="4"/>
  <c r="U171" i="5"/>
  <c r="P91" i="4"/>
  <c r="W171" i="5"/>
  <c r="Q91" i="4"/>
  <c r="X171" i="5"/>
  <c r="S91" i="4"/>
  <c r="AA171" i="5"/>
  <c r="AJ91" i="4"/>
  <c r="T91" i="4" a="1"/>
  <c r="T91" i="4"/>
  <c r="AC171" i="5"/>
  <c r="U91" i="4" a="1"/>
  <c r="U91" i="4"/>
  <c r="AD171" i="5"/>
  <c r="X91" i="4"/>
  <c r="AI171" i="5"/>
  <c r="Y91" i="4"/>
  <c r="AJ171" i="5"/>
  <c r="Z91" i="4"/>
  <c r="AL171" i="5"/>
  <c r="F171" i="5"/>
  <c r="H171" i="5"/>
  <c r="I171" i="5"/>
  <c r="L171" i="5"/>
  <c r="N171" i="5"/>
  <c r="O171" i="5"/>
  <c r="Z171" i="5"/>
  <c r="AN171" i="5"/>
  <c r="F172" i="5"/>
  <c r="H172" i="5"/>
  <c r="I172" i="5"/>
  <c r="L172" i="5"/>
  <c r="N172" i="5"/>
  <c r="O172" i="5"/>
  <c r="Z172" i="5"/>
  <c r="AG173" i="5"/>
  <c r="AF173" i="5"/>
  <c r="B296" i="4"/>
  <c r="C296" i="4"/>
  <c r="C173" i="5"/>
  <c r="D296" i="4"/>
  <c r="E173" i="5"/>
  <c r="K173" i="5"/>
  <c r="L296" i="4"/>
  <c r="Q173" i="5"/>
  <c r="M296" i="4"/>
  <c r="R173" i="5"/>
  <c r="T173" i="5"/>
  <c r="U173" i="5"/>
  <c r="P296" i="4"/>
  <c r="W173" i="5"/>
  <c r="Q296" i="4"/>
  <c r="X173" i="5"/>
  <c r="AA173" i="5"/>
  <c r="AJ296" i="4"/>
  <c r="T296" i="4" a="1"/>
  <c r="T296" i="4"/>
  <c r="AC173" i="5"/>
  <c r="U296" i="4" a="1"/>
  <c r="U296" i="4"/>
  <c r="AD173" i="5"/>
  <c r="AI173" i="5"/>
  <c r="Y296" i="4"/>
  <c r="AJ173" i="5"/>
  <c r="Z296" i="4"/>
  <c r="AL173" i="5"/>
  <c r="F173" i="5"/>
  <c r="H173" i="5"/>
  <c r="I173" i="5"/>
  <c r="L173" i="5"/>
  <c r="N173" i="5"/>
  <c r="O173" i="5"/>
  <c r="Z173" i="5"/>
  <c r="AN173" i="5"/>
  <c r="B26" i="4"/>
  <c r="S26" i="4"/>
  <c r="AA174" i="5"/>
  <c r="P26" i="4"/>
  <c r="W174" i="5"/>
  <c r="O174" i="5"/>
  <c r="K174" i="5"/>
  <c r="AG174" i="5"/>
  <c r="AF174" i="5"/>
  <c r="C26" i="4"/>
  <c r="C174" i="5"/>
  <c r="D26" i="4"/>
  <c r="E174" i="5"/>
  <c r="E26" i="4"/>
  <c r="F174" i="5"/>
  <c r="F26" i="4"/>
  <c r="H174" i="5"/>
  <c r="I174" i="5"/>
  <c r="L26" i="4"/>
  <c r="Q174" i="5"/>
  <c r="M26" i="4"/>
  <c r="R174" i="5"/>
  <c r="T174" i="5"/>
  <c r="O26" i="4"/>
  <c r="U174" i="5"/>
  <c r="Q26" i="4"/>
  <c r="X174" i="5"/>
  <c r="R26" i="4"/>
  <c r="Z174" i="5"/>
  <c r="AJ26" i="4"/>
  <c r="T26" i="4" a="1"/>
  <c r="T26" i="4"/>
  <c r="AC174" i="5"/>
  <c r="U26" i="4" a="1"/>
  <c r="U26" i="4"/>
  <c r="AD174" i="5"/>
  <c r="X26" i="4"/>
  <c r="AI174" i="5"/>
  <c r="Y26" i="4"/>
  <c r="AJ174" i="5"/>
  <c r="Z26" i="4"/>
  <c r="AL174" i="5"/>
  <c r="AN174" i="5"/>
  <c r="B10" i="4"/>
  <c r="S10" i="4"/>
  <c r="AA175" i="5"/>
  <c r="P10" i="4"/>
  <c r="W175" i="5"/>
  <c r="O175" i="5"/>
  <c r="K175" i="5"/>
  <c r="AG175" i="5"/>
  <c r="AF175" i="5"/>
  <c r="C10" i="4"/>
  <c r="C175" i="5"/>
  <c r="D10" i="4"/>
  <c r="E175" i="5"/>
  <c r="E10" i="4"/>
  <c r="F175" i="5"/>
  <c r="F10" i="4"/>
  <c r="H175" i="5"/>
  <c r="I175" i="5"/>
  <c r="I10" i="4"/>
  <c r="L175" i="5"/>
  <c r="J10" i="4"/>
  <c r="N175" i="5"/>
  <c r="L10" i="4"/>
  <c r="Q175" i="5"/>
  <c r="M10" i="4"/>
  <c r="R175" i="5"/>
  <c r="T175" i="5"/>
  <c r="U175" i="5"/>
  <c r="Q10" i="4"/>
  <c r="X175" i="5"/>
  <c r="R10" i="4"/>
  <c r="Z175" i="5"/>
  <c r="AJ10" i="4"/>
  <c r="T10" i="4" a="1"/>
  <c r="T10" i="4"/>
  <c r="AC175" i="5"/>
  <c r="U10" i="4" a="1"/>
  <c r="U10" i="4"/>
  <c r="AD175" i="5"/>
  <c r="X10" i="4"/>
  <c r="AI175" i="5"/>
  <c r="Y10" i="4"/>
  <c r="AJ175" i="5"/>
  <c r="Z10" i="4"/>
  <c r="AL175" i="5"/>
  <c r="AN175" i="5"/>
  <c r="H176" i="5"/>
  <c r="I176" i="5"/>
  <c r="H177" i="5"/>
  <c r="I177" i="5"/>
  <c r="H178" i="5"/>
  <c r="I178" i="5"/>
  <c r="AG179" i="5"/>
  <c r="AF179" i="5"/>
  <c r="B115" i="4"/>
  <c r="C115" i="4"/>
  <c r="C179" i="5"/>
  <c r="D115" i="4"/>
  <c r="E179" i="5"/>
  <c r="H115" i="4"/>
  <c r="K179" i="5"/>
  <c r="L115" i="4"/>
  <c r="Q179" i="5"/>
  <c r="M115" i="4"/>
  <c r="R179" i="5"/>
  <c r="T179" i="5"/>
  <c r="U179" i="5"/>
  <c r="P115" i="4"/>
  <c r="W179" i="5"/>
  <c r="Q115" i="4"/>
  <c r="X179" i="5"/>
  <c r="S115" i="4"/>
  <c r="AA179" i="5"/>
  <c r="AJ115" i="4"/>
  <c r="T115" i="4" a="1"/>
  <c r="T115" i="4"/>
  <c r="AC179" i="5"/>
  <c r="U115" i="4" a="1"/>
  <c r="U115" i="4"/>
  <c r="AD179" i="5"/>
  <c r="X115" i="4"/>
  <c r="AI179" i="5"/>
  <c r="Y115" i="4"/>
  <c r="AJ179" i="5"/>
  <c r="Z115" i="4"/>
  <c r="AL179" i="5"/>
  <c r="F179" i="5"/>
  <c r="L179" i="5"/>
  <c r="N179" i="5"/>
  <c r="O179" i="5"/>
  <c r="Z179" i="5"/>
  <c r="H179" i="5"/>
  <c r="I179" i="5"/>
  <c r="AN179" i="5"/>
  <c r="AG180" i="5"/>
  <c r="AF180" i="5"/>
  <c r="B116" i="4"/>
  <c r="C116" i="4"/>
  <c r="C180" i="5"/>
  <c r="D116" i="4"/>
  <c r="E180" i="5"/>
  <c r="E116" i="4"/>
  <c r="F180" i="5"/>
  <c r="F116" i="4"/>
  <c r="H180" i="5"/>
  <c r="I180" i="5"/>
  <c r="H116" i="4"/>
  <c r="K180" i="5"/>
  <c r="L116" i="4"/>
  <c r="Q180" i="5"/>
  <c r="M116" i="4"/>
  <c r="R180" i="5"/>
  <c r="T180" i="5"/>
  <c r="O116" i="4"/>
  <c r="U180" i="5"/>
  <c r="P116" i="4"/>
  <c r="W180" i="5"/>
  <c r="Q116" i="4"/>
  <c r="X180" i="5"/>
  <c r="S116" i="4"/>
  <c r="AA180" i="5"/>
  <c r="AJ116" i="4"/>
  <c r="T116" i="4" a="1"/>
  <c r="T116" i="4"/>
  <c r="AC180" i="5"/>
  <c r="U116" i="4" a="1"/>
  <c r="U116" i="4"/>
  <c r="AD180" i="5"/>
  <c r="X116" i="4"/>
  <c r="AI180" i="5"/>
  <c r="Y116" i="4"/>
  <c r="AJ180" i="5"/>
  <c r="Z116" i="4"/>
  <c r="AL180" i="5"/>
  <c r="L180" i="5"/>
  <c r="N180" i="5"/>
  <c r="O180" i="5"/>
  <c r="Z180" i="5"/>
  <c r="AN180" i="5"/>
  <c r="B117" i="4"/>
  <c r="S117" i="4"/>
  <c r="AA181" i="5"/>
  <c r="P117" i="4"/>
  <c r="W181" i="5"/>
  <c r="O181" i="5"/>
  <c r="K181" i="5"/>
  <c r="AG181" i="5"/>
  <c r="AF181" i="5"/>
  <c r="C117" i="4"/>
  <c r="C181" i="5"/>
  <c r="D117" i="4"/>
  <c r="E181" i="5"/>
  <c r="E117" i="4"/>
  <c r="F181" i="5"/>
  <c r="F117" i="4"/>
  <c r="H181" i="5"/>
  <c r="I181" i="5"/>
  <c r="I117" i="4"/>
  <c r="L181" i="5"/>
  <c r="J117" i="4"/>
  <c r="N181" i="5"/>
  <c r="L117" i="4"/>
  <c r="Q181" i="5"/>
  <c r="M117" i="4"/>
  <c r="R181" i="5"/>
  <c r="T181" i="5"/>
  <c r="U181" i="5"/>
  <c r="Q117" i="4"/>
  <c r="X181" i="5"/>
  <c r="R117" i="4"/>
  <c r="Z181" i="5"/>
  <c r="AJ117" i="4"/>
  <c r="T117" i="4" a="1"/>
  <c r="T117" i="4"/>
  <c r="AC181" i="5"/>
  <c r="U117" i="4" a="1"/>
  <c r="U117" i="4"/>
  <c r="AD181" i="5"/>
  <c r="AI181" i="5"/>
  <c r="Y117" i="4"/>
  <c r="AJ181" i="5"/>
  <c r="Z117" i="4"/>
  <c r="AL181" i="5"/>
  <c r="AN181" i="5"/>
  <c r="B27" i="4"/>
  <c r="S27" i="4"/>
  <c r="AA182" i="5"/>
  <c r="P27" i="4"/>
  <c r="W182" i="5"/>
  <c r="O182" i="5"/>
  <c r="H27" i="4"/>
  <c r="K182" i="5"/>
  <c r="AG182" i="5"/>
  <c r="AF182" i="5"/>
  <c r="C27" i="4"/>
  <c r="C182" i="5"/>
  <c r="D27" i="4"/>
  <c r="E182" i="5"/>
  <c r="E27" i="4"/>
  <c r="F182" i="5"/>
  <c r="F27" i="4"/>
  <c r="H182" i="5"/>
  <c r="I182" i="5"/>
  <c r="I27" i="4"/>
  <c r="L182" i="5"/>
  <c r="J27" i="4"/>
  <c r="N182" i="5"/>
  <c r="L27" i="4"/>
  <c r="Q182" i="5"/>
  <c r="M27" i="4"/>
  <c r="R182" i="5"/>
  <c r="T182" i="5"/>
  <c r="U182" i="5"/>
  <c r="Q27" i="4"/>
  <c r="X182" i="5"/>
  <c r="R27" i="4"/>
  <c r="Z182" i="5"/>
  <c r="AJ27" i="4"/>
  <c r="T27" i="4" a="1"/>
  <c r="T27" i="4"/>
  <c r="AC182" i="5"/>
  <c r="U27" i="4" a="1"/>
  <c r="U27" i="4"/>
  <c r="AD182" i="5"/>
  <c r="X27" i="4"/>
  <c r="AI182" i="5"/>
  <c r="Y27" i="4"/>
  <c r="AJ182" i="5"/>
  <c r="Z27" i="4"/>
  <c r="AL182" i="5"/>
  <c r="AN182" i="5"/>
  <c r="B28" i="4"/>
  <c r="S28" i="4"/>
  <c r="AA183" i="5"/>
  <c r="P28" i="4"/>
  <c r="W183" i="5"/>
  <c r="O183" i="5"/>
  <c r="H28" i="4"/>
  <c r="K183" i="5"/>
  <c r="AG183" i="5"/>
  <c r="AF183" i="5"/>
  <c r="C28" i="4"/>
  <c r="C183" i="5"/>
  <c r="D28" i="4"/>
  <c r="E183" i="5"/>
  <c r="E28" i="4"/>
  <c r="F183" i="5"/>
  <c r="F28" i="4"/>
  <c r="H183" i="5"/>
  <c r="I183" i="5"/>
  <c r="I28" i="4"/>
  <c r="L183" i="5"/>
  <c r="J28" i="4"/>
  <c r="N183" i="5"/>
  <c r="L28" i="4"/>
  <c r="Q183" i="5"/>
  <c r="M28" i="4"/>
  <c r="R183" i="5"/>
  <c r="T183" i="5"/>
  <c r="U183" i="5"/>
  <c r="Q28" i="4"/>
  <c r="X183" i="5"/>
  <c r="R28" i="4"/>
  <c r="Z183" i="5"/>
  <c r="AJ28" i="4"/>
  <c r="T28" i="4" a="1"/>
  <c r="T28" i="4"/>
  <c r="AC183" i="5"/>
  <c r="U28" i="4" a="1"/>
  <c r="U28" i="4"/>
  <c r="AD183" i="5"/>
  <c r="AI183" i="5"/>
  <c r="Y28" i="4"/>
  <c r="AJ183" i="5"/>
  <c r="Z28" i="4"/>
  <c r="AL183" i="5"/>
  <c r="AN183" i="5"/>
  <c r="B29" i="4"/>
  <c r="S29" i="4"/>
  <c r="AA184" i="5"/>
  <c r="P29" i="4"/>
  <c r="W184" i="5"/>
  <c r="O184" i="5"/>
  <c r="K184" i="5"/>
  <c r="AG184" i="5"/>
  <c r="AF184" i="5"/>
  <c r="C29" i="4"/>
  <c r="C184" i="5"/>
  <c r="D29" i="4"/>
  <c r="E184" i="5"/>
  <c r="E29" i="4"/>
  <c r="F184" i="5"/>
  <c r="F29" i="4"/>
  <c r="H184" i="5"/>
  <c r="I184" i="5"/>
  <c r="I29" i="4"/>
  <c r="L184" i="5"/>
  <c r="J29" i="4"/>
  <c r="N184" i="5"/>
  <c r="L29" i="4"/>
  <c r="Q184" i="5"/>
  <c r="M29" i="4"/>
  <c r="R184" i="5"/>
  <c r="T184" i="5"/>
  <c r="U184" i="5"/>
  <c r="Q29" i="4"/>
  <c r="X184" i="5"/>
  <c r="R29" i="4"/>
  <c r="Z184" i="5"/>
  <c r="AJ29" i="4"/>
  <c r="T29" i="4" a="1"/>
  <c r="T29" i="4"/>
  <c r="AC184" i="5"/>
  <c r="U29" i="4" a="1"/>
  <c r="U29" i="4"/>
  <c r="AD184" i="5"/>
  <c r="X29" i="4"/>
  <c r="AI184" i="5"/>
  <c r="Y29" i="4"/>
  <c r="AJ184" i="5"/>
  <c r="Z29" i="4"/>
  <c r="AL184" i="5"/>
  <c r="AN184" i="5"/>
  <c r="B134" i="4"/>
  <c r="S134" i="4"/>
  <c r="AA185" i="5"/>
  <c r="P134" i="4"/>
  <c r="W185" i="5"/>
  <c r="O185" i="5"/>
  <c r="K185" i="5"/>
  <c r="AG185" i="5"/>
  <c r="AF185" i="5"/>
  <c r="C134" i="4"/>
  <c r="C185" i="5"/>
  <c r="D134" i="4"/>
  <c r="E185" i="5"/>
  <c r="E134" i="4"/>
  <c r="F185" i="5"/>
  <c r="F134" i="4"/>
  <c r="H185" i="5"/>
  <c r="I185" i="5"/>
  <c r="I134" i="4"/>
  <c r="L185" i="5"/>
  <c r="J134" i="4"/>
  <c r="N185" i="5"/>
  <c r="L134" i="4"/>
  <c r="Q185" i="5"/>
  <c r="M134" i="4"/>
  <c r="R185" i="5"/>
  <c r="T185" i="5"/>
  <c r="U185" i="5"/>
  <c r="Q134" i="4"/>
  <c r="X185" i="5"/>
  <c r="R134" i="4"/>
  <c r="Z185" i="5"/>
  <c r="AJ134" i="4"/>
  <c r="T134" i="4" a="1"/>
  <c r="T134" i="4"/>
  <c r="AC185" i="5"/>
  <c r="U134" i="4" a="1"/>
  <c r="U134" i="4"/>
  <c r="AD185" i="5"/>
  <c r="X134" i="4"/>
  <c r="AI185" i="5"/>
  <c r="Y134" i="4"/>
  <c r="AJ185" i="5"/>
  <c r="Z134" i="4"/>
  <c r="AL185" i="5"/>
  <c r="AN185" i="5"/>
  <c r="S135" i="4"/>
  <c r="AA186" i="5"/>
  <c r="P135" i="4"/>
  <c r="W186" i="5"/>
  <c r="O186" i="5"/>
  <c r="H135" i="4"/>
  <c r="K186" i="5"/>
  <c r="AG186" i="5"/>
  <c r="AF186" i="5"/>
  <c r="C135" i="4"/>
  <c r="C186" i="5"/>
  <c r="D135" i="4"/>
  <c r="E186" i="5"/>
  <c r="E135" i="4"/>
  <c r="F186" i="5"/>
  <c r="F135" i="4"/>
  <c r="H186" i="5"/>
  <c r="I186" i="5"/>
  <c r="I135" i="4"/>
  <c r="L186" i="5"/>
  <c r="J135" i="4"/>
  <c r="N186" i="5"/>
  <c r="L135" i="4"/>
  <c r="Q186" i="5"/>
  <c r="M135" i="4"/>
  <c r="R186" i="5"/>
  <c r="T186" i="5"/>
  <c r="O135" i="4"/>
  <c r="U186" i="5"/>
  <c r="Q135" i="4"/>
  <c r="X186" i="5"/>
  <c r="R135" i="4"/>
  <c r="Z186" i="5"/>
  <c r="AJ135" i="4"/>
  <c r="T135" i="4" a="1"/>
  <c r="T135" i="4"/>
  <c r="AC186" i="5"/>
  <c r="U135" i="4" a="1"/>
  <c r="U135" i="4"/>
  <c r="AD186" i="5"/>
  <c r="AI186" i="5"/>
  <c r="Y135" i="4"/>
  <c r="AJ186" i="5"/>
  <c r="Z135" i="4"/>
  <c r="AL186" i="5"/>
  <c r="AN186" i="5"/>
  <c r="S136" i="4"/>
  <c r="AA187" i="5"/>
  <c r="P136" i="4"/>
  <c r="W187" i="5"/>
  <c r="O187" i="5"/>
  <c r="K187" i="5"/>
  <c r="AG187" i="5"/>
  <c r="AF187" i="5"/>
  <c r="C136" i="4"/>
  <c r="C187" i="5"/>
  <c r="D136" i="4"/>
  <c r="E187" i="5"/>
  <c r="E136" i="4"/>
  <c r="F187" i="5"/>
  <c r="F136" i="4"/>
  <c r="H187" i="5"/>
  <c r="I187" i="5"/>
  <c r="I136" i="4"/>
  <c r="L187" i="5"/>
  <c r="J136" i="4"/>
  <c r="N187" i="5"/>
  <c r="L136" i="4"/>
  <c r="Q187" i="5"/>
  <c r="M136" i="4"/>
  <c r="R187" i="5"/>
  <c r="T187" i="5"/>
  <c r="U187" i="5"/>
  <c r="Q136" i="4"/>
  <c r="X187" i="5"/>
  <c r="R136" i="4"/>
  <c r="Z187" i="5"/>
  <c r="AJ136" i="4"/>
  <c r="T136" i="4" a="1"/>
  <c r="T136" i="4"/>
  <c r="AC187" i="5"/>
  <c r="U136" i="4" a="1"/>
  <c r="U136" i="4"/>
  <c r="AD187" i="5"/>
  <c r="X136" i="4"/>
  <c r="AI187" i="5"/>
  <c r="Y136" i="4"/>
  <c r="AJ187" i="5"/>
  <c r="Z136" i="4"/>
  <c r="AL187" i="5"/>
  <c r="AN187" i="5"/>
  <c r="S137" i="4"/>
  <c r="AA188" i="5"/>
  <c r="P137" i="4"/>
  <c r="W188" i="5"/>
  <c r="O188" i="5"/>
  <c r="K188" i="5"/>
  <c r="AG188" i="5"/>
  <c r="AF188" i="5"/>
  <c r="C137" i="4"/>
  <c r="C188" i="5"/>
  <c r="D137" i="4"/>
  <c r="E188" i="5"/>
  <c r="E137" i="4"/>
  <c r="F188" i="5"/>
  <c r="F137" i="4"/>
  <c r="H188" i="5"/>
  <c r="I188" i="5"/>
  <c r="I137" i="4"/>
  <c r="L188" i="5"/>
  <c r="J137" i="4"/>
  <c r="N188" i="5"/>
  <c r="L137" i="4"/>
  <c r="Q188" i="5"/>
  <c r="M137" i="4"/>
  <c r="R188" i="5"/>
  <c r="T188" i="5"/>
  <c r="U188" i="5"/>
  <c r="Q137" i="4"/>
  <c r="X188" i="5"/>
  <c r="R137" i="4"/>
  <c r="Z188" i="5"/>
  <c r="AJ137" i="4"/>
  <c r="T137" i="4" a="1"/>
  <c r="T137" i="4"/>
  <c r="AC188" i="5"/>
  <c r="U137" i="4" a="1"/>
  <c r="U137" i="4"/>
  <c r="AD188" i="5"/>
  <c r="AI188" i="5"/>
  <c r="Y137" i="4"/>
  <c r="AJ188" i="5"/>
  <c r="Z137" i="4"/>
  <c r="AL188" i="5"/>
  <c r="AN188" i="5"/>
  <c r="F189" i="5"/>
  <c r="H189" i="5"/>
  <c r="I189" i="5"/>
  <c r="AG190" i="5"/>
  <c r="AF190" i="5"/>
  <c r="C169" i="4"/>
  <c r="C190" i="5"/>
  <c r="D169" i="4"/>
  <c r="E190" i="5"/>
  <c r="K190" i="5"/>
  <c r="L169" i="4"/>
  <c r="Q190" i="5"/>
  <c r="M169" i="4"/>
  <c r="R190" i="5"/>
  <c r="T190" i="5"/>
  <c r="O169" i="4"/>
  <c r="U190" i="5"/>
  <c r="P169" i="4"/>
  <c r="W190" i="5"/>
  <c r="Q169" i="4"/>
  <c r="X190" i="5"/>
  <c r="S169" i="4"/>
  <c r="AA190" i="5"/>
  <c r="AJ169" i="4"/>
  <c r="T169" i="4" a="1"/>
  <c r="T169" i="4"/>
  <c r="AC190" i="5"/>
  <c r="U169" i="4" a="1"/>
  <c r="U169" i="4"/>
  <c r="AD190" i="5"/>
  <c r="X169" i="4"/>
  <c r="AI190" i="5"/>
  <c r="Y169" i="4"/>
  <c r="AJ190" i="5"/>
  <c r="Z169" i="4"/>
  <c r="AL190" i="5"/>
  <c r="F190" i="5"/>
  <c r="H190" i="5"/>
  <c r="I190" i="5"/>
  <c r="L190" i="5"/>
  <c r="N190" i="5"/>
  <c r="O190" i="5"/>
  <c r="Z190" i="5"/>
  <c r="AN190" i="5"/>
  <c r="AG191" i="5"/>
  <c r="AF191" i="5"/>
  <c r="C170" i="4"/>
  <c r="C191" i="5"/>
  <c r="T191" i="5"/>
  <c r="O170" i="4"/>
  <c r="U191" i="5"/>
  <c r="P170" i="4"/>
  <c r="W191" i="5"/>
  <c r="Q170" i="4"/>
  <c r="X191" i="5"/>
  <c r="AA191" i="5"/>
  <c r="AJ170" i="4"/>
  <c r="T170" i="4" a="1"/>
  <c r="T170" i="4"/>
  <c r="AC191" i="5"/>
  <c r="U170" i="4" a="1"/>
  <c r="U170" i="4"/>
  <c r="AD191" i="5"/>
  <c r="X170" i="4"/>
  <c r="AI191" i="5"/>
  <c r="Y170" i="4"/>
  <c r="AJ191" i="5"/>
  <c r="Z170" i="4"/>
  <c r="AL191" i="5"/>
  <c r="F191" i="5"/>
  <c r="H191" i="5"/>
  <c r="I191" i="5"/>
  <c r="L191" i="5"/>
  <c r="N191" i="5"/>
  <c r="O191" i="5"/>
  <c r="Z191" i="5"/>
  <c r="AN191" i="5"/>
  <c r="AG192" i="5"/>
  <c r="AF192" i="5"/>
  <c r="C171" i="4"/>
  <c r="C192" i="5"/>
  <c r="T192" i="5"/>
  <c r="O171" i="4"/>
  <c r="U192" i="5"/>
  <c r="P171" i="4"/>
  <c r="W192" i="5"/>
  <c r="Q171" i="4"/>
  <c r="X192" i="5"/>
  <c r="AA192" i="5"/>
  <c r="AJ171" i="4"/>
  <c r="T171" i="4" a="1"/>
  <c r="T171" i="4"/>
  <c r="AC192" i="5"/>
  <c r="U171" i="4" a="1"/>
  <c r="U171" i="4"/>
  <c r="AD192" i="5"/>
  <c r="X171" i="4"/>
  <c r="AI192" i="5"/>
  <c r="Y171" i="4"/>
  <c r="AJ192" i="5"/>
  <c r="Z171" i="4"/>
  <c r="AL192" i="5"/>
  <c r="F192" i="5"/>
  <c r="H192" i="5"/>
  <c r="I192" i="5"/>
  <c r="L192" i="5"/>
  <c r="N192" i="5"/>
  <c r="O192" i="5"/>
  <c r="Z192" i="5"/>
  <c r="AN192" i="5"/>
  <c r="AG193" i="5"/>
  <c r="AF193" i="5"/>
  <c r="C172" i="4"/>
  <c r="C193" i="5"/>
  <c r="D172" i="4"/>
  <c r="E193" i="5"/>
  <c r="H172" i="4"/>
  <c r="K193" i="5"/>
  <c r="L172" i="4"/>
  <c r="Q193" i="5"/>
  <c r="M172" i="4"/>
  <c r="R193" i="5"/>
  <c r="T193" i="5"/>
  <c r="O172" i="4"/>
  <c r="U193" i="5"/>
  <c r="P172" i="4"/>
  <c r="W193" i="5"/>
  <c r="Q172" i="4"/>
  <c r="X193" i="5"/>
  <c r="AA193" i="5"/>
  <c r="AJ172" i="4"/>
  <c r="T172" i="4" a="1"/>
  <c r="T172" i="4"/>
  <c r="AC193" i="5"/>
  <c r="U172" i="4" a="1"/>
  <c r="U172" i="4"/>
  <c r="AD193" i="5"/>
  <c r="X172" i="4"/>
  <c r="AI193" i="5"/>
  <c r="Y172" i="4"/>
  <c r="AJ193" i="5"/>
  <c r="Z172" i="4"/>
  <c r="AL193" i="5"/>
  <c r="F193" i="5"/>
  <c r="H193" i="5"/>
  <c r="I193" i="5"/>
  <c r="L193" i="5"/>
  <c r="N193" i="5"/>
  <c r="O193" i="5"/>
  <c r="Z193" i="5"/>
  <c r="AN193" i="5"/>
  <c r="AG194" i="5"/>
  <c r="AF194" i="5"/>
  <c r="B199" i="4"/>
  <c r="C199" i="4"/>
  <c r="C194" i="5"/>
  <c r="D199" i="4"/>
  <c r="E194" i="5"/>
  <c r="H199" i="4"/>
  <c r="K194" i="5"/>
  <c r="L199" i="4"/>
  <c r="Q194" i="5"/>
  <c r="M199" i="4"/>
  <c r="R194" i="5"/>
  <c r="T194" i="5"/>
  <c r="U194" i="5"/>
  <c r="P199" i="4"/>
  <c r="W194" i="5"/>
  <c r="Q199" i="4"/>
  <c r="X194" i="5"/>
  <c r="S199" i="4"/>
  <c r="AA194" i="5"/>
  <c r="AJ199" i="4"/>
  <c r="T199" i="4" a="1"/>
  <c r="T199" i="4"/>
  <c r="AC194" i="5"/>
  <c r="U199" i="4" a="1"/>
  <c r="U199" i="4"/>
  <c r="AD194" i="5"/>
  <c r="X199" i="4"/>
  <c r="AI194" i="5"/>
  <c r="Y199" i="4"/>
  <c r="AJ194" i="5"/>
  <c r="Z199" i="4"/>
  <c r="AL194" i="5"/>
  <c r="F194" i="5"/>
  <c r="H194" i="5"/>
  <c r="I194" i="5"/>
  <c r="L194" i="5"/>
  <c r="N194" i="5"/>
  <c r="O194" i="5"/>
  <c r="Z194" i="5"/>
  <c r="AN194" i="5"/>
  <c r="AG195" i="5"/>
  <c r="AF195" i="5"/>
  <c r="B209" i="4"/>
  <c r="C209" i="4"/>
  <c r="C195" i="5"/>
  <c r="D209" i="4"/>
  <c r="E195" i="5"/>
  <c r="K195" i="5"/>
  <c r="L209" i="4"/>
  <c r="Q195" i="5"/>
  <c r="M209" i="4"/>
  <c r="R195" i="5"/>
  <c r="T195" i="5"/>
  <c r="O209" i="4"/>
  <c r="U195" i="5"/>
  <c r="P209" i="4"/>
  <c r="W195" i="5"/>
  <c r="Q209" i="4"/>
  <c r="X195" i="5"/>
  <c r="S209" i="4"/>
  <c r="AA195" i="5"/>
  <c r="AJ209" i="4"/>
  <c r="T209" i="4" a="1"/>
  <c r="T209" i="4"/>
  <c r="AC195" i="5"/>
  <c r="U209" i="4" a="1"/>
  <c r="U209" i="4"/>
  <c r="AD195" i="5"/>
  <c r="X209" i="4"/>
  <c r="AI195" i="5"/>
  <c r="Y209" i="4"/>
  <c r="AJ195" i="5"/>
  <c r="Z209" i="4"/>
  <c r="AL195" i="5"/>
  <c r="F195" i="5"/>
  <c r="H195" i="5"/>
  <c r="I195" i="5"/>
  <c r="L195" i="5"/>
  <c r="N195" i="5"/>
  <c r="O195" i="5"/>
  <c r="Z195" i="5"/>
  <c r="AN195" i="5"/>
  <c r="AG196" i="5"/>
  <c r="AF196" i="5"/>
  <c r="B210" i="4"/>
  <c r="C210" i="4"/>
  <c r="C196" i="5"/>
  <c r="D210" i="4"/>
  <c r="E196" i="5"/>
  <c r="K196" i="5"/>
  <c r="L210" i="4"/>
  <c r="Q196" i="5"/>
  <c r="M210" i="4"/>
  <c r="R196" i="5"/>
  <c r="T196" i="5"/>
  <c r="O210" i="4"/>
  <c r="U196" i="5"/>
  <c r="P210" i="4"/>
  <c r="W196" i="5"/>
  <c r="Q210" i="4"/>
  <c r="X196" i="5"/>
  <c r="S210" i="4"/>
  <c r="AA196" i="5"/>
  <c r="AJ210" i="4"/>
  <c r="T210" i="4" a="1"/>
  <c r="T210" i="4"/>
  <c r="AC196" i="5"/>
  <c r="U210" i="4" a="1"/>
  <c r="U210" i="4"/>
  <c r="AD196" i="5"/>
  <c r="X210" i="4"/>
  <c r="AI196" i="5"/>
  <c r="Y210" i="4"/>
  <c r="AJ196" i="5"/>
  <c r="Z210" i="4"/>
  <c r="AL196" i="5"/>
  <c r="F196" i="5"/>
  <c r="H196" i="5"/>
  <c r="I196" i="5"/>
  <c r="L196" i="5"/>
  <c r="N196" i="5"/>
  <c r="O196" i="5"/>
  <c r="Z196" i="5"/>
  <c r="AN196" i="5"/>
  <c r="AG197" i="5"/>
  <c r="AF197" i="5"/>
  <c r="C229" i="4"/>
  <c r="C197" i="5"/>
  <c r="T197" i="5"/>
  <c r="O229" i="4"/>
  <c r="U197" i="5"/>
  <c r="P229" i="4"/>
  <c r="W197" i="5"/>
  <c r="Q229" i="4"/>
  <c r="X197" i="5"/>
  <c r="S229" i="4"/>
  <c r="AA197" i="5"/>
  <c r="AJ229" i="4"/>
  <c r="T229" i="4" a="1"/>
  <c r="T229" i="4"/>
  <c r="AC197" i="5"/>
  <c r="U229" i="4" a="1"/>
  <c r="U229" i="4"/>
  <c r="AD197" i="5"/>
  <c r="X229" i="4"/>
  <c r="AI197" i="5"/>
  <c r="Y229" i="4"/>
  <c r="AJ197" i="5"/>
  <c r="Z229" i="4"/>
  <c r="AL197" i="5"/>
  <c r="L197" i="5"/>
  <c r="N197" i="5"/>
  <c r="O197" i="5"/>
  <c r="Z197" i="5"/>
  <c r="AN197" i="5"/>
  <c r="AG198" i="5"/>
  <c r="AF198" i="5"/>
  <c r="C230" i="4"/>
  <c r="C198" i="5"/>
  <c r="D230" i="4"/>
  <c r="E198" i="5"/>
  <c r="H230" i="4"/>
  <c r="K198" i="5"/>
  <c r="I230" i="4"/>
  <c r="L198" i="5"/>
  <c r="J230" i="4"/>
  <c r="N198" i="5"/>
  <c r="O198" i="5"/>
  <c r="L230" i="4"/>
  <c r="Q198" i="5"/>
  <c r="M230" i="4"/>
  <c r="R198" i="5"/>
  <c r="T198" i="5"/>
  <c r="O230" i="4"/>
  <c r="U198" i="5"/>
  <c r="P230" i="4"/>
  <c r="W198" i="5"/>
  <c r="Q230" i="4"/>
  <c r="X198" i="5"/>
  <c r="S230" i="4"/>
  <c r="AA198" i="5"/>
  <c r="AJ230" i="4"/>
  <c r="T230" i="4" a="1"/>
  <c r="T230" i="4"/>
  <c r="AC198" i="5"/>
  <c r="U230" i="4" a="1"/>
  <c r="U230" i="4"/>
  <c r="AD198" i="5"/>
  <c r="X230" i="4"/>
  <c r="AI198" i="5"/>
  <c r="Y230" i="4"/>
  <c r="AJ198" i="5"/>
  <c r="Z230" i="4"/>
  <c r="AL198" i="5"/>
  <c r="Z198" i="5"/>
  <c r="AN198" i="5"/>
  <c r="AG199" i="5"/>
  <c r="AF199" i="5"/>
  <c r="C231" i="4"/>
  <c r="C199" i="5"/>
  <c r="D231" i="4"/>
  <c r="E199" i="5"/>
  <c r="E231" i="4"/>
  <c r="F199" i="5"/>
  <c r="F231" i="4"/>
  <c r="H199" i="5"/>
  <c r="H231" i="4"/>
  <c r="K199" i="5"/>
  <c r="L231" i="4"/>
  <c r="Q199" i="5"/>
  <c r="M231" i="4"/>
  <c r="R199" i="5"/>
  <c r="T199" i="5"/>
  <c r="O231" i="4"/>
  <c r="U199" i="5"/>
  <c r="P231" i="4"/>
  <c r="W199" i="5"/>
  <c r="Q231" i="4"/>
  <c r="X199" i="5"/>
  <c r="S231" i="4"/>
  <c r="AA199" i="5"/>
  <c r="AJ231" i="4"/>
  <c r="T231" i="4" a="1"/>
  <c r="T231" i="4"/>
  <c r="AC199" i="5"/>
  <c r="U231" i="4" a="1"/>
  <c r="U231" i="4"/>
  <c r="AD199" i="5"/>
  <c r="X231" i="4"/>
  <c r="AI199" i="5"/>
  <c r="Y231" i="4"/>
  <c r="AJ199" i="5"/>
  <c r="Z231" i="4"/>
  <c r="AL199" i="5"/>
  <c r="L199" i="5"/>
  <c r="N199" i="5"/>
  <c r="O199" i="5"/>
  <c r="Z199" i="5"/>
  <c r="AN199" i="5"/>
  <c r="AG200" i="5"/>
  <c r="AF200" i="5"/>
  <c r="B200" i="4"/>
  <c r="C200" i="4"/>
  <c r="C200" i="5"/>
  <c r="E200" i="5"/>
  <c r="F200" i="5"/>
  <c r="H200" i="5"/>
  <c r="I200" i="5"/>
  <c r="H200" i="4"/>
  <c r="K200" i="5"/>
  <c r="L200" i="4"/>
  <c r="Q200" i="5"/>
  <c r="M200" i="4"/>
  <c r="R200" i="5"/>
  <c r="T200" i="5"/>
  <c r="O200" i="4"/>
  <c r="U200" i="5"/>
  <c r="P200" i="4"/>
  <c r="W200" i="5"/>
  <c r="Q200" i="4"/>
  <c r="X200" i="5"/>
  <c r="S200" i="4"/>
  <c r="AA200" i="5"/>
  <c r="AJ200" i="4"/>
  <c r="T200" i="4" a="1"/>
  <c r="T200" i="4"/>
  <c r="AC200" i="5"/>
  <c r="U200" i="4" a="1"/>
  <c r="U200" i="4"/>
  <c r="AD200" i="5"/>
  <c r="X200" i="4"/>
  <c r="AI200" i="5"/>
  <c r="Y200" i="4"/>
  <c r="AJ200" i="5"/>
  <c r="Z200" i="4"/>
  <c r="AL200" i="5"/>
  <c r="L200" i="5"/>
  <c r="N200" i="5"/>
  <c r="O200" i="5"/>
  <c r="Z200" i="5"/>
  <c r="AN200" i="5"/>
  <c r="AG201" i="5"/>
  <c r="AF201" i="5"/>
  <c r="B93" i="4"/>
  <c r="C93" i="4"/>
  <c r="C201" i="5"/>
  <c r="D93" i="4"/>
  <c r="E201" i="5"/>
  <c r="L93" i="4"/>
  <c r="Q201" i="5"/>
  <c r="M93" i="4"/>
  <c r="R201" i="5"/>
  <c r="T201" i="5"/>
  <c r="O93" i="4"/>
  <c r="U201" i="5"/>
  <c r="P93" i="4"/>
  <c r="W201" i="5"/>
  <c r="Q93" i="4"/>
  <c r="X201" i="5"/>
  <c r="S93" i="4"/>
  <c r="AA201" i="5"/>
  <c r="AJ93" i="4"/>
  <c r="T93" i="4" a="1"/>
  <c r="T93" i="4"/>
  <c r="AC201" i="5"/>
  <c r="U93" i="4" a="1"/>
  <c r="U93" i="4"/>
  <c r="AD201" i="5"/>
  <c r="X93" i="4"/>
  <c r="AI201" i="5"/>
  <c r="Y93" i="4"/>
  <c r="AJ201" i="5"/>
  <c r="Z93" i="4"/>
  <c r="AL201" i="5"/>
  <c r="L201" i="5"/>
  <c r="N201" i="5"/>
  <c r="O201" i="5"/>
  <c r="F201" i="5"/>
  <c r="H201" i="5"/>
  <c r="I201" i="5"/>
  <c r="Z201" i="5"/>
  <c r="AN201" i="5"/>
  <c r="AG202" i="5"/>
  <c r="AF202" i="5"/>
  <c r="C180" i="4"/>
  <c r="C202" i="5"/>
  <c r="D180" i="4"/>
  <c r="E202" i="5"/>
  <c r="K202" i="5"/>
  <c r="L180" i="4"/>
  <c r="Q202" i="5"/>
  <c r="M180" i="4"/>
  <c r="R202" i="5"/>
  <c r="N180" i="4"/>
  <c r="T202" i="5"/>
  <c r="O180" i="4"/>
  <c r="U202" i="5"/>
  <c r="P180" i="4"/>
  <c r="W202" i="5"/>
  <c r="Q180" i="4"/>
  <c r="X202" i="5"/>
  <c r="S180" i="4"/>
  <c r="AA202" i="5"/>
  <c r="AJ180" i="4"/>
  <c r="T180" i="4" a="1"/>
  <c r="T180" i="4"/>
  <c r="AC202" i="5"/>
  <c r="U180" i="4" a="1"/>
  <c r="U180" i="4"/>
  <c r="AD202" i="5"/>
  <c r="X180" i="4"/>
  <c r="AI202" i="5"/>
  <c r="Y180" i="4"/>
  <c r="AJ202" i="5"/>
  <c r="Z180" i="4"/>
  <c r="AL202" i="5"/>
  <c r="L202" i="5"/>
  <c r="N202" i="5"/>
  <c r="O202" i="5"/>
  <c r="F202" i="5"/>
  <c r="H202" i="5"/>
  <c r="I202" i="5"/>
  <c r="Z202" i="5"/>
  <c r="AN202" i="5"/>
  <c r="AG203" i="5"/>
  <c r="AF203" i="5"/>
  <c r="C181" i="4"/>
  <c r="C203" i="5"/>
  <c r="D181" i="4"/>
  <c r="E203" i="5"/>
  <c r="K203" i="5"/>
  <c r="I181" i="4"/>
  <c r="L203" i="5"/>
  <c r="J181" i="4"/>
  <c r="N203" i="5"/>
  <c r="O203" i="5"/>
  <c r="L181" i="4"/>
  <c r="Q203" i="5"/>
  <c r="M181" i="4"/>
  <c r="R203" i="5"/>
  <c r="N181" i="4"/>
  <c r="T203" i="5"/>
  <c r="O181" i="4"/>
  <c r="U203" i="5"/>
  <c r="P181" i="4"/>
  <c r="W203" i="5"/>
  <c r="Q181" i="4"/>
  <c r="X203" i="5"/>
  <c r="S181" i="4"/>
  <c r="AA203" i="5"/>
  <c r="AJ181" i="4"/>
  <c r="T181" i="4" a="1"/>
  <c r="T181" i="4"/>
  <c r="AC203" i="5"/>
  <c r="U181" i="4" a="1"/>
  <c r="U181" i="4"/>
  <c r="AD203" i="5"/>
  <c r="X181" i="4"/>
  <c r="AI203" i="5"/>
  <c r="Y181" i="4"/>
  <c r="AJ203" i="5"/>
  <c r="Z181" i="4"/>
  <c r="AL203" i="5"/>
  <c r="F203" i="5"/>
  <c r="H203" i="5"/>
  <c r="I203" i="5"/>
  <c r="Z203" i="5"/>
  <c r="AN203" i="5"/>
  <c r="AG204" i="5"/>
  <c r="AF204" i="5"/>
  <c r="C141" i="4"/>
  <c r="C204" i="5"/>
  <c r="D141" i="4"/>
  <c r="E204" i="5"/>
  <c r="K204" i="5"/>
  <c r="L141" i="4"/>
  <c r="Q204" i="5"/>
  <c r="M141" i="4"/>
  <c r="R204" i="5"/>
  <c r="N141" i="4"/>
  <c r="T204" i="5"/>
  <c r="O141" i="4"/>
  <c r="U204" i="5"/>
  <c r="P141" i="4"/>
  <c r="W204" i="5"/>
  <c r="Q141" i="4"/>
  <c r="X204" i="5"/>
  <c r="S141" i="4"/>
  <c r="AA204" i="5"/>
  <c r="AJ141" i="4"/>
  <c r="T141" i="4" a="1"/>
  <c r="T141" i="4"/>
  <c r="AC204" i="5"/>
  <c r="U141" i="4" a="1"/>
  <c r="U141" i="4"/>
  <c r="AD204" i="5"/>
  <c r="X141" i="4"/>
  <c r="AI204" i="5"/>
  <c r="Y141" i="4"/>
  <c r="AJ204" i="5"/>
  <c r="Z141" i="4"/>
  <c r="AL204" i="5"/>
  <c r="L204" i="5"/>
  <c r="N204" i="5"/>
  <c r="O204" i="5"/>
  <c r="F204" i="5"/>
  <c r="H204" i="5"/>
  <c r="I204" i="5"/>
  <c r="Z204" i="5"/>
  <c r="AN204" i="5"/>
  <c r="AG205" i="5"/>
  <c r="AF205" i="5"/>
  <c r="C142" i="4"/>
  <c r="C205" i="5"/>
  <c r="D142" i="4"/>
  <c r="E205" i="5"/>
  <c r="K205" i="5"/>
  <c r="L142" i="4"/>
  <c r="Q205" i="5"/>
  <c r="M142" i="4"/>
  <c r="R205" i="5"/>
  <c r="T205" i="5"/>
  <c r="U205" i="5"/>
  <c r="P142" i="4"/>
  <c r="W205" i="5"/>
  <c r="Q142" i="4"/>
  <c r="X205" i="5"/>
  <c r="S142" i="4"/>
  <c r="AA205" i="5"/>
  <c r="AJ142" i="4"/>
  <c r="T142" i="4" a="1"/>
  <c r="T142" i="4"/>
  <c r="AC205" i="5"/>
  <c r="U142" i="4" a="1"/>
  <c r="U142" i="4"/>
  <c r="AD205" i="5"/>
  <c r="X142" i="4"/>
  <c r="AI205" i="5"/>
  <c r="Y142" i="4"/>
  <c r="AJ205" i="5"/>
  <c r="Z142" i="4"/>
  <c r="AL205" i="5"/>
  <c r="L205" i="5"/>
  <c r="N205" i="5"/>
  <c r="O205" i="5"/>
  <c r="F205" i="5"/>
  <c r="H205" i="5"/>
  <c r="I205" i="5"/>
  <c r="Z205" i="5"/>
  <c r="AN205" i="5"/>
  <c r="AG206" i="5"/>
  <c r="AF206" i="5"/>
  <c r="C143" i="4"/>
  <c r="C206" i="5"/>
  <c r="D143" i="4"/>
  <c r="E206" i="5"/>
  <c r="K206" i="5"/>
  <c r="I143" i="4"/>
  <c r="L206" i="5"/>
  <c r="J143" i="4"/>
  <c r="N206" i="5"/>
  <c r="O206" i="5"/>
  <c r="L143" i="4"/>
  <c r="Q206" i="5"/>
  <c r="M143" i="4"/>
  <c r="R206" i="5"/>
  <c r="N143" i="4"/>
  <c r="T206" i="5"/>
  <c r="O143" i="4"/>
  <c r="U206" i="5"/>
  <c r="P143" i="4"/>
  <c r="W206" i="5"/>
  <c r="Q143" i="4"/>
  <c r="X206" i="5"/>
  <c r="S143" i="4"/>
  <c r="AA206" i="5"/>
  <c r="AJ143" i="4"/>
  <c r="T143" i="4" a="1"/>
  <c r="T143" i="4"/>
  <c r="AC206" i="5"/>
  <c r="U143" i="4" a="1"/>
  <c r="U143" i="4"/>
  <c r="AD206" i="5"/>
  <c r="X143" i="4"/>
  <c r="AI206" i="5"/>
  <c r="Y143" i="4"/>
  <c r="AJ206" i="5"/>
  <c r="Z143" i="4"/>
  <c r="AL206" i="5"/>
  <c r="F206" i="5"/>
  <c r="H206" i="5"/>
  <c r="I206" i="5"/>
  <c r="Z206" i="5"/>
  <c r="AN206" i="5"/>
  <c r="AG207" i="5"/>
  <c r="AF207" i="5"/>
  <c r="C144" i="4"/>
  <c r="C207" i="5"/>
  <c r="D144" i="4"/>
  <c r="E207" i="5"/>
  <c r="K207" i="5"/>
  <c r="L144" i="4"/>
  <c r="Q207" i="5"/>
  <c r="M144" i="4"/>
  <c r="R207" i="5"/>
  <c r="N144" i="4"/>
  <c r="T207" i="5"/>
  <c r="O144" i="4"/>
  <c r="U207" i="5"/>
  <c r="P144" i="4"/>
  <c r="W207" i="5"/>
  <c r="Q144" i="4"/>
  <c r="X207" i="5"/>
  <c r="S144" i="4"/>
  <c r="AA207" i="5"/>
  <c r="AJ144" i="4"/>
  <c r="T144" i="4" a="1"/>
  <c r="T144" i="4"/>
  <c r="AC207" i="5"/>
  <c r="U144" i="4" a="1"/>
  <c r="U144" i="4"/>
  <c r="AD207" i="5"/>
  <c r="X144" i="4"/>
  <c r="AI207" i="5"/>
  <c r="Y144" i="4"/>
  <c r="AJ207" i="5"/>
  <c r="Z144" i="4"/>
  <c r="AL207" i="5"/>
  <c r="L207" i="5"/>
  <c r="N207" i="5"/>
  <c r="O207" i="5"/>
  <c r="F207" i="5"/>
  <c r="H207" i="5"/>
  <c r="I207" i="5"/>
  <c r="Z207" i="5"/>
  <c r="AN207" i="5"/>
  <c r="AG208" i="5"/>
  <c r="AF208" i="5"/>
  <c r="B98" i="4"/>
  <c r="C98" i="4"/>
  <c r="C208" i="5"/>
  <c r="D98" i="4"/>
  <c r="E208" i="5"/>
  <c r="H98" i="4"/>
  <c r="K208" i="5"/>
  <c r="I98" i="4"/>
  <c r="L208" i="5"/>
  <c r="J98" i="4"/>
  <c r="N208" i="5"/>
  <c r="O208" i="5"/>
  <c r="L98" i="4"/>
  <c r="Q208" i="5"/>
  <c r="M98" i="4"/>
  <c r="R208" i="5"/>
  <c r="N98" i="4"/>
  <c r="T208" i="5"/>
  <c r="O98" i="4"/>
  <c r="U208" i="5"/>
  <c r="P98" i="4"/>
  <c r="W208" i="5"/>
  <c r="Q98" i="4"/>
  <c r="X208" i="5"/>
  <c r="S98" i="4"/>
  <c r="AA208" i="5"/>
  <c r="X98" i="4"/>
  <c r="AI208" i="5"/>
  <c r="Y98" i="4"/>
  <c r="AJ208" i="5"/>
  <c r="Z98" i="4"/>
  <c r="AL208" i="5"/>
  <c r="F208" i="5"/>
  <c r="H208" i="5"/>
  <c r="I208" i="5"/>
  <c r="Z208" i="5"/>
  <c r="AN208" i="5"/>
  <c r="AG209" i="5"/>
  <c r="AF209" i="5"/>
  <c r="C222" i="4"/>
  <c r="C209" i="5"/>
  <c r="D222" i="4"/>
  <c r="E209" i="5"/>
  <c r="H222" i="4"/>
  <c r="K209" i="5"/>
  <c r="L222" i="4"/>
  <c r="Q209" i="5"/>
  <c r="M222" i="4"/>
  <c r="R209" i="5"/>
  <c r="T209" i="5"/>
  <c r="O222" i="4"/>
  <c r="U209" i="5"/>
  <c r="P222" i="4"/>
  <c r="W209" i="5"/>
  <c r="Q222" i="4"/>
  <c r="X209" i="5"/>
  <c r="S222" i="4"/>
  <c r="AA209" i="5"/>
  <c r="AJ222" i="4"/>
  <c r="T222" i="4" a="1"/>
  <c r="T222" i="4"/>
  <c r="AC209" i="5"/>
  <c r="U222" i="4" a="1"/>
  <c r="U222" i="4"/>
  <c r="AD209" i="5"/>
  <c r="X222" i="4"/>
  <c r="AI209" i="5"/>
  <c r="Y222" i="4"/>
  <c r="AJ209" i="5"/>
  <c r="Z222" i="4"/>
  <c r="AL209" i="5"/>
  <c r="F209" i="5"/>
  <c r="H209" i="5"/>
  <c r="I209" i="5"/>
  <c r="L209" i="5"/>
  <c r="N209" i="5"/>
  <c r="O209" i="5"/>
  <c r="Z209" i="5"/>
  <c r="AN209" i="5"/>
  <c r="AG210" i="5"/>
  <c r="AF210" i="5"/>
  <c r="C232" i="4"/>
  <c r="C210" i="5"/>
  <c r="D232" i="4"/>
  <c r="E210" i="5"/>
  <c r="E232" i="4"/>
  <c r="F210" i="5"/>
  <c r="F232" i="4"/>
  <c r="H210" i="5"/>
  <c r="I210" i="5"/>
  <c r="H232" i="4"/>
  <c r="K210" i="5"/>
  <c r="L232" i="4"/>
  <c r="Q210" i="5"/>
  <c r="M232" i="4"/>
  <c r="R210" i="5"/>
  <c r="T210" i="5"/>
  <c r="O232" i="4"/>
  <c r="U210" i="5"/>
  <c r="P232" i="4"/>
  <c r="W210" i="5"/>
  <c r="Q232" i="4"/>
  <c r="X210" i="5"/>
  <c r="S232" i="4"/>
  <c r="AA210" i="5"/>
  <c r="AJ232" i="4"/>
  <c r="T232" i="4" a="1"/>
  <c r="T232" i="4"/>
  <c r="AC210" i="5"/>
  <c r="U232" i="4" a="1"/>
  <c r="U232" i="4"/>
  <c r="AD210" i="5"/>
  <c r="X232" i="4"/>
  <c r="AI210" i="5"/>
  <c r="Y232" i="4"/>
  <c r="AJ210" i="5"/>
  <c r="Z232" i="4"/>
  <c r="AL210" i="5"/>
  <c r="L210" i="5"/>
  <c r="N210" i="5"/>
  <c r="O210" i="5"/>
  <c r="Z210" i="5"/>
  <c r="AN210" i="5"/>
  <c r="AG211" i="5"/>
  <c r="AF211" i="5"/>
  <c r="B297" i="4"/>
  <c r="C297" i="4"/>
  <c r="C211" i="5"/>
  <c r="D297" i="4"/>
  <c r="E211" i="5"/>
  <c r="E297" i="4"/>
  <c r="F211" i="5"/>
  <c r="F297" i="4"/>
  <c r="H211" i="5"/>
  <c r="I211" i="5"/>
  <c r="H297" i="4"/>
  <c r="K211" i="5"/>
  <c r="L297" i="4"/>
  <c r="Q211" i="5"/>
  <c r="M297" i="4"/>
  <c r="R211" i="5"/>
  <c r="N297" i="4"/>
  <c r="T211" i="5"/>
  <c r="O297" i="4"/>
  <c r="U211" i="5"/>
  <c r="P297" i="4"/>
  <c r="W211" i="5"/>
  <c r="Q297" i="4"/>
  <c r="X211" i="5"/>
  <c r="S297" i="4"/>
  <c r="AA211" i="5"/>
  <c r="AC211" i="5"/>
  <c r="AD211" i="5"/>
  <c r="X297" i="4"/>
  <c r="AI211" i="5"/>
  <c r="Y297" i="4"/>
  <c r="AJ211" i="5"/>
  <c r="Z297" i="4"/>
  <c r="AL211" i="5"/>
  <c r="L211" i="5"/>
  <c r="N211" i="5"/>
  <c r="O211" i="5"/>
  <c r="Z211" i="5"/>
  <c r="AN211" i="5"/>
  <c r="AG212" i="5"/>
  <c r="AF212" i="5"/>
  <c r="C233" i="4"/>
  <c r="C212" i="5"/>
  <c r="D233" i="4"/>
  <c r="E212" i="5"/>
  <c r="E233" i="4"/>
  <c r="F212" i="5"/>
  <c r="F233" i="4"/>
  <c r="H212" i="5"/>
  <c r="I212" i="5"/>
  <c r="H233" i="4"/>
  <c r="K212" i="5"/>
  <c r="L233" i="4"/>
  <c r="Q212" i="5"/>
  <c r="M233" i="4"/>
  <c r="R212" i="5"/>
  <c r="T212" i="5"/>
  <c r="O233" i="4"/>
  <c r="U212" i="5"/>
  <c r="P233" i="4"/>
  <c r="W212" i="5"/>
  <c r="Q233" i="4"/>
  <c r="X212" i="5"/>
  <c r="S233" i="4"/>
  <c r="AA212" i="5"/>
  <c r="AJ233" i="4"/>
  <c r="T233" i="4" a="1"/>
  <c r="T233" i="4"/>
  <c r="AC212" i="5"/>
  <c r="U233" i="4" a="1"/>
  <c r="U233" i="4"/>
  <c r="AD212" i="5"/>
  <c r="X233" i="4"/>
  <c r="AI212" i="5"/>
  <c r="Y233" i="4"/>
  <c r="AJ212" i="5"/>
  <c r="Z233" i="4"/>
  <c r="AL212" i="5"/>
  <c r="L212" i="5"/>
  <c r="N212" i="5"/>
  <c r="O212" i="5"/>
  <c r="Z212" i="5"/>
  <c r="AN212" i="5"/>
  <c r="AG213" i="5"/>
  <c r="AF213" i="5"/>
  <c r="C234" i="4"/>
  <c r="C213" i="5"/>
  <c r="D234" i="4"/>
  <c r="E213" i="5"/>
  <c r="E234" i="4"/>
  <c r="F213" i="5"/>
  <c r="F234" i="4"/>
  <c r="H213" i="5"/>
  <c r="I213" i="5"/>
  <c r="H234" i="4"/>
  <c r="K213" i="5"/>
  <c r="L234" i="4"/>
  <c r="Q213" i="5"/>
  <c r="M234" i="4"/>
  <c r="R213" i="5"/>
  <c r="T213" i="5"/>
  <c r="U213" i="5"/>
  <c r="P234" i="4"/>
  <c r="W213" i="5"/>
  <c r="Q234" i="4"/>
  <c r="X213" i="5"/>
  <c r="S234" i="4"/>
  <c r="AA213" i="5"/>
  <c r="AJ234" i="4"/>
  <c r="T234" i="4" a="1"/>
  <c r="T234" i="4"/>
  <c r="AC213" i="5"/>
  <c r="U234" i="4" a="1"/>
  <c r="U234" i="4"/>
  <c r="AD213" i="5"/>
  <c r="X234" i="4"/>
  <c r="AI213" i="5"/>
  <c r="Y234" i="4"/>
  <c r="AJ213" i="5"/>
  <c r="Z234" i="4"/>
  <c r="AL213" i="5"/>
  <c r="L213" i="5"/>
  <c r="N213" i="5"/>
  <c r="O213" i="5"/>
  <c r="Z213" i="5"/>
  <c r="AN213" i="5"/>
  <c r="AG214" i="5"/>
  <c r="AF214" i="5"/>
  <c r="C145" i="4"/>
  <c r="C214" i="5"/>
  <c r="D145" i="4"/>
  <c r="E214" i="5"/>
  <c r="E145" i="4"/>
  <c r="F214" i="5"/>
  <c r="F145" i="4"/>
  <c r="H214" i="5"/>
  <c r="I214" i="5"/>
  <c r="H145" i="4"/>
  <c r="K214" i="5"/>
  <c r="L145" i="4"/>
  <c r="Q214" i="5"/>
  <c r="M145" i="4"/>
  <c r="R214" i="5"/>
  <c r="T214" i="5"/>
  <c r="O145" i="4"/>
  <c r="U214" i="5"/>
  <c r="P145" i="4"/>
  <c r="W214" i="5"/>
  <c r="Q145" i="4"/>
  <c r="X214" i="5"/>
  <c r="S145" i="4"/>
  <c r="AA214" i="5"/>
  <c r="AJ145" i="4"/>
  <c r="T145" i="4" a="1"/>
  <c r="T145" i="4"/>
  <c r="AC214" i="5"/>
  <c r="U145" i="4" a="1"/>
  <c r="U145" i="4"/>
  <c r="AD214" i="5"/>
  <c r="X145" i="4"/>
  <c r="AI214" i="5"/>
  <c r="Y145" i="4"/>
  <c r="AJ214" i="5"/>
  <c r="Z145" i="4"/>
  <c r="AL214" i="5"/>
  <c r="L214" i="5"/>
  <c r="N214" i="5"/>
  <c r="O214" i="5"/>
  <c r="Z214" i="5"/>
  <c r="AN214" i="5"/>
  <c r="AG215" i="5"/>
  <c r="AF215" i="5"/>
  <c r="B302" i="4"/>
  <c r="C302" i="4"/>
  <c r="C215" i="5"/>
  <c r="D302" i="4"/>
  <c r="E215" i="5"/>
  <c r="E302" i="4"/>
  <c r="F215" i="5"/>
  <c r="F302" i="4"/>
  <c r="H215" i="5"/>
  <c r="I215" i="5"/>
  <c r="H302" i="4"/>
  <c r="K215" i="5"/>
  <c r="L302" i="4"/>
  <c r="Q215" i="5"/>
  <c r="M302" i="4"/>
  <c r="R215" i="5"/>
  <c r="T215" i="5"/>
  <c r="O302" i="4"/>
  <c r="U215" i="5"/>
  <c r="P302" i="4"/>
  <c r="W215" i="5"/>
  <c r="Q302" i="4"/>
  <c r="X215" i="5"/>
  <c r="S302" i="4"/>
  <c r="AA215" i="5"/>
  <c r="AJ302" i="4"/>
  <c r="T302" i="4" a="1"/>
  <c r="T302" i="4"/>
  <c r="AC215" i="5"/>
  <c r="U302" i="4" a="1"/>
  <c r="U302" i="4"/>
  <c r="AD215" i="5"/>
  <c r="X302" i="4"/>
  <c r="AI215" i="5"/>
  <c r="Y302" i="4"/>
  <c r="AJ215" i="5"/>
  <c r="Z302" i="4"/>
  <c r="AL215" i="5"/>
  <c r="L215" i="5"/>
  <c r="N215" i="5"/>
  <c r="O215" i="5"/>
  <c r="Z215" i="5"/>
  <c r="AN215" i="5"/>
  <c r="O216" i="5"/>
  <c r="B263" i="4"/>
  <c r="H263" i="4"/>
  <c r="K216" i="5"/>
  <c r="AG216" i="5"/>
  <c r="AF216" i="5"/>
  <c r="C263" i="4"/>
  <c r="C216" i="5"/>
  <c r="D263" i="4"/>
  <c r="E216" i="5"/>
  <c r="E263" i="4"/>
  <c r="F216" i="5"/>
  <c r="F263" i="4"/>
  <c r="H216" i="5"/>
  <c r="I216" i="5"/>
  <c r="I263" i="4"/>
  <c r="L216" i="5"/>
  <c r="J263" i="4"/>
  <c r="N216" i="5"/>
  <c r="L263" i="4"/>
  <c r="Q216" i="5"/>
  <c r="M263" i="4"/>
  <c r="R216" i="5"/>
  <c r="N263" i="4"/>
  <c r="T216" i="5"/>
  <c r="O263" i="4"/>
  <c r="U216" i="5"/>
  <c r="P263" i="4"/>
  <c r="W216" i="5"/>
  <c r="Q263" i="4"/>
  <c r="X216" i="5"/>
  <c r="S263" i="4"/>
  <c r="AA216" i="5"/>
  <c r="AJ263" i="4"/>
  <c r="T263" i="4" a="1"/>
  <c r="T263" i="4"/>
  <c r="AC216" i="5"/>
  <c r="U263" i="4" a="1"/>
  <c r="U263" i="4"/>
  <c r="AD216" i="5"/>
  <c r="X263" i="4"/>
  <c r="AI216" i="5"/>
  <c r="Y263" i="4"/>
  <c r="AJ216" i="5"/>
  <c r="Z263" i="4"/>
  <c r="AL216" i="5"/>
  <c r="Z216" i="5"/>
  <c r="AN216" i="5"/>
  <c r="O217" i="5"/>
  <c r="B264" i="4"/>
  <c r="H264" i="4"/>
  <c r="K217" i="5"/>
  <c r="AG217" i="5"/>
  <c r="AF217" i="5"/>
  <c r="C264" i="4"/>
  <c r="C217" i="5"/>
  <c r="D264" i="4"/>
  <c r="E217" i="5"/>
  <c r="E264" i="4"/>
  <c r="F217" i="5"/>
  <c r="F264" i="4"/>
  <c r="H217" i="5"/>
  <c r="I217" i="5"/>
  <c r="L264" i="4"/>
  <c r="Q217" i="5"/>
  <c r="M264" i="4"/>
  <c r="R217" i="5"/>
  <c r="T217" i="5"/>
  <c r="O264" i="4"/>
  <c r="U217" i="5"/>
  <c r="P264" i="4"/>
  <c r="W217" i="5"/>
  <c r="Q264" i="4"/>
  <c r="X217" i="5"/>
  <c r="S264" i="4"/>
  <c r="AA217" i="5"/>
  <c r="AJ264" i="4"/>
  <c r="T264" i="4" a="1"/>
  <c r="T264" i="4"/>
  <c r="AC217" i="5"/>
  <c r="U264" i="4" a="1"/>
  <c r="U264" i="4"/>
  <c r="AD217" i="5"/>
  <c r="X264" i="4"/>
  <c r="AI217" i="5"/>
  <c r="Y264" i="4"/>
  <c r="AJ217" i="5"/>
  <c r="Z264" i="4"/>
  <c r="AL217" i="5"/>
  <c r="Z217" i="5"/>
  <c r="AN217" i="5"/>
  <c r="O218" i="5"/>
  <c r="B265" i="4"/>
  <c r="H265" i="4"/>
  <c r="K218" i="5"/>
  <c r="AG218" i="5"/>
  <c r="AF218" i="5"/>
  <c r="C265" i="4"/>
  <c r="C218" i="5"/>
  <c r="D265" i="4"/>
  <c r="E218" i="5"/>
  <c r="E265" i="4"/>
  <c r="F218" i="5"/>
  <c r="F265" i="4"/>
  <c r="H218" i="5"/>
  <c r="I218" i="5"/>
  <c r="I265" i="4"/>
  <c r="L218" i="5"/>
  <c r="J265" i="4"/>
  <c r="N218" i="5"/>
  <c r="L265" i="4"/>
  <c r="Q218" i="5"/>
  <c r="M265" i="4"/>
  <c r="R218" i="5"/>
  <c r="T218" i="5"/>
  <c r="O265" i="4"/>
  <c r="U218" i="5"/>
  <c r="P265" i="4"/>
  <c r="W218" i="5"/>
  <c r="Q265" i="4"/>
  <c r="X218" i="5"/>
  <c r="S265" i="4"/>
  <c r="AA218" i="5"/>
  <c r="AJ265" i="4"/>
  <c r="T265" i="4" a="1"/>
  <c r="T265" i="4"/>
  <c r="AC218" i="5"/>
  <c r="U265" i="4" a="1"/>
  <c r="U265" i="4"/>
  <c r="AD218" i="5"/>
  <c r="X265" i="4"/>
  <c r="AI218" i="5"/>
  <c r="Y265" i="4"/>
  <c r="AJ218" i="5"/>
  <c r="Z265" i="4"/>
  <c r="AL218" i="5"/>
  <c r="Z218" i="5"/>
  <c r="AN218" i="5"/>
  <c r="AG219" i="5"/>
  <c r="AF219" i="5"/>
  <c r="B201" i="4"/>
  <c r="C201" i="4"/>
  <c r="C219" i="5"/>
  <c r="D201" i="4"/>
  <c r="E219" i="5"/>
  <c r="H201" i="4"/>
  <c r="K219" i="5"/>
  <c r="L201" i="4"/>
  <c r="Q219" i="5"/>
  <c r="M201" i="4"/>
  <c r="R219" i="5"/>
  <c r="N201" i="4"/>
  <c r="T219" i="5"/>
  <c r="O201" i="4"/>
  <c r="U219" i="5"/>
  <c r="P201" i="4"/>
  <c r="W219" i="5"/>
  <c r="Q201" i="4"/>
  <c r="X219" i="5"/>
  <c r="S201" i="4"/>
  <c r="AA219" i="5"/>
  <c r="AJ201" i="4"/>
  <c r="T201" i="4" a="1"/>
  <c r="T201" i="4"/>
  <c r="AC219" i="5"/>
  <c r="U201" i="4" a="1"/>
  <c r="U201" i="4"/>
  <c r="AD219" i="5"/>
  <c r="X201" i="4"/>
  <c r="AI219" i="5"/>
  <c r="Y201" i="4"/>
  <c r="AJ219" i="5"/>
  <c r="Z201" i="4"/>
  <c r="AL219" i="5"/>
  <c r="F219" i="5"/>
  <c r="H219" i="5"/>
  <c r="I219" i="5"/>
  <c r="L219" i="5"/>
  <c r="N219" i="5"/>
  <c r="O219" i="5"/>
  <c r="Z219" i="5"/>
  <c r="AN219" i="5"/>
  <c r="AG220" i="5"/>
  <c r="AF220" i="5"/>
  <c r="C183" i="4"/>
  <c r="C220" i="5"/>
  <c r="D183" i="4"/>
  <c r="E220" i="5"/>
  <c r="E183" i="4"/>
  <c r="F220" i="5"/>
  <c r="F183" i="4"/>
  <c r="H220" i="5"/>
  <c r="I220" i="5"/>
  <c r="H183" i="4"/>
  <c r="K220" i="5"/>
  <c r="L183" i="4"/>
  <c r="Q220" i="5"/>
  <c r="M183" i="4"/>
  <c r="R220" i="5"/>
  <c r="T220" i="5"/>
  <c r="O183" i="4"/>
  <c r="U220" i="5"/>
  <c r="P183" i="4"/>
  <c r="W220" i="5"/>
  <c r="Q183" i="4"/>
  <c r="X220" i="5"/>
  <c r="AA220" i="5"/>
  <c r="AJ183" i="4"/>
  <c r="T183" i="4" a="1"/>
  <c r="T183" i="4"/>
  <c r="AC220" i="5"/>
  <c r="U183" i="4" a="1"/>
  <c r="U183" i="4"/>
  <c r="AD220" i="5"/>
  <c r="X183" i="4"/>
  <c r="AI220" i="5"/>
  <c r="L220" i="5"/>
  <c r="N220" i="5"/>
  <c r="O220" i="5"/>
  <c r="Z220" i="5"/>
  <c r="AN220" i="5"/>
  <c r="AG221" i="5"/>
  <c r="AF221" i="5"/>
  <c r="C184" i="4"/>
  <c r="C221" i="5"/>
  <c r="D184" i="4"/>
  <c r="E221" i="5"/>
  <c r="E184" i="4"/>
  <c r="F221" i="5"/>
  <c r="F184" i="4"/>
  <c r="H221" i="5"/>
  <c r="I221" i="5"/>
  <c r="H184" i="4"/>
  <c r="K221" i="5"/>
  <c r="L184" i="4"/>
  <c r="Q221" i="5"/>
  <c r="M184" i="4"/>
  <c r="R221" i="5"/>
  <c r="T221" i="5"/>
  <c r="O184" i="4"/>
  <c r="U221" i="5"/>
  <c r="P184" i="4"/>
  <c r="W221" i="5"/>
  <c r="Q184" i="4"/>
  <c r="X221" i="5"/>
  <c r="S184" i="4"/>
  <c r="AA221" i="5"/>
  <c r="AJ184" i="4"/>
  <c r="T184" i="4" a="1"/>
  <c r="T184" i="4"/>
  <c r="AC221" i="5"/>
  <c r="U184" i="4" a="1"/>
  <c r="U184" i="4"/>
  <c r="AD221" i="5"/>
  <c r="X184" i="4"/>
  <c r="AI221" i="5"/>
  <c r="Y184" i="4"/>
  <c r="AJ221" i="5"/>
  <c r="Z184" i="4"/>
  <c r="AL221" i="5"/>
  <c r="L221" i="5"/>
  <c r="N221" i="5"/>
  <c r="O221" i="5"/>
  <c r="Z221" i="5"/>
  <c r="AN221" i="5"/>
  <c r="O222" i="5"/>
  <c r="B202" i="4"/>
  <c r="H202" i="4"/>
  <c r="K222" i="5"/>
  <c r="AG222" i="5"/>
  <c r="AF222" i="5"/>
  <c r="C202" i="4"/>
  <c r="C222" i="5"/>
  <c r="D202" i="4"/>
  <c r="E222" i="5"/>
  <c r="E202" i="4"/>
  <c r="F222" i="5"/>
  <c r="F202" i="4"/>
  <c r="H222" i="5"/>
  <c r="I222" i="5"/>
  <c r="I202" i="4"/>
  <c r="L222" i="5"/>
  <c r="J202" i="4"/>
  <c r="N222" i="5"/>
  <c r="L202" i="4"/>
  <c r="Q222" i="5"/>
  <c r="M202" i="4"/>
  <c r="R222" i="5"/>
  <c r="T222" i="5"/>
  <c r="O202" i="4"/>
  <c r="U222" i="5"/>
  <c r="P202" i="4"/>
  <c r="W222" i="5"/>
  <c r="Q202" i="4"/>
  <c r="X222" i="5"/>
  <c r="S202" i="4"/>
  <c r="AA222" i="5"/>
  <c r="AJ202" i="4"/>
  <c r="T202" i="4" a="1"/>
  <c r="T202" i="4"/>
  <c r="AC222" i="5"/>
  <c r="U202" i="4" a="1"/>
  <c r="U202" i="4"/>
  <c r="AD222" i="5"/>
  <c r="X202" i="4"/>
  <c r="AI222" i="5"/>
  <c r="Y202" i="4"/>
  <c r="AJ222" i="5"/>
  <c r="Z202" i="4"/>
  <c r="AL222" i="5"/>
  <c r="Z222" i="5"/>
  <c r="AN222" i="5"/>
  <c r="AG223" i="5"/>
  <c r="AF223" i="5"/>
  <c r="C203" i="4"/>
  <c r="C223" i="5"/>
  <c r="T223" i="5"/>
  <c r="O203" i="4"/>
  <c r="U223" i="5"/>
  <c r="P203" i="4"/>
  <c r="W223" i="5"/>
  <c r="Q203" i="4"/>
  <c r="X223" i="5"/>
  <c r="S203" i="4"/>
  <c r="AA223" i="5"/>
  <c r="AJ203" i="4"/>
  <c r="T203" i="4" a="1"/>
  <c r="T203" i="4"/>
  <c r="AC223" i="5"/>
  <c r="U203" i="4" a="1"/>
  <c r="U203" i="4"/>
  <c r="AD223" i="5"/>
  <c r="AI223" i="5"/>
  <c r="Y203" i="4"/>
  <c r="AJ223" i="5"/>
  <c r="Z203" i="4"/>
  <c r="AL223" i="5"/>
  <c r="Z223" i="5"/>
  <c r="AN223" i="5"/>
  <c r="AG224" i="5"/>
  <c r="AF224" i="5"/>
  <c r="B102" i="4"/>
  <c r="C102" i="4"/>
  <c r="C224" i="5"/>
  <c r="E224" i="5"/>
  <c r="K224" i="5"/>
  <c r="L102" i="4"/>
  <c r="Q224" i="5"/>
  <c r="M102" i="4"/>
  <c r="R224" i="5"/>
  <c r="T224" i="5"/>
  <c r="O102" i="4"/>
  <c r="U224" i="5"/>
  <c r="P102" i="4"/>
  <c r="W224" i="5"/>
  <c r="X224" i="5"/>
  <c r="AA224" i="5"/>
  <c r="AJ102" i="4"/>
  <c r="T102" i="4" a="1"/>
  <c r="T102" i="4"/>
  <c r="AC224" i="5"/>
  <c r="U102" i="4" a="1"/>
  <c r="U102" i="4"/>
  <c r="AD224" i="5"/>
  <c r="X102" i="4"/>
  <c r="AI224" i="5"/>
  <c r="Y102" i="4"/>
  <c r="AJ224" i="5"/>
  <c r="Z102" i="4"/>
  <c r="AL224" i="5"/>
  <c r="F224" i="5"/>
  <c r="H224" i="5"/>
  <c r="I224" i="5"/>
  <c r="L224" i="5"/>
  <c r="N224" i="5"/>
  <c r="O224" i="5"/>
  <c r="Z224" i="5"/>
  <c r="AN224" i="5"/>
  <c r="O225" i="5"/>
  <c r="B15" i="4"/>
  <c r="H15" i="4"/>
  <c r="K225" i="5"/>
  <c r="AG225" i="5"/>
  <c r="AF225" i="5"/>
  <c r="C15" i="4"/>
  <c r="C225" i="5"/>
  <c r="D15" i="4"/>
  <c r="E225" i="5"/>
  <c r="I15" i="4"/>
  <c r="L225" i="5"/>
  <c r="J15" i="4"/>
  <c r="N225" i="5"/>
  <c r="L15" i="4"/>
  <c r="Q225" i="5"/>
  <c r="M15" i="4"/>
  <c r="R225" i="5"/>
  <c r="T225" i="5"/>
  <c r="O15" i="4"/>
  <c r="U225" i="5"/>
  <c r="P15" i="4"/>
  <c r="W225" i="5"/>
  <c r="Q15" i="4"/>
  <c r="X225" i="5"/>
  <c r="AA225" i="5"/>
  <c r="AJ15" i="4"/>
  <c r="T15" i="4" a="1"/>
  <c r="T15" i="4"/>
  <c r="AC225" i="5"/>
  <c r="U15" i="4" a="1"/>
  <c r="U15" i="4"/>
  <c r="AD225" i="5"/>
  <c r="X15" i="4"/>
  <c r="AI225" i="5"/>
  <c r="Y15" i="4"/>
  <c r="AJ225" i="5"/>
  <c r="Z15" i="4"/>
  <c r="AL225" i="5"/>
  <c r="F225" i="5"/>
  <c r="H225" i="5"/>
  <c r="I225" i="5"/>
  <c r="Z225" i="5"/>
  <c r="AN225" i="5"/>
  <c r="AG226" i="5"/>
  <c r="AF226" i="5"/>
  <c r="C298" i="4"/>
  <c r="C226" i="5"/>
  <c r="T226" i="5"/>
  <c r="O298" i="4"/>
  <c r="U226" i="5"/>
  <c r="P298" i="4"/>
  <c r="W226" i="5"/>
  <c r="S298" i="4"/>
  <c r="AA226" i="5"/>
  <c r="AJ298" i="4"/>
  <c r="T298" i="4" a="1"/>
  <c r="T298" i="4"/>
  <c r="AC226" i="5"/>
  <c r="U298" i="4" a="1"/>
  <c r="U298" i="4"/>
  <c r="AD226" i="5"/>
  <c r="X298" i="4"/>
  <c r="AI226" i="5"/>
  <c r="Y298" i="4"/>
  <c r="AJ226" i="5"/>
  <c r="Z298" i="4"/>
  <c r="AL226" i="5"/>
  <c r="X226" i="5"/>
  <c r="Z226" i="5"/>
  <c r="AN226" i="5"/>
  <c r="AG227" i="5"/>
  <c r="AF227" i="5"/>
  <c r="C185" i="4"/>
  <c r="C227" i="5"/>
  <c r="T227" i="5"/>
  <c r="U227" i="5"/>
  <c r="P185" i="4"/>
  <c r="W227" i="5"/>
  <c r="Q185" i="4"/>
  <c r="X227" i="5"/>
  <c r="R185" i="4"/>
  <c r="Z227" i="5"/>
  <c r="S185" i="4"/>
  <c r="AA227" i="5"/>
  <c r="AJ185" i="4"/>
  <c r="T185" i="4" a="1"/>
  <c r="T185" i="4"/>
  <c r="AC227" i="5"/>
  <c r="U185" i="4" a="1"/>
  <c r="U185" i="4"/>
  <c r="AD227" i="5"/>
  <c r="X185" i="4"/>
  <c r="AI227" i="5"/>
  <c r="Y185" i="4"/>
  <c r="AJ227" i="5"/>
  <c r="Z185" i="4"/>
  <c r="AL227" i="5"/>
  <c r="AN227" i="5"/>
  <c r="AG228" i="5"/>
  <c r="AF228" i="5"/>
  <c r="B118" i="4"/>
  <c r="C118" i="4"/>
  <c r="C228" i="5"/>
  <c r="E228" i="5"/>
  <c r="H118" i="4"/>
  <c r="K228" i="5"/>
  <c r="L118" i="4"/>
  <c r="Q228" i="5"/>
  <c r="M118" i="4"/>
  <c r="R228" i="5"/>
  <c r="T228" i="5"/>
  <c r="O118" i="4"/>
  <c r="U228" i="5"/>
  <c r="P118" i="4"/>
  <c r="W228" i="5"/>
  <c r="X228" i="5"/>
  <c r="AA228" i="5"/>
  <c r="AJ118" i="4"/>
  <c r="T118" i="4" a="1"/>
  <c r="T118" i="4"/>
  <c r="AC228" i="5"/>
  <c r="U118" i="4" a="1"/>
  <c r="U118" i="4"/>
  <c r="AD228" i="5"/>
  <c r="AI228" i="5"/>
  <c r="AJ228" i="5"/>
  <c r="Z118" i="4"/>
  <c r="AL228" i="5"/>
  <c r="F228" i="5"/>
  <c r="H228" i="5"/>
  <c r="I228" i="5"/>
  <c r="L228" i="5"/>
  <c r="N228" i="5"/>
  <c r="O228" i="5"/>
  <c r="Z228" i="5"/>
  <c r="AN228" i="5"/>
  <c r="O229" i="5"/>
  <c r="K229" i="5"/>
  <c r="AG229" i="5"/>
  <c r="AF229" i="5"/>
  <c r="B51" i="4"/>
  <c r="C51" i="4"/>
  <c r="C229" i="5"/>
  <c r="D51" i="4"/>
  <c r="E229" i="5"/>
  <c r="E51" i="4"/>
  <c r="F229" i="5"/>
  <c r="F51" i="4"/>
  <c r="H229" i="5"/>
  <c r="I229" i="5"/>
  <c r="I51" i="4"/>
  <c r="L229" i="5"/>
  <c r="J51" i="4"/>
  <c r="N229" i="5"/>
  <c r="L51" i="4"/>
  <c r="Q229" i="5"/>
  <c r="M51" i="4"/>
  <c r="R229" i="5"/>
  <c r="T229" i="5"/>
  <c r="O51" i="4"/>
  <c r="U229" i="5"/>
  <c r="P51" i="4"/>
  <c r="W229" i="5"/>
  <c r="Q51" i="4"/>
  <c r="X229" i="5"/>
  <c r="S51" i="4"/>
  <c r="AA229" i="5"/>
  <c r="AJ51" i="4"/>
  <c r="T51" i="4" a="1"/>
  <c r="T51" i="4"/>
  <c r="AC229" i="5"/>
  <c r="U51" i="4" a="1"/>
  <c r="U51" i="4"/>
  <c r="AD229" i="5"/>
  <c r="AI229" i="5"/>
  <c r="Y51" i="4"/>
  <c r="AJ229" i="5"/>
  <c r="Z51" i="4"/>
  <c r="AL229" i="5"/>
  <c r="Z229" i="5"/>
  <c r="AN229" i="5"/>
  <c r="AG230" i="5"/>
  <c r="AF230" i="5"/>
  <c r="B299" i="4"/>
  <c r="C299" i="4"/>
  <c r="C230" i="5"/>
  <c r="D299" i="4"/>
  <c r="E230" i="5"/>
  <c r="E299" i="4"/>
  <c r="F230" i="5"/>
  <c r="F299" i="4"/>
  <c r="H230" i="5"/>
  <c r="I230" i="5"/>
  <c r="H299" i="4"/>
  <c r="K230" i="5"/>
  <c r="L299" i="4"/>
  <c r="Q230" i="5"/>
  <c r="M299" i="4"/>
  <c r="R230" i="5"/>
  <c r="T230" i="5"/>
  <c r="O299" i="4"/>
  <c r="U230" i="5"/>
  <c r="P299" i="4"/>
  <c r="W230" i="5"/>
  <c r="Q299" i="4"/>
  <c r="X230" i="5"/>
  <c r="S299" i="4"/>
  <c r="AA230" i="5"/>
  <c r="AJ299" i="4"/>
  <c r="T299" i="4" a="1"/>
  <c r="T299" i="4"/>
  <c r="AC230" i="5"/>
  <c r="U299" i="4" a="1"/>
  <c r="U299" i="4"/>
  <c r="AD230" i="5"/>
  <c r="X299" i="4"/>
  <c r="AI230" i="5"/>
  <c r="Y299" i="4"/>
  <c r="AJ230" i="5"/>
  <c r="Z299" i="4"/>
  <c r="AL230" i="5"/>
  <c r="L230" i="5"/>
  <c r="N230" i="5"/>
  <c r="O230" i="5"/>
  <c r="Z230" i="5"/>
  <c r="AN230" i="5"/>
  <c r="AG231" i="5"/>
  <c r="AF231" i="5"/>
  <c r="C235" i="4"/>
  <c r="C231" i="5"/>
  <c r="T231" i="5"/>
  <c r="U231" i="5"/>
  <c r="P235" i="4"/>
  <c r="W231" i="5"/>
  <c r="Q235" i="4"/>
  <c r="X231" i="5"/>
  <c r="S235" i="4"/>
  <c r="AA231" i="5"/>
  <c r="AJ235" i="4"/>
  <c r="T235" i="4" a="1"/>
  <c r="T235" i="4"/>
  <c r="AC231" i="5"/>
  <c r="U235" i="4" a="1"/>
  <c r="U235" i="4"/>
  <c r="AD231" i="5"/>
  <c r="X235" i="4"/>
  <c r="AI231" i="5"/>
  <c r="Y235" i="4"/>
  <c r="AJ231" i="5"/>
  <c r="Z235" i="4"/>
  <c r="AL231" i="5"/>
  <c r="Z231" i="5"/>
  <c r="AN231" i="5"/>
  <c r="AG232" i="5"/>
  <c r="AF232" i="5"/>
  <c r="B213" i="4"/>
  <c r="C213" i="4"/>
  <c r="C232" i="5"/>
  <c r="D213" i="4"/>
  <c r="E232" i="5"/>
  <c r="H213" i="4"/>
  <c r="K232" i="5"/>
  <c r="L213" i="4"/>
  <c r="Q232" i="5"/>
  <c r="M213" i="4"/>
  <c r="R232" i="5"/>
  <c r="T232" i="5"/>
  <c r="O213" i="4"/>
  <c r="U232" i="5"/>
  <c r="P213" i="4"/>
  <c r="W232" i="5"/>
  <c r="Q213" i="4"/>
  <c r="X232" i="5"/>
  <c r="S213" i="4"/>
  <c r="AA232" i="5"/>
  <c r="AJ213" i="4"/>
  <c r="T213" i="4" a="1"/>
  <c r="T213" i="4"/>
  <c r="AC232" i="5"/>
  <c r="U213" i="4" a="1"/>
  <c r="U213" i="4"/>
  <c r="AD232" i="5"/>
  <c r="X213" i="4"/>
  <c r="AI232" i="5"/>
  <c r="Y213" i="4"/>
  <c r="AJ232" i="5"/>
  <c r="Z213" i="4"/>
  <c r="AL232" i="5"/>
  <c r="L232" i="5"/>
  <c r="N232" i="5"/>
  <c r="O232" i="5"/>
  <c r="F232" i="5"/>
  <c r="H232" i="5"/>
  <c r="I232" i="5"/>
  <c r="Z232" i="5"/>
  <c r="AN232" i="5"/>
  <c r="AG233" i="5"/>
  <c r="AF233" i="5"/>
  <c r="B289" i="4"/>
  <c r="C289" i="4"/>
  <c r="C233" i="5"/>
  <c r="D289" i="4"/>
  <c r="E233" i="5"/>
  <c r="H289" i="4"/>
  <c r="K233" i="5"/>
  <c r="L289" i="4"/>
  <c r="Q233" i="5"/>
  <c r="M289" i="4"/>
  <c r="R233" i="5"/>
  <c r="T233" i="5"/>
  <c r="O289" i="4"/>
  <c r="U233" i="5"/>
  <c r="P289" i="4"/>
  <c r="W233" i="5"/>
  <c r="Q289" i="4"/>
  <c r="X233" i="5"/>
  <c r="S289" i="4"/>
  <c r="AA233" i="5"/>
  <c r="AJ289" i="4"/>
  <c r="T289" i="4" a="1"/>
  <c r="T289" i="4"/>
  <c r="AC233" i="5"/>
  <c r="U289" i="4" a="1"/>
  <c r="U289" i="4"/>
  <c r="AD233" i="5"/>
  <c r="X289" i="4"/>
  <c r="AI233" i="5"/>
  <c r="Y289" i="4"/>
  <c r="AJ233" i="5"/>
  <c r="Z289" i="4"/>
  <c r="AL233" i="5"/>
  <c r="L233" i="5"/>
  <c r="N233" i="5"/>
  <c r="O233" i="5"/>
  <c r="F233" i="5"/>
  <c r="H233" i="5"/>
  <c r="I233" i="5"/>
  <c r="Z233" i="5"/>
  <c r="AN233" i="5"/>
  <c r="S146" i="4"/>
  <c r="AA234" i="5"/>
  <c r="P146" i="4"/>
  <c r="W234" i="5"/>
  <c r="AG234" i="5"/>
  <c r="AF234" i="5"/>
  <c r="C146" i="4"/>
  <c r="C234" i="5"/>
  <c r="D146" i="4"/>
  <c r="E234" i="5"/>
  <c r="K234" i="5"/>
  <c r="L146" i="4"/>
  <c r="Q234" i="5"/>
  <c r="M146" i="4"/>
  <c r="R234" i="5"/>
  <c r="T234" i="5"/>
  <c r="U234" i="5"/>
  <c r="Q146" i="4"/>
  <c r="X234" i="5"/>
  <c r="R146" i="4"/>
  <c r="Z234" i="5"/>
  <c r="AJ146" i="4"/>
  <c r="T146" i="4" a="1"/>
  <c r="T146" i="4"/>
  <c r="AC234" i="5"/>
  <c r="U146" i="4" a="1"/>
  <c r="U146" i="4"/>
  <c r="AD234" i="5"/>
  <c r="X146" i="4"/>
  <c r="AI234" i="5"/>
  <c r="Y146" i="4"/>
  <c r="AJ234" i="5"/>
  <c r="Z146" i="4"/>
  <c r="AL234" i="5"/>
  <c r="L234" i="5"/>
  <c r="N234" i="5"/>
  <c r="O234" i="5"/>
  <c r="F234" i="5"/>
  <c r="H234" i="5"/>
  <c r="I234" i="5"/>
  <c r="AN234" i="5"/>
  <c r="AG235" i="5"/>
  <c r="AF235" i="5"/>
  <c r="B30" i="4"/>
  <c r="C30" i="4"/>
  <c r="C235" i="5"/>
  <c r="D30" i="4"/>
  <c r="E235" i="5"/>
  <c r="K235" i="5"/>
  <c r="L30" i="4"/>
  <c r="Q235" i="5"/>
  <c r="M30" i="4"/>
  <c r="R235" i="5"/>
  <c r="T235" i="5"/>
  <c r="U235" i="5"/>
  <c r="P30" i="4"/>
  <c r="W235" i="5"/>
  <c r="Q30" i="4"/>
  <c r="X235" i="5"/>
  <c r="S30" i="4"/>
  <c r="AA235" i="5"/>
  <c r="AJ30" i="4"/>
  <c r="T30" i="4" a="1"/>
  <c r="T30" i="4"/>
  <c r="AC235" i="5"/>
  <c r="U30" i="4" a="1"/>
  <c r="U30" i="4"/>
  <c r="AD235" i="5"/>
  <c r="X30" i="4"/>
  <c r="AI235" i="5"/>
  <c r="Y30" i="4"/>
  <c r="AJ235" i="5"/>
  <c r="Z30" i="4"/>
  <c r="AL235" i="5"/>
  <c r="F235" i="5"/>
  <c r="H235" i="5"/>
  <c r="I235" i="5"/>
  <c r="L235" i="5"/>
  <c r="N235" i="5"/>
  <c r="O235" i="5"/>
  <c r="Z235" i="5"/>
  <c r="AN235" i="5"/>
  <c r="AG236" i="5"/>
  <c r="AF236" i="5"/>
  <c r="C147" i="4"/>
  <c r="C236" i="5"/>
  <c r="D147" i="4"/>
  <c r="E236" i="5"/>
  <c r="K236" i="5"/>
  <c r="L147" i="4"/>
  <c r="Q236" i="5"/>
  <c r="M147" i="4"/>
  <c r="R236" i="5"/>
  <c r="T236" i="5"/>
  <c r="U236" i="5"/>
  <c r="P147" i="4"/>
  <c r="W236" i="5"/>
  <c r="Q147" i="4"/>
  <c r="X236" i="5"/>
  <c r="S147" i="4"/>
  <c r="AA236" i="5"/>
  <c r="AJ147" i="4"/>
  <c r="T147" i="4" a="1"/>
  <c r="T147" i="4"/>
  <c r="AC236" i="5"/>
  <c r="U147" i="4" a="1"/>
  <c r="U147" i="4"/>
  <c r="AD236" i="5"/>
  <c r="X147" i="4"/>
  <c r="AI236" i="5"/>
  <c r="Y147" i="4"/>
  <c r="AJ236" i="5"/>
  <c r="Z147" i="4"/>
  <c r="AL236" i="5"/>
  <c r="F236" i="5"/>
  <c r="H236" i="5"/>
  <c r="I236" i="5"/>
  <c r="L236" i="5"/>
  <c r="N236" i="5"/>
  <c r="O236" i="5"/>
  <c r="Z236" i="5"/>
  <c r="AN236" i="5"/>
  <c r="AG237" i="5"/>
  <c r="AF237" i="5"/>
  <c r="C148" i="4"/>
  <c r="C237" i="5"/>
  <c r="D148" i="4"/>
  <c r="E237" i="5"/>
  <c r="K237" i="5"/>
  <c r="L148" i="4"/>
  <c r="Q237" i="5"/>
  <c r="M148" i="4"/>
  <c r="R237" i="5"/>
  <c r="T237" i="5"/>
  <c r="U237" i="5"/>
  <c r="P148" i="4"/>
  <c r="W237" i="5"/>
  <c r="Q148" i="4"/>
  <c r="X237" i="5"/>
  <c r="S148" i="4"/>
  <c r="AA237" i="5"/>
  <c r="AJ148" i="4"/>
  <c r="T148" i="4" a="1"/>
  <c r="T148" i="4"/>
  <c r="AC237" i="5"/>
  <c r="U148" i="4" a="1"/>
  <c r="U148" i="4"/>
  <c r="AD237" i="5"/>
  <c r="X148" i="4"/>
  <c r="AI237" i="5"/>
  <c r="Y148" i="4"/>
  <c r="AJ237" i="5"/>
  <c r="Z148" i="4"/>
  <c r="AL237" i="5"/>
  <c r="F237" i="5"/>
  <c r="H237" i="5"/>
  <c r="I237" i="5"/>
  <c r="L237" i="5"/>
  <c r="N237" i="5"/>
  <c r="O237" i="5"/>
  <c r="Z237" i="5"/>
  <c r="AN237" i="5"/>
  <c r="AG238" i="5"/>
  <c r="AF238" i="5"/>
  <c r="B31" i="4"/>
  <c r="C31" i="4"/>
  <c r="C238" i="5"/>
  <c r="D31" i="4"/>
  <c r="E238" i="5"/>
  <c r="K238" i="5"/>
  <c r="L31" i="4"/>
  <c r="Q238" i="5"/>
  <c r="M31" i="4"/>
  <c r="R238" i="5"/>
  <c r="T238" i="5"/>
  <c r="U238" i="5"/>
  <c r="P31" i="4"/>
  <c r="W238" i="5"/>
  <c r="Q31" i="4"/>
  <c r="X238" i="5"/>
  <c r="S31" i="4"/>
  <c r="AA238" i="5"/>
  <c r="AJ31" i="4"/>
  <c r="T31" i="4" a="1"/>
  <c r="T31" i="4"/>
  <c r="AC238" i="5"/>
  <c r="U31" i="4" a="1"/>
  <c r="U31" i="4"/>
  <c r="AD238" i="5"/>
  <c r="X31" i="4"/>
  <c r="AI238" i="5"/>
  <c r="Y31" i="4"/>
  <c r="AJ238" i="5"/>
  <c r="Z31" i="4"/>
  <c r="AL238" i="5"/>
  <c r="F238" i="5"/>
  <c r="H238" i="5"/>
  <c r="I238" i="5"/>
  <c r="L238" i="5"/>
  <c r="N238" i="5"/>
  <c r="O238" i="5"/>
  <c r="Z238" i="5"/>
  <c r="AN238" i="5"/>
  <c r="AG239" i="5"/>
  <c r="AF239" i="5"/>
  <c r="C149" i="4"/>
  <c r="C239" i="5"/>
  <c r="D149" i="4"/>
  <c r="E239" i="5"/>
  <c r="K239" i="5"/>
  <c r="L149" i="4"/>
  <c r="Q239" i="5"/>
  <c r="M149" i="4"/>
  <c r="R239" i="5"/>
  <c r="T239" i="5"/>
  <c r="U239" i="5"/>
  <c r="P149" i="4"/>
  <c r="W239" i="5"/>
  <c r="Q149" i="4"/>
  <c r="X239" i="5"/>
  <c r="S149" i="4"/>
  <c r="AA239" i="5"/>
  <c r="AJ149" i="4"/>
  <c r="T149" i="4" a="1"/>
  <c r="T149" i="4"/>
  <c r="AC239" i="5"/>
  <c r="U149" i="4" a="1"/>
  <c r="U149" i="4"/>
  <c r="AD239" i="5"/>
  <c r="X149" i="4"/>
  <c r="AI239" i="5"/>
  <c r="Y149" i="4"/>
  <c r="AJ239" i="5"/>
  <c r="Z149" i="4"/>
  <c r="AL239" i="5"/>
  <c r="F239" i="5"/>
  <c r="H239" i="5"/>
  <c r="I239" i="5"/>
  <c r="L239" i="5"/>
  <c r="N239" i="5"/>
  <c r="O239" i="5"/>
  <c r="Z239" i="5"/>
  <c r="AN239" i="5"/>
  <c r="AG240" i="5"/>
  <c r="AF240" i="5"/>
  <c r="C240" i="5"/>
  <c r="E240" i="5"/>
  <c r="F240" i="5"/>
  <c r="H240" i="5"/>
  <c r="I240" i="5"/>
  <c r="K240" i="5"/>
  <c r="Q240" i="5"/>
  <c r="R240" i="5"/>
  <c r="T240" i="5"/>
  <c r="U240" i="5"/>
  <c r="W240" i="5"/>
  <c r="X240" i="5"/>
  <c r="AA240" i="5"/>
  <c r="AC240" i="5"/>
  <c r="AD240" i="5"/>
  <c r="AI240" i="5"/>
  <c r="AJ240" i="5"/>
  <c r="AL240" i="5"/>
  <c r="L240" i="5"/>
  <c r="N240" i="5"/>
  <c r="O240" i="5"/>
  <c r="Z240" i="5"/>
  <c r="AN240" i="5"/>
  <c r="AG242" i="5"/>
  <c r="AF242" i="5"/>
  <c r="C291" i="4"/>
  <c r="C242" i="5"/>
  <c r="T242" i="5"/>
  <c r="O291" i="4"/>
  <c r="U242" i="5"/>
  <c r="P291" i="4"/>
  <c r="W242" i="5"/>
  <c r="S291" i="4"/>
  <c r="AA242" i="5"/>
  <c r="AJ291" i="4"/>
  <c r="T291" i="4" a="1"/>
  <c r="T291" i="4"/>
  <c r="AC242" i="5"/>
  <c r="U291" i="4" a="1"/>
  <c r="U291" i="4"/>
  <c r="AD242" i="5"/>
  <c r="X291" i="4"/>
  <c r="AI242" i="5"/>
  <c r="Y291" i="4"/>
  <c r="AJ242" i="5"/>
  <c r="Z291" i="4"/>
  <c r="AL242" i="5"/>
  <c r="X242" i="5"/>
  <c r="Z242" i="5"/>
  <c r="AN242" i="5"/>
  <c r="AG243" i="5"/>
  <c r="AF243" i="5"/>
  <c r="B54" i="4"/>
  <c r="C54" i="4"/>
  <c r="C243" i="5"/>
  <c r="D54" i="4"/>
  <c r="E243" i="5"/>
  <c r="H54" i="4"/>
  <c r="K243" i="5"/>
  <c r="L54" i="4"/>
  <c r="Q243" i="5"/>
  <c r="M54" i="4"/>
  <c r="R243" i="5"/>
  <c r="T243" i="5"/>
  <c r="U243" i="5"/>
  <c r="P54" i="4"/>
  <c r="W243" i="5"/>
  <c r="Q54" i="4"/>
  <c r="X243" i="5"/>
  <c r="AA243" i="5"/>
  <c r="AJ54" i="4"/>
  <c r="T54" i="4" a="1"/>
  <c r="T54" i="4"/>
  <c r="AC243" i="5"/>
  <c r="U54" i="4" a="1"/>
  <c r="U54" i="4"/>
  <c r="AD243" i="5"/>
  <c r="Y54" i="4"/>
  <c r="AJ243" i="5"/>
  <c r="Z54" i="4"/>
  <c r="AL243" i="5"/>
  <c r="F243" i="5"/>
  <c r="H243" i="5"/>
  <c r="I243" i="5"/>
  <c r="L243" i="5"/>
  <c r="N243" i="5"/>
  <c r="O243" i="5"/>
  <c r="Z243" i="5"/>
  <c r="AN243" i="5"/>
  <c r="AG244" i="5"/>
  <c r="AF244" i="5"/>
  <c r="B55" i="4"/>
  <c r="C55" i="4"/>
  <c r="C244" i="5"/>
  <c r="D55" i="4"/>
  <c r="E244" i="5"/>
  <c r="H55" i="4"/>
  <c r="K244" i="5"/>
  <c r="L55" i="4"/>
  <c r="Q244" i="5"/>
  <c r="M55" i="4"/>
  <c r="R244" i="5"/>
  <c r="T244" i="5"/>
  <c r="O55" i="4"/>
  <c r="U244" i="5"/>
  <c r="P55" i="4"/>
  <c r="W244" i="5"/>
  <c r="Q55" i="4"/>
  <c r="X244" i="5"/>
  <c r="AA244" i="5"/>
  <c r="AJ55" i="4"/>
  <c r="T55" i="4" a="1"/>
  <c r="T55" i="4"/>
  <c r="AC244" i="5"/>
  <c r="U55" i="4" a="1"/>
  <c r="U55" i="4"/>
  <c r="AD244" i="5"/>
  <c r="AI244" i="5"/>
  <c r="Y55" i="4"/>
  <c r="AJ244" i="5"/>
  <c r="Z55" i="4"/>
  <c r="AL244" i="5"/>
  <c r="F244" i="5"/>
  <c r="H244" i="5"/>
  <c r="I244" i="5"/>
  <c r="L244" i="5"/>
  <c r="N244" i="5"/>
  <c r="O244" i="5"/>
  <c r="Z244" i="5"/>
  <c r="AN244" i="5"/>
  <c r="AG245" i="5"/>
  <c r="AF245" i="5"/>
  <c r="B56" i="4"/>
  <c r="C56" i="4"/>
  <c r="C245" i="5"/>
  <c r="D56" i="4"/>
  <c r="E245" i="5"/>
  <c r="H56" i="4"/>
  <c r="K245" i="5"/>
  <c r="L56" i="4"/>
  <c r="Q245" i="5"/>
  <c r="M56" i="4"/>
  <c r="R245" i="5"/>
  <c r="T245" i="5"/>
  <c r="O56" i="4"/>
  <c r="U245" i="5"/>
  <c r="P56" i="4"/>
  <c r="W245" i="5"/>
  <c r="Q56" i="4"/>
  <c r="X245" i="5"/>
  <c r="AA245" i="5"/>
  <c r="AJ56" i="4"/>
  <c r="T56" i="4" a="1"/>
  <c r="T56" i="4"/>
  <c r="AC245" i="5"/>
  <c r="U56" i="4" a="1"/>
  <c r="U56" i="4"/>
  <c r="AD245" i="5"/>
  <c r="AI245" i="5"/>
  <c r="Y56" i="4"/>
  <c r="AJ245" i="5"/>
  <c r="Z56" i="4"/>
  <c r="AL245" i="5"/>
  <c r="F245" i="5"/>
  <c r="H245" i="5"/>
  <c r="I245" i="5"/>
  <c r="L245" i="5"/>
  <c r="N245" i="5"/>
  <c r="O245" i="5"/>
  <c r="Z245" i="5"/>
  <c r="AN245" i="5"/>
  <c r="AG246" i="5"/>
  <c r="AF246" i="5"/>
  <c r="B57" i="4"/>
  <c r="C57" i="4"/>
  <c r="C246" i="5"/>
  <c r="D57" i="4"/>
  <c r="E246" i="5"/>
  <c r="H57" i="4"/>
  <c r="K246" i="5"/>
  <c r="L57" i="4"/>
  <c r="Q246" i="5"/>
  <c r="M57" i="4"/>
  <c r="R246" i="5"/>
  <c r="T246" i="5"/>
  <c r="U246" i="5"/>
  <c r="P57" i="4"/>
  <c r="W246" i="5"/>
  <c r="Q57" i="4"/>
  <c r="X246" i="5"/>
  <c r="AA246" i="5"/>
  <c r="AJ57" i="4"/>
  <c r="T57" i="4" a="1"/>
  <c r="T57" i="4"/>
  <c r="AC246" i="5"/>
  <c r="U57" i="4" a="1"/>
  <c r="U57" i="4"/>
  <c r="AD246" i="5"/>
  <c r="X57" i="4"/>
  <c r="AI246" i="5"/>
  <c r="Y57" i="4"/>
  <c r="AJ246" i="5"/>
  <c r="Z57" i="4"/>
  <c r="AL246" i="5"/>
  <c r="F246" i="5"/>
  <c r="H246" i="5"/>
  <c r="I246" i="5"/>
  <c r="L246" i="5"/>
  <c r="N246" i="5"/>
  <c r="O246" i="5"/>
  <c r="Z246" i="5"/>
  <c r="AN246" i="5"/>
  <c r="AG247" i="5"/>
  <c r="AF247" i="5"/>
  <c r="B58" i="4"/>
  <c r="C58" i="4"/>
  <c r="C247" i="5"/>
  <c r="D58" i="4"/>
  <c r="E247" i="5"/>
  <c r="H58" i="4"/>
  <c r="K247" i="5"/>
  <c r="L58" i="4"/>
  <c r="Q247" i="5"/>
  <c r="M58" i="4"/>
  <c r="R247" i="5"/>
  <c r="T247" i="5"/>
  <c r="U247" i="5"/>
  <c r="P58" i="4"/>
  <c r="W247" i="5"/>
  <c r="Q58" i="4"/>
  <c r="X247" i="5"/>
  <c r="AA247" i="5"/>
  <c r="AJ58" i="4"/>
  <c r="T58" i="4" a="1"/>
  <c r="T58" i="4"/>
  <c r="AC247" i="5"/>
  <c r="U58" i="4" a="1"/>
  <c r="U58" i="4"/>
  <c r="AD247" i="5"/>
  <c r="X58" i="4"/>
  <c r="AI247" i="5"/>
  <c r="Y58" i="4"/>
  <c r="AJ247" i="5"/>
  <c r="Z58" i="4"/>
  <c r="AL247" i="5"/>
  <c r="F247" i="5"/>
  <c r="H247" i="5"/>
  <c r="I247" i="5"/>
  <c r="L247" i="5"/>
  <c r="N247" i="5"/>
  <c r="O247" i="5"/>
  <c r="Z247" i="5"/>
  <c r="AN247" i="5"/>
  <c r="AG248" i="5"/>
  <c r="AF248" i="5"/>
  <c r="B59" i="4"/>
  <c r="C59" i="4"/>
  <c r="C248" i="5"/>
  <c r="D59" i="4"/>
  <c r="E248" i="5"/>
  <c r="H59" i="4"/>
  <c r="K248" i="5"/>
  <c r="L59" i="4"/>
  <c r="Q248" i="5"/>
  <c r="M59" i="4"/>
  <c r="R248" i="5"/>
  <c r="T248" i="5"/>
  <c r="U248" i="5"/>
  <c r="P59" i="4"/>
  <c r="W248" i="5"/>
  <c r="Q59" i="4"/>
  <c r="X248" i="5"/>
  <c r="AA248" i="5"/>
  <c r="AJ59" i="4"/>
  <c r="T59" i="4" a="1"/>
  <c r="T59" i="4"/>
  <c r="AC248" i="5"/>
  <c r="U59" i="4" a="1"/>
  <c r="U59" i="4"/>
  <c r="AD248" i="5"/>
  <c r="X59" i="4"/>
  <c r="AI248" i="5"/>
  <c r="Y59" i="4"/>
  <c r="AJ248" i="5"/>
  <c r="Z59" i="4"/>
  <c r="AL248" i="5"/>
  <c r="F248" i="5"/>
  <c r="H248" i="5"/>
  <c r="I248" i="5"/>
  <c r="L248" i="5"/>
  <c r="N248" i="5"/>
  <c r="O248" i="5"/>
  <c r="Z248" i="5"/>
  <c r="AN248" i="5"/>
  <c r="AG249" i="5"/>
  <c r="AF249" i="5"/>
  <c r="C60" i="4"/>
  <c r="C249" i="5"/>
  <c r="D60" i="4"/>
  <c r="E249" i="5"/>
  <c r="K249" i="5"/>
  <c r="L60" i="4"/>
  <c r="Q249" i="5"/>
  <c r="M60" i="4"/>
  <c r="R249" i="5"/>
  <c r="T249" i="5"/>
  <c r="U249" i="5"/>
  <c r="P60" i="4"/>
  <c r="W249" i="5"/>
  <c r="Q60" i="4"/>
  <c r="X249" i="5"/>
  <c r="AA249" i="5"/>
  <c r="AJ60" i="4"/>
  <c r="T60" i="4" a="1"/>
  <c r="T60" i="4"/>
  <c r="AC249" i="5"/>
  <c r="U60" i="4" a="1"/>
  <c r="U60" i="4"/>
  <c r="AD249" i="5"/>
  <c r="X60" i="4"/>
  <c r="AI249" i="5"/>
  <c r="Y60" i="4"/>
  <c r="AJ249" i="5"/>
  <c r="Z60" i="4"/>
  <c r="AL249" i="5"/>
  <c r="F249" i="5"/>
  <c r="H249" i="5"/>
  <c r="I249" i="5"/>
  <c r="L249" i="5"/>
  <c r="N249" i="5"/>
  <c r="O249" i="5"/>
  <c r="Z249" i="5"/>
  <c r="AN249" i="5"/>
  <c r="AG250" i="5"/>
  <c r="AF250" i="5"/>
  <c r="B103" i="4"/>
  <c r="C103" i="4"/>
  <c r="C250" i="5"/>
  <c r="D103" i="4"/>
  <c r="E250" i="5"/>
  <c r="H103" i="4"/>
  <c r="K250" i="5"/>
  <c r="L103" i="4"/>
  <c r="Q250" i="5"/>
  <c r="M103" i="4"/>
  <c r="R250" i="5"/>
  <c r="T250" i="5"/>
  <c r="O103" i="4"/>
  <c r="U250" i="5"/>
  <c r="P103" i="4"/>
  <c r="W250" i="5"/>
  <c r="Q103" i="4"/>
  <c r="X250" i="5"/>
  <c r="S103" i="4"/>
  <c r="AA250" i="5"/>
  <c r="AJ103" i="4"/>
  <c r="T103" i="4" a="1"/>
  <c r="T103" i="4"/>
  <c r="AC250" i="5"/>
  <c r="U103" i="4" a="1"/>
  <c r="U103" i="4"/>
  <c r="AD250" i="5"/>
  <c r="X103" i="4"/>
  <c r="AI250" i="5"/>
  <c r="Y103" i="4"/>
  <c r="AJ250" i="5"/>
  <c r="Z103" i="4"/>
  <c r="AL250" i="5"/>
  <c r="F250" i="5"/>
  <c r="H250" i="5"/>
  <c r="I250" i="5"/>
  <c r="L250" i="5"/>
  <c r="N250" i="5"/>
  <c r="O250" i="5"/>
  <c r="Z250" i="5"/>
  <c r="AN250" i="5"/>
  <c r="AG251" i="5"/>
  <c r="AF251" i="5"/>
  <c r="B104" i="4"/>
  <c r="C104" i="4"/>
  <c r="C251" i="5"/>
  <c r="D104" i="4"/>
  <c r="E251" i="5"/>
  <c r="H104" i="4"/>
  <c r="K251" i="5"/>
  <c r="L104" i="4"/>
  <c r="Q251" i="5"/>
  <c r="M104" i="4"/>
  <c r="R251" i="5"/>
  <c r="T251" i="5"/>
  <c r="O104" i="4"/>
  <c r="U251" i="5"/>
  <c r="P104" i="4"/>
  <c r="W251" i="5"/>
  <c r="Q104" i="4"/>
  <c r="X251" i="5"/>
  <c r="S104" i="4"/>
  <c r="AA251" i="5"/>
  <c r="AJ104" i="4"/>
  <c r="T104" i="4" a="1"/>
  <c r="T104" i="4"/>
  <c r="AC251" i="5"/>
  <c r="U104" i="4" a="1"/>
  <c r="U104" i="4"/>
  <c r="AD251" i="5"/>
  <c r="X104" i="4"/>
  <c r="AI251" i="5"/>
  <c r="Y104" i="4"/>
  <c r="AJ251" i="5"/>
  <c r="Z104" i="4"/>
  <c r="AL251" i="5"/>
  <c r="F251" i="5"/>
  <c r="H251" i="5"/>
  <c r="I251" i="5"/>
  <c r="L251" i="5"/>
  <c r="N251" i="5"/>
  <c r="O251" i="5"/>
  <c r="Z251" i="5"/>
  <c r="AN251" i="5"/>
  <c r="AG252" i="5"/>
  <c r="AF252" i="5"/>
  <c r="B105" i="4"/>
  <c r="C105" i="4"/>
  <c r="C252" i="5"/>
  <c r="D105" i="4"/>
  <c r="E252" i="5"/>
  <c r="K252" i="5"/>
  <c r="L105" i="4"/>
  <c r="Q252" i="5"/>
  <c r="M105" i="4"/>
  <c r="T252" i="5"/>
  <c r="O105" i="4"/>
  <c r="U252" i="5"/>
  <c r="P105" i="4"/>
  <c r="W252" i="5"/>
  <c r="Q105" i="4"/>
  <c r="X252" i="5"/>
  <c r="S105" i="4"/>
  <c r="AA252" i="5"/>
  <c r="AJ105" i="4"/>
  <c r="T105" i="4" a="1"/>
  <c r="T105" i="4"/>
  <c r="AC252" i="5"/>
  <c r="U105" i="4" a="1"/>
  <c r="U105" i="4"/>
  <c r="AD252" i="5"/>
  <c r="X105" i="4"/>
  <c r="AI252" i="5"/>
  <c r="Y105" i="4"/>
  <c r="AJ252" i="5"/>
  <c r="Z105" i="4"/>
  <c r="AL252" i="5"/>
  <c r="F252" i="5"/>
  <c r="H252" i="5"/>
  <c r="I252" i="5"/>
  <c r="L252" i="5"/>
  <c r="N252" i="5"/>
  <c r="O252" i="5"/>
  <c r="Z252" i="5"/>
  <c r="AN252" i="5"/>
  <c r="AG253" i="5"/>
  <c r="AF253" i="5"/>
  <c r="B268" i="4"/>
  <c r="C268" i="4"/>
  <c r="C253" i="5"/>
  <c r="D268" i="4"/>
  <c r="E253" i="5"/>
  <c r="K253" i="5"/>
  <c r="L268" i="4"/>
  <c r="Q253" i="5"/>
  <c r="M268" i="4"/>
  <c r="R253" i="5"/>
  <c r="T253" i="5"/>
  <c r="U253" i="5"/>
  <c r="P268" i="4"/>
  <c r="W253" i="5"/>
  <c r="Q268" i="4"/>
  <c r="X253" i="5"/>
  <c r="AA253" i="5"/>
  <c r="AJ268" i="4"/>
  <c r="T268" i="4" a="1"/>
  <c r="T268" i="4"/>
  <c r="AC253" i="5"/>
  <c r="AD253" i="5"/>
  <c r="X268" i="4"/>
  <c r="AI253" i="5"/>
  <c r="Y268" i="4"/>
  <c r="AJ253" i="5"/>
  <c r="Z268" i="4"/>
  <c r="AL253" i="5"/>
  <c r="F253" i="5"/>
  <c r="H253" i="5"/>
  <c r="I253" i="5"/>
  <c r="L253" i="5"/>
  <c r="N253" i="5"/>
  <c r="O253" i="5"/>
  <c r="Z253" i="5"/>
  <c r="AN253" i="5"/>
  <c r="O254" i="5"/>
  <c r="K254" i="5"/>
  <c r="AG254" i="5"/>
  <c r="AF254" i="5"/>
  <c r="B249" i="4"/>
  <c r="C249" i="4"/>
  <c r="C254" i="5"/>
  <c r="D249" i="4"/>
  <c r="E254" i="5"/>
  <c r="I249" i="4"/>
  <c r="L254" i="5"/>
  <c r="J249" i="4"/>
  <c r="N254" i="5"/>
  <c r="L249" i="4"/>
  <c r="Q254" i="5"/>
  <c r="M249" i="4"/>
  <c r="R254" i="5"/>
  <c r="T254" i="5"/>
  <c r="U254" i="5"/>
  <c r="P249" i="4"/>
  <c r="W254" i="5"/>
  <c r="Q249" i="4"/>
  <c r="X254" i="5"/>
  <c r="S249" i="4"/>
  <c r="AA254" i="5"/>
  <c r="AJ249" i="4"/>
  <c r="T249" i="4" a="1"/>
  <c r="T249" i="4"/>
  <c r="AC254" i="5"/>
  <c r="U249" i="4" a="1"/>
  <c r="U249" i="4"/>
  <c r="AD254" i="5"/>
  <c r="X249" i="4"/>
  <c r="AI254" i="5"/>
  <c r="Y249" i="4"/>
  <c r="AJ254" i="5"/>
  <c r="Z249" i="4"/>
  <c r="AL254" i="5"/>
  <c r="F254" i="5"/>
  <c r="H254" i="5"/>
  <c r="I254" i="5"/>
  <c r="Z254" i="5"/>
  <c r="AN254" i="5"/>
  <c r="AG255" i="5"/>
  <c r="AF255" i="5"/>
  <c r="C44" i="4"/>
  <c r="C255" i="5"/>
  <c r="T255" i="5"/>
  <c r="U255" i="5"/>
  <c r="P44" i="4"/>
  <c r="W255" i="5"/>
  <c r="Q44" i="4"/>
  <c r="X255" i="5"/>
  <c r="AA255" i="5"/>
  <c r="AJ44" i="4"/>
  <c r="T44" i="4" a="1"/>
  <c r="T44" i="4"/>
  <c r="AC255" i="5"/>
  <c r="U44" i="4" a="1"/>
  <c r="U44" i="4"/>
  <c r="AD255" i="5"/>
  <c r="X44" i="4"/>
  <c r="AI255" i="5"/>
  <c r="Y44" i="4"/>
  <c r="AJ255" i="5"/>
  <c r="Z44" i="4"/>
  <c r="AL255" i="5"/>
  <c r="Z255" i="5"/>
  <c r="AN255" i="5"/>
  <c r="O256" i="5"/>
  <c r="B80" i="4"/>
  <c r="H80" i="4"/>
  <c r="K256" i="5"/>
  <c r="AG256" i="5"/>
  <c r="AF256" i="5"/>
  <c r="C80" i="4"/>
  <c r="C256" i="5"/>
  <c r="D80" i="4"/>
  <c r="E256" i="5"/>
  <c r="I80" i="4"/>
  <c r="L256" i="5"/>
  <c r="J80" i="4"/>
  <c r="N256" i="5"/>
  <c r="L80" i="4"/>
  <c r="Q256" i="5"/>
  <c r="M80" i="4"/>
  <c r="R256" i="5"/>
  <c r="T256" i="5"/>
  <c r="O80" i="4"/>
  <c r="U256" i="5"/>
  <c r="P80" i="4"/>
  <c r="W256" i="5"/>
  <c r="Q80" i="4"/>
  <c r="X256" i="5"/>
  <c r="AA256" i="5"/>
  <c r="AJ80" i="4"/>
  <c r="T80" i="4" a="1"/>
  <c r="T80" i="4"/>
  <c r="AC256" i="5"/>
  <c r="U80" i="4" a="1"/>
  <c r="U80" i="4"/>
  <c r="AD256" i="5"/>
  <c r="X80" i="4"/>
  <c r="AI256" i="5"/>
  <c r="Y80" i="4"/>
  <c r="AJ256" i="5"/>
  <c r="Z80" i="4"/>
  <c r="AL256" i="5"/>
  <c r="F256" i="5"/>
  <c r="H256" i="5"/>
  <c r="I256" i="5"/>
  <c r="Z256" i="5"/>
  <c r="AN256" i="5"/>
  <c r="AG257" i="5"/>
  <c r="AF257" i="5"/>
  <c r="B85" i="4"/>
  <c r="C85" i="4"/>
  <c r="C257" i="5"/>
  <c r="D85" i="4"/>
  <c r="E257" i="5"/>
  <c r="H85" i="4"/>
  <c r="K257" i="5"/>
  <c r="L85" i="4"/>
  <c r="Q257" i="5"/>
  <c r="M85" i="4"/>
  <c r="R257" i="5"/>
  <c r="T257" i="5"/>
  <c r="O85" i="4"/>
  <c r="U257" i="5"/>
  <c r="W257" i="5"/>
  <c r="Q85" i="4"/>
  <c r="X257" i="5"/>
  <c r="AA257" i="5"/>
  <c r="AJ85" i="4"/>
  <c r="T85" i="4" a="1"/>
  <c r="T85" i="4"/>
  <c r="AC257" i="5"/>
  <c r="U85" i="4" a="1"/>
  <c r="U85" i="4"/>
  <c r="AD257" i="5"/>
  <c r="X85" i="4"/>
  <c r="AI257" i="5"/>
  <c r="Y85" i="4"/>
  <c r="AJ257" i="5"/>
  <c r="Z85" i="4"/>
  <c r="AL257" i="5"/>
  <c r="F257" i="5"/>
  <c r="H257" i="5"/>
  <c r="I257" i="5"/>
  <c r="L257" i="5"/>
  <c r="N257" i="5"/>
  <c r="O257" i="5"/>
  <c r="Z257" i="5"/>
  <c r="AN257" i="5"/>
  <c r="AG258" i="5"/>
  <c r="AF258" i="5"/>
  <c r="B114" i="4"/>
  <c r="C114" i="4"/>
  <c r="C258" i="5"/>
  <c r="D114" i="4"/>
  <c r="E258" i="5"/>
  <c r="K258" i="5"/>
  <c r="L114" i="4"/>
  <c r="Q258" i="5"/>
  <c r="M114" i="4"/>
  <c r="R258" i="5"/>
  <c r="T258" i="5"/>
  <c r="U258" i="5"/>
  <c r="W258" i="5"/>
  <c r="Q114" i="4"/>
  <c r="X258" i="5"/>
  <c r="AA258" i="5"/>
  <c r="AJ114" i="4"/>
  <c r="T114" i="4" a="1"/>
  <c r="T114" i="4"/>
  <c r="AC258" i="5"/>
  <c r="U114" i="4" a="1"/>
  <c r="U114" i="4"/>
  <c r="AD258" i="5"/>
  <c r="X114" i="4"/>
  <c r="AI258" i="5"/>
  <c r="Y114" i="4"/>
  <c r="AJ258" i="5"/>
  <c r="Z114" i="4"/>
  <c r="AL258" i="5"/>
  <c r="F258" i="5"/>
  <c r="H258" i="5"/>
  <c r="I258" i="5"/>
  <c r="L258" i="5"/>
  <c r="N258" i="5"/>
  <c r="O258" i="5"/>
  <c r="Z258" i="5"/>
  <c r="AN258" i="5"/>
  <c r="AG259" i="5"/>
  <c r="AF259" i="5"/>
  <c r="B261" i="4"/>
  <c r="C261" i="4"/>
  <c r="C259" i="5"/>
  <c r="D261" i="4"/>
  <c r="E259" i="5"/>
  <c r="H261" i="4"/>
  <c r="K259" i="5"/>
  <c r="L261" i="4"/>
  <c r="Q259" i="5"/>
  <c r="M261" i="4"/>
  <c r="R259" i="5"/>
  <c r="T259" i="5"/>
  <c r="O261" i="4"/>
  <c r="U259" i="5"/>
  <c r="P261" i="4"/>
  <c r="W259" i="5"/>
  <c r="Q261" i="4"/>
  <c r="X259" i="5"/>
  <c r="S261" i="4"/>
  <c r="AA259" i="5"/>
  <c r="AJ261" i="4"/>
  <c r="T261" i="4" a="1"/>
  <c r="T261" i="4"/>
  <c r="AC259" i="5"/>
  <c r="U261" i="4" a="1"/>
  <c r="U261" i="4"/>
  <c r="AD259" i="5"/>
  <c r="X261" i="4"/>
  <c r="AI259" i="5"/>
  <c r="Y261" i="4"/>
  <c r="AJ259" i="5"/>
  <c r="Z261" i="4"/>
  <c r="AL259" i="5"/>
  <c r="F259" i="5"/>
  <c r="H259" i="5"/>
  <c r="I259" i="5"/>
  <c r="L259" i="5"/>
  <c r="N259" i="5"/>
  <c r="O259" i="5"/>
  <c r="Z259" i="5"/>
  <c r="AN259" i="5"/>
  <c r="AG260" i="5"/>
  <c r="AF260" i="5"/>
  <c r="C247" i="4"/>
  <c r="C260" i="5"/>
  <c r="T260" i="5"/>
  <c r="U260" i="5"/>
  <c r="P247" i="4"/>
  <c r="W260" i="5"/>
  <c r="Q247" i="4"/>
  <c r="X260" i="5"/>
  <c r="S247" i="4"/>
  <c r="AA260" i="5"/>
  <c r="AJ247" i="4"/>
  <c r="T247" i="4" a="1"/>
  <c r="T247" i="4"/>
  <c r="AC260" i="5"/>
  <c r="AD260" i="5"/>
  <c r="X247" i="4"/>
  <c r="AI260" i="5"/>
  <c r="Y247" i="4"/>
  <c r="AJ260" i="5"/>
  <c r="Z247" i="4"/>
  <c r="AL260" i="5"/>
  <c r="F260" i="5"/>
  <c r="H260" i="5"/>
  <c r="I260" i="5"/>
  <c r="L260" i="5"/>
  <c r="N260" i="5"/>
  <c r="O260" i="5"/>
  <c r="Z260" i="5"/>
  <c r="AN260" i="5"/>
  <c r="AG261" i="5"/>
  <c r="AF261" i="5"/>
  <c r="C272" i="4"/>
  <c r="C261" i="5"/>
  <c r="T261" i="5"/>
  <c r="U261" i="5"/>
  <c r="P272" i="4"/>
  <c r="W261" i="5"/>
  <c r="Q272" i="4"/>
  <c r="X261" i="5"/>
  <c r="S272" i="4"/>
  <c r="AA261" i="5"/>
  <c r="AJ272" i="4"/>
  <c r="T272" i="4" a="1"/>
  <c r="T272" i="4"/>
  <c r="AC261" i="5"/>
  <c r="AD261" i="5"/>
  <c r="X272" i="4"/>
  <c r="AI261" i="5"/>
  <c r="Y272" i="4"/>
  <c r="AJ261" i="5"/>
  <c r="Z272" i="4"/>
  <c r="AL261" i="5"/>
  <c r="F261" i="5"/>
  <c r="H261" i="5"/>
  <c r="I261" i="5"/>
  <c r="L261" i="5"/>
  <c r="N261" i="5"/>
  <c r="O261" i="5"/>
  <c r="Z261" i="5"/>
  <c r="AN261" i="5"/>
  <c r="AG262" i="5"/>
  <c r="AF262" i="5"/>
  <c r="B273" i="4"/>
  <c r="C273" i="4"/>
  <c r="C262" i="5"/>
  <c r="D273" i="4"/>
  <c r="E262" i="5"/>
  <c r="K262" i="5"/>
  <c r="L273" i="4"/>
  <c r="Q262" i="5"/>
  <c r="M273" i="4"/>
  <c r="R262" i="5"/>
  <c r="N273" i="4"/>
  <c r="T262" i="5"/>
  <c r="O273" i="4"/>
  <c r="U262" i="5"/>
  <c r="P273" i="4"/>
  <c r="W262" i="5"/>
  <c r="Q273" i="4"/>
  <c r="X262" i="5"/>
  <c r="S273" i="4"/>
  <c r="AA262" i="5"/>
  <c r="X273" i="4"/>
  <c r="AI262" i="5"/>
  <c r="Y273" i="4"/>
  <c r="AJ262" i="5"/>
  <c r="Z273" i="4"/>
  <c r="AL262" i="5"/>
  <c r="F262" i="5"/>
  <c r="H262" i="5"/>
  <c r="I262" i="5"/>
  <c r="L262" i="5"/>
  <c r="N262" i="5"/>
  <c r="O262" i="5"/>
  <c r="Z262" i="5"/>
  <c r="AN262" i="5"/>
  <c r="AG263" i="5"/>
  <c r="AF263" i="5"/>
  <c r="C155" i="4"/>
  <c r="C263" i="5"/>
  <c r="D155" i="4"/>
  <c r="E263" i="5"/>
  <c r="K263" i="5"/>
  <c r="L155" i="4"/>
  <c r="Q263" i="5"/>
  <c r="M155" i="4"/>
  <c r="R263" i="5"/>
  <c r="T263" i="5"/>
  <c r="U263" i="5"/>
  <c r="P155" i="4"/>
  <c r="W263" i="5"/>
  <c r="Q155" i="4"/>
  <c r="X263" i="5"/>
  <c r="S155" i="4"/>
  <c r="AA263" i="5"/>
  <c r="AJ155" i="4"/>
  <c r="T155" i="4" a="1"/>
  <c r="T155" i="4"/>
  <c r="AC263" i="5"/>
  <c r="AD263" i="5"/>
  <c r="X155" i="4"/>
  <c r="AI263" i="5"/>
  <c r="Y155" i="4"/>
  <c r="AJ263" i="5"/>
  <c r="Z155" i="4"/>
  <c r="AL263" i="5"/>
  <c r="F263" i="5"/>
  <c r="H263" i="5"/>
  <c r="I263" i="5"/>
  <c r="L263" i="5"/>
  <c r="N263" i="5"/>
  <c r="O263" i="5"/>
  <c r="Z263" i="5"/>
  <c r="AN263" i="5"/>
  <c r="AG264" i="5"/>
  <c r="AF264" i="5"/>
  <c r="C69" i="4"/>
  <c r="C264" i="5"/>
  <c r="N69" i="4"/>
  <c r="T264" i="5"/>
  <c r="O69" i="4"/>
  <c r="U264" i="5"/>
  <c r="P69" i="4"/>
  <c r="W264" i="5"/>
  <c r="Q69" i="4"/>
  <c r="X264" i="5"/>
  <c r="AA264" i="5"/>
  <c r="AJ69" i="4"/>
  <c r="T69" i="4" a="1"/>
  <c r="T69" i="4"/>
  <c r="AC264" i="5"/>
  <c r="U69" i="4" a="1"/>
  <c r="U69" i="4"/>
  <c r="AD264" i="5"/>
  <c r="X69" i="4"/>
  <c r="AI264" i="5"/>
  <c r="Y69" i="4"/>
  <c r="AJ264" i="5"/>
  <c r="Z69" i="4"/>
  <c r="AL264" i="5"/>
  <c r="F264" i="5"/>
  <c r="H264" i="5"/>
  <c r="I264" i="5"/>
  <c r="L264" i="5"/>
  <c r="N264" i="5"/>
  <c r="O264" i="5"/>
  <c r="Z264" i="5"/>
  <c r="AN264" i="5"/>
  <c r="O265" i="5"/>
  <c r="K265" i="5"/>
  <c r="AG265" i="5"/>
  <c r="AF265" i="5"/>
  <c r="B293" i="4"/>
  <c r="C293" i="4"/>
  <c r="C265" i="5"/>
  <c r="D293" i="4"/>
  <c r="E265" i="5"/>
  <c r="E293" i="4"/>
  <c r="F265" i="5"/>
  <c r="F293" i="4"/>
  <c r="H265" i="5"/>
  <c r="I265" i="5"/>
  <c r="I293" i="4"/>
  <c r="L265" i="5"/>
  <c r="J293" i="4"/>
  <c r="N265" i="5"/>
  <c r="L293" i="4"/>
  <c r="Q265" i="5"/>
  <c r="M293" i="4"/>
  <c r="R265" i="5"/>
  <c r="N293" i="4"/>
  <c r="T265" i="5"/>
  <c r="U265" i="5"/>
  <c r="P293" i="4"/>
  <c r="W265" i="5"/>
  <c r="Q293" i="4"/>
  <c r="X265" i="5"/>
  <c r="AA265" i="5"/>
  <c r="AJ293" i="4"/>
  <c r="T293" i="4" a="1"/>
  <c r="T293" i="4"/>
  <c r="AC265" i="5"/>
  <c r="U293" i="4" a="1"/>
  <c r="U293" i="4"/>
  <c r="AD265" i="5"/>
  <c r="AI265" i="5"/>
  <c r="Y293" i="4"/>
  <c r="AJ265" i="5"/>
  <c r="Z293" i="4"/>
  <c r="AL265" i="5"/>
  <c r="Z265" i="5"/>
  <c r="AN265" i="5"/>
  <c r="AG266" i="5"/>
  <c r="AF266" i="5"/>
  <c r="B269" i="4"/>
  <c r="C269" i="4"/>
  <c r="C266" i="5"/>
  <c r="D269" i="4"/>
  <c r="E266" i="5"/>
  <c r="H269" i="4"/>
  <c r="K266" i="5"/>
  <c r="I269" i="4"/>
  <c r="L266" i="5"/>
  <c r="J269" i="4"/>
  <c r="N266" i="5"/>
  <c r="O266" i="5"/>
  <c r="L269" i="4"/>
  <c r="Q266" i="5"/>
  <c r="M269" i="4"/>
  <c r="R266" i="5"/>
  <c r="N269" i="4"/>
  <c r="T266" i="5"/>
  <c r="O269" i="4"/>
  <c r="U266" i="5"/>
  <c r="P269" i="4"/>
  <c r="W266" i="5"/>
  <c r="Q269" i="4"/>
  <c r="X266" i="5"/>
  <c r="S269" i="4"/>
  <c r="AA266" i="5"/>
  <c r="AJ269" i="4"/>
  <c r="T269" i="4" a="1"/>
  <c r="T269" i="4"/>
  <c r="AC266" i="5"/>
  <c r="AD266" i="5"/>
  <c r="X269" i="4"/>
  <c r="AI266" i="5"/>
  <c r="Y269" i="4"/>
  <c r="AJ266" i="5"/>
  <c r="Z269" i="4"/>
  <c r="AL266" i="5"/>
  <c r="F266" i="5"/>
  <c r="H266" i="5"/>
  <c r="I266" i="5"/>
  <c r="Z266" i="5"/>
  <c r="AN266" i="5"/>
  <c r="AG267" i="5"/>
  <c r="AF267" i="5"/>
  <c r="B270" i="4"/>
  <c r="C270" i="4"/>
  <c r="C267" i="5"/>
  <c r="D270" i="4"/>
  <c r="E267" i="5"/>
  <c r="K267" i="5"/>
  <c r="I270" i="4"/>
  <c r="L267" i="5"/>
  <c r="J270" i="4"/>
  <c r="N267" i="5"/>
  <c r="O267" i="5"/>
  <c r="L270" i="4"/>
  <c r="Q267" i="5"/>
  <c r="M270" i="4"/>
  <c r="R267" i="5"/>
  <c r="N270" i="4"/>
  <c r="T267" i="5"/>
  <c r="U267" i="5"/>
  <c r="P270" i="4"/>
  <c r="W267" i="5"/>
  <c r="Q270" i="4"/>
  <c r="X267" i="5"/>
  <c r="S270" i="4"/>
  <c r="AA267" i="5"/>
  <c r="AJ270" i="4"/>
  <c r="T270" i="4" a="1"/>
  <c r="T270" i="4"/>
  <c r="AC267" i="5"/>
  <c r="AD267" i="5"/>
  <c r="X270" i="4"/>
  <c r="AI267" i="5"/>
  <c r="Y270" i="4"/>
  <c r="AJ267" i="5"/>
  <c r="Z270" i="4"/>
  <c r="AL267" i="5"/>
  <c r="F267" i="5"/>
  <c r="H267" i="5"/>
  <c r="I267" i="5"/>
  <c r="Z267" i="5"/>
  <c r="AN267" i="5"/>
  <c r="AG268" i="5"/>
  <c r="AF268" i="5"/>
  <c r="B271" i="4"/>
  <c r="C271" i="4"/>
  <c r="C268" i="5"/>
  <c r="D271" i="4"/>
  <c r="E268" i="5"/>
  <c r="K268" i="5"/>
  <c r="L271" i="4"/>
  <c r="Q268" i="5"/>
  <c r="M271" i="4"/>
  <c r="R268" i="5"/>
  <c r="N271" i="4"/>
  <c r="T268" i="5"/>
  <c r="U268" i="5"/>
  <c r="P271" i="4"/>
  <c r="W268" i="5"/>
  <c r="Q271" i="4"/>
  <c r="X268" i="5"/>
  <c r="S271" i="4"/>
  <c r="AA268" i="5"/>
  <c r="AJ271" i="4"/>
  <c r="T271" i="4" a="1"/>
  <c r="T271" i="4"/>
  <c r="AC268" i="5"/>
  <c r="AD268" i="5"/>
  <c r="X271" i="4"/>
  <c r="AI268" i="5"/>
  <c r="Y271" i="4"/>
  <c r="AJ268" i="5"/>
  <c r="Z271" i="4"/>
  <c r="AL268" i="5"/>
  <c r="F268" i="5"/>
  <c r="L268" i="5"/>
  <c r="N268" i="5"/>
  <c r="O268" i="5"/>
  <c r="H268" i="5"/>
  <c r="I268" i="5"/>
  <c r="Z268" i="5"/>
  <c r="AN268" i="5"/>
  <c r="AG269" i="5"/>
  <c r="AF269" i="5"/>
  <c r="B301" i="4"/>
  <c r="C301" i="4"/>
  <c r="C269" i="5"/>
  <c r="D301" i="4"/>
  <c r="E269" i="5"/>
  <c r="E301" i="4"/>
  <c r="F269" i="5"/>
  <c r="F301" i="4"/>
  <c r="H269" i="5"/>
  <c r="I269" i="5"/>
  <c r="H301" i="4"/>
  <c r="K269" i="5"/>
  <c r="L301" i="4"/>
  <c r="Q269" i="5"/>
  <c r="M301" i="4"/>
  <c r="R269" i="5"/>
  <c r="N301" i="4"/>
  <c r="T269" i="5"/>
  <c r="O301" i="4"/>
  <c r="U269" i="5"/>
  <c r="P301" i="4"/>
  <c r="W269" i="5"/>
  <c r="Q301" i="4"/>
  <c r="X269" i="5"/>
  <c r="S301" i="4"/>
  <c r="AA269" i="5"/>
  <c r="AJ301" i="4"/>
  <c r="T301" i="4" a="1"/>
  <c r="T301" i="4"/>
  <c r="AC269" i="5"/>
  <c r="U301" i="4" a="1"/>
  <c r="U301" i="4"/>
  <c r="AD269" i="5"/>
  <c r="X301" i="4"/>
  <c r="AI269" i="5"/>
  <c r="Y301" i="4"/>
  <c r="AJ269" i="5"/>
  <c r="Z301" i="4"/>
  <c r="AL269" i="5"/>
  <c r="L269" i="5"/>
  <c r="N269" i="5"/>
  <c r="O269" i="5"/>
  <c r="Z269" i="5"/>
  <c r="AN269" i="5"/>
  <c r="O270" i="5"/>
  <c r="H130" i="4"/>
  <c r="K270" i="5"/>
  <c r="AG270" i="5"/>
  <c r="AF270" i="5"/>
  <c r="C130" i="4"/>
  <c r="C270" i="5"/>
  <c r="D130" i="4"/>
  <c r="E270" i="5"/>
  <c r="I130" i="4"/>
  <c r="L270" i="5"/>
  <c r="J130" i="4"/>
  <c r="N270" i="5"/>
  <c r="L130" i="4"/>
  <c r="Q270" i="5"/>
  <c r="M130" i="4"/>
  <c r="R270" i="5"/>
  <c r="T270" i="5"/>
  <c r="O130" i="4"/>
  <c r="U270" i="5"/>
  <c r="P130" i="4"/>
  <c r="W270" i="5"/>
  <c r="Q130" i="4"/>
  <c r="X270" i="5"/>
  <c r="S130" i="4"/>
  <c r="AA270" i="5"/>
  <c r="AJ130" i="4"/>
  <c r="T130" i="4" a="1"/>
  <c r="T130" i="4"/>
  <c r="AC270" i="5"/>
  <c r="U130" i="4" a="1"/>
  <c r="U130" i="4"/>
  <c r="AD270" i="5"/>
  <c r="X130" i="4"/>
  <c r="AI270" i="5"/>
  <c r="Y130" i="4"/>
  <c r="AJ270" i="5"/>
  <c r="Z130" i="4"/>
  <c r="AL270" i="5"/>
  <c r="F270" i="5"/>
  <c r="H270" i="5"/>
  <c r="I270" i="5"/>
  <c r="Z270" i="5"/>
  <c r="AN270" i="5"/>
  <c r="B282" i="4"/>
  <c r="S282" i="4"/>
  <c r="AA271" i="5"/>
  <c r="P282" i="4"/>
  <c r="W271" i="5"/>
  <c r="AG271" i="5"/>
  <c r="AF271" i="5"/>
  <c r="C282" i="4"/>
  <c r="C271" i="5"/>
  <c r="D282" i="4"/>
  <c r="E271" i="5"/>
  <c r="E282" i="4"/>
  <c r="F271" i="5"/>
  <c r="F282" i="4"/>
  <c r="H271" i="5"/>
  <c r="I271" i="5"/>
  <c r="K271" i="5"/>
  <c r="L282" i="4"/>
  <c r="Q271" i="5"/>
  <c r="M282" i="4"/>
  <c r="R271" i="5"/>
  <c r="T271" i="5"/>
  <c r="U271" i="5"/>
  <c r="Q282" i="4"/>
  <c r="X271" i="5"/>
  <c r="R282" i="4"/>
  <c r="Z271" i="5"/>
  <c r="AJ282" i="4"/>
  <c r="T282" i="4" a="1"/>
  <c r="T282" i="4"/>
  <c r="AC271" i="5"/>
  <c r="U282" i="4" a="1"/>
  <c r="U282" i="4"/>
  <c r="AD271" i="5"/>
  <c r="X282" i="4"/>
  <c r="AI271" i="5"/>
  <c r="Y282" i="4"/>
  <c r="AJ271" i="5"/>
  <c r="Z282" i="4"/>
  <c r="AL271" i="5"/>
  <c r="L271" i="5"/>
  <c r="N271" i="5"/>
  <c r="O271" i="5"/>
  <c r="AN271" i="5"/>
  <c r="B20" i="4"/>
  <c r="S20" i="4"/>
  <c r="AA272" i="5"/>
  <c r="P20" i="4"/>
  <c r="W272" i="5"/>
  <c r="AG272" i="5"/>
  <c r="AF272" i="5"/>
  <c r="C20" i="4"/>
  <c r="C272" i="5"/>
  <c r="D20" i="4"/>
  <c r="E272" i="5"/>
  <c r="E20" i="4"/>
  <c r="F272" i="5"/>
  <c r="F20" i="4"/>
  <c r="H272" i="5"/>
  <c r="I272" i="5"/>
  <c r="K272" i="5"/>
  <c r="L20" i="4"/>
  <c r="Q272" i="5"/>
  <c r="O20" i="4"/>
  <c r="U272" i="5"/>
  <c r="Q20" i="4"/>
  <c r="X272" i="5"/>
  <c r="R20" i="4"/>
  <c r="Z272" i="5"/>
  <c r="AJ20" i="4"/>
  <c r="T20" i="4" a="1"/>
  <c r="T20" i="4"/>
  <c r="AC272" i="5"/>
  <c r="U20" i="4" a="1"/>
  <c r="U20" i="4"/>
  <c r="AD272" i="5"/>
  <c r="X20" i="4"/>
  <c r="AI272" i="5"/>
  <c r="Y20" i="4"/>
  <c r="AJ272" i="5"/>
  <c r="Z20" i="4"/>
  <c r="AL272" i="5"/>
  <c r="L272" i="5"/>
  <c r="N272" i="5"/>
  <c r="O272" i="5"/>
  <c r="R272" i="5"/>
  <c r="AN272" i="5"/>
  <c r="O273" i="5"/>
  <c r="H161" i="4"/>
  <c r="K273" i="5"/>
  <c r="AG273" i="5"/>
  <c r="AF273" i="5"/>
  <c r="C161" i="4"/>
  <c r="C273" i="5"/>
  <c r="D161" i="4"/>
  <c r="E273" i="5"/>
  <c r="E161" i="4"/>
  <c r="F273" i="5"/>
  <c r="F161" i="4"/>
  <c r="H273" i="5"/>
  <c r="I273" i="5"/>
  <c r="I161" i="4"/>
  <c r="L273" i="5"/>
  <c r="J161" i="4"/>
  <c r="N273" i="5"/>
  <c r="L161" i="4"/>
  <c r="Q273" i="5"/>
  <c r="M161" i="4"/>
  <c r="R273" i="5"/>
  <c r="N161" i="4"/>
  <c r="T273" i="5"/>
  <c r="O161" i="4"/>
  <c r="U273" i="5"/>
  <c r="P161" i="4"/>
  <c r="W273" i="5"/>
  <c r="Q161" i="4"/>
  <c r="X273" i="5"/>
  <c r="S161" i="4"/>
  <c r="AA273" i="5"/>
  <c r="AJ161" i="4"/>
  <c r="T161" i="4" a="1"/>
  <c r="T161" i="4"/>
  <c r="AC273" i="5"/>
  <c r="U161" i="4" a="1"/>
  <c r="U161" i="4"/>
  <c r="AD273" i="5"/>
  <c r="X161" i="4"/>
  <c r="AI273" i="5"/>
  <c r="Y161" i="4"/>
  <c r="AJ273" i="5"/>
  <c r="Z161" i="4"/>
  <c r="AL273" i="5"/>
  <c r="Z273" i="5"/>
  <c r="AN273" i="5"/>
  <c r="O274" i="5"/>
  <c r="B45" i="4"/>
  <c r="H45" i="4"/>
  <c r="K274" i="5"/>
  <c r="AG274" i="5"/>
  <c r="AF274" i="5"/>
  <c r="C45" i="4"/>
  <c r="C274" i="5"/>
  <c r="D45" i="4"/>
  <c r="E274" i="5"/>
  <c r="E45" i="4"/>
  <c r="F274" i="5"/>
  <c r="F45" i="4"/>
  <c r="H274" i="5"/>
  <c r="I274" i="5"/>
  <c r="I45" i="4"/>
  <c r="L274" i="5"/>
  <c r="J45" i="4"/>
  <c r="N274" i="5"/>
  <c r="L45" i="4"/>
  <c r="Q274" i="5"/>
  <c r="M45" i="4"/>
  <c r="R274" i="5"/>
  <c r="T274" i="5"/>
  <c r="O45" i="4"/>
  <c r="U274" i="5"/>
  <c r="W274" i="5"/>
  <c r="Q45" i="4"/>
  <c r="X274" i="5"/>
  <c r="AA274" i="5"/>
  <c r="AJ45" i="4"/>
  <c r="T45" i="4" a="1"/>
  <c r="T45" i="4"/>
  <c r="AC274" i="5"/>
  <c r="U45" i="4" a="1"/>
  <c r="U45" i="4"/>
  <c r="AD274" i="5"/>
  <c r="X45" i="4"/>
  <c r="AI274" i="5"/>
  <c r="Y45" i="4"/>
  <c r="AJ274" i="5"/>
  <c r="Z45" i="4"/>
  <c r="AL274" i="5"/>
  <c r="Z274" i="5"/>
  <c r="AN274" i="5"/>
  <c r="AG275" i="5"/>
  <c r="AF275" i="5"/>
  <c r="B76" i="4"/>
  <c r="C76" i="4"/>
  <c r="C275" i="5"/>
  <c r="D76" i="4"/>
  <c r="E275" i="5"/>
  <c r="H76" i="4"/>
  <c r="K275" i="5"/>
  <c r="L76" i="4"/>
  <c r="Q275" i="5"/>
  <c r="M76" i="4"/>
  <c r="R275" i="5"/>
  <c r="T275" i="5"/>
  <c r="O76" i="4"/>
  <c r="U275" i="5"/>
  <c r="P76" i="4"/>
  <c r="W275" i="5"/>
  <c r="Q76" i="4"/>
  <c r="X275" i="5"/>
  <c r="S76" i="4"/>
  <c r="AA275" i="5"/>
  <c r="AJ76" i="4"/>
  <c r="T76" i="4" a="1"/>
  <c r="T76" i="4"/>
  <c r="AC275" i="5"/>
  <c r="U76" i="4" a="1"/>
  <c r="U76" i="4"/>
  <c r="AD275" i="5"/>
  <c r="X76" i="4"/>
  <c r="AI275" i="5"/>
  <c r="Y76" i="4"/>
  <c r="AJ275" i="5"/>
  <c r="Z76" i="4"/>
  <c r="AL275" i="5"/>
  <c r="F275" i="5"/>
  <c r="L275" i="5"/>
  <c r="N275" i="5"/>
  <c r="O275" i="5"/>
  <c r="H275" i="5"/>
  <c r="I275" i="5"/>
  <c r="Z275" i="5"/>
  <c r="AN275" i="5"/>
  <c r="AG276" i="5"/>
  <c r="AF276" i="5"/>
  <c r="C132" i="4"/>
  <c r="C276" i="5"/>
  <c r="N132" i="4"/>
  <c r="T276" i="5"/>
  <c r="U276" i="5"/>
  <c r="P132" i="4"/>
  <c r="W276" i="5"/>
  <c r="X276" i="5"/>
  <c r="AA276" i="5"/>
  <c r="X132" i="4"/>
  <c r="AI276" i="5"/>
  <c r="Y132" i="4"/>
  <c r="AJ276" i="5"/>
  <c r="Z132" i="4"/>
  <c r="AL276" i="5"/>
  <c r="H276" i="5"/>
  <c r="I276" i="5"/>
  <c r="Z276" i="5"/>
  <c r="AN276" i="5"/>
  <c r="AG277" i="5"/>
  <c r="AF277" i="5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J163" i="4"/>
  <c r="T163" i="4" a="1"/>
  <c r="T163" i="4"/>
  <c r="AC277" i="5"/>
  <c r="U163" i="4" a="1"/>
  <c r="U163" i="4"/>
  <c r="AD277" i="5"/>
  <c r="Y163" i="4"/>
  <c r="AJ277" i="5"/>
  <c r="Z163" i="4"/>
  <c r="AL277" i="5"/>
  <c r="F277" i="5"/>
  <c r="L277" i="5"/>
  <c r="N277" i="5"/>
  <c r="O277" i="5"/>
  <c r="H277" i="5"/>
  <c r="I277" i="5"/>
  <c r="Z277" i="5"/>
  <c r="AN277" i="5"/>
  <c r="O278" i="5"/>
  <c r="B6" i="4"/>
  <c r="H6" i="4"/>
  <c r="K278" i="5"/>
  <c r="AG278" i="5"/>
  <c r="AF278" i="5"/>
  <c r="C6" i="4"/>
  <c r="C278" i="5"/>
  <c r="D6" i="4"/>
  <c r="E278" i="5"/>
  <c r="E6" i="4"/>
  <c r="F278" i="5"/>
  <c r="F6" i="4"/>
  <c r="H278" i="5"/>
  <c r="I278" i="5"/>
  <c r="I6" i="4"/>
  <c r="L278" i="5"/>
  <c r="J6" i="4"/>
  <c r="N278" i="5"/>
  <c r="L6" i="4"/>
  <c r="Q278" i="5"/>
  <c r="M6" i="4"/>
  <c r="R278" i="5"/>
  <c r="N6" i="4"/>
  <c r="T278" i="5"/>
  <c r="O6" i="4"/>
  <c r="U278" i="5"/>
  <c r="P6" i="4"/>
  <c r="W278" i="5"/>
  <c r="Q6" i="4"/>
  <c r="X278" i="5"/>
  <c r="AA278" i="5"/>
  <c r="AJ6" i="4"/>
  <c r="T6" i="4" a="1"/>
  <c r="T6" i="4"/>
  <c r="AC278" i="5"/>
  <c r="U6" i="4" a="1"/>
  <c r="U6" i="4"/>
  <c r="AD278" i="5"/>
  <c r="X6" i="4"/>
  <c r="AI278" i="5"/>
  <c r="Y6" i="4"/>
  <c r="AJ278" i="5"/>
  <c r="Z6" i="4"/>
  <c r="AL278" i="5"/>
  <c r="Z278" i="5"/>
  <c r="AN278" i="5"/>
  <c r="AG279" i="5"/>
  <c r="AF279" i="5"/>
  <c r="C164" i="4"/>
  <c r="C279" i="5"/>
  <c r="D164" i="4"/>
  <c r="E279" i="5"/>
  <c r="H164" i="4"/>
  <c r="K279" i="5"/>
  <c r="L164" i="4"/>
  <c r="Q279" i="5"/>
  <c r="M164" i="4"/>
  <c r="R279" i="5"/>
  <c r="N164" i="4"/>
  <c r="T279" i="5"/>
  <c r="U279" i="5"/>
  <c r="P164" i="4"/>
  <c r="W279" i="5"/>
  <c r="Q164" i="4"/>
  <c r="X279" i="5"/>
  <c r="AA279" i="5"/>
  <c r="AJ164" i="4"/>
  <c r="T164" i="4" a="1"/>
  <c r="T164" i="4"/>
  <c r="AC279" i="5"/>
  <c r="U164" i="4" a="1"/>
  <c r="U164" i="4"/>
  <c r="AD279" i="5"/>
  <c r="X164" i="4"/>
  <c r="AI279" i="5"/>
  <c r="Y164" i="4"/>
  <c r="AJ279" i="5"/>
  <c r="Z164" i="4"/>
  <c r="AL279" i="5"/>
  <c r="L279" i="5"/>
  <c r="N279" i="5"/>
  <c r="O279" i="5"/>
  <c r="F279" i="5"/>
  <c r="H279" i="5"/>
  <c r="I279" i="5"/>
  <c r="Z279" i="5"/>
  <c r="AN279" i="5"/>
  <c r="O280" i="5"/>
  <c r="K280" i="5"/>
  <c r="AG280" i="5"/>
  <c r="AF280" i="5"/>
  <c r="C113" i="4"/>
  <c r="C280" i="5"/>
  <c r="D113" i="4"/>
  <c r="E280" i="5"/>
  <c r="I113" i="4"/>
  <c r="L280" i="5"/>
  <c r="J113" i="4"/>
  <c r="N280" i="5"/>
  <c r="L113" i="4"/>
  <c r="Q280" i="5"/>
  <c r="M113" i="4"/>
  <c r="R280" i="5"/>
  <c r="N113" i="4"/>
  <c r="T280" i="5"/>
  <c r="O113" i="4"/>
  <c r="U280" i="5"/>
  <c r="P113" i="4"/>
  <c r="W280" i="5"/>
  <c r="Q113" i="4"/>
  <c r="X280" i="5"/>
  <c r="S113" i="4"/>
  <c r="AA280" i="5"/>
  <c r="AJ113" i="4"/>
  <c r="T113" i="4" a="1"/>
  <c r="T113" i="4"/>
  <c r="AC280" i="5"/>
  <c r="U113" i="4" a="1"/>
  <c r="U113" i="4"/>
  <c r="AD280" i="5"/>
  <c r="AI280" i="5"/>
  <c r="Y113" i="4"/>
  <c r="AJ280" i="5"/>
  <c r="Z113" i="4"/>
  <c r="AL280" i="5"/>
  <c r="F280" i="5"/>
  <c r="H280" i="5"/>
  <c r="I280" i="5"/>
  <c r="Z280" i="5"/>
  <c r="AN280" i="5"/>
  <c r="AG281" i="5"/>
  <c r="AF281" i="5"/>
  <c r="B48" i="4"/>
  <c r="C48" i="4"/>
  <c r="C281" i="5"/>
  <c r="D48" i="4"/>
  <c r="E281" i="5"/>
  <c r="H48" i="4"/>
  <c r="K281" i="5"/>
  <c r="L48" i="4"/>
  <c r="Q281" i="5"/>
  <c r="M48" i="4"/>
  <c r="R281" i="5"/>
  <c r="T281" i="5"/>
  <c r="O48" i="4"/>
  <c r="U281" i="5"/>
  <c r="P48" i="4"/>
  <c r="W281" i="5"/>
  <c r="Q48" i="4"/>
  <c r="X281" i="5"/>
  <c r="S48" i="4"/>
  <c r="AA281" i="5"/>
  <c r="AJ48" i="4"/>
  <c r="T48" i="4" a="1"/>
  <c r="T48" i="4"/>
  <c r="AC281" i="5"/>
  <c r="U48" i="4" a="1"/>
  <c r="U48" i="4"/>
  <c r="AD281" i="5"/>
  <c r="X48" i="4"/>
  <c r="AI281" i="5"/>
  <c r="Y48" i="4"/>
  <c r="AJ281" i="5"/>
  <c r="Z48" i="4"/>
  <c r="AL281" i="5"/>
  <c r="F281" i="5"/>
  <c r="H281" i="5"/>
  <c r="I281" i="5"/>
  <c r="L281" i="5"/>
  <c r="N281" i="5"/>
  <c r="O281" i="5"/>
  <c r="Z281" i="5"/>
  <c r="AN281" i="5"/>
  <c r="AG282" i="5"/>
  <c r="AF282" i="5"/>
  <c r="C173" i="4"/>
  <c r="C282" i="5"/>
  <c r="T282" i="5"/>
  <c r="O173" i="4"/>
  <c r="U282" i="5"/>
  <c r="P173" i="4"/>
  <c r="W282" i="5"/>
  <c r="Q173" i="4"/>
  <c r="X282" i="5"/>
  <c r="AA282" i="5"/>
  <c r="AJ173" i="4"/>
  <c r="T173" i="4" a="1"/>
  <c r="T173" i="4"/>
  <c r="AC282" i="5"/>
  <c r="U173" i="4" a="1"/>
  <c r="U173" i="4"/>
  <c r="AD282" i="5"/>
  <c r="X173" i="4"/>
  <c r="AI282" i="5"/>
  <c r="Y173" i="4"/>
  <c r="AJ282" i="5"/>
  <c r="Z173" i="4"/>
  <c r="AL282" i="5"/>
  <c r="F282" i="5"/>
  <c r="H282" i="5"/>
  <c r="I282" i="5"/>
  <c r="L282" i="5"/>
  <c r="N282" i="5"/>
  <c r="O282" i="5"/>
  <c r="Z282" i="5"/>
  <c r="AN282" i="5"/>
  <c r="AG283" i="5"/>
  <c r="AF283" i="5"/>
  <c r="C174" i="4"/>
  <c r="C283" i="5"/>
  <c r="D174" i="4"/>
  <c r="E283" i="5"/>
  <c r="H174" i="4"/>
  <c r="K283" i="5"/>
  <c r="L174" i="4"/>
  <c r="Q283" i="5"/>
  <c r="M174" i="4"/>
  <c r="R283" i="5"/>
  <c r="T283" i="5"/>
  <c r="O174" i="4"/>
  <c r="U283" i="5"/>
  <c r="P174" i="4"/>
  <c r="W283" i="5"/>
  <c r="Q174" i="4"/>
  <c r="X283" i="5"/>
  <c r="S174" i="4"/>
  <c r="AA283" i="5"/>
  <c r="AJ174" i="4"/>
  <c r="T174" i="4" a="1"/>
  <c r="T174" i="4"/>
  <c r="AC283" i="5"/>
  <c r="U174" i="4" a="1"/>
  <c r="U174" i="4"/>
  <c r="AD283" i="5"/>
  <c r="X174" i="4"/>
  <c r="AI283" i="5"/>
  <c r="Y174" i="4"/>
  <c r="AJ283" i="5"/>
  <c r="Z174" i="4"/>
  <c r="AL283" i="5"/>
  <c r="F283" i="5"/>
  <c r="H283" i="5"/>
  <c r="I283" i="5"/>
  <c r="L283" i="5"/>
  <c r="N283" i="5"/>
  <c r="O283" i="5"/>
  <c r="Z283" i="5"/>
  <c r="AN283" i="5"/>
  <c r="AG284" i="5"/>
  <c r="AF284" i="5"/>
  <c r="C175" i="4"/>
  <c r="C284" i="5"/>
  <c r="D175" i="4"/>
  <c r="E284" i="5"/>
  <c r="H175" i="4"/>
  <c r="K284" i="5"/>
  <c r="L175" i="4"/>
  <c r="Q284" i="5"/>
  <c r="M175" i="4"/>
  <c r="R284" i="5"/>
  <c r="T284" i="5"/>
  <c r="O175" i="4"/>
  <c r="U284" i="5"/>
  <c r="P175" i="4"/>
  <c r="W284" i="5"/>
  <c r="Q175" i="4"/>
  <c r="X284" i="5"/>
  <c r="S175" i="4"/>
  <c r="AA284" i="5"/>
  <c r="AJ175" i="4"/>
  <c r="T175" i="4" a="1"/>
  <c r="T175" i="4"/>
  <c r="AC284" i="5"/>
  <c r="U175" i="4" a="1"/>
  <c r="U175" i="4"/>
  <c r="AD284" i="5"/>
  <c r="X175" i="4"/>
  <c r="AI284" i="5"/>
  <c r="Y175" i="4"/>
  <c r="AJ284" i="5"/>
  <c r="Z175" i="4"/>
  <c r="AL284" i="5"/>
  <c r="F284" i="5"/>
  <c r="H284" i="5"/>
  <c r="I284" i="5"/>
  <c r="L284" i="5"/>
  <c r="N284" i="5"/>
  <c r="O284" i="5"/>
  <c r="Z284" i="5"/>
  <c r="AN284" i="5"/>
  <c r="AG285" i="5"/>
  <c r="AF285" i="5"/>
  <c r="C138" i="4"/>
  <c r="C285" i="5"/>
  <c r="D138" i="4"/>
  <c r="E285" i="5"/>
  <c r="K285" i="5"/>
  <c r="L138" i="4"/>
  <c r="Q285" i="5"/>
  <c r="M138" i="4"/>
  <c r="R285" i="5"/>
  <c r="N138" i="4"/>
  <c r="T285" i="5"/>
  <c r="U285" i="5"/>
  <c r="P138" i="4"/>
  <c r="W285" i="5"/>
  <c r="Q138" i="4"/>
  <c r="X285" i="5"/>
  <c r="S138" i="4"/>
  <c r="AA285" i="5"/>
  <c r="AJ138" i="4"/>
  <c r="T138" i="4" a="1"/>
  <c r="T138" i="4"/>
  <c r="AC285" i="5"/>
  <c r="U138" i="4" a="1"/>
  <c r="U138" i="4"/>
  <c r="AD285" i="5"/>
  <c r="X138" i="4"/>
  <c r="AI285" i="5"/>
  <c r="Y138" i="4"/>
  <c r="AJ285" i="5"/>
  <c r="Z138" i="4"/>
  <c r="AL285" i="5"/>
  <c r="F285" i="5"/>
  <c r="H285" i="5"/>
  <c r="I285" i="5"/>
  <c r="L285" i="5"/>
  <c r="N285" i="5"/>
  <c r="O285" i="5"/>
  <c r="Z285" i="5"/>
  <c r="AN285" i="5"/>
  <c r="AG286" i="5"/>
  <c r="AF286" i="5"/>
  <c r="C139" i="4"/>
  <c r="C286" i="5"/>
  <c r="D139" i="4"/>
  <c r="E286" i="5"/>
  <c r="K286" i="5"/>
  <c r="L139" i="4"/>
  <c r="Q286" i="5"/>
  <c r="M139" i="4"/>
  <c r="R286" i="5"/>
  <c r="N139" i="4"/>
  <c r="T286" i="5"/>
  <c r="U286" i="5"/>
  <c r="P139" i="4"/>
  <c r="W286" i="5"/>
  <c r="Q139" i="4"/>
  <c r="X286" i="5"/>
  <c r="S139" i="4"/>
  <c r="AA286" i="5"/>
  <c r="AJ139" i="4"/>
  <c r="T139" i="4" a="1"/>
  <c r="T139" i="4"/>
  <c r="AC286" i="5"/>
  <c r="U139" i="4" a="1"/>
  <c r="U139" i="4"/>
  <c r="AD286" i="5"/>
  <c r="X139" i="4"/>
  <c r="AI286" i="5"/>
  <c r="Y139" i="4"/>
  <c r="AJ286" i="5"/>
  <c r="Z139" i="4"/>
  <c r="AL286" i="5"/>
  <c r="F286" i="5"/>
  <c r="H286" i="5"/>
  <c r="I286" i="5"/>
  <c r="L286" i="5"/>
  <c r="N286" i="5"/>
  <c r="O286" i="5"/>
  <c r="Z286" i="5"/>
  <c r="AN286" i="5"/>
  <c r="AG287" i="5"/>
  <c r="AF287" i="5"/>
  <c r="B211" i="4"/>
  <c r="C211" i="4"/>
  <c r="C287" i="5"/>
  <c r="D211" i="4"/>
  <c r="E287" i="5"/>
  <c r="H211" i="4"/>
  <c r="K287" i="5"/>
  <c r="L211" i="4"/>
  <c r="Q287" i="5"/>
  <c r="M211" i="4"/>
  <c r="R287" i="5"/>
  <c r="T287" i="5"/>
  <c r="O211" i="4"/>
  <c r="U287" i="5"/>
  <c r="P211" i="4"/>
  <c r="W287" i="5"/>
  <c r="Q211" i="4"/>
  <c r="X287" i="5"/>
  <c r="S211" i="4"/>
  <c r="AA287" i="5"/>
  <c r="AJ211" i="4"/>
  <c r="T211" i="4" a="1"/>
  <c r="T211" i="4"/>
  <c r="AC287" i="5"/>
  <c r="U211" i="4" a="1"/>
  <c r="U211" i="4"/>
  <c r="AD287" i="5"/>
  <c r="X211" i="4"/>
  <c r="AI287" i="5"/>
  <c r="Y211" i="4"/>
  <c r="AJ287" i="5"/>
  <c r="Z211" i="4"/>
  <c r="AL287" i="5"/>
  <c r="F287" i="5"/>
  <c r="H287" i="5"/>
  <c r="I287" i="5"/>
  <c r="L287" i="5"/>
  <c r="N287" i="5"/>
  <c r="O287" i="5"/>
  <c r="Z287" i="5"/>
  <c r="AN287" i="5"/>
  <c r="AG288" i="5"/>
  <c r="AF288" i="5"/>
  <c r="B212" i="4"/>
  <c r="C212" i="4"/>
  <c r="C288" i="5"/>
  <c r="D212" i="4"/>
  <c r="E288" i="5"/>
  <c r="H212" i="4"/>
  <c r="K288" i="5"/>
  <c r="L212" i="4"/>
  <c r="Q288" i="5"/>
  <c r="M212" i="4"/>
  <c r="R288" i="5"/>
  <c r="T288" i="5"/>
  <c r="O212" i="4"/>
  <c r="U288" i="5"/>
  <c r="P212" i="4"/>
  <c r="W288" i="5"/>
  <c r="Q212" i="4"/>
  <c r="X288" i="5"/>
  <c r="S212" i="4"/>
  <c r="AA288" i="5"/>
  <c r="AJ212" i="4"/>
  <c r="T212" i="4" a="1"/>
  <c r="T212" i="4"/>
  <c r="AC288" i="5"/>
  <c r="U212" i="4" a="1"/>
  <c r="U212" i="4"/>
  <c r="AD288" i="5"/>
  <c r="X212" i="4"/>
  <c r="AI288" i="5"/>
  <c r="Y212" i="4"/>
  <c r="AJ288" i="5"/>
  <c r="Z212" i="4"/>
  <c r="AL288" i="5"/>
  <c r="F288" i="5"/>
  <c r="H288" i="5"/>
  <c r="I288" i="5"/>
  <c r="L288" i="5"/>
  <c r="N288" i="5"/>
  <c r="O288" i="5"/>
  <c r="Z288" i="5"/>
  <c r="AN288" i="5"/>
  <c r="AG289" i="5"/>
  <c r="AF289" i="5"/>
  <c r="C176" i="4"/>
  <c r="C289" i="5"/>
  <c r="T289" i="5"/>
  <c r="O176" i="4"/>
  <c r="U289" i="5"/>
  <c r="P176" i="4"/>
  <c r="W289" i="5"/>
  <c r="Q176" i="4"/>
  <c r="X289" i="5"/>
  <c r="S176" i="4"/>
  <c r="AA289" i="5"/>
  <c r="AJ176" i="4"/>
  <c r="T176" i="4" a="1"/>
  <c r="T176" i="4"/>
  <c r="AC289" i="5"/>
  <c r="U176" i="4" a="1"/>
  <c r="U176" i="4"/>
  <c r="AD289" i="5"/>
  <c r="X176" i="4"/>
  <c r="AI289" i="5"/>
  <c r="Y176" i="4"/>
  <c r="AJ289" i="5"/>
  <c r="Z176" i="4"/>
  <c r="AL289" i="5"/>
  <c r="Z289" i="5"/>
  <c r="AN289" i="5"/>
  <c r="AG290" i="5"/>
  <c r="AF290" i="5"/>
  <c r="C177" i="4"/>
  <c r="C290" i="5"/>
  <c r="D177" i="4"/>
  <c r="E290" i="5"/>
  <c r="H177" i="4"/>
  <c r="K290" i="5"/>
  <c r="L177" i="4"/>
  <c r="Q290" i="5"/>
  <c r="M177" i="4"/>
  <c r="R290" i="5"/>
  <c r="T290" i="5"/>
  <c r="O177" i="4"/>
  <c r="U290" i="5"/>
  <c r="P177" i="4"/>
  <c r="W290" i="5"/>
  <c r="Q177" i="4"/>
  <c r="X290" i="5"/>
  <c r="S177" i="4"/>
  <c r="AA290" i="5"/>
  <c r="AJ177" i="4"/>
  <c r="T177" i="4" a="1"/>
  <c r="T177" i="4"/>
  <c r="AC290" i="5"/>
  <c r="U177" i="4" a="1"/>
  <c r="U177" i="4"/>
  <c r="AD290" i="5"/>
  <c r="X177" i="4"/>
  <c r="AI290" i="5"/>
  <c r="Y177" i="4"/>
  <c r="AJ290" i="5"/>
  <c r="Z177" i="4"/>
  <c r="AL290" i="5"/>
  <c r="F290" i="5"/>
  <c r="H290" i="5"/>
  <c r="I290" i="5"/>
  <c r="L290" i="5"/>
  <c r="N290" i="5"/>
  <c r="O290" i="5"/>
  <c r="Z290" i="5"/>
  <c r="AN290" i="5"/>
  <c r="AG291" i="5"/>
  <c r="AF291" i="5"/>
  <c r="C178" i="4"/>
  <c r="C291" i="5"/>
  <c r="D178" i="4"/>
  <c r="E291" i="5"/>
  <c r="H178" i="4"/>
  <c r="K291" i="5"/>
  <c r="L178" i="4"/>
  <c r="Q291" i="5"/>
  <c r="M178" i="4"/>
  <c r="R291" i="5"/>
  <c r="T291" i="5"/>
  <c r="O178" i="4"/>
  <c r="U291" i="5"/>
  <c r="P178" i="4"/>
  <c r="W291" i="5"/>
  <c r="Q178" i="4"/>
  <c r="X291" i="5"/>
  <c r="S178" i="4"/>
  <c r="AA291" i="5"/>
  <c r="AJ178" i="4"/>
  <c r="T178" i="4" a="1"/>
  <c r="T178" i="4"/>
  <c r="AC291" i="5"/>
  <c r="U178" i="4" a="1"/>
  <c r="U178" i="4"/>
  <c r="AD291" i="5"/>
  <c r="X178" i="4"/>
  <c r="AI291" i="5"/>
  <c r="Y178" i="4"/>
  <c r="AJ291" i="5"/>
  <c r="Z178" i="4"/>
  <c r="AL291" i="5"/>
  <c r="F291" i="5"/>
  <c r="H291" i="5"/>
  <c r="I291" i="5"/>
  <c r="L291" i="5"/>
  <c r="N291" i="5"/>
  <c r="O291" i="5"/>
  <c r="Z291" i="5"/>
  <c r="AN291" i="5"/>
  <c r="AG292" i="5"/>
  <c r="AF292" i="5"/>
  <c r="C179" i="4"/>
  <c r="C292" i="5"/>
  <c r="D179" i="4"/>
  <c r="E292" i="5"/>
  <c r="H179" i="4"/>
  <c r="K292" i="5"/>
  <c r="L179" i="4"/>
  <c r="Q292" i="5"/>
  <c r="M179" i="4"/>
  <c r="R292" i="5"/>
  <c r="T292" i="5"/>
  <c r="O179" i="4"/>
  <c r="U292" i="5"/>
  <c r="P179" i="4"/>
  <c r="W292" i="5"/>
  <c r="Q179" i="4"/>
  <c r="X292" i="5"/>
  <c r="S179" i="4"/>
  <c r="AA292" i="5"/>
  <c r="AJ179" i="4"/>
  <c r="T179" i="4" a="1"/>
  <c r="T179" i="4"/>
  <c r="AC292" i="5"/>
  <c r="U179" i="4" a="1"/>
  <c r="U179" i="4"/>
  <c r="AD292" i="5"/>
  <c r="X179" i="4"/>
  <c r="AI292" i="5"/>
  <c r="Y179" i="4"/>
  <c r="AJ292" i="5"/>
  <c r="Z179" i="4"/>
  <c r="AL292" i="5"/>
  <c r="F292" i="5"/>
  <c r="H292" i="5"/>
  <c r="I292" i="5"/>
  <c r="L292" i="5"/>
  <c r="N292" i="5"/>
  <c r="O292" i="5"/>
  <c r="Z292" i="5"/>
  <c r="AN292" i="5"/>
  <c r="B303" i="4"/>
  <c r="S303" i="4"/>
  <c r="AA293" i="5"/>
  <c r="P303" i="4"/>
  <c r="W293" i="5"/>
  <c r="AG293" i="5"/>
  <c r="AF293" i="5"/>
  <c r="C303" i="4"/>
  <c r="C293" i="5"/>
  <c r="D303" i="4"/>
  <c r="E293" i="5"/>
  <c r="H303" i="4"/>
  <c r="K293" i="5"/>
  <c r="L303" i="4"/>
  <c r="Q293" i="5"/>
  <c r="M303" i="4"/>
  <c r="R293" i="5"/>
  <c r="N303" i="4"/>
  <c r="T293" i="5"/>
  <c r="O303" i="4"/>
  <c r="U293" i="5"/>
  <c r="Q303" i="4"/>
  <c r="X293" i="5"/>
  <c r="R303" i="4"/>
  <c r="Z293" i="5"/>
  <c r="AJ303" i="4"/>
  <c r="T303" i="4" a="1"/>
  <c r="T303" i="4"/>
  <c r="AC293" i="5"/>
  <c r="U303" i="4" a="1"/>
  <c r="U303" i="4"/>
  <c r="AD293" i="5"/>
  <c r="X303" i="4"/>
  <c r="AI293" i="5"/>
  <c r="Y303" i="4"/>
  <c r="AJ293" i="5"/>
  <c r="Z303" i="4"/>
  <c r="AL293" i="5"/>
  <c r="F293" i="5"/>
  <c r="H293" i="5"/>
  <c r="I293" i="5"/>
  <c r="L293" i="5"/>
  <c r="N293" i="5"/>
  <c r="O293" i="5"/>
  <c r="AN293" i="5"/>
  <c r="AG294" i="5"/>
  <c r="AF294" i="5"/>
  <c r="B92" i="4"/>
  <c r="C92" i="4"/>
  <c r="C294" i="5"/>
  <c r="D92" i="4"/>
  <c r="E294" i="5"/>
  <c r="H92" i="4"/>
  <c r="K294" i="5"/>
  <c r="L92" i="4"/>
  <c r="Q294" i="5"/>
  <c r="M92" i="4"/>
  <c r="R294" i="5"/>
  <c r="N92" i="4"/>
  <c r="T294" i="5"/>
  <c r="O92" i="4"/>
  <c r="U294" i="5"/>
  <c r="P92" i="4"/>
  <c r="W294" i="5"/>
  <c r="Q92" i="4"/>
  <c r="X294" i="5"/>
  <c r="S92" i="4"/>
  <c r="AA294" i="5"/>
  <c r="AJ92" i="4"/>
  <c r="T92" i="4" a="1"/>
  <c r="T92" i="4"/>
  <c r="AC294" i="5"/>
  <c r="U92" i="4" a="1"/>
  <c r="U92" i="4"/>
  <c r="AD294" i="5"/>
  <c r="X92" i="4"/>
  <c r="AI294" i="5"/>
  <c r="Y92" i="4"/>
  <c r="AJ294" i="5"/>
  <c r="Z92" i="4"/>
  <c r="AL294" i="5"/>
  <c r="F294" i="5"/>
  <c r="H294" i="5"/>
  <c r="I294" i="5"/>
  <c r="L294" i="5"/>
  <c r="N294" i="5"/>
  <c r="O294" i="5"/>
  <c r="Z294" i="5"/>
  <c r="AN294" i="5"/>
  <c r="AG295" i="5"/>
  <c r="AF295" i="5"/>
  <c r="C101" i="4"/>
  <c r="C295" i="5"/>
  <c r="T295" i="5"/>
  <c r="U295" i="5"/>
  <c r="P101" i="4"/>
  <c r="W295" i="5"/>
  <c r="Q101" i="4"/>
  <c r="X295" i="5"/>
  <c r="S101" i="4"/>
  <c r="AA295" i="5"/>
  <c r="AJ101" i="4"/>
  <c r="T101" i="4" a="1"/>
  <c r="T101" i="4"/>
  <c r="AC295" i="5"/>
  <c r="U101" i="4" a="1"/>
  <c r="U101" i="4"/>
  <c r="AD295" i="5"/>
  <c r="X101" i="4"/>
  <c r="AI295" i="5"/>
  <c r="Y101" i="4"/>
  <c r="AJ295" i="5"/>
  <c r="Z101" i="4"/>
  <c r="AL295" i="5"/>
  <c r="F295" i="5"/>
  <c r="H295" i="5"/>
  <c r="I295" i="5"/>
  <c r="Z295" i="5"/>
  <c r="AN295" i="5"/>
  <c r="AG296" i="5"/>
  <c r="AF296" i="5"/>
  <c r="B204" i="4"/>
  <c r="C204" i="4"/>
  <c r="C296" i="5"/>
  <c r="D204" i="4"/>
  <c r="E296" i="5"/>
  <c r="H204" i="4"/>
  <c r="K296" i="5"/>
  <c r="L204" i="4"/>
  <c r="Q296" i="5"/>
  <c r="M204" i="4"/>
  <c r="R296" i="5"/>
  <c r="T296" i="5"/>
  <c r="O204" i="4"/>
  <c r="U296" i="5"/>
  <c r="P204" i="4"/>
  <c r="W296" i="5"/>
  <c r="Q204" i="4"/>
  <c r="X296" i="5"/>
  <c r="S204" i="4"/>
  <c r="AA296" i="5"/>
  <c r="AJ204" i="4"/>
  <c r="T204" i="4" a="1"/>
  <c r="T204" i="4"/>
  <c r="AC296" i="5"/>
  <c r="U204" i="4" a="1"/>
  <c r="U204" i="4"/>
  <c r="AD296" i="5"/>
  <c r="X204" i="4"/>
  <c r="AI296" i="5"/>
  <c r="F296" i="5"/>
  <c r="H296" i="5"/>
  <c r="I296" i="5"/>
  <c r="L296" i="5"/>
  <c r="N296" i="5"/>
  <c r="O296" i="5"/>
  <c r="Z296" i="5"/>
  <c r="AN296" i="5"/>
  <c r="AG297" i="5"/>
  <c r="AF297" i="5"/>
  <c r="B205" i="4"/>
  <c r="C205" i="4"/>
  <c r="C297" i="5"/>
  <c r="D205" i="4"/>
  <c r="E297" i="5"/>
  <c r="H205" i="4"/>
  <c r="K297" i="5"/>
  <c r="L205" i="4"/>
  <c r="Q297" i="5"/>
  <c r="M205" i="4"/>
  <c r="R297" i="5"/>
  <c r="T297" i="5"/>
  <c r="O205" i="4"/>
  <c r="U297" i="5"/>
  <c r="P205" i="4"/>
  <c r="W297" i="5"/>
  <c r="Q205" i="4"/>
  <c r="X297" i="5"/>
  <c r="S205" i="4"/>
  <c r="AA297" i="5"/>
  <c r="AJ205" i="4"/>
  <c r="T205" i="4" a="1"/>
  <c r="T205" i="4"/>
  <c r="AC297" i="5"/>
  <c r="U205" i="4" a="1"/>
  <c r="U205" i="4"/>
  <c r="AD297" i="5"/>
  <c r="X205" i="4"/>
  <c r="AI297" i="5"/>
  <c r="F297" i="5"/>
  <c r="H297" i="5"/>
  <c r="I297" i="5"/>
  <c r="L297" i="5"/>
  <c r="N297" i="5"/>
  <c r="O297" i="5"/>
  <c r="Z297" i="5"/>
  <c r="AN297" i="5"/>
  <c r="AG298" i="5"/>
  <c r="AF298" i="5"/>
  <c r="B288" i="4"/>
  <c r="C288" i="4"/>
  <c r="C298" i="5"/>
  <c r="D288" i="4"/>
  <c r="E298" i="5"/>
  <c r="H288" i="4"/>
  <c r="K298" i="5"/>
  <c r="L288" i="4"/>
  <c r="Q298" i="5"/>
  <c r="M288" i="4"/>
  <c r="R298" i="5"/>
  <c r="T298" i="5"/>
  <c r="O288" i="4"/>
  <c r="U298" i="5"/>
  <c r="P288" i="4"/>
  <c r="W298" i="5"/>
  <c r="Q288" i="4"/>
  <c r="X298" i="5"/>
  <c r="S288" i="4"/>
  <c r="AA298" i="5"/>
  <c r="AJ288" i="4"/>
  <c r="T288" i="4" a="1"/>
  <c r="T288" i="4"/>
  <c r="AC298" i="5"/>
  <c r="U288" i="4" a="1"/>
  <c r="U288" i="4"/>
  <c r="AD298" i="5"/>
  <c r="X288" i="4"/>
  <c r="AI298" i="5"/>
  <c r="Y288" i="4"/>
  <c r="AJ298" i="5"/>
  <c r="Z288" i="4"/>
  <c r="AL298" i="5"/>
  <c r="F298" i="5"/>
  <c r="H298" i="5"/>
  <c r="I298" i="5"/>
  <c r="L298" i="5"/>
  <c r="N298" i="5"/>
  <c r="O298" i="5"/>
  <c r="Z298" i="5"/>
  <c r="AN298" i="5"/>
  <c r="O299" i="5"/>
  <c r="K299" i="5"/>
  <c r="AG299" i="5"/>
  <c r="AF299" i="5"/>
  <c r="C299" i="5"/>
  <c r="E299" i="5"/>
  <c r="L299" i="5"/>
  <c r="N299" i="5"/>
  <c r="Q299" i="5"/>
  <c r="R299" i="5"/>
  <c r="T299" i="5"/>
  <c r="U299" i="5"/>
  <c r="W299" i="5"/>
  <c r="X299" i="5"/>
  <c r="AA299" i="5"/>
  <c r="AC299" i="5"/>
  <c r="AD299" i="5"/>
  <c r="AI299" i="5"/>
  <c r="AJ299" i="5"/>
  <c r="AL299" i="5"/>
  <c r="F299" i="5"/>
  <c r="H299" i="5"/>
  <c r="I299" i="5"/>
  <c r="Z299" i="5"/>
  <c r="AN299" i="5"/>
  <c r="O304" i="5"/>
  <c r="K304" i="5"/>
  <c r="AG304" i="5"/>
  <c r="V309" i="4"/>
  <c r="AF304" i="5"/>
  <c r="C309" i="4"/>
  <c r="C304" i="5"/>
  <c r="D309" i="4"/>
  <c r="E304" i="5"/>
  <c r="I309" i="4"/>
  <c r="L304" i="5"/>
  <c r="J309" i="4"/>
  <c r="N304" i="5"/>
  <c r="L309" i="4"/>
  <c r="Q304" i="5"/>
  <c r="M309" i="4"/>
  <c r="R304" i="5"/>
  <c r="N309" i="4"/>
  <c r="T304" i="5"/>
  <c r="O309" i="4"/>
  <c r="U304" i="5"/>
  <c r="P309" i="4"/>
  <c r="W304" i="5"/>
  <c r="Q309" i="4"/>
  <c r="X304" i="5"/>
  <c r="AA304" i="5"/>
  <c r="AC304" i="5"/>
  <c r="AD304" i="5"/>
  <c r="X309" i="4"/>
  <c r="AI304" i="5"/>
  <c r="Y309" i="4"/>
  <c r="AJ304" i="5"/>
  <c r="Z309" i="4"/>
  <c r="AL304" i="5"/>
  <c r="F304" i="5"/>
  <c r="H304" i="5"/>
  <c r="I304" i="5"/>
  <c r="Z304" i="5"/>
  <c r="AN304" i="5"/>
  <c r="AG305" i="5"/>
  <c r="V310" i="4"/>
  <c r="AF305" i="5"/>
  <c r="C310" i="4"/>
  <c r="C305" i="5"/>
  <c r="N310" i="4"/>
  <c r="T305" i="5"/>
  <c r="O310" i="4"/>
  <c r="U305" i="5"/>
  <c r="P310" i="4"/>
  <c r="W305" i="5"/>
  <c r="Q310" i="4"/>
  <c r="X305" i="5"/>
  <c r="AA305" i="5"/>
  <c r="T310" i="4"/>
  <c r="AC305" i="5"/>
  <c r="U310" i="4"/>
  <c r="AD305" i="5"/>
  <c r="X310" i="4"/>
  <c r="AI305" i="5"/>
  <c r="Y310" i="4"/>
  <c r="AJ305" i="5"/>
  <c r="Z310" i="4"/>
  <c r="AL305" i="5"/>
  <c r="F305" i="5"/>
  <c r="H305" i="5"/>
  <c r="I305" i="5"/>
  <c r="Z305" i="5"/>
  <c r="AN305" i="5"/>
  <c r="O306" i="5"/>
  <c r="K306" i="5"/>
  <c r="AG306" i="5"/>
  <c r="V311" i="4"/>
  <c r="AF306" i="5"/>
  <c r="C311" i="4"/>
  <c r="C306" i="5"/>
  <c r="D311" i="4"/>
  <c r="E306" i="5"/>
  <c r="I311" i="4"/>
  <c r="L306" i="5"/>
  <c r="J311" i="4"/>
  <c r="N306" i="5"/>
  <c r="L311" i="4"/>
  <c r="Q306" i="5"/>
  <c r="M311" i="4"/>
  <c r="R306" i="5"/>
  <c r="N311" i="4"/>
  <c r="T306" i="5"/>
  <c r="O311" i="4"/>
  <c r="U306" i="5"/>
  <c r="P311" i="4"/>
  <c r="W306" i="5"/>
  <c r="Q311" i="4"/>
  <c r="X306" i="5"/>
  <c r="AA306" i="5"/>
  <c r="T311" i="4"/>
  <c r="AC306" i="5"/>
  <c r="U311" i="4"/>
  <c r="AD306" i="5"/>
  <c r="X311" i="4"/>
  <c r="AI306" i="5"/>
  <c r="Y311" i="4"/>
  <c r="AJ306" i="5"/>
  <c r="Z311" i="4"/>
  <c r="AL306" i="5"/>
  <c r="F306" i="5"/>
  <c r="H306" i="5"/>
  <c r="I306" i="5"/>
  <c r="Z306" i="5"/>
  <c r="AN306" i="5"/>
  <c r="AG307" i="5"/>
  <c r="V312" i="4"/>
  <c r="AF307" i="5"/>
  <c r="N312" i="4"/>
  <c r="T307" i="5"/>
  <c r="O312" i="4"/>
  <c r="U307" i="5"/>
  <c r="P312" i="4"/>
  <c r="W307" i="5"/>
  <c r="Q312" i="4"/>
  <c r="X307" i="5"/>
  <c r="AA307" i="5"/>
  <c r="X312" i="4"/>
  <c r="AI307" i="5"/>
  <c r="Y312" i="4"/>
  <c r="AJ307" i="5"/>
  <c r="Z312" i="4"/>
  <c r="AL307" i="5"/>
  <c r="F307" i="5"/>
  <c r="H307" i="5"/>
  <c r="I307" i="5"/>
  <c r="Z307" i="5"/>
  <c r="AN307" i="5"/>
  <c r="O308" i="5"/>
  <c r="K308" i="5"/>
  <c r="AG308" i="5"/>
  <c r="V314" i="4"/>
  <c r="AF308" i="5"/>
  <c r="C314" i="4"/>
  <c r="C308" i="5"/>
  <c r="D314" i="4"/>
  <c r="E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X314" i="4"/>
  <c r="AI308" i="5"/>
  <c r="Y314" i="4"/>
  <c r="AJ308" i="5"/>
  <c r="Z314" i="4"/>
  <c r="AL308" i="5"/>
  <c r="F308" i="5"/>
  <c r="H308" i="5"/>
  <c r="I308" i="5"/>
  <c r="Z308" i="5"/>
  <c r="AN308" i="5"/>
  <c r="O309" i="5"/>
  <c r="K309" i="5"/>
  <c r="AG309" i="5"/>
  <c r="V305" i="4"/>
  <c r="AF309" i="5"/>
  <c r="C305" i="4"/>
  <c r="C309" i="5"/>
  <c r="D305" i="4"/>
  <c r="E309" i="5"/>
  <c r="I305" i="4"/>
  <c r="L309" i="5"/>
  <c r="J305" i="4"/>
  <c r="N309" i="5"/>
  <c r="L305" i="4"/>
  <c r="Q309" i="5"/>
  <c r="M305" i="4"/>
  <c r="R309" i="5"/>
  <c r="N305" i="4"/>
  <c r="T309" i="5"/>
  <c r="O305" i="4"/>
  <c r="U309" i="5"/>
  <c r="P305" i="4"/>
  <c r="W309" i="5"/>
  <c r="Q305" i="4"/>
  <c r="X309" i="5"/>
  <c r="AA309" i="5"/>
  <c r="AC309" i="5"/>
  <c r="AD309" i="5"/>
  <c r="X305" i="4"/>
  <c r="AI309" i="5"/>
  <c r="Y305" i="4"/>
  <c r="AJ309" i="5"/>
  <c r="Z305" i="4"/>
  <c r="AL309" i="5"/>
  <c r="F309" i="5"/>
  <c r="H309" i="5"/>
  <c r="I309" i="5"/>
  <c r="Z309" i="5"/>
  <c r="AN309" i="5"/>
  <c r="O310" i="5"/>
  <c r="K310" i="5"/>
  <c r="AG310" i="5"/>
  <c r="V315" i="4"/>
  <c r="AF310" i="5"/>
  <c r="C315" i="4"/>
  <c r="C310" i="5"/>
  <c r="D315" i="4"/>
  <c r="E310" i="5"/>
  <c r="I315" i="4"/>
  <c r="L310" i="5"/>
  <c r="J315" i="4"/>
  <c r="N310" i="5"/>
  <c r="L315" i="4"/>
  <c r="Q310" i="5"/>
  <c r="M315" i="4"/>
  <c r="R310" i="5"/>
  <c r="N315" i="4"/>
  <c r="T310" i="5"/>
  <c r="O315" i="4"/>
  <c r="U310" i="5"/>
  <c r="P315" i="4"/>
  <c r="W310" i="5"/>
  <c r="Q315" i="4"/>
  <c r="X310" i="5"/>
  <c r="AA310" i="5"/>
  <c r="T315" i="4"/>
  <c r="AC310" i="5"/>
  <c r="AD310" i="5"/>
  <c r="X315" i="4"/>
  <c r="AI310" i="5"/>
  <c r="Y315" i="4"/>
  <c r="AJ310" i="5"/>
  <c r="Z315" i="4"/>
  <c r="AL310" i="5"/>
  <c r="F310" i="5"/>
  <c r="H310" i="5"/>
  <c r="I310" i="5"/>
  <c r="Z310" i="5"/>
  <c r="AN310" i="5"/>
  <c r="O311" i="5"/>
  <c r="K311" i="5"/>
  <c r="AG311" i="5"/>
  <c r="V316" i="4"/>
  <c r="AF311" i="5"/>
  <c r="C316" i="4"/>
  <c r="C311" i="5"/>
  <c r="D316" i="4"/>
  <c r="E311" i="5"/>
  <c r="I316" i="4"/>
  <c r="L311" i="5"/>
  <c r="J316" i="4"/>
  <c r="N311" i="5"/>
  <c r="L316" i="4"/>
  <c r="Q311" i="5"/>
  <c r="M316" i="4"/>
  <c r="R311" i="5"/>
  <c r="N316" i="4"/>
  <c r="T311" i="5"/>
  <c r="O316" i="4"/>
  <c r="U311" i="5"/>
  <c r="P316" i="4"/>
  <c r="W311" i="5"/>
  <c r="Q316" i="4"/>
  <c r="X311" i="5"/>
  <c r="AA311" i="5"/>
  <c r="X316" i="4"/>
  <c r="AI311" i="5"/>
  <c r="Y316" i="4"/>
  <c r="AJ311" i="5"/>
  <c r="Z316" i="4"/>
  <c r="AL311" i="5"/>
  <c r="F311" i="5"/>
  <c r="H311" i="5"/>
  <c r="I311" i="5"/>
  <c r="Z311" i="5"/>
  <c r="AN311" i="5"/>
  <c r="O312" i="5"/>
  <c r="K312" i="5"/>
  <c r="AG312" i="5"/>
  <c r="V317" i="4"/>
  <c r="AF312" i="5"/>
  <c r="C317" i="4"/>
  <c r="C312" i="5"/>
  <c r="D317" i="4"/>
  <c r="E312" i="5"/>
  <c r="I317" i="4"/>
  <c r="L312" i="5"/>
  <c r="J317" i="4"/>
  <c r="N312" i="5"/>
  <c r="L317" i="4"/>
  <c r="Q312" i="5"/>
  <c r="M317" i="4"/>
  <c r="R312" i="5"/>
  <c r="N317" i="4"/>
  <c r="T312" i="5"/>
  <c r="O317" i="4"/>
  <c r="U312" i="5"/>
  <c r="P317" i="4"/>
  <c r="W312" i="5"/>
  <c r="Q317" i="4"/>
  <c r="X312" i="5"/>
  <c r="AA312" i="5"/>
  <c r="T317" i="4"/>
  <c r="AC312" i="5"/>
  <c r="AD312" i="5"/>
  <c r="X317" i="4"/>
  <c r="AI312" i="5"/>
  <c r="Y317" i="4"/>
  <c r="AJ312" i="5"/>
  <c r="Z317" i="4"/>
  <c r="AL312" i="5"/>
  <c r="F312" i="5"/>
  <c r="H312" i="5"/>
  <c r="I312" i="5"/>
  <c r="Z312" i="5"/>
  <c r="AN312" i="5"/>
  <c r="O313" i="5"/>
  <c r="K313" i="5"/>
  <c r="AG313" i="5"/>
  <c r="V318" i="4"/>
  <c r="AF313" i="5"/>
  <c r="C318" i="4"/>
  <c r="C313" i="5"/>
  <c r="D318" i="4"/>
  <c r="E313" i="5"/>
  <c r="I318" i="4"/>
  <c r="L313" i="5"/>
  <c r="J318" i="4"/>
  <c r="N313" i="5"/>
  <c r="L318" i="4"/>
  <c r="Q313" i="5"/>
  <c r="M318" i="4"/>
  <c r="R313" i="5"/>
  <c r="N318" i="4"/>
  <c r="T313" i="5"/>
  <c r="O318" i="4"/>
  <c r="U313" i="5"/>
  <c r="P318" i="4"/>
  <c r="W313" i="5"/>
  <c r="Q318" i="4"/>
  <c r="X313" i="5"/>
  <c r="AA313" i="5"/>
  <c r="X318" i="4"/>
  <c r="AI313" i="5"/>
  <c r="Y318" i="4"/>
  <c r="AJ313" i="5"/>
  <c r="Z318" i="4"/>
  <c r="AL313" i="5"/>
  <c r="F313" i="5"/>
  <c r="H313" i="5"/>
  <c r="I313" i="5"/>
  <c r="Z313" i="5"/>
  <c r="AN313" i="5"/>
  <c r="AG314" i="5"/>
  <c r="V306" i="4"/>
  <c r="AF314" i="5"/>
  <c r="C306" i="4"/>
  <c r="C314" i="5"/>
  <c r="N306" i="4"/>
  <c r="T314" i="5"/>
  <c r="O306" i="4"/>
  <c r="U314" i="5"/>
  <c r="P306" i="4"/>
  <c r="W314" i="5"/>
  <c r="Q306" i="4"/>
  <c r="X314" i="5"/>
  <c r="AA314" i="5"/>
  <c r="AC314" i="5"/>
  <c r="AD314" i="5"/>
  <c r="X306" i="4"/>
  <c r="AI314" i="5"/>
  <c r="Y306" i="4"/>
  <c r="AJ314" i="5"/>
  <c r="Z306" i="4"/>
  <c r="AL314" i="5"/>
  <c r="F314" i="5"/>
  <c r="H314" i="5"/>
  <c r="I314" i="5"/>
  <c r="Z314" i="5"/>
  <c r="AN314" i="5"/>
  <c r="AG315" i="5"/>
  <c r="V319" i="4"/>
  <c r="AF315" i="5"/>
  <c r="C319" i="4"/>
  <c r="C315" i="5"/>
  <c r="N319" i="4"/>
  <c r="T315" i="5"/>
  <c r="O319" i="4"/>
  <c r="U315" i="5"/>
  <c r="P319" i="4"/>
  <c r="W315" i="5"/>
  <c r="Q319" i="4"/>
  <c r="X315" i="5"/>
  <c r="AA315" i="5"/>
  <c r="AC315" i="5"/>
  <c r="AD315" i="5"/>
  <c r="X319" i="4"/>
  <c r="AI315" i="5"/>
  <c r="Y319" i="4"/>
  <c r="AJ315" i="5"/>
  <c r="Z319" i="4"/>
  <c r="AL315" i="5"/>
  <c r="F315" i="5"/>
  <c r="H315" i="5"/>
  <c r="I315" i="5"/>
  <c r="Z315" i="5"/>
  <c r="AN315" i="5"/>
  <c r="O316" i="5"/>
  <c r="K316" i="5"/>
  <c r="AG316" i="5"/>
  <c r="V313" i="4"/>
  <c r="AF316" i="5"/>
  <c r="C313" i="4"/>
  <c r="C316" i="5"/>
  <c r="D313" i="4"/>
  <c r="E316" i="5"/>
  <c r="I313" i="4"/>
  <c r="L316" i="5"/>
  <c r="J313" i="4"/>
  <c r="N316" i="5"/>
  <c r="L313" i="4"/>
  <c r="Q316" i="5"/>
  <c r="M313" i="4"/>
  <c r="R316" i="5"/>
  <c r="N313" i="4"/>
  <c r="T316" i="5"/>
  <c r="O313" i="4"/>
  <c r="U316" i="5"/>
  <c r="P313" i="4"/>
  <c r="W316" i="5"/>
  <c r="Q313" i="4"/>
  <c r="X316" i="5"/>
  <c r="AA316" i="5"/>
  <c r="AC316" i="5"/>
  <c r="AD316" i="5"/>
  <c r="X313" i="4"/>
  <c r="AI316" i="5"/>
  <c r="Y313" i="4"/>
  <c r="AJ316" i="5"/>
  <c r="Z313" i="4"/>
  <c r="AL316" i="5"/>
  <c r="F316" i="5"/>
  <c r="H316" i="5"/>
  <c r="I316" i="5"/>
  <c r="Z316" i="5"/>
  <c r="AN316" i="5"/>
  <c r="AG317" i="5"/>
  <c r="V304" i="4"/>
  <c r="AF317" i="5"/>
  <c r="C304" i="4"/>
  <c r="C317" i="5"/>
  <c r="N304" i="4"/>
  <c r="T317" i="5"/>
  <c r="O304" i="4"/>
  <c r="U317" i="5"/>
  <c r="P304" i="4"/>
  <c r="W317" i="5"/>
  <c r="Q304" i="4"/>
  <c r="X317" i="5"/>
  <c r="AA317" i="5"/>
  <c r="X304" i="4"/>
  <c r="AI317" i="5"/>
  <c r="Y304" i="4"/>
  <c r="AJ317" i="5"/>
  <c r="Z304" i="4"/>
  <c r="AL317" i="5"/>
  <c r="F317" i="5"/>
  <c r="H317" i="5"/>
  <c r="I317" i="5"/>
  <c r="Z317" i="5"/>
  <c r="AN317" i="5"/>
  <c r="O318" i="5"/>
  <c r="K318" i="5"/>
  <c r="AG318" i="5"/>
  <c r="V307" i="4"/>
  <c r="AF318" i="5"/>
  <c r="C307" i="4"/>
  <c r="C318" i="5"/>
  <c r="D307" i="4"/>
  <c r="E318" i="5"/>
  <c r="I307" i="4"/>
  <c r="L318" i="5"/>
  <c r="J307" i="4"/>
  <c r="N318" i="5"/>
  <c r="L307" i="4"/>
  <c r="Q318" i="5"/>
  <c r="M307" i="4"/>
  <c r="R318" i="5"/>
  <c r="N307" i="4"/>
  <c r="T318" i="5"/>
  <c r="O307" i="4"/>
  <c r="U318" i="5"/>
  <c r="P307" i="4"/>
  <c r="W318" i="5"/>
  <c r="Q307" i="4"/>
  <c r="X318" i="5"/>
  <c r="AA318" i="5"/>
  <c r="AC318" i="5"/>
  <c r="AD318" i="5"/>
  <c r="X307" i="4"/>
  <c r="AI318" i="5"/>
  <c r="Y307" i="4"/>
  <c r="AJ318" i="5"/>
  <c r="Z307" i="4"/>
  <c r="AL318" i="5"/>
  <c r="F318" i="5"/>
  <c r="H318" i="5"/>
  <c r="I318" i="5"/>
  <c r="Z318" i="5"/>
  <c r="AN318" i="5"/>
  <c r="O319" i="5"/>
  <c r="K319" i="5"/>
  <c r="AG319" i="5"/>
  <c r="V308" i="4"/>
  <c r="AF319" i="5"/>
  <c r="C308" i="4"/>
  <c r="C319" i="5"/>
  <c r="D308" i="4"/>
  <c r="E319" i="5"/>
  <c r="I308" i="4"/>
  <c r="L319" i="5"/>
  <c r="J308" i="4"/>
  <c r="N319" i="5"/>
  <c r="L308" i="4"/>
  <c r="Q319" i="5"/>
  <c r="M308" i="4"/>
  <c r="R319" i="5"/>
  <c r="N308" i="4"/>
  <c r="T319" i="5"/>
  <c r="O308" i="4"/>
  <c r="U319" i="5"/>
  <c r="P308" i="4"/>
  <c r="W319" i="5"/>
  <c r="Q308" i="4"/>
  <c r="X319" i="5"/>
  <c r="AA319" i="5"/>
  <c r="AC319" i="5"/>
  <c r="AD319" i="5"/>
  <c r="X308" i="4"/>
  <c r="AI319" i="5"/>
  <c r="Y308" i="4"/>
  <c r="AJ319" i="5"/>
  <c r="Z308" i="4"/>
  <c r="AL319" i="5"/>
  <c r="F319" i="5"/>
  <c r="H319" i="5"/>
  <c r="I319" i="5"/>
  <c r="Z319" i="5"/>
  <c r="AN319" i="5"/>
  <c r="O320" i="5"/>
  <c r="K320" i="5"/>
  <c r="AG320" i="5"/>
  <c r="B348" i="4"/>
  <c r="V348" i="4"/>
  <c r="AF320" i="5"/>
  <c r="C320" i="5"/>
  <c r="D348" i="4"/>
  <c r="E320" i="5"/>
  <c r="I320" i="5"/>
  <c r="I348" i="4"/>
  <c r="L320" i="5"/>
  <c r="J348" i="4"/>
  <c r="N320" i="5"/>
  <c r="L348" i="4"/>
  <c r="Q320" i="5"/>
  <c r="M348" i="4"/>
  <c r="R320" i="5"/>
  <c r="N348" i="4"/>
  <c r="T320" i="5"/>
  <c r="O348" i="4"/>
  <c r="U320" i="5"/>
  <c r="P348" i="4"/>
  <c r="W320" i="5"/>
  <c r="Q348" i="4"/>
  <c r="X320" i="5"/>
  <c r="AA320" i="5"/>
  <c r="AC320" i="5"/>
  <c r="AD320" i="5"/>
  <c r="X348" i="4"/>
  <c r="AI320" i="5"/>
  <c r="Y348" i="4"/>
  <c r="AJ320" i="5"/>
  <c r="AL320" i="5"/>
  <c r="Z320" i="5"/>
  <c r="AN320" i="5"/>
  <c r="O321" i="5"/>
  <c r="K321" i="5"/>
  <c r="AG321" i="5"/>
  <c r="B349" i="4"/>
  <c r="V349" i="4"/>
  <c r="AF321" i="5"/>
  <c r="C321" i="5"/>
  <c r="D349" i="4"/>
  <c r="E321" i="5"/>
  <c r="I321" i="5"/>
  <c r="I349" i="4"/>
  <c r="L321" i="5"/>
  <c r="J349" i="4"/>
  <c r="N321" i="5"/>
  <c r="L349" i="4"/>
  <c r="Q321" i="5"/>
  <c r="M349" i="4"/>
  <c r="R321" i="5"/>
  <c r="N349" i="4"/>
  <c r="T321" i="5"/>
  <c r="O349" i="4"/>
  <c r="U321" i="5"/>
  <c r="P349" i="4"/>
  <c r="W321" i="5"/>
  <c r="Q349" i="4"/>
  <c r="X321" i="5"/>
  <c r="AA321" i="5"/>
  <c r="AC321" i="5"/>
  <c r="AD321" i="5"/>
  <c r="X349" i="4"/>
  <c r="AI321" i="5"/>
  <c r="Y349" i="4"/>
  <c r="AJ321" i="5"/>
  <c r="AL321" i="5"/>
  <c r="Z321" i="5"/>
  <c r="AN321" i="5"/>
  <c r="O322" i="5"/>
  <c r="K322" i="5"/>
  <c r="AG322" i="5"/>
  <c r="B350" i="4"/>
  <c r="V350" i="4"/>
  <c r="AF322" i="5"/>
  <c r="C322" i="5"/>
  <c r="D350" i="4"/>
  <c r="E322" i="5"/>
  <c r="I322" i="5"/>
  <c r="I350" i="4"/>
  <c r="L322" i="5"/>
  <c r="J350" i="4"/>
  <c r="N322" i="5"/>
  <c r="L350" i="4"/>
  <c r="Q322" i="5"/>
  <c r="M350" i="4"/>
  <c r="R322" i="5"/>
  <c r="N350" i="4"/>
  <c r="T322" i="5"/>
  <c r="O350" i="4"/>
  <c r="U322" i="5"/>
  <c r="P350" i="4"/>
  <c r="W322" i="5"/>
  <c r="Q350" i="4"/>
  <c r="X322" i="5"/>
  <c r="AA322" i="5"/>
  <c r="AC322" i="5"/>
  <c r="AD322" i="5"/>
  <c r="X350" i="4"/>
  <c r="AI322" i="5"/>
  <c r="Y350" i="4"/>
  <c r="AJ322" i="5"/>
  <c r="AL322" i="5"/>
  <c r="Z322" i="5"/>
  <c r="AN322" i="5"/>
  <c r="O323" i="5"/>
  <c r="K323" i="5"/>
  <c r="AG323" i="5"/>
  <c r="B341" i="4"/>
  <c r="V341" i="4"/>
  <c r="AF323" i="5"/>
  <c r="C323" i="5"/>
  <c r="D341" i="4"/>
  <c r="E323" i="5"/>
  <c r="I323" i="5"/>
  <c r="I341" i="4"/>
  <c r="L323" i="5"/>
  <c r="J341" i="4"/>
  <c r="N323" i="5"/>
  <c r="L341" i="4"/>
  <c r="Q323" i="5"/>
  <c r="M341" i="4"/>
  <c r="R323" i="5"/>
  <c r="N341" i="4"/>
  <c r="T323" i="5"/>
  <c r="O341" i="4"/>
  <c r="U323" i="5"/>
  <c r="P341" i="4"/>
  <c r="W323" i="5"/>
  <c r="Q341" i="4"/>
  <c r="X323" i="5"/>
  <c r="AA323" i="5"/>
  <c r="AC323" i="5"/>
  <c r="AD323" i="5"/>
  <c r="X341" i="4"/>
  <c r="AI323" i="5"/>
  <c r="Y341" i="4"/>
  <c r="AJ323" i="5"/>
  <c r="AL323" i="5"/>
  <c r="Z323" i="5"/>
  <c r="AN323" i="5"/>
  <c r="O324" i="5"/>
  <c r="K324" i="5"/>
  <c r="AG324" i="5"/>
  <c r="B342" i="4"/>
  <c r="V342" i="4"/>
  <c r="AF324" i="5"/>
  <c r="C324" i="5"/>
  <c r="D342" i="4"/>
  <c r="E324" i="5"/>
  <c r="I324" i="5"/>
  <c r="I342" i="4"/>
  <c r="L324" i="5"/>
  <c r="J342" i="4"/>
  <c r="N324" i="5"/>
  <c r="L342" i="4"/>
  <c r="Q324" i="5"/>
  <c r="M342" i="4"/>
  <c r="R324" i="5"/>
  <c r="N342" i="4"/>
  <c r="T324" i="5"/>
  <c r="O342" i="4"/>
  <c r="U324" i="5"/>
  <c r="P342" i="4"/>
  <c r="W324" i="5"/>
  <c r="Q342" i="4"/>
  <c r="X324" i="5"/>
  <c r="AA324" i="5"/>
  <c r="AC324" i="5"/>
  <c r="AD324" i="5"/>
  <c r="X342" i="4"/>
  <c r="AI324" i="5"/>
  <c r="Y342" i="4"/>
  <c r="AJ324" i="5"/>
  <c r="AL324" i="5"/>
  <c r="Z324" i="5"/>
  <c r="AN324" i="5"/>
  <c r="O325" i="5"/>
  <c r="K325" i="5"/>
  <c r="AG325" i="5"/>
  <c r="B323" i="4"/>
  <c r="V323" i="4"/>
  <c r="AF325" i="5"/>
  <c r="C325" i="5"/>
  <c r="D323" i="4"/>
  <c r="E325" i="5"/>
  <c r="I323" i="4"/>
  <c r="L325" i="5"/>
  <c r="J323" i="4"/>
  <c r="N325" i="5"/>
  <c r="L323" i="4"/>
  <c r="Q325" i="5"/>
  <c r="M323" i="4"/>
  <c r="R325" i="5"/>
  <c r="N323" i="4"/>
  <c r="T325" i="5"/>
  <c r="O323" i="4"/>
  <c r="U325" i="5"/>
  <c r="P323" i="4"/>
  <c r="W325" i="5"/>
  <c r="Q323" i="4"/>
  <c r="X325" i="5"/>
  <c r="AA325" i="5"/>
  <c r="AC325" i="5"/>
  <c r="AD325" i="5"/>
  <c r="X323" i="4"/>
  <c r="AI325" i="5"/>
  <c r="Y323" i="4"/>
  <c r="AJ325" i="5"/>
  <c r="AL325" i="5"/>
  <c r="F325" i="5"/>
  <c r="H325" i="5"/>
  <c r="I325" i="5"/>
  <c r="Z325" i="5"/>
  <c r="AN325" i="5"/>
  <c r="O326" i="5"/>
  <c r="K326" i="5"/>
  <c r="AG326" i="5"/>
  <c r="AF326" i="5"/>
  <c r="C326" i="5"/>
  <c r="B320" i="4"/>
  <c r="D320" i="4"/>
  <c r="E326" i="5"/>
  <c r="I326" i="5"/>
  <c r="I320" i="4"/>
  <c r="L326" i="5"/>
  <c r="J320" i="4"/>
  <c r="N326" i="5"/>
  <c r="L320" i="4"/>
  <c r="Q326" i="5"/>
  <c r="M320" i="4"/>
  <c r="R326" i="5"/>
  <c r="N320" i="4"/>
  <c r="T326" i="5"/>
  <c r="O320" i="4"/>
  <c r="U326" i="5"/>
  <c r="P320" i="4"/>
  <c r="W326" i="5"/>
  <c r="Q320" i="4"/>
  <c r="X326" i="5"/>
  <c r="AA326" i="5"/>
  <c r="AC326" i="5"/>
  <c r="AD326" i="5"/>
  <c r="X320" i="4"/>
  <c r="AI326" i="5"/>
  <c r="Y320" i="4"/>
  <c r="AJ326" i="5"/>
  <c r="AL326" i="5"/>
  <c r="Z326" i="5"/>
  <c r="AN326" i="5"/>
  <c r="O327" i="5"/>
  <c r="K327" i="5"/>
  <c r="AG327" i="5"/>
  <c r="B324" i="4"/>
  <c r="V324" i="4"/>
  <c r="AF327" i="5"/>
  <c r="C327" i="5"/>
  <c r="D324" i="4"/>
  <c r="E327" i="5"/>
  <c r="I327" i="5"/>
  <c r="I324" i="4"/>
  <c r="L327" i="5"/>
  <c r="J324" i="4"/>
  <c r="N327" i="5"/>
  <c r="L324" i="4"/>
  <c r="Q327" i="5"/>
  <c r="M324" i="4"/>
  <c r="R327" i="5"/>
  <c r="N324" i="4"/>
  <c r="T327" i="5"/>
  <c r="O324" i="4"/>
  <c r="U327" i="5"/>
  <c r="P324" i="4"/>
  <c r="W327" i="5"/>
  <c r="Q324" i="4"/>
  <c r="X327" i="5"/>
  <c r="AA327" i="5"/>
  <c r="AC327" i="5"/>
  <c r="AD327" i="5"/>
  <c r="X324" i="4"/>
  <c r="AI327" i="5"/>
  <c r="Y324" i="4"/>
  <c r="AJ327" i="5"/>
  <c r="AL327" i="5"/>
  <c r="Z327" i="5"/>
  <c r="AN327" i="5"/>
  <c r="O328" i="5"/>
  <c r="K328" i="5"/>
  <c r="AG328" i="5"/>
  <c r="B325" i="4"/>
  <c r="V325" i="4"/>
  <c r="AF328" i="5"/>
  <c r="C328" i="5"/>
  <c r="D325" i="4"/>
  <c r="E328" i="5"/>
  <c r="I325" i="4"/>
  <c r="L328" i="5"/>
  <c r="J325" i="4"/>
  <c r="N328" i="5"/>
  <c r="L325" i="4"/>
  <c r="Q328" i="5"/>
  <c r="M325" i="4"/>
  <c r="R328" i="5"/>
  <c r="N325" i="4"/>
  <c r="T328" i="5"/>
  <c r="O325" i="4"/>
  <c r="U328" i="5"/>
  <c r="P325" i="4"/>
  <c r="W328" i="5"/>
  <c r="Q325" i="4"/>
  <c r="X328" i="5"/>
  <c r="AA328" i="5"/>
  <c r="AC328" i="5"/>
  <c r="AD328" i="5"/>
  <c r="X325" i="4"/>
  <c r="AI328" i="5"/>
  <c r="Y325" i="4"/>
  <c r="AJ328" i="5"/>
  <c r="AL328" i="5"/>
  <c r="F328" i="5"/>
  <c r="H328" i="5"/>
  <c r="I328" i="5"/>
  <c r="Z328" i="5"/>
  <c r="AN328" i="5"/>
  <c r="O329" i="5"/>
  <c r="K329" i="5"/>
  <c r="AG329" i="5"/>
  <c r="B326" i="4"/>
  <c r="V326" i="4"/>
  <c r="AF329" i="5"/>
  <c r="C329" i="5"/>
  <c r="D326" i="4"/>
  <c r="E329" i="5"/>
  <c r="I326" i="4"/>
  <c r="L329" i="5"/>
  <c r="J326" i="4"/>
  <c r="N329" i="5"/>
  <c r="L326" i="4"/>
  <c r="Q329" i="5"/>
  <c r="M326" i="4"/>
  <c r="R329" i="5"/>
  <c r="N326" i="4"/>
  <c r="T329" i="5"/>
  <c r="O326" i="4"/>
  <c r="U329" i="5"/>
  <c r="P326" i="4"/>
  <c r="W329" i="5"/>
  <c r="Q326" i="4"/>
  <c r="X329" i="5"/>
  <c r="AA329" i="5"/>
  <c r="AC329" i="5"/>
  <c r="AD329" i="5"/>
  <c r="X326" i="4"/>
  <c r="AI329" i="5"/>
  <c r="Y326" i="4"/>
  <c r="AJ329" i="5"/>
  <c r="AL329" i="5"/>
  <c r="F329" i="5"/>
  <c r="H329" i="5"/>
  <c r="I329" i="5"/>
  <c r="Z329" i="5"/>
  <c r="AN329" i="5"/>
  <c r="O330" i="5"/>
  <c r="K330" i="5"/>
  <c r="AG330" i="5"/>
  <c r="B352" i="4"/>
  <c r="V352" i="4"/>
  <c r="AF330" i="5"/>
  <c r="C330" i="5"/>
  <c r="D352" i="4"/>
  <c r="E330" i="5"/>
  <c r="I352" i="4"/>
  <c r="L330" i="5"/>
  <c r="J352" i="4"/>
  <c r="N330" i="5"/>
  <c r="L352" i="4"/>
  <c r="Q330" i="5"/>
  <c r="M352" i="4"/>
  <c r="R330" i="5"/>
  <c r="N352" i="4"/>
  <c r="T330" i="5"/>
  <c r="O352" i="4"/>
  <c r="U330" i="5"/>
  <c r="P352" i="4"/>
  <c r="W330" i="5"/>
  <c r="Q352" i="4"/>
  <c r="X330" i="5"/>
  <c r="AA330" i="5"/>
  <c r="AC330" i="5"/>
  <c r="AD330" i="5"/>
  <c r="X352" i="4"/>
  <c r="AI330" i="5"/>
  <c r="Y352" i="4"/>
  <c r="AJ330" i="5"/>
  <c r="AL330" i="5"/>
  <c r="F330" i="5"/>
  <c r="H330" i="5"/>
  <c r="I330" i="5"/>
  <c r="Z330" i="5"/>
  <c r="AN330" i="5"/>
  <c r="O331" i="5"/>
  <c r="K331" i="5"/>
  <c r="AG331" i="5"/>
  <c r="B343" i="4"/>
  <c r="V343" i="4"/>
  <c r="AF331" i="5"/>
  <c r="C331" i="5"/>
  <c r="D343" i="4"/>
  <c r="E331" i="5"/>
  <c r="I331" i="5"/>
  <c r="I343" i="4"/>
  <c r="L331" i="5"/>
  <c r="J343" i="4"/>
  <c r="N331" i="5"/>
  <c r="L343" i="4"/>
  <c r="Q331" i="5"/>
  <c r="M343" i="4"/>
  <c r="R331" i="5"/>
  <c r="N343" i="4"/>
  <c r="T331" i="5"/>
  <c r="O343" i="4"/>
  <c r="U331" i="5"/>
  <c r="P343" i="4"/>
  <c r="W331" i="5"/>
  <c r="Q343" i="4"/>
  <c r="X331" i="5"/>
  <c r="AA331" i="5"/>
  <c r="AC331" i="5"/>
  <c r="AD331" i="5"/>
  <c r="X343" i="4"/>
  <c r="AI331" i="5"/>
  <c r="Y343" i="4"/>
  <c r="AJ331" i="5"/>
  <c r="AL331" i="5"/>
  <c r="Z331" i="5"/>
  <c r="AN331" i="5"/>
  <c r="O332" i="5"/>
  <c r="K332" i="5"/>
  <c r="AG332" i="5"/>
  <c r="B321" i="4"/>
  <c r="AF332" i="5"/>
  <c r="C332" i="5"/>
  <c r="D321" i="4"/>
  <c r="E332" i="5"/>
  <c r="I332" i="5"/>
  <c r="I321" i="4"/>
  <c r="L332" i="5"/>
  <c r="J321" i="4"/>
  <c r="N332" i="5"/>
  <c r="L321" i="4"/>
  <c r="Q332" i="5"/>
  <c r="M321" i="4"/>
  <c r="R332" i="5"/>
  <c r="N321" i="4"/>
  <c r="T332" i="5"/>
  <c r="O321" i="4"/>
  <c r="U332" i="5"/>
  <c r="P321" i="4"/>
  <c r="W332" i="5"/>
  <c r="Q321" i="4"/>
  <c r="X332" i="5"/>
  <c r="AA332" i="5"/>
  <c r="AC332" i="5"/>
  <c r="AD332" i="5"/>
  <c r="X321" i="4"/>
  <c r="AI332" i="5"/>
  <c r="Z332" i="5"/>
  <c r="AN332" i="5"/>
  <c r="O333" i="5"/>
  <c r="K333" i="5"/>
  <c r="AG333" i="5"/>
  <c r="B344" i="4"/>
  <c r="V344" i="4"/>
  <c r="AF333" i="5"/>
  <c r="C333" i="5"/>
  <c r="D344" i="4"/>
  <c r="E333" i="5"/>
  <c r="I333" i="5"/>
  <c r="I344" i="4"/>
  <c r="L333" i="5"/>
  <c r="J344" i="4"/>
  <c r="N333" i="5"/>
  <c r="L344" i="4"/>
  <c r="Q333" i="5"/>
  <c r="M344" i="4"/>
  <c r="R333" i="5"/>
  <c r="N344" i="4"/>
  <c r="T333" i="5"/>
  <c r="O344" i="4"/>
  <c r="U333" i="5"/>
  <c r="P344" i="4"/>
  <c r="W333" i="5"/>
  <c r="Q344" i="4"/>
  <c r="X333" i="5"/>
  <c r="AA333" i="5"/>
  <c r="AC333" i="5"/>
  <c r="AD333" i="5"/>
  <c r="X344" i="4"/>
  <c r="AI333" i="5"/>
  <c r="Y344" i="4"/>
  <c r="AJ333" i="5"/>
  <c r="AL333" i="5"/>
  <c r="Z333" i="5"/>
  <c r="AN333" i="5"/>
  <c r="O334" i="5"/>
  <c r="K334" i="5"/>
  <c r="AG334" i="5"/>
  <c r="B345" i="4"/>
  <c r="V345" i="4"/>
  <c r="AF334" i="5"/>
  <c r="C334" i="5"/>
  <c r="D345" i="4"/>
  <c r="E334" i="5"/>
  <c r="I334" i="5"/>
  <c r="I345" i="4"/>
  <c r="L334" i="5"/>
  <c r="J345" i="4"/>
  <c r="N334" i="5"/>
  <c r="L345" i="4"/>
  <c r="Q334" i="5"/>
  <c r="M345" i="4"/>
  <c r="R334" i="5"/>
  <c r="N345" i="4"/>
  <c r="T334" i="5"/>
  <c r="O345" i="4"/>
  <c r="U334" i="5"/>
  <c r="P345" i="4"/>
  <c r="W334" i="5"/>
  <c r="Q345" i="4"/>
  <c r="X334" i="5"/>
  <c r="AA334" i="5"/>
  <c r="AC334" i="5"/>
  <c r="AD334" i="5"/>
  <c r="X345" i="4"/>
  <c r="AI334" i="5"/>
  <c r="Y345" i="4"/>
  <c r="AJ334" i="5"/>
  <c r="AL334" i="5"/>
  <c r="Z334" i="5"/>
  <c r="AN334" i="5"/>
  <c r="O335" i="5"/>
  <c r="K335" i="5"/>
  <c r="AG335" i="5"/>
  <c r="B346" i="4"/>
  <c r="V346" i="4"/>
  <c r="AF335" i="5"/>
  <c r="C335" i="5"/>
  <c r="D346" i="4"/>
  <c r="E335" i="5"/>
  <c r="I346" i="4"/>
  <c r="L335" i="5"/>
  <c r="J346" i="4"/>
  <c r="N335" i="5"/>
  <c r="L346" i="4"/>
  <c r="Q335" i="5"/>
  <c r="M346" i="4"/>
  <c r="R335" i="5"/>
  <c r="N346" i="4"/>
  <c r="T335" i="5"/>
  <c r="O346" i="4"/>
  <c r="U335" i="5"/>
  <c r="P346" i="4"/>
  <c r="W335" i="5"/>
  <c r="Q346" i="4"/>
  <c r="X335" i="5"/>
  <c r="AA335" i="5"/>
  <c r="AC335" i="5"/>
  <c r="AD335" i="5"/>
  <c r="X346" i="4"/>
  <c r="AI335" i="5"/>
  <c r="Y346" i="4"/>
  <c r="AJ335" i="5"/>
  <c r="AL335" i="5"/>
  <c r="F335" i="5"/>
  <c r="H335" i="5"/>
  <c r="I335" i="5"/>
  <c r="Z335" i="5"/>
  <c r="AN335" i="5"/>
  <c r="O336" i="5"/>
  <c r="K336" i="5"/>
  <c r="AG336" i="5"/>
  <c r="B347" i="4"/>
  <c r="V347" i="4"/>
  <c r="AF336" i="5"/>
  <c r="C336" i="5"/>
  <c r="D347" i="4"/>
  <c r="E336" i="5"/>
  <c r="I347" i="4"/>
  <c r="L336" i="5"/>
  <c r="J347" i="4"/>
  <c r="N336" i="5"/>
  <c r="L347" i="4"/>
  <c r="Q336" i="5"/>
  <c r="M347" i="4"/>
  <c r="R336" i="5"/>
  <c r="N347" i="4"/>
  <c r="T336" i="5"/>
  <c r="O347" i="4"/>
  <c r="U336" i="5"/>
  <c r="P347" i="4"/>
  <c r="W336" i="5"/>
  <c r="Q347" i="4"/>
  <c r="X336" i="5"/>
  <c r="AA336" i="5"/>
  <c r="AC336" i="5"/>
  <c r="AD336" i="5"/>
  <c r="X347" i="4"/>
  <c r="AI336" i="5"/>
  <c r="Y347" i="4"/>
  <c r="AJ336" i="5"/>
  <c r="AL336" i="5"/>
  <c r="F336" i="5"/>
  <c r="H336" i="5"/>
  <c r="I336" i="5"/>
  <c r="Z336" i="5"/>
  <c r="AN336" i="5"/>
  <c r="O337" i="5"/>
  <c r="K337" i="5"/>
  <c r="AG337" i="5"/>
  <c r="B328" i="4"/>
  <c r="V328" i="4"/>
  <c r="AF337" i="5"/>
  <c r="C337" i="5"/>
  <c r="D328" i="4"/>
  <c r="E337" i="5"/>
  <c r="I337" i="5"/>
  <c r="I328" i="4"/>
  <c r="L337" i="5"/>
  <c r="J328" i="4"/>
  <c r="N337" i="5"/>
  <c r="L328" i="4"/>
  <c r="Q337" i="5"/>
  <c r="M328" i="4"/>
  <c r="R337" i="5"/>
  <c r="N328" i="4"/>
  <c r="T337" i="5"/>
  <c r="O328" i="4"/>
  <c r="U337" i="5"/>
  <c r="P328" i="4"/>
  <c r="W337" i="5"/>
  <c r="Q328" i="4"/>
  <c r="X337" i="5"/>
  <c r="AA337" i="5"/>
  <c r="AC337" i="5"/>
  <c r="AD337" i="5"/>
  <c r="X328" i="4"/>
  <c r="AI337" i="5"/>
  <c r="Y328" i="4"/>
  <c r="AJ337" i="5"/>
  <c r="AL337" i="5"/>
  <c r="Z337" i="5"/>
  <c r="AN337" i="5"/>
  <c r="O338" i="5"/>
  <c r="K338" i="5"/>
  <c r="AG338" i="5"/>
  <c r="AF338" i="5"/>
  <c r="C338" i="5"/>
  <c r="B322" i="4"/>
  <c r="D322" i="4"/>
  <c r="E338" i="5"/>
  <c r="I338" i="5"/>
  <c r="I322" i="4"/>
  <c r="L338" i="5"/>
  <c r="J322" i="4"/>
  <c r="N338" i="5"/>
  <c r="L322" i="4"/>
  <c r="Q338" i="5"/>
  <c r="M322" i="4"/>
  <c r="R338" i="5"/>
  <c r="N322" i="4"/>
  <c r="T338" i="5"/>
  <c r="O322" i="4"/>
  <c r="U338" i="5"/>
  <c r="P322" i="4"/>
  <c r="W338" i="5"/>
  <c r="Q322" i="4"/>
  <c r="X338" i="5"/>
  <c r="AA338" i="5"/>
  <c r="AC338" i="5"/>
  <c r="AD338" i="5"/>
  <c r="X322" i="4"/>
  <c r="AI338" i="5"/>
  <c r="Y322" i="4"/>
  <c r="AJ338" i="5"/>
  <c r="AL338" i="5"/>
  <c r="Z338" i="5"/>
  <c r="AN338" i="5"/>
  <c r="O339" i="5"/>
  <c r="K339" i="5"/>
  <c r="AG339" i="5"/>
  <c r="B329" i="4"/>
  <c r="V329" i="4"/>
  <c r="AF339" i="5"/>
  <c r="C339" i="5"/>
  <c r="D329" i="4"/>
  <c r="E339" i="5"/>
  <c r="I339" i="5"/>
  <c r="I329" i="4"/>
  <c r="L339" i="5"/>
  <c r="J329" i="4"/>
  <c r="N339" i="5"/>
  <c r="L329" i="4"/>
  <c r="Q339" i="5"/>
  <c r="M329" i="4"/>
  <c r="R339" i="5"/>
  <c r="N329" i="4"/>
  <c r="T339" i="5"/>
  <c r="O329" i="4"/>
  <c r="U339" i="5"/>
  <c r="P329" i="4"/>
  <c r="W339" i="5"/>
  <c r="Q329" i="4"/>
  <c r="X339" i="5"/>
  <c r="AA339" i="5"/>
  <c r="AC339" i="5"/>
  <c r="AD339" i="5"/>
  <c r="X329" i="4"/>
  <c r="AI339" i="5"/>
  <c r="Y329" i="4"/>
  <c r="AJ339" i="5"/>
  <c r="AL339" i="5"/>
  <c r="Z339" i="5"/>
  <c r="AN339" i="5"/>
  <c r="O340" i="5"/>
  <c r="K340" i="5"/>
  <c r="AG340" i="5"/>
  <c r="B330" i="4"/>
  <c r="V330" i="4"/>
  <c r="AF340" i="5"/>
  <c r="C340" i="5"/>
  <c r="D330" i="4"/>
  <c r="E340" i="5"/>
  <c r="I340" i="5"/>
  <c r="I330" i="4"/>
  <c r="L340" i="5"/>
  <c r="J330" i="4"/>
  <c r="N340" i="5"/>
  <c r="L330" i="4"/>
  <c r="Q340" i="5"/>
  <c r="M330" i="4"/>
  <c r="R340" i="5"/>
  <c r="N330" i="4"/>
  <c r="T340" i="5"/>
  <c r="O330" i="4"/>
  <c r="U340" i="5"/>
  <c r="P330" i="4"/>
  <c r="W340" i="5"/>
  <c r="Q330" i="4"/>
  <c r="X340" i="5"/>
  <c r="AA340" i="5"/>
  <c r="AC340" i="5"/>
  <c r="AD340" i="5"/>
  <c r="X330" i="4"/>
  <c r="AI340" i="5"/>
  <c r="Y330" i="4"/>
  <c r="AJ340" i="5"/>
  <c r="AL340" i="5"/>
  <c r="Z340" i="5"/>
  <c r="AN340" i="5"/>
  <c r="O341" i="5"/>
  <c r="K341" i="5"/>
  <c r="AG341" i="5"/>
  <c r="B331" i="4"/>
  <c r="V331" i="4"/>
  <c r="AF341" i="5"/>
  <c r="C341" i="5"/>
  <c r="D331" i="4"/>
  <c r="E341" i="5"/>
  <c r="I331" i="4"/>
  <c r="L341" i="5"/>
  <c r="J331" i="4"/>
  <c r="N341" i="5"/>
  <c r="L331" i="4"/>
  <c r="Q341" i="5"/>
  <c r="M331" i="4"/>
  <c r="R341" i="5"/>
  <c r="N331" i="4"/>
  <c r="T341" i="5"/>
  <c r="O331" i="4"/>
  <c r="U341" i="5"/>
  <c r="P331" i="4"/>
  <c r="W341" i="5"/>
  <c r="Q331" i="4"/>
  <c r="X341" i="5"/>
  <c r="AA341" i="5"/>
  <c r="AC341" i="5"/>
  <c r="AD341" i="5"/>
  <c r="X331" i="4"/>
  <c r="AI341" i="5"/>
  <c r="Y331" i="4"/>
  <c r="AJ341" i="5"/>
  <c r="AL341" i="5"/>
  <c r="F341" i="5"/>
  <c r="H341" i="5"/>
  <c r="I341" i="5"/>
  <c r="Z341" i="5"/>
  <c r="AN341" i="5"/>
  <c r="O342" i="5"/>
  <c r="K342" i="5"/>
  <c r="AG342" i="5"/>
  <c r="B351" i="4"/>
  <c r="V351" i="4"/>
  <c r="AF342" i="5"/>
  <c r="C342" i="5"/>
  <c r="D351" i="4"/>
  <c r="E342" i="5"/>
  <c r="I342" i="5"/>
  <c r="I351" i="4"/>
  <c r="L342" i="5"/>
  <c r="J351" i="4"/>
  <c r="N342" i="5"/>
  <c r="L351" i="4"/>
  <c r="Q342" i="5"/>
  <c r="M351" i="4"/>
  <c r="R342" i="5"/>
  <c r="N351" i="4"/>
  <c r="T342" i="5"/>
  <c r="O351" i="4"/>
  <c r="U342" i="5"/>
  <c r="P351" i="4"/>
  <c r="W342" i="5"/>
  <c r="Q351" i="4"/>
  <c r="X342" i="5"/>
  <c r="AA342" i="5"/>
  <c r="AC342" i="5"/>
  <c r="AD342" i="5"/>
  <c r="X351" i="4"/>
  <c r="AI342" i="5"/>
  <c r="Y351" i="4"/>
  <c r="AJ342" i="5"/>
  <c r="AL342" i="5"/>
  <c r="Z342" i="5"/>
  <c r="AN342" i="5"/>
  <c r="O343" i="5"/>
  <c r="K343" i="5"/>
  <c r="AG343" i="5"/>
  <c r="B332" i="4"/>
  <c r="V332" i="4"/>
  <c r="AF343" i="5"/>
  <c r="C343" i="5"/>
  <c r="D332" i="4"/>
  <c r="E343" i="5"/>
  <c r="I332" i="4"/>
  <c r="L343" i="5"/>
  <c r="J332" i="4"/>
  <c r="N343" i="5"/>
  <c r="L332" i="4"/>
  <c r="Q343" i="5"/>
  <c r="M332" i="4"/>
  <c r="R343" i="5"/>
  <c r="N332" i="4"/>
  <c r="T343" i="5"/>
  <c r="O332" i="4"/>
  <c r="U343" i="5"/>
  <c r="P332" i="4"/>
  <c r="W343" i="5"/>
  <c r="Q332" i="4"/>
  <c r="X343" i="5"/>
  <c r="AA343" i="5"/>
  <c r="AC343" i="5"/>
  <c r="AD343" i="5"/>
  <c r="X332" i="4"/>
  <c r="AI343" i="5"/>
  <c r="Y332" i="4"/>
  <c r="AJ343" i="5"/>
  <c r="AL343" i="5"/>
  <c r="F343" i="5"/>
  <c r="H343" i="5"/>
  <c r="I343" i="5"/>
  <c r="Z343" i="5"/>
  <c r="AN343" i="5"/>
  <c r="O344" i="5"/>
  <c r="K344" i="5"/>
  <c r="AG344" i="5"/>
  <c r="B333" i="4"/>
  <c r="V333" i="4"/>
  <c r="AF344" i="5"/>
  <c r="C344" i="5"/>
  <c r="D333" i="4"/>
  <c r="E344" i="5"/>
  <c r="I344" i="5"/>
  <c r="I333" i="4"/>
  <c r="L344" i="5"/>
  <c r="J333" i="4"/>
  <c r="N344" i="5"/>
  <c r="L333" i="4"/>
  <c r="Q344" i="5"/>
  <c r="M333" i="4"/>
  <c r="R344" i="5"/>
  <c r="N333" i="4"/>
  <c r="T344" i="5"/>
  <c r="O333" i="4"/>
  <c r="U344" i="5"/>
  <c r="P333" i="4"/>
  <c r="W344" i="5"/>
  <c r="Q333" i="4"/>
  <c r="X344" i="5"/>
  <c r="AA344" i="5"/>
  <c r="AC344" i="5"/>
  <c r="AD344" i="5"/>
  <c r="X333" i="4"/>
  <c r="AI344" i="5"/>
  <c r="Y333" i="4"/>
  <c r="AJ344" i="5"/>
  <c r="AL344" i="5"/>
  <c r="Z344" i="5"/>
  <c r="AN344" i="5"/>
  <c r="O345" i="5"/>
  <c r="K345" i="5"/>
  <c r="AG345" i="5"/>
  <c r="B334" i="4"/>
  <c r="V334" i="4"/>
  <c r="AF345" i="5"/>
  <c r="C345" i="5"/>
  <c r="D334" i="4"/>
  <c r="E345" i="5"/>
  <c r="I334" i="4"/>
  <c r="L345" i="5"/>
  <c r="J334" i="4"/>
  <c r="N345" i="5"/>
  <c r="L334" i="4"/>
  <c r="Q345" i="5"/>
  <c r="M334" i="4"/>
  <c r="R345" i="5"/>
  <c r="N334" i="4"/>
  <c r="T345" i="5"/>
  <c r="O334" i="4"/>
  <c r="U345" i="5"/>
  <c r="P334" i="4"/>
  <c r="W345" i="5"/>
  <c r="Q334" i="4"/>
  <c r="X345" i="5"/>
  <c r="AA345" i="5"/>
  <c r="AC345" i="5"/>
  <c r="AD345" i="5"/>
  <c r="X334" i="4"/>
  <c r="AI345" i="5"/>
  <c r="Y334" i="4"/>
  <c r="AJ345" i="5"/>
  <c r="AL345" i="5"/>
  <c r="F345" i="5"/>
  <c r="H345" i="5"/>
  <c r="I345" i="5"/>
  <c r="Z345" i="5"/>
  <c r="AN345" i="5"/>
  <c r="O346" i="5"/>
  <c r="K346" i="5"/>
  <c r="AG346" i="5"/>
  <c r="B335" i="4"/>
  <c r="V335" i="4"/>
  <c r="AF346" i="5"/>
  <c r="C346" i="5"/>
  <c r="D335" i="4"/>
  <c r="E346" i="5"/>
  <c r="I346" i="5"/>
  <c r="I335" i="4"/>
  <c r="L346" i="5"/>
  <c r="J335" i="4"/>
  <c r="N346" i="5"/>
  <c r="L335" i="4"/>
  <c r="Q346" i="5"/>
  <c r="M335" i="4"/>
  <c r="R346" i="5"/>
  <c r="N335" i="4"/>
  <c r="T346" i="5"/>
  <c r="O335" i="4"/>
  <c r="U346" i="5"/>
  <c r="P335" i="4"/>
  <c r="W346" i="5"/>
  <c r="Q335" i="4"/>
  <c r="X346" i="5"/>
  <c r="AA346" i="5"/>
  <c r="AC346" i="5"/>
  <c r="AD346" i="5"/>
  <c r="X335" i="4"/>
  <c r="AI346" i="5"/>
  <c r="Y335" i="4"/>
  <c r="AJ346" i="5"/>
  <c r="AL346" i="5"/>
  <c r="Z346" i="5"/>
  <c r="AN346" i="5"/>
  <c r="O347" i="5"/>
  <c r="K347" i="5"/>
  <c r="AG347" i="5"/>
  <c r="B340" i="4"/>
  <c r="V340" i="4"/>
  <c r="AF347" i="5"/>
  <c r="C347" i="5"/>
  <c r="D340" i="4"/>
  <c r="E347" i="5"/>
  <c r="I347" i="5"/>
  <c r="I340" i="4"/>
  <c r="L347" i="5"/>
  <c r="J340" i="4"/>
  <c r="N347" i="5"/>
  <c r="L340" i="4"/>
  <c r="Q347" i="5"/>
  <c r="M340" i="4"/>
  <c r="R347" i="5"/>
  <c r="N340" i="4"/>
  <c r="T347" i="5"/>
  <c r="O340" i="4"/>
  <c r="U347" i="5"/>
  <c r="P340" i="4"/>
  <c r="W347" i="5"/>
  <c r="Q340" i="4"/>
  <c r="X347" i="5"/>
  <c r="AA347" i="5"/>
  <c r="AC347" i="5"/>
  <c r="AD347" i="5"/>
  <c r="X340" i="4"/>
  <c r="AI347" i="5"/>
  <c r="Y340" i="4"/>
  <c r="AJ347" i="5"/>
  <c r="AL347" i="5"/>
  <c r="Z347" i="5"/>
  <c r="AN347" i="5"/>
  <c r="O348" i="5"/>
  <c r="K348" i="5"/>
  <c r="AG348" i="5"/>
  <c r="B327" i="4"/>
  <c r="V327" i="4"/>
  <c r="AF348" i="5"/>
  <c r="C348" i="5"/>
  <c r="D327" i="4"/>
  <c r="E348" i="5"/>
  <c r="I348" i="5"/>
  <c r="I327" i="4"/>
  <c r="L348" i="5"/>
  <c r="J327" i="4"/>
  <c r="N348" i="5"/>
  <c r="L327" i="4"/>
  <c r="Q348" i="5"/>
  <c r="M327" i="4"/>
  <c r="R348" i="5"/>
  <c r="N327" i="4"/>
  <c r="T348" i="5"/>
  <c r="O327" i="4"/>
  <c r="U348" i="5"/>
  <c r="P327" i="4"/>
  <c r="W348" i="5"/>
  <c r="Q327" i="4"/>
  <c r="X348" i="5"/>
  <c r="AA348" i="5"/>
  <c r="AC348" i="5"/>
  <c r="AD348" i="5"/>
  <c r="X327" i="4"/>
  <c r="AI348" i="5"/>
  <c r="Y327" i="4"/>
  <c r="AJ348" i="5"/>
  <c r="AL348" i="5"/>
  <c r="Z348" i="5"/>
  <c r="AN348" i="5"/>
  <c r="O349" i="5"/>
  <c r="K349" i="5"/>
  <c r="AG349" i="5"/>
  <c r="B337" i="4"/>
  <c r="V337" i="4"/>
  <c r="AF349" i="5"/>
  <c r="C349" i="5"/>
  <c r="D337" i="4"/>
  <c r="E349" i="5"/>
  <c r="I337" i="4"/>
  <c r="L349" i="5"/>
  <c r="J337" i="4"/>
  <c r="N349" i="5"/>
  <c r="L337" i="4"/>
  <c r="Q349" i="5"/>
  <c r="M337" i="4"/>
  <c r="R349" i="5"/>
  <c r="N337" i="4"/>
  <c r="T349" i="5"/>
  <c r="O337" i="4"/>
  <c r="U349" i="5"/>
  <c r="P337" i="4"/>
  <c r="W349" i="5"/>
  <c r="Q337" i="4"/>
  <c r="X349" i="5"/>
  <c r="AA349" i="5"/>
  <c r="AC349" i="5"/>
  <c r="AD349" i="5"/>
  <c r="X337" i="4"/>
  <c r="AI349" i="5"/>
  <c r="Y337" i="4"/>
  <c r="AJ349" i="5"/>
  <c r="AL349" i="5"/>
  <c r="F349" i="5"/>
  <c r="H349" i="5"/>
  <c r="I349" i="5"/>
  <c r="Z349" i="5"/>
  <c r="AN349" i="5"/>
  <c r="O350" i="5"/>
  <c r="K350" i="5"/>
  <c r="AG350" i="5"/>
  <c r="B338" i="4"/>
  <c r="V338" i="4"/>
  <c r="AF350" i="5"/>
  <c r="C350" i="5"/>
  <c r="D338" i="4"/>
  <c r="E350" i="5"/>
  <c r="I338" i="4"/>
  <c r="L350" i="5"/>
  <c r="J338" i="4"/>
  <c r="N350" i="5"/>
  <c r="L338" i="4"/>
  <c r="Q350" i="5"/>
  <c r="M338" i="4"/>
  <c r="R350" i="5"/>
  <c r="N338" i="4"/>
  <c r="T350" i="5"/>
  <c r="O338" i="4"/>
  <c r="U350" i="5"/>
  <c r="P338" i="4"/>
  <c r="W350" i="5"/>
  <c r="Q338" i="4"/>
  <c r="X350" i="5"/>
  <c r="AA350" i="5"/>
  <c r="AC350" i="5"/>
  <c r="AD350" i="5"/>
  <c r="X338" i="4"/>
  <c r="AI350" i="5"/>
  <c r="Y338" i="4"/>
  <c r="AJ350" i="5"/>
  <c r="AL350" i="5"/>
  <c r="F350" i="5"/>
  <c r="H350" i="5"/>
  <c r="I350" i="5"/>
  <c r="Z350" i="5"/>
  <c r="AN350" i="5"/>
  <c r="O351" i="5"/>
  <c r="K351" i="5"/>
  <c r="AG351" i="5"/>
  <c r="B339" i="4"/>
  <c r="V339" i="4"/>
  <c r="AF351" i="5"/>
  <c r="C351" i="5"/>
  <c r="D339" i="4"/>
  <c r="E351" i="5"/>
  <c r="I339" i="4"/>
  <c r="L351" i="5"/>
  <c r="J339" i="4"/>
  <c r="N351" i="5"/>
  <c r="L339" i="4"/>
  <c r="Q351" i="5"/>
  <c r="M339" i="4"/>
  <c r="R351" i="5"/>
  <c r="N339" i="4"/>
  <c r="T351" i="5"/>
  <c r="O339" i="4"/>
  <c r="U351" i="5"/>
  <c r="P339" i="4"/>
  <c r="W351" i="5"/>
  <c r="Q339" i="4"/>
  <c r="X351" i="5"/>
  <c r="AA351" i="5"/>
  <c r="AC351" i="5"/>
  <c r="AD351" i="5"/>
  <c r="X339" i="4"/>
  <c r="AI351" i="5"/>
  <c r="Y339" i="4"/>
  <c r="AJ351" i="5"/>
  <c r="AL351" i="5"/>
  <c r="F351" i="5"/>
  <c r="H351" i="5"/>
  <c r="I351" i="5"/>
  <c r="Z351" i="5"/>
  <c r="AN351" i="5"/>
  <c r="O352" i="5"/>
  <c r="K352" i="5"/>
  <c r="AG352" i="5"/>
  <c r="B336" i="4"/>
  <c r="V336" i="4"/>
  <c r="AF352" i="5"/>
  <c r="C352" i="5"/>
  <c r="D336" i="4"/>
  <c r="E352" i="5"/>
  <c r="I352" i="5"/>
  <c r="I336" i="4"/>
  <c r="L352" i="5"/>
  <c r="J336" i="4"/>
  <c r="N352" i="5"/>
  <c r="L336" i="4"/>
  <c r="Q352" i="5"/>
  <c r="M336" i="4"/>
  <c r="R352" i="5"/>
  <c r="N336" i="4"/>
  <c r="T352" i="5"/>
  <c r="O336" i="4"/>
  <c r="U352" i="5"/>
  <c r="P336" i="4"/>
  <c r="W352" i="5"/>
  <c r="Q336" i="4"/>
  <c r="X352" i="5"/>
  <c r="AA352" i="5"/>
  <c r="AC352" i="5"/>
  <c r="AD352" i="5"/>
  <c r="X336" i="4"/>
  <c r="AI352" i="5"/>
  <c r="Y336" i="4"/>
  <c r="AJ352" i="5"/>
  <c r="AL352" i="5"/>
  <c r="Z352" i="5"/>
  <c r="AN352" i="5"/>
  <c r="B355" i="4"/>
  <c r="K355" i="4"/>
  <c r="O353" i="5"/>
  <c r="H355" i="4"/>
  <c r="K353" i="5"/>
  <c r="W355" i="4"/>
  <c r="AG353" i="5"/>
  <c r="V355" i="4"/>
  <c r="AF353" i="5"/>
  <c r="C355" i="4"/>
  <c r="C353" i="5"/>
  <c r="D355" i="4"/>
  <c r="E353" i="5"/>
  <c r="I355" i="4"/>
  <c r="L353" i="5"/>
  <c r="J355" i="4"/>
  <c r="N353" i="5"/>
  <c r="L355" i="4"/>
  <c r="Q353" i="5"/>
  <c r="M355" i="4"/>
  <c r="R353" i="5"/>
  <c r="N355" i="4"/>
  <c r="T353" i="5"/>
  <c r="O355" i="4"/>
  <c r="U353" i="5"/>
  <c r="P355" i="4"/>
  <c r="W353" i="5"/>
  <c r="Q355" i="4"/>
  <c r="X353" i="5"/>
  <c r="S355" i="4"/>
  <c r="AA353" i="5"/>
  <c r="T355" i="4"/>
  <c r="AC353" i="5"/>
  <c r="U355" i="4"/>
  <c r="AD353" i="5"/>
  <c r="X355" i="4"/>
  <c r="AI353" i="5"/>
  <c r="Y355" i="4"/>
  <c r="AJ353" i="5"/>
  <c r="Z355" i="4"/>
  <c r="AL353" i="5"/>
  <c r="F353" i="5"/>
  <c r="H353" i="5"/>
  <c r="I353" i="5"/>
  <c r="Z353" i="5"/>
  <c r="AN353" i="5"/>
  <c r="W361" i="4"/>
  <c r="AG354" i="5"/>
  <c r="V361" i="4"/>
  <c r="AF354" i="5"/>
  <c r="C361" i="4"/>
  <c r="C354" i="5"/>
  <c r="N361" i="4"/>
  <c r="T354" i="5"/>
  <c r="O361" i="4"/>
  <c r="U354" i="5"/>
  <c r="P361" i="4"/>
  <c r="W354" i="5"/>
  <c r="Q361" i="4"/>
  <c r="X354" i="5"/>
  <c r="S361" i="4"/>
  <c r="AA354" i="5"/>
  <c r="T361" i="4"/>
  <c r="AC354" i="5"/>
  <c r="U361" i="4"/>
  <c r="AD354" i="5"/>
  <c r="X361" i="4"/>
  <c r="AI354" i="5"/>
  <c r="Y361" i="4"/>
  <c r="AJ354" i="5"/>
  <c r="Z361" i="4"/>
  <c r="AL354" i="5"/>
  <c r="F354" i="5"/>
  <c r="H354" i="5"/>
  <c r="I354" i="5"/>
  <c r="Z354" i="5"/>
  <c r="AN354" i="5"/>
  <c r="W362" i="4"/>
  <c r="AG355" i="5"/>
  <c r="V362" i="4"/>
  <c r="AF355" i="5"/>
  <c r="C362" i="4"/>
  <c r="C355" i="5"/>
  <c r="N362" i="4"/>
  <c r="T355" i="5"/>
  <c r="O362" i="4"/>
  <c r="U355" i="5"/>
  <c r="P362" i="4"/>
  <c r="W355" i="5"/>
  <c r="Q362" i="4"/>
  <c r="X355" i="5"/>
  <c r="S362" i="4"/>
  <c r="AA355" i="5"/>
  <c r="T362" i="4"/>
  <c r="AC355" i="5"/>
  <c r="U362" i="4"/>
  <c r="AD355" i="5"/>
  <c r="X362" i="4"/>
  <c r="AI355" i="5"/>
  <c r="Y362" i="4"/>
  <c r="AJ355" i="5"/>
  <c r="Z362" i="4"/>
  <c r="AL355" i="5"/>
  <c r="F355" i="5"/>
  <c r="H355" i="5"/>
  <c r="I355" i="5"/>
  <c r="Z355" i="5"/>
  <c r="AN355" i="5"/>
  <c r="B360" i="4"/>
  <c r="S360" i="4"/>
  <c r="AA356" i="5"/>
  <c r="P360" i="4"/>
  <c r="W356" i="5"/>
  <c r="K360" i="4"/>
  <c r="O356" i="5"/>
  <c r="H360" i="4"/>
  <c r="K356" i="5"/>
  <c r="W360" i="4"/>
  <c r="AG356" i="5"/>
  <c r="V360" i="4"/>
  <c r="AF356" i="5"/>
  <c r="C360" i="4"/>
  <c r="C356" i="5"/>
  <c r="D360" i="4"/>
  <c r="E356" i="5"/>
  <c r="I360" i="4"/>
  <c r="L356" i="5"/>
  <c r="J360" i="4"/>
  <c r="N356" i="5"/>
  <c r="L360" i="4"/>
  <c r="Q356" i="5"/>
  <c r="M360" i="4"/>
  <c r="R356" i="5"/>
  <c r="N360" i="4"/>
  <c r="T356" i="5"/>
  <c r="O360" i="4"/>
  <c r="U356" i="5"/>
  <c r="Q360" i="4"/>
  <c r="X356" i="5"/>
  <c r="R360" i="4"/>
  <c r="Z356" i="5"/>
  <c r="T360" i="4"/>
  <c r="AC356" i="5"/>
  <c r="U360" i="4"/>
  <c r="AD356" i="5"/>
  <c r="X360" i="4"/>
  <c r="AI356" i="5"/>
  <c r="Y360" i="4"/>
  <c r="AJ356" i="5"/>
  <c r="Z360" i="4"/>
  <c r="AL356" i="5"/>
  <c r="F356" i="5"/>
  <c r="H356" i="5"/>
  <c r="I356" i="5"/>
  <c r="AN356" i="5"/>
  <c r="K366" i="4"/>
  <c r="O357" i="5"/>
  <c r="H366" i="4"/>
  <c r="K357" i="5"/>
  <c r="W366" i="4"/>
  <c r="AG357" i="5"/>
  <c r="V366" i="4"/>
  <c r="AF357" i="5"/>
  <c r="C366" i="4"/>
  <c r="C357" i="5"/>
  <c r="D366" i="4"/>
  <c r="E357" i="5"/>
  <c r="I366" i="4"/>
  <c r="L357" i="5"/>
  <c r="J366" i="4"/>
  <c r="N357" i="5"/>
  <c r="L366" i="4"/>
  <c r="Q357" i="5"/>
  <c r="M366" i="4"/>
  <c r="R357" i="5"/>
  <c r="N366" i="4"/>
  <c r="T357" i="5"/>
  <c r="O366" i="4"/>
  <c r="U357" i="5"/>
  <c r="P366" i="4"/>
  <c r="W357" i="5"/>
  <c r="Q366" i="4"/>
  <c r="X357" i="5"/>
  <c r="T366" i="4"/>
  <c r="AC357" i="5"/>
  <c r="U366" i="4"/>
  <c r="AD357" i="5"/>
  <c r="X366" i="4"/>
  <c r="AI357" i="5"/>
  <c r="Y366" i="4"/>
  <c r="AJ357" i="5"/>
  <c r="Z366" i="4"/>
  <c r="AL357" i="5"/>
  <c r="Z357" i="5"/>
  <c r="F357" i="5"/>
  <c r="H357" i="5"/>
  <c r="I357" i="5"/>
  <c r="AN357" i="5"/>
  <c r="B367" i="4"/>
  <c r="O358" i="5"/>
  <c r="H367" i="4"/>
  <c r="K358" i="5"/>
  <c r="W367" i="4"/>
  <c r="AG358" i="5"/>
  <c r="V367" i="4"/>
  <c r="AF358" i="5"/>
  <c r="C367" i="4"/>
  <c r="C358" i="5"/>
  <c r="D367" i="4"/>
  <c r="E358" i="5"/>
  <c r="I367" i="4"/>
  <c r="L358" i="5"/>
  <c r="J367" i="4"/>
  <c r="N358" i="5"/>
  <c r="L367" i="4"/>
  <c r="Q358" i="5"/>
  <c r="M367" i="4"/>
  <c r="R358" i="5"/>
  <c r="N367" i="4"/>
  <c r="T358" i="5"/>
  <c r="O367" i="4"/>
  <c r="U358" i="5"/>
  <c r="P367" i="4"/>
  <c r="W358" i="5"/>
  <c r="Q367" i="4"/>
  <c r="X358" i="5"/>
  <c r="S367" i="4"/>
  <c r="T367" i="4"/>
  <c r="AC358" i="5"/>
  <c r="U367" i="4"/>
  <c r="AD358" i="5"/>
  <c r="X367" i="4"/>
  <c r="AI358" i="5"/>
  <c r="Y367" i="4"/>
  <c r="AJ358" i="5"/>
  <c r="Z367" i="4"/>
  <c r="AL358" i="5"/>
  <c r="Z358" i="5"/>
  <c r="F358" i="5"/>
  <c r="H358" i="5"/>
  <c r="I358" i="5"/>
  <c r="AN358" i="5"/>
  <c r="B373" i="4"/>
  <c r="K373" i="4"/>
  <c r="O359" i="5"/>
  <c r="H373" i="4"/>
  <c r="K359" i="5"/>
  <c r="W373" i="4"/>
  <c r="AG359" i="5"/>
  <c r="V373" i="4"/>
  <c r="AF359" i="5"/>
  <c r="C373" i="4"/>
  <c r="C359" i="5"/>
  <c r="D373" i="4"/>
  <c r="E359" i="5"/>
  <c r="I373" i="4"/>
  <c r="L359" i="5"/>
  <c r="J373" i="4"/>
  <c r="N359" i="5"/>
  <c r="L373" i="4"/>
  <c r="Q359" i="5"/>
  <c r="M373" i="4"/>
  <c r="R359" i="5"/>
  <c r="N373" i="4"/>
  <c r="T359" i="5"/>
  <c r="O373" i="4"/>
  <c r="U359" i="5"/>
  <c r="P373" i="4"/>
  <c r="W359" i="5"/>
  <c r="Q373" i="4"/>
  <c r="X359" i="5"/>
  <c r="S373" i="4"/>
  <c r="AA359" i="5"/>
  <c r="T373" i="4"/>
  <c r="AC359" i="5"/>
  <c r="U373" i="4"/>
  <c r="AD359" i="5"/>
  <c r="X373" i="4"/>
  <c r="AI359" i="5"/>
  <c r="Y373" i="4"/>
  <c r="AJ359" i="5"/>
  <c r="Z373" i="4"/>
  <c r="AL359" i="5"/>
  <c r="Z359" i="5"/>
  <c r="F359" i="5"/>
  <c r="H359" i="5"/>
  <c r="I359" i="5"/>
  <c r="AN359" i="5"/>
  <c r="B368" i="4"/>
  <c r="K368" i="4"/>
  <c r="O360" i="5"/>
  <c r="H368" i="4"/>
  <c r="K360" i="5"/>
  <c r="W368" i="4"/>
  <c r="AG360" i="5"/>
  <c r="V368" i="4"/>
  <c r="AF360" i="5"/>
  <c r="C368" i="4"/>
  <c r="C360" i="5"/>
  <c r="D368" i="4"/>
  <c r="E360" i="5"/>
  <c r="I368" i="4"/>
  <c r="L360" i="5"/>
  <c r="J368" i="4"/>
  <c r="N360" i="5"/>
  <c r="L368" i="4"/>
  <c r="Q360" i="5"/>
  <c r="M368" i="4"/>
  <c r="R360" i="5"/>
  <c r="N368" i="4"/>
  <c r="T360" i="5"/>
  <c r="O368" i="4"/>
  <c r="U360" i="5"/>
  <c r="P368" i="4"/>
  <c r="W360" i="5"/>
  <c r="Q368" i="4"/>
  <c r="X360" i="5"/>
  <c r="S368" i="4"/>
  <c r="AA360" i="5"/>
  <c r="T368" i="4"/>
  <c r="AC360" i="5"/>
  <c r="U368" i="4"/>
  <c r="AD360" i="5"/>
  <c r="X368" i="4"/>
  <c r="AI360" i="5"/>
  <c r="Y368" i="4"/>
  <c r="AJ360" i="5"/>
  <c r="Z360" i="5"/>
  <c r="F360" i="5"/>
  <c r="H360" i="5"/>
  <c r="I360" i="5"/>
  <c r="AN360" i="5"/>
  <c r="S374" i="4"/>
  <c r="P374" i="4"/>
  <c r="W361" i="5"/>
  <c r="K374" i="4"/>
  <c r="O361" i="5"/>
  <c r="H374" i="4"/>
  <c r="K361" i="5"/>
  <c r="W374" i="4"/>
  <c r="AG361" i="5"/>
  <c r="V374" i="4"/>
  <c r="AF361" i="5"/>
  <c r="C374" i="4"/>
  <c r="C361" i="5"/>
  <c r="D374" i="4"/>
  <c r="E361" i="5"/>
  <c r="I374" i="4"/>
  <c r="L361" i="5"/>
  <c r="J374" i="4"/>
  <c r="N361" i="5"/>
  <c r="L374" i="4"/>
  <c r="Q361" i="5"/>
  <c r="M374" i="4"/>
  <c r="R361" i="5"/>
  <c r="N374" i="4"/>
  <c r="T361" i="5"/>
  <c r="O374" i="4"/>
  <c r="U361" i="5"/>
  <c r="Q374" i="4"/>
  <c r="X361" i="5"/>
  <c r="R374" i="4"/>
  <c r="Z361" i="5"/>
  <c r="T374" i="4"/>
  <c r="AC361" i="5"/>
  <c r="U374" i="4"/>
  <c r="AD361" i="5"/>
  <c r="X374" i="4"/>
  <c r="AI361" i="5"/>
  <c r="F361" i="5"/>
  <c r="H361" i="5"/>
  <c r="I361" i="5"/>
  <c r="AN361" i="5"/>
  <c r="B356" i="4"/>
  <c r="K356" i="4"/>
  <c r="O362" i="5"/>
  <c r="H356" i="4"/>
  <c r="K362" i="5"/>
  <c r="W356" i="4"/>
  <c r="AG362" i="5"/>
  <c r="V356" i="4"/>
  <c r="AF362" i="5"/>
  <c r="C356" i="4"/>
  <c r="C362" i="5"/>
  <c r="D356" i="4"/>
  <c r="E362" i="5"/>
  <c r="I356" i="4"/>
  <c r="L362" i="5"/>
  <c r="J356" i="4"/>
  <c r="N362" i="5"/>
  <c r="L356" i="4"/>
  <c r="Q362" i="5"/>
  <c r="M356" i="4"/>
  <c r="R362" i="5"/>
  <c r="N356" i="4"/>
  <c r="T362" i="5"/>
  <c r="O356" i="4"/>
  <c r="U362" i="5"/>
  <c r="P356" i="4"/>
  <c r="W362" i="5"/>
  <c r="Q356" i="4"/>
  <c r="X362" i="5"/>
  <c r="S356" i="4"/>
  <c r="AA362" i="5"/>
  <c r="T356" i="4"/>
  <c r="AC362" i="5"/>
  <c r="U356" i="4"/>
  <c r="AD362" i="5"/>
  <c r="X356" i="4"/>
  <c r="AI362" i="5"/>
  <c r="Y356" i="4"/>
  <c r="AJ362" i="5"/>
  <c r="Z356" i="4"/>
  <c r="AL362" i="5"/>
  <c r="F362" i="5"/>
  <c r="H362" i="5"/>
  <c r="I362" i="5"/>
  <c r="Z362" i="5"/>
  <c r="AN362" i="5"/>
  <c r="B353" i="4"/>
  <c r="K353" i="4"/>
  <c r="O363" i="5"/>
  <c r="H353" i="4"/>
  <c r="K363" i="5"/>
  <c r="W353" i="4"/>
  <c r="AG363" i="5"/>
  <c r="V353" i="4"/>
  <c r="AF363" i="5"/>
  <c r="C353" i="4"/>
  <c r="C363" i="5"/>
  <c r="D353" i="4"/>
  <c r="E363" i="5"/>
  <c r="I353" i="4"/>
  <c r="L363" i="5"/>
  <c r="J353" i="4"/>
  <c r="N363" i="5"/>
  <c r="L353" i="4"/>
  <c r="Q363" i="5"/>
  <c r="M353" i="4"/>
  <c r="R363" i="5"/>
  <c r="N353" i="4"/>
  <c r="T363" i="5"/>
  <c r="O353" i="4"/>
  <c r="U363" i="5"/>
  <c r="P353" i="4"/>
  <c r="W363" i="5"/>
  <c r="Q353" i="4"/>
  <c r="X363" i="5"/>
  <c r="S353" i="4"/>
  <c r="AA363" i="5"/>
  <c r="T353" i="4"/>
  <c r="AC363" i="5"/>
  <c r="U353" i="4"/>
  <c r="AD363" i="5"/>
  <c r="X353" i="4"/>
  <c r="AI363" i="5"/>
  <c r="Y353" i="4"/>
  <c r="AJ363" i="5"/>
  <c r="Z353" i="4"/>
  <c r="AL363" i="5"/>
  <c r="F363" i="5"/>
  <c r="H363" i="5"/>
  <c r="I363" i="5"/>
  <c r="Z363" i="5"/>
  <c r="AN363" i="5"/>
  <c r="B363" i="4"/>
  <c r="K363" i="4"/>
  <c r="O364" i="5"/>
  <c r="H363" i="4"/>
  <c r="K364" i="5"/>
  <c r="W363" i="4"/>
  <c r="AG364" i="5"/>
  <c r="V363" i="4"/>
  <c r="AF364" i="5"/>
  <c r="C363" i="4"/>
  <c r="C364" i="5"/>
  <c r="D363" i="4"/>
  <c r="E364" i="5"/>
  <c r="I363" i="4"/>
  <c r="L364" i="5"/>
  <c r="J363" i="4"/>
  <c r="N364" i="5"/>
  <c r="L363" i="4"/>
  <c r="Q364" i="5"/>
  <c r="M363" i="4"/>
  <c r="R364" i="5"/>
  <c r="N363" i="4"/>
  <c r="T364" i="5"/>
  <c r="O363" i="4"/>
  <c r="U364" i="5"/>
  <c r="P363" i="4"/>
  <c r="W364" i="5"/>
  <c r="Q363" i="4"/>
  <c r="X364" i="5"/>
  <c r="S363" i="4"/>
  <c r="AA364" i="5"/>
  <c r="T363" i="4"/>
  <c r="AC364" i="5"/>
  <c r="U363" i="4"/>
  <c r="AD364" i="5"/>
  <c r="X363" i="4"/>
  <c r="AI364" i="5"/>
  <c r="Y363" i="4"/>
  <c r="AJ364" i="5"/>
  <c r="Z363" i="4"/>
  <c r="AL364" i="5"/>
  <c r="F364" i="5"/>
  <c r="H364" i="5"/>
  <c r="I364" i="5"/>
  <c r="Z364" i="5"/>
  <c r="AN364" i="5"/>
  <c r="B364" i="4"/>
  <c r="K364" i="4"/>
  <c r="O365" i="5"/>
  <c r="H364" i="4"/>
  <c r="K365" i="5"/>
  <c r="W364" i="4"/>
  <c r="AG365" i="5"/>
  <c r="V364" i="4"/>
  <c r="AF365" i="5"/>
  <c r="C364" i="4"/>
  <c r="C365" i="5"/>
  <c r="D364" i="4"/>
  <c r="E365" i="5"/>
  <c r="I364" i="4"/>
  <c r="L365" i="5"/>
  <c r="J364" i="4"/>
  <c r="N365" i="5"/>
  <c r="L364" i="4"/>
  <c r="Q365" i="5"/>
  <c r="M364" i="4"/>
  <c r="R365" i="5"/>
  <c r="N364" i="4"/>
  <c r="T365" i="5"/>
  <c r="O364" i="4"/>
  <c r="U365" i="5"/>
  <c r="P364" i="4"/>
  <c r="W365" i="5"/>
  <c r="Q364" i="4"/>
  <c r="X365" i="5"/>
  <c r="S364" i="4"/>
  <c r="AA365" i="5"/>
  <c r="T364" i="4"/>
  <c r="AC365" i="5"/>
  <c r="U364" i="4"/>
  <c r="AD365" i="5"/>
  <c r="X364" i="4"/>
  <c r="AI365" i="5"/>
  <c r="Y364" i="4"/>
  <c r="AJ365" i="5"/>
  <c r="Z364" i="4"/>
  <c r="AL365" i="5"/>
  <c r="F365" i="5"/>
  <c r="H365" i="5"/>
  <c r="I365" i="5"/>
  <c r="Z365" i="5"/>
  <c r="AN365" i="5"/>
  <c r="B369" i="4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P369" i="4"/>
  <c r="W366" i="5"/>
  <c r="Q369" i="4"/>
  <c r="X366" i="5"/>
  <c r="S369" i="4"/>
  <c r="AA366" i="5"/>
  <c r="T369" i="4"/>
  <c r="AC366" i="5"/>
  <c r="U369" i="4"/>
  <c r="AD366" i="5"/>
  <c r="X369" i="4"/>
  <c r="AI366" i="5"/>
  <c r="Y369" i="4"/>
  <c r="AJ366" i="5"/>
  <c r="Z369" i="4"/>
  <c r="AL366" i="5"/>
  <c r="F366" i="5"/>
  <c r="H366" i="5"/>
  <c r="I366" i="5"/>
  <c r="Z366" i="5"/>
  <c r="AN366" i="5"/>
  <c r="B354" i="4"/>
  <c r="K354" i="4"/>
  <c r="O367" i="5"/>
  <c r="H354" i="4"/>
  <c r="K367" i="5"/>
  <c r="W354" i="4"/>
  <c r="AG367" i="5"/>
  <c r="V354" i="4"/>
  <c r="AF367" i="5"/>
  <c r="C354" i="4"/>
  <c r="C367" i="5"/>
  <c r="D354" i="4"/>
  <c r="E367" i="5"/>
  <c r="I354" i="4"/>
  <c r="L367" i="5"/>
  <c r="J354" i="4"/>
  <c r="N367" i="5"/>
  <c r="L354" i="4"/>
  <c r="Q367" i="5"/>
  <c r="M354" i="4"/>
  <c r="R367" i="5"/>
  <c r="N354" i="4"/>
  <c r="T367" i="5"/>
  <c r="O354" i="4"/>
  <c r="U367" i="5"/>
  <c r="P354" i="4"/>
  <c r="W367" i="5"/>
  <c r="Q354" i="4"/>
  <c r="X367" i="5"/>
  <c r="S354" i="4"/>
  <c r="AA367" i="5"/>
  <c r="T354" i="4"/>
  <c r="AC367" i="5"/>
  <c r="U354" i="4"/>
  <c r="AD367" i="5"/>
  <c r="X354" i="4"/>
  <c r="AI367" i="5"/>
  <c r="Y354" i="4"/>
  <c r="AJ367" i="5"/>
  <c r="Z354" i="4"/>
  <c r="AL367" i="5"/>
  <c r="F367" i="5"/>
  <c r="H367" i="5"/>
  <c r="I367" i="5"/>
  <c r="Z367" i="5"/>
  <c r="AN367" i="5"/>
  <c r="B370" i="4"/>
  <c r="K370" i="4"/>
  <c r="O368" i="5"/>
  <c r="H370" i="4"/>
  <c r="K368" i="5"/>
  <c r="W370" i="4"/>
  <c r="AG368" i="5"/>
  <c r="V370" i="4"/>
  <c r="AF368" i="5"/>
  <c r="C370" i="4"/>
  <c r="C368" i="5"/>
  <c r="D370" i="4"/>
  <c r="E368" i="5"/>
  <c r="I370" i="4"/>
  <c r="L368" i="5"/>
  <c r="J370" i="4"/>
  <c r="N368" i="5"/>
  <c r="L370" i="4"/>
  <c r="Q368" i="5"/>
  <c r="M370" i="4"/>
  <c r="R368" i="5"/>
  <c r="N370" i="4"/>
  <c r="T368" i="5"/>
  <c r="O370" i="4"/>
  <c r="U368" i="5"/>
  <c r="P370" i="4"/>
  <c r="W368" i="5"/>
  <c r="Q370" i="4"/>
  <c r="X368" i="5"/>
  <c r="S370" i="4"/>
  <c r="AA368" i="5"/>
  <c r="T370" i="4"/>
  <c r="AC368" i="5"/>
  <c r="U370" i="4"/>
  <c r="AD368" i="5"/>
  <c r="X370" i="4"/>
  <c r="AI368" i="5"/>
  <c r="Y370" i="4"/>
  <c r="AJ368" i="5"/>
  <c r="Z370" i="4"/>
  <c r="AL368" i="5"/>
  <c r="F368" i="5"/>
  <c r="H368" i="5"/>
  <c r="I368" i="5"/>
  <c r="Z368" i="5"/>
  <c r="AN368" i="5"/>
  <c r="B371" i="4"/>
  <c r="K371" i="4"/>
  <c r="O369" i="5"/>
  <c r="H371" i="4"/>
  <c r="K369" i="5"/>
  <c r="W371" i="4"/>
  <c r="AG369" i="5"/>
  <c r="V371" i="4"/>
  <c r="AF369" i="5"/>
  <c r="C371" i="4"/>
  <c r="C369" i="5"/>
  <c r="D371" i="4"/>
  <c r="E369" i="5"/>
  <c r="I371" i="4"/>
  <c r="L369" i="5"/>
  <c r="J371" i="4"/>
  <c r="N369" i="5"/>
  <c r="L371" i="4"/>
  <c r="Q369" i="5"/>
  <c r="M371" i="4"/>
  <c r="R369" i="5"/>
  <c r="N371" i="4"/>
  <c r="T369" i="5"/>
  <c r="O371" i="4"/>
  <c r="U369" i="5"/>
  <c r="P371" i="4"/>
  <c r="W369" i="5"/>
  <c r="Q371" i="4"/>
  <c r="X369" i="5"/>
  <c r="S371" i="4"/>
  <c r="AA369" i="5"/>
  <c r="T371" i="4"/>
  <c r="AC369" i="5"/>
  <c r="U371" i="4"/>
  <c r="AD369" i="5"/>
  <c r="X371" i="4"/>
  <c r="AI369" i="5"/>
  <c r="Y371" i="4"/>
  <c r="AJ369" i="5"/>
  <c r="Z371" i="4"/>
  <c r="AL369" i="5"/>
  <c r="F369" i="5"/>
  <c r="H369" i="5"/>
  <c r="I369" i="5"/>
  <c r="Z369" i="5"/>
  <c r="AN369" i="5"/>
  <c r="B372" i="4"/>
  <c r="K372" i="4"/>
  <c r="O370" i="5"/>
  <c r="H372" i="4"/>
  <c r="K370" i="5"/>
  <c r="W372" i="4"/>
  <c r="AG370" i="5"/>
  <c r="V372" i="4"/>
  <c r="AF370" i="5"/>
  <c r="C372" i="4"/>
  <c r="C370" i="5"/>
  <c r="D372" i="4"/>
  <c r="E370" i="5"/>
  <c r="I372" i="4"/>
  <c r="L370" i="5"/>
  <c r="J372" i="4"/>
  <c r="N370" i="5"/>
  <c r="L372" i="4"/>
  <c r="Q370" i="5"/>
  <c r="M372" i="4"/>
  <c r="R370" i="5"/>
  <c r="N372" i="4"/>
  <c r="T370" i="5"/>
  <c r="O372" i="4"/>
  <c r="U370" i="5"/>
  <c r="P372" i="4"/>
  <c r="W370" i="5"/>
  <c r="Q372" i="4"/>
  <c r="X370" i="5"/>
  <c r="S372" i="4"/>
  <c r="AA370" i="5"/>
  <c r="T372" i="4"/>
  <c r="AC370" i="5"/>
  <c r="U372" i="4"/>
  <c r="AD370" i="5"/>
  <c r="X372" i="4"/>
  <c r="AI370" i="5"/>
  <c r="Y372" i="4"/>
  <c r="AJ370" i="5"/>
  <c r="Z372" i="4"/>
  <c r="AL370" i="5"/>
  <c r="F370" i="5"/>
  <c r="H370" i="5"/>
  <c r="I370" i="5"/>
  <c r="Z370" i="5"/>
  <c r="AN370" i="5"/>
  <c r="B365" i="4"/>
  <c r="S365" i="4"/>
  <c r="AA371" i="5"/>
  <c r="P365" i="4"/>
  <c r="W371" i="5"/>
  <c r="K365" i="4"/>
  <c r="O371" i="5"/>
  <c r="H365" i="4"/>
  <c r="K371" i="5"/>
  <c r="W365" i="4"/>
  <c r="AG371" i="5"/>
  <c r="V365" i="4"/>
  <c r="AF371" i="5"/>
  <c r="C365" i="4"/>
  <c r="C371" i="5"/>
  <c r="D365" i="4"/>
  <c r="E371" i="5"/>
  <c r="I365" i="4"/>
  <c r="L371" i="5"/>
  <c r="J365" i="4"/>
  <c r="N371" i="5"/>
  <c r="L365" i="4"/>
  <c r="Q371" i="5"/>
  <c r="M365" i="4"/>
  <c r="R371" i="5"/>
  <c r="N365" i="4"/>
  <c r="T371" i="5"/>
  <c r="O365" i="4"/>
  <c r="U371" i="5"/>
  <c r="Q365" i="4"/>
  <c r="X371" i="5"/>
  <c r="R365" i="4"/>
  <c r="Z371" i="5"/>
  <c r="T365" i="4"/>
  <c r="AC371" i="5"/>
  <c r="U365" i="4"/>
  <c r="AD371" i="5"/>
  <c r="X365" i="4"/>
  <c r="AI371" i="5"/>
  <c r="F371" i="5"/>
  <c r="H371" i="5"/>
  <c r="I371" i="5"/>
  <c r="AN371" i="5"/>
  <c r="B357" i="4"/>
  <c r="K357" i="4"/>
  <c r="O372" i="5"/>
  <c r="H357" i="4"/>
  <c r="K372" i="5"/>
  <c r="W357" i="4"/>
  <c r="AG372" i="5"/>
  <c r="V357" i="4"/>
  <c r="AF372" i="5"/>
  <c r="C357" i="4"/>
  <c r="C372" i="5"/>
  <c r="D357" i="4"/>
  <c r="E372" i="5"/>
  <c r="I357" i="4"/>
  <c r="L372" i="5"/>
  <c r="J357" i="4"/>
  <c r="N372" i="5"/>
  <c r="L357" i="4"/>
  <c r="Q372" i="5"/>
  <c r="M357" i="4"/>
  <c r="R372" i="5"/>
  <c r="N357" i="4"/>
  <c r="T372" i="5"/>
  <c r="O357" i="4"/>
  <c r="U372" i="5"/>
  <c r="P357" i="4"/>
  <c r="W372" i="5"/>
  <c r="Q357" i="4"/>
  <c r="X372" i="5"/>
  <c r="S357" i="4"/>
  <c r="AA372" i="5"/>
  <c r="T357" i="4"/>
  <c r="AC372" i="5"/>
  <c r="U357" i="4"/>
  <c r="AD372" i="5"/>
  <c r="X357" i="4"/>
  <c r="AI372" i="5"/>
  <c r="Y357" i="4"/>
  <c r="AJ372" i="5"/>
  <c r="Z357" i="4"/>
  <c r="AL372" i="5"/>
  <c r="F372" i="5"/>
  <c r="H372" i="5"/>
  <c r="I372" i="5"/>
  <c r="Z372" i="5"/>
  <c r="AN372" i="5"/>
  <c r="B358" i="4"/>
  <c r="K358" i="4"/>
  <c r="O373" i="5"/>
  <c r="H358" i="4"/>
  <c r="K373" i="5"/>
  <c r="W358" i="4"/>
  <c r="AG373" i="5"/>
  <c r="V358" i="4"/>
  <c r="AF373" i="5"/>
  <c r="C358" i="4"/>
  <c r="C373" i="5"/>
  <c r="D358" i="4"/>
  <c r="E373" i="5"/>
  <c r="I358" i="4"/>
  <c r="L373" i="5"/>
  <c r="J358" i="4"/>
  <c r="N373" i="5"/>
  <c r="L358" i="4"/>
  <c r="Q373" i="5"/>
  <c r="M358" i="4"/>
  <c r="R373" i="5"/>
  <c r="N358" i="4"/>
  <c r="T373" i="5"/>
  <c r="O358" i="4"/>
  <c r="U373" i="5"/>
  <c r="P358" i="4"/>
  <c r="W373" i="5"/>
  <c r="Q358" i="4"/>
  <c r="X373" i="5"/>
  <c r="S358" i="4"/>
  <c r="AA373" i="5"/>
  <c r="T358" i="4"/>
  <c r="AC373" i="5"/>
  <c r="U358" i="4"/>
  <c r="AD373" i="5"/>
  <c r="X358" i="4"/>
  <c r="AI373" i="5"/>
  <c r="Y358" i="4"/>
  <c r="AJ373" i="5"/>
  <c r="Z358" i="4"/>
  <c r="AL373" i="5"/>
  <c r="F373" i="5"/>
  <c r="H373" i="5"/>
  <c r="I373" i="5"/>
  <c r="Z373" i="5"/>
  <c r="AN373" i="5"/>
  <c r="B359" i="4"/>
  <c r="K359" i="4"/>
  <c r="O374" i="5"/>
  <c r="H359" i="4"/>
  <c r="K374" i="5"/>
  <c r="W359" i="4"/>
  <c r="AG374" i="5"/>
  <c r="V359" i="4"/>
  <c r="AF374" i="5"/>
  <c r="C359" i="4"/>
  <c r="C374" i="5"/>
  <c r="D359" i="4"/>
  <c r="E374" i="5"/>
  <c r="I359" i="4"/>
  <c r="L374" i="5"/>
  <c r="J359" i="4"/>
  <c r="N374" i="5"/>
  <c r="L359" i="4"/>
  <c r="Q374" i="5"/>
  <c r="M359" i="4"/>
  <c r="R374" i="5"/>
  <c r="N359" i="4"/>
  <c r="T374" i="5"/>
  <c r="O359" i="4"/>
  <c r="U374" i="5"/>
  <c r="P359" i="4"/>
  <c r="W374" i="5"/>
  <c r="Q359" i="4"/>
  <c r="X374" i="5"/>
  <c r="S359" i="4"/>
  <c r="AA374" i="5"/>
  <c r="T359" i="4"/>
  <c r="AC374" i="5"/>
  <c r="U359" i="4"/>
  <c r="AD374" i="5"/>
  <c r="X359" i="4"/>
  <c r="AI374" i="5"/>
  <c r="Y359" i="4"/>
  <c r="AJ374" i="5"/>
  <c r="Z359" i="4"/>
  <c r="AL374" i="5"/>
  <c r="F374" i="5"/>
  <c r="H374" i="5"/>
  <c r="I374" i="5"/>
  <c r="Z374" i="5"/>
  <c r="AN374" i="5"/>
  <c r="B384" i="4"/>
  <c r="K384" i="4"/>
  <c r="O375" i="5"/>
  <c r="H384" i="4"/>
  <c r="K375" i="5"/>
  <c r="W384" i="4"/>
  <c r="AG375" i="5"/>
  <c r="AF375" i="5"/>
  <c r="C384" i="4"/>
  <c r="C375" i="5"/>
  <c r="D384" i="4"/>
  <c r="E375" i="5"/>
  <c r="I384" i="4"/>
  <c r="L375" i="5"/>
  <c r="J384" i="4"/>
  <c r="N375" i="5"/>
  <c r="L384" i="4"/>
  <c r="Q375" i="5"/>
  <c r="M384" i="4"/>
  <c r="R375" i="5"/>
  <c r="N384" i="4"/>
  <c r="T375" i="5"/>
  <c r="O384" i="4"/>
  <c r="U375" i="5"/>
  <c r="P384" i="4"/>
  <c r="W375" i="5"/>
  <c r="Q384" i="4"/>
  <c r="X375" i="5"/>
  <c r="S384" i="4"/>
  <c r="AA375" i="5"/>
  <c r="T384" i="4"/>
  <c r="AC375" i="5"/>
  <c r="U384" i="4"/>
  <c r="AD375" i="5"/>
  <c r="X384" i="4"/>
  <c r="AI375" i="5"/>
  <c r="Y384" i="4"/>
  <c r="AJ375" i="5"/>
  <c r="Z384" i="4"/>
  <c r="AL375" i="5"/>
  <c r="F375" i="5"/>
  <c r="H375" i="5"/>
  <c r="I375" i="5"/>
  <c r="Z375" i="5"/>
  <c r="AN375" i="5"/>
  <c r="B382" i="4"/>
  <c r="K382" i="4"/>
  <c r="O376" i="5"/>
  <c r="H382" i="4"/>
  <c r="K376" i="5"/>
  <c r="W382" i="4"/>
  <c r="AG376" i="5"/>
  <c r="AF376" i="5"/>
  <c r="C382" i="4"/>
  <c r="C376" i="5"/>
  <c r="D382" i="4"/>
  <c r="E376" i="5"/>
  <c r="I382" i="4"/>
  <c r="L376" i="5"/>
  <c r="J382" i="4"/>
  <c r="N376" i="5"/>
  <c r="L382" i="4"/>
  <c r="Q376" i="5"/>
  <c r="M382" i="4"/>
  <c r="R376" i="5"/>
  <c r="N382" i="4"/>
  <c r="T376" i="5"/>
  <c r="O382" i="4"/>
  <c r="U376" i="5"/>
  <c r="P382" i="4"/>
  <c r="W376" i="5"/>
  <c r="Q382" i="4"/>
  <c r="X376" i="5"/>
  <c r="S382" i="4"/>
  <c r="AA376" i="5"/>
  <c r="T382" i="4"/>
  <c r="AC376" i="5"/>
  <c r="U382" i="4"/>
  <c r="AD376" i="5"/>
  <c r="X382" i="4"/>
  <c r="AI376" i="5"/>
  <c r="Y382" i="4"/>
  <c r="AJ376" i="5"/>
  <c r="Z382" i="4"/>
  <c r="AL376" i="5"/>
  <c r="F376" i="5"/>
  <c r="H376" i="5"/>
  <c r="I376" i="5"/>
  <c r="Z376" i="5"/>
  <c r="AN376" i="5"/>
  <c r="B378" i="4"/>
  <c r="K378" i="4"/>
  <c r="O377" i="5"/>
  <c r="H378" i="4"/>
  <c r="K377" i="5"/>
  <c r="W378" i="4"/>
  <c r="AG377" i="5"/>
  <c r="AF377" i="5"/>
  <c r="C378" i="4"/>
  <c r="C377" i="5"/>
  <c r="D378" i="4"/>
  <c r="E377" i="5"/>
  <c r="I378" i="4"/>
  <c r="L377" i="5"/>
  <c r="J378" i="4"/>
  <c r="N377" i="5"/>
  <c r="L378" i="4"/>
  <c r="Q377" i="5"/>
  <c r="M378" i="4"/>
  <c r="R377" i="5"/>
  <c r="N378" i="4"/>
  <c r="T377" i="5"/>
  <c r="O378" i="4"/>
  <c r="U377" i="5"/>
  <c r="P378" i="4"/>
  <c r="W377" i="5"/>
  <c r="Q378" i="4"/>
  <c r="X377" i="5"/>
  <c r="S378" i="4"/>
  <c r="AA377" i="5"/>
  <c r="T378" i="4"/>
  <c r="AC377" i="5"/>
  <c r="U378" i="4"/>
  <c r="AD377" i="5"/>
  <c r="X378" i="4"/>
  <c r="AI377" i="5"/>
  <c r="Y378" i="4"/>
  <c r="AJ377" i="5"/>
  <c r="Z378" i="4"/>
  <c r="AL377" i="5"/>
  <c r="F377" i="5"/>
  <c r="H377" i="5"/>
  <c r="I377" i="5"/>
  <c r="Z377" i="5"/>
  <c r="AN377" i="5"/>
  <c r="B379" i="4"/>
  <c r="K379" i="4"/>
  <c r="O378" i="5"/>
  <c r="H379" i="4"/>
  <c r="K378" i="5"/>
  <c r="W379" i="4"/>
  <c r="AG378" i="5"/>
  <c r="AF378" i="5"/>
  <c r="C379" i="4"/>
  <c r="C378" i="5"/>
  <c r="D379" i="4"/>
  <c r="E378" i="5"/>
  <c r="I379" i="4"/>
  <c r="L378" i="5"/>
  <c r="J379" i="4"/>
  <c r="N378" i="5"/>
  <c r="L379" i="4"/>
  <c r="Q378" i="5"/>
  <c r="M379" i="4"/>
  <c r="R378" i="5"/>
  <c r="N379" i="4"/>
  <c r="T378" i="5"/>
  <c r="O379" i="4"/>
  <c r="U378" i="5"/>
  <c r="P379" i="4"/>
  <c r="W378" i="5"/>
  <c r="Q379" i="4"/>
  <c r="X378" i="5"/>
  <c r="S379" i="4"/>
  <c r="AA378" i="5"/>
  <c r="T379" i="4"/>
  <c r="AC378" i="5"/>
  <c r="U379" i="4"/>
  <c r="AD378" i="5"/>
  <c r="X379" i="4"/>
  <c r="AI378" i="5"/>
  <c r="Y379" i="4"/>
  <c r="AJ378" i="5"/>
  <c r="Z379" i="4"/>
  <c r="AL378" i="5"/>
  <c r="F378" i="5"/>
  <c r="H378" i="5"/>
  <c r="I378" i="5"/>
  <c r="Z378" i="5"/>
  <c r="AN378" i="5"/>
  <c r="W375" i="4"/>
  <c r="AG379" i="5"/>
  <c r="AF379" i="5"/>
  <c r="C375" i="4"/>
  <c r="C379" i="5"/>
  <c r="N375" i="4"/>
  <c r="T379" i="5"/>
  <c r="O375" i="4"/>
  <c r="U379" i="5"/>
  <c r="P375" i="4"/>
  <c r="W379" i="5"/>
  <c r="Q375" i="4"/>
  <c r="X379" i="5"/>
  <c r="S375" i="4"/>
  <c r="AA379" i="5"/>
  <c r="T375" i="4"/>
  <c r="AC379" i="5"/>
  <c r="U375" i="4"/>
  <c r="AD379" i="5"/>
  <c r="X375" i="4"/>
  <c r="AI379" i="5"/>
  <c r="Y375" i="4"/>
  <c r="AJ379" i="5"/>
  <c r="Z375" i="4"/>
  <c r="AL379" i="5"/>
  <c r="F379" i="5"/>
  <c r="H379" i="5"/>
  <c r="I379" i="5"/>
  <c r="Z379" i="5"/>
  <c r="AN379" i="5"/>
  <c r="W376" i="4"/>
  <c r="AG380" i="5"/>
  <c r="AF380" i="5"/>
  <c r="C376" i="4"/>
  <c r="C380" i="5"/>
  <c r="N376" i="4"/>
  <c r="T380" i="5"/>
  <c r="O376" i="4"/>
  <c r="U380" i="5"/>
  <c r="P376" i="4"/>
  <c r="W380" i="5"/>
  <c r="Q376" i="4"/>
  <c r="X380" i="5"/>
  <c r="S376" i="4"/>
  <c r="AA380" i="5"/>
  <c r="T376" i="4"/>
  <c r="AC380" i="5"/>
  <c r="U376" i="4"/>
  <c r="AD380" i="5"/>
  <c r="X376" i="4"/>
  <c r="AI380" i="5"/>
  <c r="Y376" i="4"/>
  <c r="AJ380" i="5"/>
  <c r="Z376" i="4"/>
  <c r="AL380" i="5"/>
  <c r="F380" i="5"/>
  <c r="H380" i="5"/>
  <c r="I380" i="5"/>
  <c r="Z380" i="5"/>
  <c r="AN380" i="5"/>
  <c r="B380" i="4"/>
  <c r="K380" i="4"/>
  <c r="O381" i="5"/>
  <c r="H380" i="4"/>
  <c r="K381" i="5"/>
  <c r="W380" i="4"/>
  <c r="AG381" i="5"/>
  <c r="AF381" i="5"/>
  <c r="C380" i="4"/>
  <c r="C381" i="5"/>
  <c r="D380" i="4"/>
  <c r="E381" i="5"/>
  <c r="I380" i="4"/>
  <c r="L381" i="5"/>
  <c r="J380" i="4"/>
  <c r="N381" i="5"/>
  <c r="L380" i="4"/>
  <c r="Q381" i="5"/>
  <c r="M380" i="4"/>
  <c r="R381" i="5"/>
  <c r="N380" i="4"/>
  <c r="T381" i="5"/>
  <c r="O380" i="4"/>
  <c r="U381" i="5"/>
  <c r="P380" i="4"/>
  <c r="W381" i="5"/>
  <c r="Q380" i="4"/>
  <c r="X381" i="5"/>
  <c r="S380" i="4"/>
  <c r="AA381" i="5"/>
  <c r="T380" i="4"/>
  <c r="AC381" i="5"/>
  <c r="U380" i="4"/>
  <c r="AD381" i="5"/>
  <c r="X380" i="4"/>
  <c r="AI381" i="5"/>
  <c r="Y380" i="4"/>
  <c r="AJ381" i="5"/>
  <c r="Z380" i="4"/>
  <c r="AL381" i="5"/>
  <c r="F381" i="5"/>
  <c r="H381" i="5"/>
  <c r="I381" i="5"/>
  <c r="Z381" i="5"/>
  <c r="AN381" i="5"/>
  <c r="B381" i="4"/>
  <c r="K381" i="4"/>
  <c r="O382" i="5"/>
  <c r="H381" i="4"/>
  <c r="K382" i="5"/>
  <c r="W381" i="4"/>
  <c r="AG382" i="5"/>
  <c r="AF382" i="5"/>
  <c r="C381" i="4"/>
  <c r="C382" i="5"/>
  <c r="D381" i="4"/>
  <c r="E382" i="5"/>
  <c r="I381" i="4"/>
  <c r="L382" i="5"/>
  <c r="J381" i="4"/>
  <c r="N382" i="5"/>
  <c r="L381" i="4"/>
  <c r="Q382" i="5"/>
  <c r="M381" i="4"/>
  <c r="R382" i="5"/>
  <c r="N381" i="4"/>
  <c r="T382" i="5"/>
  <c r="O381" i="4"/>
  <c r="U382" i="5"/>
  <c r="P381" i="4"/>
  <c r="W382" i="5"/>
  <c r="Q381" i="4"/>
  <c r="X382" i="5"/>
  <c r="S381" i="4"/>
  <c r="AA382" i="5"/>
  <c r="T381" i="4"/>
  <c r="AC382" i="5"/>
  <c r="U381" i="4"/>
  <c r="AD382" i="5"/>
  <c r="X381" i="4"/>
  <c r="AI382" i="5"/>
  <c r="Y381" i="4"/>
  <c r="AJ382" i="5"/>
  <c r="Z381" i="4"/>
  <c r="AL382" i="5"/>
  <c r="F382" i="5"/>
  <c r="H382" i="5"/>
  <c r="I382" i="5"/>
  <c r="Z382" i="5"/>
  <c r="AN382" i="5"/>
  <c r="B377" i="4"/>
  <c r="K377" i="4"/>
  <c r="O383" i="5"/>
  <c r="H377" i="4"/>
  <c r="K383" i="5"/>
  <c r="W377" i="4"/>
  <c r="AG383" i="5"/>
  <c r="AF383" i="5"/>
  <c r="C377" i="4"/>
  <c r="C383" i="5"/>
  <c r="D377" i="4"/>
  <c r="E383" i="5"/>
  <c r="I377" i="4"/>
  <c r="L383" i="5"/>
  <c r="J377" i="4"/>
  <c r="N383" i="5"/>
  <c r="L377" i="4"/>
  <c r="Q383" i="5"/>
  <c r="M377" i="4"/>
  <c r="R383" i="5"/>
  <c r="N377" i="4"/>
  <c r="T383" i="5"/>
  <c r="O377" i="4"/>
  <c r="U383" i="5"/>
  <c r="P377" i="4"/>
  <c r="W383" i="5"/>
  <c r="Q377" i="4"/>
  <c r="X383" i="5"/>
  <c r="S377" i="4"/>
  <c r="AA383" i="5"/>
  <c r="T377" i="4"/>
  <c r="AC383" i="5"/>
  <c r="U377" i="4"/>
  <c r="AD383" i="5"/>
  <c r="X377" i="4"/>
  <c r="AI383" i="5"/>
  <c r="Y377" i="4"/>
  <c r="AJ383" i="5"/>
  <c r="Z377" i="4"/>
  <c r="AL383" i="5"/>
  <c r="F383" i="5"/>
  <c r="H383" i="5"/>
  <c r="I383" i="5"/>
  <c r="Z383" i="5"/>
  <c r="AN383" i="5"/>
  <c r="B383" i="4"/>
  <c r="K383" i="4"/>
  <c r="O384" i="5"/>
  <c r="H383" i="4"/>
  <c r="K384" i="5"/>
  <c r="W383" i="4"/>
  <c r="AG384" i="5"/>
  <c r="AF384" i="5"/>
  <c r="C383" i="4"/>
  <c r="C384" i="5"/>
  <c r="D383" i="4"/>
  <c r="E384" i="5"/>
  <c r="I383" i="4"/>
  <c r="L384" i="5"/>
  <c r="J383" i="4"/>
  <c r="N384" i="5"/>
  <c r="L383" i="4"/>
  <c r="Q384" i="5"/>
  <c r="M383" i="4"/>
  <c r="R384" i="5"/>
  <c r="N383" i="4"/>
  <c r="T384" i="5"/>
  <c r="O383" i="4"/>
  <c r="U384" i="5"/>
  <c r="P383" i="4"/>
  <c r="W384" i="5"/>
  <c r="Q383" i="4"/>
  <c r="X384" i="5"/>
  <c r="S383" i="4"/>
  <c r="AA384" i="5"/>
  <c r="T383" i="4"/>
  <c r="AC384" i="5"/>
  <c r="U383" i="4"/>
  <c r="AD384" i="5"/>
  <c r="X383" i="4"/>
  <c r="AI384" i="5"/>
  <c r="Y383" i="4"/>
  <c r="AJ384" i="5"/>
  <c r="Z383" i="4"/>
  <c r="AL384" i="5"/>
  <c r="F384" i="5"/>
  <c r="H384" i="5"/>
  <c r="I384" i="5"/>
  <c r="Z384" i="5"/>
  <c r="AN384" i="5"/>
  <c r="AG385" i="5"/>
  <c r="AF385" i="5"/>
  <c r="C385" i="5"/>
  <c r="T385" i="5"/>
  <c r="U385" i="5"/>
  <c r="W385" i="5"/>
  <c r="X385" i="5"/>
  <c r="AA385" i="5"/>
  <c r="AI385" i="5"/>
  <c r="AJ385" i="5"/>
  <c r="AL385" i="5"/>
  <c r="F385" i="5"/>
  <c r="H385" i="5"/>
  <c r="I385" i="5"/>
  <c r="Z385" i="5"/>
  <c r="AN385" i="5"/>
  <c r="AA388" i="5"/>
  <c r="B388" i="4"/>
  <c r="P388" i="4"/>
  <c r="W388" i="5"/>
  <c r="O388" i="5"/>
  <c r="K388" i="5"/>
  <c r="AG388" i="5"/>
  <c r="AF388" i="5"/>
  <c r="E388" i="5"/>
  <c r="F388" i="5"/>
  <c r="H388" i="5"/>
  <c r="I388" i="5"/>
  <c r="L388" i="5"/>
  <c r="N388" i="5"/>
  <c r="Q388" i="5"/>
  <c r="R388" i="5"/>
  <c r="T388" i="5"/>
  <c r="U388" i="5"/>
  <c r="X388" i="5"/>
  <c r="Z388" i="5"/>
  <c r="AC388" i="5"/>
  <c r="AD388" i="5"/>
  <c r="AI388" i="5"/>
  <c r="AJ388" i="5"/>
  <c r="AL388" i="5"/>
  <c r="AN388" i="5"/>
  <c r="AA389" i="5"/>
  <c r="W389" i="5"/>
  <c r="O389" i="5"/>
  <c r="K389" i="5"/>
  <c r="AG389" i="5"/>
  <c r="AF389" i="5"/>
  <c r="E389" i="5"/>
  <c r="F389" i="5"/>
  <c r="H389" i="5"/>
  <c r="I389" i="5"/>
  <c r="L389" i="5"/>
  <c r="N389" i="5"/>
  <c r="Q389" i="5"/>
  <c r="R389" i="5"/>
  <c r="T389" i="5"/>
  <c r="U389" i="5"/>
  <c r="X389" i="5"/>
  <c r="Z389" i="5"/>
  <c r="AC389" i="5"/>
  <c r="AD389" i="5"/>
  <c r="AI389" i="5"/>
  <c r="AJ389" i="5"/>
  <c r="AL389" i="5"/>
  <c r="AN389" i="5"/>
  <c r="AA390" i="5"/>
  <c r="W390" i="5"/>
  <c r="O390" i="5"/>
  <c r="K390" i="5"/>
  <c r="AG390" i="5"/>
  <c r="AF390" i="5"/>
  <c r="E390" i="5"/>
  <c r="F390" i="5"/>
  <c r="H390" i="5"/>
  <c r="I390" i="5"/>
  <c r="L390" i="5"/>
  <c r="N390" i="5"/>
  <c r="Q390" i="5"/>
  <c r="R390" i="5"/>
  <c r="T390" i="5"/>
  <c r="U390" i="5"/>
  <c r="X390" i="5"/>
  <c r="Z390" i="5"/>
  <c r="AC390" i="5"/>
  <c r="AD390" i="5"/>
  <c r="AI390" i="5"/>
  <c r="AJ390" i="5"/>
  <c r="AL390" i="5"/>
  <c r="AN390" i="5"/>
  <c r="AA391" i="5"/>
  <c r="W391" i="5"/>
  <c r="O391" i="5"/>
  <c r="K391" i="5"/>
  <c r="AG391" i="5"/>
  <c r="AF391" i="5"/>
  <c r="B391" i="4"/>
  <c r="C391" i="4"/>
  <c r="C391" i="5"/>
  <c r="E391" i="5"/>
  <c r="F391" i="5"/>
  <c r="H391" i="5"/>
  <c r="I391" i="5"/>
  <c r="L391" i="5"/>
  <c r="N391" i="5"/>
  <c r="Q391" i="5"/>
  <c r="R391" i="5"/>
  <c r="T391" i="5"/>
  <c r="U391" i="5"/>
  <c r="X391" i="5"/>
  <c r="Z391" i="5"/>
  <c r="AC391" i="5"/>
  <c r="AD391" i="5"/>
  <c r="AI391" i="5"/>
  <c r="AL391" i="5"/>
  <c r="AN391" i="5"/>
  <c r="AA392" i="5"/>
  <c r="W392" i="5"/>
  <c r="O392" i="5"/>
  <c r="K392" i="5"/>
  <c r="AG392" i="5"/>
  <c r="AF392" i="5"/>
  <c r="E392" i="5"/>
  <c r="F392" i="5"/>
  <c r="H392" i="5"/>
  <c r="I392" i="5"/>
  <c r="L392" i="5"/>
  <c r="N392" i="5"/>
  <c r="Q392" i="5"/>
  <c r="R392" i="5"/>
  <c r="T392" i="5"/>
  <c r="U392" i="5"/>
  <c r="X392" i="5"/>
  <c r="Z392" i="5"/>
  <c r="AC392" i="5"/>
  <c r="AD392" i="5"/>
  <c r="AI392" i="5"/>
  <c r="AL392" i="5"/>
  <c r="AN392" i="5"/>
  <c r="AA393" i="5"/>
  <c r="B402" i="4"/>
  <c r="P402" i="4"/>
  <c r="W393" i="5"/>
  <c r="O393" i="5"/>
  <c r="K393" i="5"/>
  <c r="AG393" i="5"/>
  <c r="AF393" i="5"/>
  <c r="C393" i="5"/>
  <c r="L393" i="5"/>
  <c r="N393" i="5"/>
  <c r="L402" i="4"/>
  <c r="Q393" i="5"/>
  <c r="U393" i="5"/>
  <c r="Q402" i="4"/>
  <c r="X393" i="5"/>
  <c r="R402" i="4"/>
  <c r="Z393" i="5"/>
  <c r="AC393" i="5"/>
  <c r="AD393" i="5"/>
  <c r="X402" i="4"/>
  <c r="AI393" i="5"/>
  <c r="Y402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F396" i="5"/>
  <c r="E396" i="5"/>
  <c r="H396" i="5"/>
  <c r="I396" i="5"/>
  <c r="R396" i="5"/>
  <c r="T396" i="5"/>
  <c r="AN396" i="5"/>
  <c r="AA397" i="5"/>
  <c r="B403" i="4"/>
  <c r="P403" i="4"/>
  <c r="W397" i="5"/>
  <c r="O397" i="5"/>
  <c r="K397" i="5"/>
  <c r="AG397" i="5"/>
  <c r="AF397" i="5"/>
  <c r="C397" i="5"/>
  <c r="L397" i="5"/>
  <c r="N397" i="5"/>
  <c r="L403" i="4"/>
  <c r="Q397" i="5"/>
  <c r="U397" i="5"/>
  <c r="Q403" i="4"/>
  <c r="X397" i="5"/>
  <c r="R403" i="4"/>
  <c r="Z397" i="5"/>
  <c r="AC397" i="5"/>
  <c r="AD397" i="5"/>
  <c r="X403" i="4"/>
  <c r="AI397" i="5"/>
  <c r="Y403" i="4"/>
  <c r="AJ397" i="5"/>
  <c r="AL397" i="5"/>
  <c r="F397" i="5"/>
  <c r="E397" i="5"/>
  <c r="H397" i="5"/>
  <c r="I397" i="5"/>
  <c r="R397" i="5"/>
  <c r="T397" i="5"/>
  <c r="AN397" i="5"/>
  <c r="AA398" i="5"/>
  <c r="B404" i="4"/>
  <c r="P404" i="4"/>
  <c r="W398" i="5"/>
  <c r="O398" i="5"/>
  <c r="K398" i="5"/>
  <c r="AG398" i="5"/>
  <c r="AF398" i="5"/>
  <c r="C398" i="5"/>
  <c r="L398" i="5"/>
  <c r="N398" i="5"/>
  <c r="L404" i="4"/>
  <c r="Q398" i="5"/>
  <c r="U398" i="5"/>
  <c r="Q404" i="4"/>
  <c r="X398" i="5"/>
  <c r="R404" i="4"/>
  <c r="Z398" i="5"/>
  <c r="AC398" i="5"/>
  <c r="AD398" i="5"/>
  <c r="X404" i="4"/>
  <c r="AI398" i="5"/>
  <c r="Y404" i="4"/>
  <c r="AJ398" i="5"/>
  <c r="AL398" i="5"/>
  <c r="F398" i="5"/>
  <c r="E398" i="5"/>
  <c r="H398" i="5"/>
  <c r="I398" i="5"/>
  <c r="R398" i="5"/>
  <c r="T398" i="5"/>
  <c r="AN398" i="5"/>
  <c r="AA399" i="5"/>
  <c r="B405" i="4"/>
  <c r="P405" i="4"/>
  <c r="W399" i="5"/>
  <c r="O399" i="5"/>
  <c r="K399" i="5"/>
  <c r="AG399" i="5"/>
  <c r="AF399" i="5"/>
  <c r="C399" i="5"/>
  <c r="L399" i="5"/>
  <c r="N399" i="5"/>
  <c r="L405" i="4"/>
  <c r="Q399" i="5"/>
  <c r="U399" i="5"/>
  <c r="Q405" i="4"/>
  <c r="X399" i="5"/>
  <c r="R405" i="4"/>
  <c r="Z399" i="5"/>
  <c r="AC399" i="5"/>
  <c r="AD399" i="5"/>
  <c r="X405" i="4"/>
  <c r="AI399" i="5"/>
  <c r="Y405" i="4"/>
  <c r="AJ399" i="5"/>
  <c r="AL399" i="5"/>
  <c r="F399" i="5"/>
  <c r="E399" i="5"/>
  <c r="H399" i="5"/>
  <c r="I399" i="5"/>
  <c r="R399" i="5"/>
  <c r="T399" i="5"/>
  <c r="AN399" i="5"/>
  <c r="AA400" i="5"/>
  <c r="B406" i="4"/>
  <c r="P406" i="4"/>
  <c r="W400" i="5"/>
  <c r="O400" i="5"/>
  <c r="K400" i="5"/>
  <c r="AG400" i="5"/>
  <c r="AF400" i="5"/>
  <c r="C400" i="5"/>
  <c r="L400" i="5"/>
  <c r="N400" i="5"/>
  <c r="L406" i="4"/>
  <c r="Q400" i="5"/>
  <c r="U400" i="5"/>
  <c r="Q406" i="4"/>
  <c r="X400" i="5"/>
  <c r="R406" i="4"/>
  <c r="Z400" i="5"/>
  <c r="AC400" i="5"/>
  <c r="AD400" i="5"/>
  <c r="X406" i="4"/>
  <c r="AI400" i="5"/>
  <c r="Y406" i="4"/>
  <c r="AJ400" i="5"/>
  <c r="AL400" i="5"/>
  <c r="F400" i="5"/>
  <c r="E400" i="5"/>
  <c r="H400" i="5"/>
  <c r="I400" i="5"/>
  <c r="R400" i="5"/>
  <c r="T400" i="5"/>
  <c r="AN400" i="5"/>
  <c r="AA401" i="5"/>
  <c r="B407" i="4"/>
  <c r="P407" i="4"/>
  <c r="W401" i="5"/>
  <c r="O401" i="5"/>
  <c r="K401" i="5"/>
  <c r="AG401" i="5"/>
  <c r="AF401" i="5"/>
  <c r="C401" i="5"/>
  <c r="L401" i="5"/>
  <c r="N401" i="5"/>
  <c r="L407" i="4"/>
  <c r="Q401" i="5"/>
  <c r="U401" i="5"/>
  <c r="Q407" i="4"/>
  <c r="X401" i="5"/>
  <c r="R407" i="4"/>
  <c r="Z401" i="5"/>
  <c r="AC401" i="5"/>
  <c r="AD401" i="5"/>
  <c r="X407" i="4"/>
  <c r="AI401" i="5"/>
  <c r="Y407" i="4"/>
  <c r="AJ401" i="5"/>
  <c r="AL401" i="5"/>
  <c r="F401" i="5"/>
  <c r="E401" i="5"/>
  <c r="H401" i="5"/>
  <c r="I401" i="5"/>
  <c r="R401" i="5"/>
  <c r="T401" i="5"/>
  <c r="AN401" i="5"/>
  <c r="AA402" i="5"/>
  <c r="B397" i="4"/>
  <c r="P397" i="4"/>
  <c r="W402" i="5"/>
  <c r="O402" i="5"/>
  <c r="K402" i="5"/>
  <c r="AG402" i="5"/>
  <c r="AF402" i="5"/>
  <c r="C402" i="5"/>
  <c r="L402" i="5"/>
  <c r="N402" i="5"/>
  <c r="L397" i="4"/>
  <c r="Q402" i="5"/>
  <c r="U402" i="5"/>
  <c r="Q397" i="4"/>
  <c r="X402" i="5"/>
  <c r="R397" i="4"/>
  <c r="Z402" i="5"/>
  <c r="AC402" i="5"/>
  <c r="AD402" i="5"/>
  <c r="X397" i="4"/>
  <c r="AI402" i="5"/>
  <c r="Y397" i="4"/>
  <c r="AJ402" i="5"/>
  <c r="AL402" i="5"/>
  <c r="F402" i="5"/>
  <c r="E402" i="5"/>
  <c r="H402" i="5"/>
  <c r="I402" i="5"/>
  <c r="R402" i="5"/>
  <c r="T402" i="5"/>
  <c r="AN402" i="5"/>
  <c r="AA403" i="5"/>
  <c r="B398" i="4"/>
  <c r="P398" i="4"/>
  <c r="W403" i="5"/>
  <c r="O403" i="5"/>
  <c r="K403" i="5"/>
  <c r="AG403" i="5"/>
  <c r="AF403" i="5"/>
  <c r="C403" i="5"/>
  <c r="L403" i="5"/>
  <c r="N403" i="5"/>
  <c r="L398" i="4"/>
  <c r="Q403" i="5"/>
  <c r="U403" i="5"/>
  <c r="Q398" i="4"/>
  <c r="X403" i="5"/>
  <c r="R398" i="4"/>
  <c r="Z403" i="5"/>
  <c r="AC403" i="5"/>
  <c r="AD403" i="5"/>
  <c r="X398" i="4"/>
  <c r="AI403" i="5"/>
  <c r="Y398" i="4"/>
  <c r="AJ403" i="5"/>
  <c r="AL403" i="5"/>
  <c r="F403" i="5"/>
  <c r="E403" i="5"/>
  <c r="H403" i="5"/>
  <c r="I403" i="5"/>
  <c r="R403" i="5"/>
  <c r="T403" i="5"/>
  <c r="AN403" i="5"/>
  <c r="AA404" i="5"/>
  <c r="B399" i="4"/>
  <c r="P399" i="4"/>
  <c r="W404" i="5"/>
  <c r="O404" i="5"/>
  <c r="K404" i="5"/>
  <c r="AG404" i="5"/>
  <c r="AF404" i="5"/>
  <c r="C404" i="5"/>
  <c r="L404" i="5"/>
  <c r="N404" i="5"/>
  <c r="L399" i="4"/>
  <c r="Q404" i="5"/>
  <c r="U404" i="5"/>
  <c r="Q399" i="4"/>
  <c r="X404" i="5"/>
  <c r="R399" i="4"/>
  <c r="Z404" i="5"/>
  <c r="AC404" i="5"/>
  <c r="AD404" i="5"/>
  <c r="X399" i="4"/>
  <c r="AI404" i="5"/>
  <c r="Y399" i="4"/>
  <c r="AJ404" i="5"/>
  <c r="AL404" i="5"/>
  <c r="F404" i="5"/>
  <c r="E404" i="5"/>
  <c r="H404" i="5"/>
  <c r="I404" i="5"/>
  <c r="R404" i="5"/>
  <c r="T404" i="5"/>
  <c r="AN404" i="5"/>
  <c r="AA405" i="5"/>
  <c r="B408" i="4"/>
  <c r="P408" i="4"/>
  <c r="W405" i="5"/>
  <c r="O405" i="5"/>
  <c r="K405" i="5"/>
  <c r="AG405" i="5"/>
  <c r="AF405" i="5"/>
  <c r="C405" i="5"/>
  <c r="L405" i="5"/>
  <c r="N405" i="5"/>
  <c r="L408" i="4"/>
  <c r="Q405" i="5"/>
  <c r="U405" i="5"/>
  <c r="Q408" i="4"/>
  <c r="X405" i="5"/>
  <c r="R408" i="4"/>
  <c r="Z405" i="5"/>
  <c r="AC405" i="5"/>
  <c r="AD405" i="5"/>
  <c r="X408" i="4"/>
  <c r="AI405" i="5"/>
  <c r="Y408" i="4"/>
  <c r="AJ405" i="5"/>
  <c r="AL405" i="5"/>
  <c r="F405" i="5"/>
  <c r="E405" i="5"/>
  <c r="H405" i="5"/>
  <c r="I405" i="5"/>
  <c r="R405" i="5"/>
  <c r="T405" i="5"/>
  <c r="AN405" i="5"/>
  <c r="AA406" i="5"/>
  <c r="B409" i="4"/>
  <c r="P409" i="4"/>
  <c r="W406" i="5"/>
  <c r="O406" i="5"/>
  <c r="K406" i="5"/>
  <c r="AG406" i="5"/>
  <c r="AF406" i="5"/>
  <c r="C406" i="5"/>
  <c r="L406" i="5"/>
  <c r="N406" i="5"/>
  <c r="L409" i="4"/>
  <c r="Q406" i="5"/>
  <c r="U406" i="5"/>
  <c r="Q409" i="4"/>
  <c r="X406" i="5"/>
  <c r="R409" i="4"/>
  <c r="Z406" i="5"/>
  <c r="AC406" i="5"/>
  <c r="AD406" i="5"/>
  <c r="X409" i="4"/>
  <c r="AI406" i="5"/>
  <c r="Y409" i="4"/>
  <c r="AJ406" i="5"/>
  <c r="AL406" i="5"/>
  <c r="F406" i="5"/>
  <c r="E406" i="5"/>
  <c r="H406" i="5"/>
  <c r="I406" i="5"/>
  <c r="R406" i="5"/>
  <c r="T406" i="5"/>
  <c r="AN406" i="5"/>
  <c r="AA407" i="5"/>
  <c r="B393" i="4"/>
  <c r="P393" i="4"/>
  <c r="W407" i="5"/>
  <c r="O407" i="5"/>
  <c r="K407" i="5"/>
  <c r="AG407" i="5"/>
  <c r="AF407" i="5"/>
  <c r="C407" i="5"/>
  <c r="L407" i="5"/>
  <c r="N407" i="5"/>
  <c r="L393" i="4"/>
  <c r="Q407" i="5"/>
  <c r="U407" i="5"/>
  <c r="Q393" i="4"/>
  <c r="X407" i="5"/>
  <c r="R393" i="4"/>
  <c r="Z407" i="5"/>
  <c r="AC407" i="5"/>
  <c r="AD407" i="5"/>
  <c r="X393" i="4"/>
  <c r="AI407" i="5"/>
  <c r="Y393" i="4"/>
  <c r="AJ407" i="5"/>
  <c r="AL407" i="5"/>
  <c r="F407" i="5"/>
  <c r="E407" i="5"/>
  <c r="H407" i="5"/>
  <c r="I407" i="5"/>
  <c r="R407" i="5"/>
  <c r="T407" i="5"/>
  <c r="AN407" i="5"/>
  <c r="AA408" i="5"/>
  <c r="B410" i="4"/>
  <c r="P410" i="4"/>
  <c r="W408" i="5"/>
  <c r="O408" i="5"/>
  <c r="K408" i="5"/>
  <c r="AG408" i="5"/>
  <c r="AF408" i="5"/>
  <c r="C408" i="5"/>
  <c r="L408" i="5"/>
  <c r="N408" i="5"/>
  <c r="L410" i="4"/>
  <c r="Q408" i="5"/>
  <c r="U408" i="5"/>
  <c r="Q410" i="4"/>
  <c r="X408" i="5"/>
  <c r="R410" i="4"/>
  <c r="Z408" i="5"/>
  <c r="AC408" i="5"/>
  <c r="AD408" i="5"/>
  <c r="X410" i="4"/>
  <c r="AI408" i="5"/>
  <c r="Y410" i="4"/>
  <c r="AJ408" i="5"/>
  <c r="AL408" i="5"/>
  <c r="F408" i="5"/>
  <c r="E408" i="5"/>
  <c r="H408" i="5"/>
  <c r="I408" i="5"/>
  <c r="R408" i="5"/>
  <c r="T408" i="5"/>
  <c r="AN408" i="5"/>
  <c r="AA409" i="5"/>
  <c r="B411" i="4"/>
  <c r="P411" i="4"/>
  <c r="W409" i="5"/>
  <c r="O409" i="5"/>
  <c r="K409" i="5"/>
  <c r="AG409" i="5"/>
  <c r="AF409" i="5"/>
  <c r="C409" i="5"/>
  <c r="L409" i="5"/>
  <c r="N409" i="5"/>
  <c r="L411" i="4"/>
  <c r="Q409" i="5"/>
  <c r="U409" i="5"/>
  <c r="Q411" i="4"/>
  <c r="X409" i="5"/>
  <c r="R411" i="4"/>
  <c r="Z409" i="5"/>
  <c r="AC409" i="5"/>
  <c r="AD409" i="5"/>
  <c r="X411" i="4"/>
  <c r="AI409" i="5"/>
  <c r="Y411" i="4"/>
  <c r="AJ409" i="5"/>
  <c r="AL409" i="5"/>
  <c r="F409" i="5"/>
  <c r="E409" i="5"/>
  <c r="H409" i="5"/>
  <c r="I409" i="5"/>
  <c r="R409" i="5"/>
  <c r="T409" i="5"/>
  <c r="AN409" i="5"/>
  <c r="AA410" i="5"/>
  <c r="B400" i="4"/>
  <c r="P400" i="4"/>
  <c r="W410" i="5"/>
  <c r="O410" i="5"/>
  <c r="K410" i="5"/>
  <c r="AG410" i="5"/>
  <c r="AF410" i="5"/>
  <c r="C410" i="5"/>
  <c r="L410" i="5"/>
  <c r="N410" i="5"/>
  <c r="L400" i="4"/>
  <c r="Q410" i="5"/>
  <c r="U410" i="5"/>
  <c r="Q400" i="4"/>
  <c r="X410" i="5"/>
  <c r="R400" i="4"/>
  <c r="Z410" i="5"/>
  <c r="AC410" i="5"/>
  <c r="AD410" i="5"/>
  <c r="X400" i="4"/>
  <c r="AI410" i="5"/>
  <c r="Y400" i="4"/>
  <c r="AJ410" i="5"/>
  <c r="AL410" i="5"/>
  <c r="F410" i="5"/>
  <c r="E410" i="5"/>
  <c r="H410" i="5"/>
  <c r="I410" i="5"/>
  <c r="R410" i="5"/>
  <c r="T410" i="5"/>
  <c r="AN410" i="5"/>
  <c r="AA411" i="5"/>
  <c r="B401" i="4"/>
  <c r="P401" i="4"/>
  <c r="W411" i="5"/>
  <c r="O411" i="5"/>
  <c r="K411" i="5"/>
  <c r="AG411" i="5"/>
  <c r="AF411" i="5"/>
  <c r="C411" i="5"/>
  <c r="L411" i="5"/>
  <c r="N411" i="5"/>
  <c r="L401" i="4"/>
  <c r="Q411" i="5"/>
  <c r="U411" i="5"/>
  <c r="Q401" i="4"/>
  <c r="X411" i="5"/>
  <c r="R401" i="4"/>
  <c r="Z411" i="5"/>
  <c r="AC411" i="5"/>
  <c r="AD411" i="5"/>
  <c r="X401" i="4"/>
  <c r="AI411" i="5"/>
  <c r="Y401" i="4"/>
  <c r="AJ411" i="5"/>
  <c r="AL411" i="5"/>
  <c r="F411" i="5"/>
  <c r="E411" i="5"/>
  <c r="H411" i="5"/>
  <c r="I411" i="5"/>
  <c r="R411" i="5"/>
  <c r="T411" i="5"/>
  <c r="AN411" i="5"/>
  <c r="AA412" i="5"/>
  <c r="B412" i="4"/>
  <c r="P412" i="4"/>
  <c r="W412" i="5"/>
  <c r="O412" i="5"/>
  <c r="K412" i="5"/>
  <c r="AG412" i="5"/>
  <c r="AF412" i="5"/>
  <c r="C412" i="5"/>
  <c r="L412" i="5"/>
  <c r="N412" i="5"/>
  <c r="L412" i="4"/>
  <c r="Q412" i="5"/>
  <c r="U412" i="5"/>
  <c r="Q412" i="4"/>
  <c r="X412" i="5"/>
  <c r="R412" i="4"/>
  <c r="Z412" i="5"/>
  <c r="AC412" i="5"/>
  <c r="AD412" i="5"/>
  <c r="X412" i="4"/>
  <c r="AI412" i="5"/>
  <c r="Y412" i="4"/>
  <c r="AJ412" i="5"/>
  <c r="AL412" i="5"/>
  <c r="F412" i="5"/>
  <c r="E412" i="5"/>
  <c r="H412" i="5"/>
  <c r="I412" i="5"/>
  <c r="R412" i="5"/>
  <c r="T412" i="5"/>
  <c r="AN412" i="5"/>
  <c r="AA413" i="5"/>
  <c r="B413" i="4"/>
  <c r="P413" i="4"/>
  <c r="W413" i="5"/>
  <c r="O413" i="5"/>
  <c r="K413" i="5"/>
  <c r="AG413" i="5"/>
  <c r="AF413" i="5"/>
  <c r="C413" i="5"/>
  <c r="L413" i="5"/>
  <c r="N413" i="5"/>
  <c r="L413" i="4"/>
  <c r="Q413" i="5"/>
  <c r="U413" i="5"/>
  <c r="Q413" i="4"/>
  <c r="X413" i="5"/>
  <c r="R413" i="4"/>
  <c r="Z413" i="5"/>
  <c r="AC413" i="5"/>
  <c r="AD413" i="5"/>
  <c r="X413" i="4"/>
  <c r="AI413" i="5"/>
  <c r="Y413" i="4"/>
  <c r="AJ413" i="5"/>
  <c r="AL413" i="5"/>
  <c r="F413" i="5"/>
  <c r="E413" i="5"/>
  <c r="H413" i="5"/>
  <c r="I413" i="5"/>
  <c r="R413" i="5"/>
  <c r="T413" i="5"/>
  <c r="AN413" i="5"/>
  <c r="AA414" i="5"/>
  <c r="B414" i="4"/>
  <c r="P414" i="4"/>
  <c r="W414" i="5"/>
  <c r="O414" i="5"/>
  <c r="K414" i="5"/>
  <c r="AG414" i="5"/>
  <c r="AF414" i="5"/>
  <c r="C414" i="5"/>
  <c r="L414" i="5"/>
  <c r="N414" i="5"/>
  <c r="L414" i="4"/>
  <c r="Q414" i="5"/>
  <c r="U414" i="5"/>
  <c r="Q414" i="4"/>
  <c r="X414" i="5"/>
  <c r="R414" i="4"/>
  <c r="Z414" i="5"/>
  <c r="AC414" i="5"/>
  <c r="AD414" i="5"/>
  <c r="X414" i="4"/>
  <c r="AI414" i="5"/>
  <c r="Y414" i="4"/>
  <c r="AJ414" i="5"/>
  <c r="AL414" i="5"/>
  <c r="F414" i="5"/>
  <c r="E414" i="5"/>
  <c r="H414" i="5"/>
  <c r="I414" i="5"/>
  <c r="R414" i="5"/>
  <c r="T414" i="5"/>
  <c r="AN414" i="5"/>
  <c r="AA415" i="5"/>
  <c r="B415" i="4"/>
  <c r="P415" i="4"/>
  <c r="W415" i="5"/>
  <c r="O415" i="5"/>
  <c r="K415" i="5"/>
  <c r="AG415" i="5"/>
  <c r="AF415" i="5"/>
  <c r="C415" i="5"/>
  <c r="L415" i="5"/>
  <c r="N415" i="5"/>
  <c r="L415" i="4"/>
  <c r="Q415" i="5"/>
  <c r="U415" i="5"/>
  <c r="Q415" i="4"/>
  <c r="X415" i="5"/>
  <c r="R415" i="4"/>
  <c r="Z415" i="5"/>
  <c r="AC415" i="5"/>
  <c r="AD415" i="5"/>
  <c r="X415" i="4"/>
  <c r="AI415" i="5"/>
  <c r="Y415" i="4"/>
  <c r="AJ415" i="5"/>
  <c r="AL415" i="5"/>
  <c r="F415" i="5"/>
  <c r="E415" i="5"/>
  <c r="H415" i="5"/>
  <c r="I415" i="5"/>
  <c r="R415" i="5"/>
  <c r="T415" i="5"/>
  <c r="AN415" i="5"/>
  <c r="AA416" i="5"/>
  <c r="B416" i="4"/>
  <c r="P416" i="4"/>
  <c r="W416" i="5"/>
  <c r="O416" i="5"/>
  <c r="K416" i="5"/>
  <c r="AG416" i="5"/>
  <c r="AF416" i="5"/>
  <c r="C416" i="5"/>
  <c r="L416" i="5"/>
  <c r="N416" i="5"/>
  <c r="L416" i="4"/>
  <c r="Q416" i="5"/>
  <c r="U416" i="5"/>
  <c r="Q416" i="4"/>
  <c r="X416" i="5"/>
  <c r="R416" i="4"/>
  <c r="Z416" i="5"/>
  <c r="AC416" i="5"/>
  <c r="AD416" i="5"/>
  <c r="X416" i="4"/>
  <c r="AI416" i="5"/>
  <c r="Y416" i="4"/>
  <c r="AJ416" i="5"/>
  <c r="AL416" i="5"/>
  <c r="F416" i="5"/>
  <c r="E416" i="5"/>
  <c r="H416" i="5"/>
  <c r="I416" i="5"/>
  <c r="R416" i="5"/>
  <c r="T416" i="5"/>
  <c r="AN416" i="5"/>
  <c r="AA417" i="5"/>
  <c r="B417" i="4"/>
  <c r="P417" i="4"/>
  <c r="W417" i="5"/>
  <c r="O417" i="5"/>
  <c r="K417" i="5"/>
  <c r="AG417" i="5"/>
  <c r="AF417" i="5"/>
  <c r="C417" i="5"/>
  <c r="L417" i="5"/>
  <c r="N417" i="5"/>
  <c r="L417" i="4"/>
  <c r="Q417" i="5"/>
  <c r="U417" i="5"/>
  <c r="Q417" i="4"/>
  <c r="X417" i="5"/>
  <c r="R417" i="4"/>
  <c r="Z417" i="5"/>
  <c r="AC417" i="5"/>
  <c r="AD417" i="5"/>
  <c r="X417" i="4"/>
  <c r="AI417" i="5"/>
  <c r="Y417" i="4"/>
  <c r="AJ417" i="5"/>
  <c r="AL417" i="5"/>
  <c r="F417" i="5"/>
  <c r="E417" i="5"/>
  <c r="H417" i="5"/>
  <c r="I417" i="5"/>
  <c r="R417" i="5"/>
  <c r="T417" i="5"/>
  <c r="AN417" i="5"/>
  <c r="AG2" i="5"/>
  <c r="AF2" i="5"/>
  <c r="B129" i="4"/>
  <c r="C129" i="4"/>
  <c r="C2" i="5"/>
  <c r="D129" i="4"/>
  <c r="E2" i="5"/>
  <c r="K2" i="5"/>
  <c r="L129" i="4"/>
  <c r="Q2" i="5"/>
  <c r="M129" i="4"/>
  <c r="T2" i="5"/>
  <c r="U2" i="5"/>
  <c r="P129" i="4"/>
  <c r="W2" i="5"/>
  <c r="Q129" i="4"/>
  <c r="X2" i="5"/>
  <c r="S129" i="4"/>
  <c r="AA2" i="5"/>
  <c r="AJ129" i="4"/>
  <c r="T129" i="4" a="1"/>
  <c r="T129" i="4"/>
  <c r="AC2" i="5"/>
  <c r="U129" i="4" a="1"/>
  <c r="U129" i="4"/>
  <c r="AD2" i="5"/>
  <c r="X129" i="4"/>
  <c r="AI2" i="5"/>
  <c r="Y129" i="4"/>
  <c r="AJ2" i="5"/>
  <c r="Z129" i="4"/>
  <c r="AL2" i="5"/>
  <c r="F2" i="5"/>
  <c r="L2" i="5"/>
  <c r="N2" i="5"/>
  <c r="O2" i="5"/>
  <c r="H2" i="5"/>
  <c r="I2" i="5"/>
  <c r="Z2" i="5"/>
  <c r="AN2" i="5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BB28" i="1"/>
  <c r="AZ28" i="1"/>
  <c r="BA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BC28" i="1"/>
  <c r="CT28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AZ194" i="1"/>
  <c r="BA194" i="1"/>
  <c r="BB194" i="1"/>
  <c r="CT194" i="1"/>
  <c r="AJ305" i="4"/>
  <c r="AJ315" i="4"/>
  <c r="AZ482" i="1"/>
  <c r="BA482" i="1"/>
  <c r="BB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BC482" i="1"/>
  <c r="CT482" i="1"/>
  <c r="AZ483" i="1"/>
  <c r="BA483" i="1"/>
  <c r="BB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BC483" i="1"/>
  <c r="CT483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14" i="4"/>
  <c r="F314" i="4"/>
  <c r="R314" i="4"/>
  <c r="AA314" i="4"/>
  <c r="AC314" i="4"/>
  <c r="AD314" i="4"/>
  <c r="AE314" i="4"/>
  <c r="AF314" i="4"/>
  <c r="AH314" i="4"/>
  <c r="AI314" i="4"/>
  <c r="AJ314" i="4"/>
  <c r="AK314" i="4"/>
  <c r="AM314" i="4"/>
  <c r="B308" i="5"/>
  <c r="AM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319" i="6"/>
  <c r="C319" i="6"/>
  <c r="D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D412" i="9"/>
  <c r="E412" i="9"/>
  <c r="F412" i="9"/>
  <c r="G412" i="9"/>
  <c r="C115" i="7"/>
  <c r="D115" i="7"/>
  <c r="E115" i="7"/>
  <c r="AZ470" i="1"/>
  <c r="BA470" i="1"/>
  <c r="BB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BC470" i="1"/>
  <c r="CT470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D411" i="9"/>
  <c r="F411" i="9"/>
  <c r="G411" i="9"/>
  <c r="E411" i="9"/>
  <c r="D410" i="9"/>
  <c r="F410" i="9"/>
  <c r="G410" i="9"/>
  <c r="E410" i="9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461" i="1"/>
  <c r="BA461" i="1"/>
  <c r="BB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BC461" i="1"/>
  <c r="CT461" i="1"/>
  <c r="AZ460" i="1"/>
  <c r="BA460" i="1"/>
  <c r="BB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BC460" i="1"/>
  <c r="CT460" i="1"/>
  <c r="AZ468" i="1"/>
  <c r="BA468" i="1"/>
  <c r="BB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BC468" i="1"/>
  <c r="CT468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467" i="1"/>
  <c r="BA467" i="1"/>
  <c r="BB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BC467" i="1"/>
  <c r="CT467" i="1"/>
  <c r="AZ469" i="1"/>
  <c r="BA469" i="1"/>
  <c r="BB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BC469" i="1"/>
  <c r="CT469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439" i="1"/>
  <c r="BA439" i="1"/>
  <c r="BB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BC439" i="1"/>
  <c r="CT439" i="1"/>
  <c r="AZ440" i="1"/>
  <c r="BA440" i="1"/>
  <c r="BB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BC440" i="1"/>
  <c r="CT440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Z407" i="1"/>
  <c r="BA407" i="1"/>
  <c r="BB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BC407" i="1"/>
  <c r="CT407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406" i="1"/>
  <c r="BA406" i="1"/>
  <c r="BB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BC406" i="1"/>
  <c r="CT406" i="1"/>
  <c r="AZ404" i="1"/>
  <c r="BA404" i="1"/>
  <c r="BB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BC404" i="1"/>
  <c r="CT404" i="1"/>
  <c r="AZ405" i="1"/>
  <c r="BA405" i="1"/>
  <c r="BB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BC405" i="1"/>
  <c r="CT405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B16" i="3"/>
  <c r="C16" i="3"/>
  <c r="E16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I293" i="4"/>
  <c r="AI29" i="4"/>
  <c r="AI249" i="4"/>
  <c r="AI135" i="4"/>
  <c r="AI137" i="4"/>
  <c r="AI134" i="4"/>
  <c r="AI10" i="4"/>
  <c r="AI26" i="4"/>
  <c r="AI136" i="4"/>
  <c r="AI27" i="4"/>
  <c r="AI183" i="4"/>
  <c r="AI184" i="4"/>
  <c r="AI291" i="4"/>
  <c r="AI295" i="4"/>
  <c r="AI191" i="4"/>
  <c r="AI254" i="4"/>
  <c r="AI81" i="4"/>
  <c r="AI196" i="4"/>
  <c r="AI125" i="4"/>
  <c r="AI269" i="4"/>
  <c r="AI274" i="4"/>
  <c r="AI275" i="4"/>
  <c r="AI237" i="4"/>
  <c r="AI251" i="4"/>
  <c r="AI245" i="4"/>
  <c r="AI248" i="4"/>
  <c r="AI268" i="4"/>
  <c r="AI155" i="4"/>
  <c r="AI272" i="4"/>
  <c r="AI270" i="4"/>
  <c r="AI271" i="4"/>
  <c r="AI242" i="4"/>
  <c r="AI244" i="4"/>
  <c r="AI247" i="4"/>
  <c r="AI273" i="4"/>
  <c r="AI277" i="4"/>
  <c r="AI276" i="4"/>
  <c r="AI214" i="4"/>
  <c r="AI224" i="4"/>
  <c r="AI225" i="4"/>
  <c r="AI203" i="4"/>
  <c r="AI217" i="4"/>
  <c r="AI28" i="4"/>
  <c r="AI292" i="4"/>
  <c r="AI243" i="4"/>
  <c r="AI246" i="4"/>
  <c r="AI278" i="4"/>
  <c r="AI190" i="4"/>
  <c r="AI194" i="4"/>
  <c r="AI117" i="4"/>
  <c r="AI12" i="4"/>
  <c r="AI13" i="4"/>
  <c r="AI87" i="4"/>
  <c r="AI283" i="4"/>
  <c r="AI289" i="4"/>
  <c r="AI86" i="4"/>
  <c r="AI19" i="4"/>
  <c r="AI88" i="4"/>
  <c r="AI72" i="4"/>
  <c r="AI91" i="4"/>
  <c r="AI104" i="4"/>
  <c r="AI200" i="4"/>
  <c r="AI296" i="4"/>
  <c r="AI11" i="4"/>
  <c r="AI222" i="4"/>
  <c r="AI286" i="4"/>
  <c r="AI297" i="4"/>
  <c r="AI255" i="4"/>
  <c r="AI256" i="4"/>
  <c r="AI284" i="4"/>
  <c r="AI285" i="4"/>
  <c r="AI232" i="4"/>
  <c r="AI302" i="4"/>
  <c r="AI299" i="4"/>
  <c r="AI301" i="4"/>
  <c r="AI201" i="4"/>
  <c r="AI160" i="4"/>
  <c r="AI250" i="4"/>
  <c r="AI198" i="4"/>
  <c r="AI252" i="4"/>
  <c r="AI145" i="4"/>
  <c r="AI120" i="4"/>
  <c r="AI300" i="4"/>
  <c r="AI239" i="4"/>
  <c r="AI238" i="4"/>
  <c r="AI195" i="4"/>
  <c r="AI159" i="4"/>
  <c r="AI253" i="4"/>
  <c r="AI262" i="4"/>
  <c r="AI290" i="4"/>
  <c r="AI260" i="4"/>
  <c r="AI259" i="4"/>
  <c r="AI77" i="4"/>
  <c r="AI234" i="4"/>
  <c r="AI216" i="4"/>
  <c r="AI133" i="4"/>
  <c r="AI257" i="4"/>
  <c r="AI182" i="4"/>
  <c r="AI241" i="4"/>
  <c r="AI226" i="4"/>
  <c r="AI282" i="4"/>
  <c r="AI193" i="4"/>
  <c r="AI235" i="4"/>
  <c r="AI258" i="4"/>
  <c r="AI208" i="4"/>
  <c r="AI153" i="4"/>
  <c r="AI223" i="4"/>
  <c r="AI149" i="4"/>
  <c r="AI126" i="4"/>
  <c r="AI187" i="4"/>
  <c r="AI233" i="4"/>
  <c r="AI261" i="4"/>
  <c r="AI263" i="4"/>
  <c r="AI265" i="4"/>
  <c r="AI264" i="4"/>
  <c r="AI118" i="4"/>
  <c r="AI240" i="4"/>
  <c r="AI180" i="4"/>
  <c r="AI181" i="4"/>
  <c r="AI31" i="4"/>
  <c r="AI139" i="4"/>
  <c r="AI218" i="4"/>
  <c r="AI141" i="4"/>
  <c r="AI143" i="4"/>
  <c r="AI30" i="4"/>
  <c r="AI142" i="4"/>
  <c r="AI147" i="4"/>
  <c r="AI144" i="4"/>
  <c r="AI138" i="4"/>
  <c r="AI115" i="4"/>
  <c r="AI131" i="4"/>
  <c r="AI294" i="4"/>
  <c r="AI227" i="4"/>
  <c r="AI121" i="4"/>
  <c r="AI146" i="4"/>
  <c r="AI53" i="4"/>
  <c r="AI52" i="4"/>
  <c r="AI127" i="4"/>
  <c r="AI96" i="4"/>
  <c r="AI97" i="4"/>
  <c r="AI95" i="4"/>
  <c r="AI100" i="4"/>
  <c r="AI99" i="4"/>
  <c r="AI177" i="4"/>
  <c r="AI172" i="4"/>
  <c r="AI281" i="4"/>
  <c r="AI157" i="4"/>
  <c r="AI162" i="4"/>
  <c r="AI170" i="4"/>
  <c r="AI280" i="4"/>
  <c r="AI215" i="4"/>
  <c r="AI169" i="4"/>
  <c r="AI128" i="4"/>
  <c r="AI148" i="4"/>
  <c r="AI171" i="4"/>
  <c r="AI178" i="4"/>
  <c r="AI298" i="4"/>
  <c r="AI124" i="4"/>
  <c r="AI84" i="4"/>
  <c r="AI210" i="4"/>
  <c r="AI173" i="4"/>
  <c r="AI175" i="4"/>
  <c r="AI176" i="4"/>
  <c r="AI303" i="4"/>
  <c r="AI204" i="4"/>
  <c r="AI205" i="4"/>
  <c r="AI55" i="4"/>
  <c r="AI57" i="4"/>
  <c r="AI17" i="4"/>
  <c r="AI167" i="4"/>
  <c r="AI50" i="4"/>
  <c r="AI89" i="4"/>
  <c r="AI90" i="4"/>
  <c r="AI92" i="4"/>
  <c r="AI94" i="4"/>
  <c r="AI174" i="4"/>
  <c r="AI78" i="4"/>
  <c r="AI48" i="4"/>
  <c r="AI186" i="4"/>
  <c r="AI166" i="4"/>
  <c r="AI62" i="4"/>
  <c r="AI51" i="4"/>
  <c r="AI197" i="4"/>
  <c r="AI199" i="4"/>
  <c r="AI8" i="4"/>
  <c r="AI116" i="4"/>
  <c r="AI130" i="4"/>
  <c r="AI206" i="4"/>
  <c r="AI211" i="4"/>
  <c r="AI9" i="4"/>
  <c r="AI7" i="4"/>
  <c r="AI168" i="4"/>
  <c r="AI45" i="4"/>
  <c r="AI212" i="4"/>
  <c r="AI119" i="4"/>
  <c r="AI165" i="4"/>
  <c r="AI109" i="4"/>
  <c r="AI68" i="4"/>
  <c r="AI129" i="4"/>
  <c r="AI25" i="4"/>
  <c r="AI56" i="4"/>
  <c r="AI288" i="4"/>
  <c r="AI219" i="4"/>
  <c r="AI213" i="4"/>
  <c r="AI122" i="4"/>
  <c r="AI132" i="4"/>
  <c r="AI58" i="4"/>
  <c r="AI60" i="4"/>
  <c r="AI59" i="4"/>
  <c r="AI54" i="4"/>
  <c r="AI93" i="4"/>
  <c r="AI98" i="4"/>
  <c r="AI76" i="4"/>
  <c r="AI73" i="4"/>
  <c r="AI23" i="4"/>
  <c r="AI75" i="4"/>
  <c r="AI161" i="4"/>
  <c r="AI24" i="4"/>
  <c r="AI83" i="4"/>
  <c r="AI228" i="4"/>
  <c r="AI140" i="4"/>
  <c r="AI5" i="4"/>
  <c r="AI202" i="4"/>
  <c r="AI209" i="4"/>
  <c r="AI105" i="4"/>
  <c r="AI33" i="4"/>
  <c r="AI229" i="4"/>
  <c r="AI15" i="4"/>
  <c r="AI67" i="4"/>
  <c r="AI6" i="4"/>
  <c r="AI47" i="4"/>
  <c r="AI46" i="4"/>
  <c r="AI279" i="4"/>
  <c r="AI230" i="4"/>
  <c r="AI164" i="4"/>
  <c r="AI163" i="4"/>
  <c r="AI156" i="4"/>
  <c r="AI21" i="4"/>
  <c r="AI43" i="4"/>
  <c r="AI188" i="4"/>
  <c r="AI103" i="4"/>
  <c r="AI101" i="4"/>
  <c r="AI207" i="4"/>
  <c r="AI82" i="4"/>
  <c r="AI16" i="4"/>
  <c r="AI221" i="4"/>
  <c r="AI74" i="4"/>
  <c r="AI189" i="4"/>
  <c r="AI42" i="4"/>
  <c r="AI220" i="4"/>
  <c r="AI34" i="4"/>
  <c r="AI185" i="4"/>
  <c r="AI63" i="4"/>
  <c r="AI152" i="4"/>
  <c r="AI66" i="4"/>
  <c r="AI150" i="4"/>
  <c r="AI64" i="4"/>
  <c r="AI231" i="4"/>
  <c r="AI102" i="4"/>
  <c r="AI22" i="4"/>
  <c r="AI65" i="4"/>
  <c r="AI14" i="4"/>
  <c r="AI151" i="4"/>
  <c r="AI41" i="4"/>
  <c r="AI79" i="4"/>
  <c r="AI108" i="4"/>
  <c r="AI154" i="4"/>
  <c r="AI107" i="4"/>
  <c r="AI123" i="4"/>
  <c r="AI80" i="4"/>
  <c r="AI32" i="4"/>
  <c r="AI20" i="4"/>
  <c r="AI61" i="4"/>
  <c r="AI158" i="4"/>
  <c r="AI113" i="4"/>
  <c r="AI114" i="4"/>
  <c r="AI69" i="4"/>
  <c r="AI106" i="4"/>
  <c r="AI179" i="4"/>
  <c r="AI85" i="4"/>
  <c r="AI111" i="4"/>
  <c r="AI35" i="4"/>
  <c r="AI18" i="4"/>
  <c r="AI44" i="4"/>
  <c r="AI110" i="4"/>
  <c r="AI36" i="4"/>
  <c r="AI39" i="4"/>
  <c r="AI112" i="4"/>
  <c r="AI49" i="4"/>
  <c r="AI40" i="4"/>
  <c r="AI38" i="4"/>
  <c r="AI37" i="4"/>
  <c r="AI312" i="4"/>
  <c r="AI311" i="4"/>
  <c r="AI309" i="4"/>
  <c r="AI310" i="4"/>
  <c r="AI315" i="4"/>
  <c r="AI316" i="4"/>
  <c r="AI317" i="4"/>
  <c r="AI318" i="4"/>
  <c r="AI305" i="4"/>
  <c r="AI306" i="4"/>
  <c r="AI304" i="4"/>
  <c r="AI307" i="4"/>
  <c r="AI308" i="4"/>
  <c r="AI313" i="4"/>
  <c r="AI319" i="4"/>
  <c r="AI347" i="4"/>
  <c r="AI339" i="4"/>
  <c r="AI337" i="4"/>
  <c r="AI338" i="4"/>
  <c r="AI336" i="4"/>
  <c r="AI330" i="4"/>
  <c r="AI340" i="4"/>
  <c r="AI329" i="4"/>
  <c r="AI328" i="4"/>
  <c r="AI331" i="4"/>
  <c r="AI345" i="4"/>
  <c r="AI351" i="4"/>
  <c r="AI323" i="4"/>
  <c r="AI332" i="4"/>
  <c r="AI333" i="4"/>
  <c r="AI334" i="4"/>
  <c r="AI335" i="4"/>
  <c r="AI324" i="4"/>
  <c r="AI325" i="4"/>
  <c r="AI326" i="4"/>
  <c r="AI352" i="4"/>
  <c r="AI344" i="4"/>
  <c r="AI343" i="4"/>
  <c r="AI346" i="4"/>
  <c r="AI327" i="4"/>
  <c r="AI322" i="4"/>
  <c r="AI321" i="4"/>
  <c r="AI320" i="4"/>
  <c r="AI341" i="4"/>
  <c r="AI342" i="4"/>
  <c r="AI350" i="4"/>
  <c r="AI348" i="4"/>
  <c r="AI349" i="4"/>
  <c r="AI356" i="4"/>
  <c r="AI353" i="4"/>
  <c r="AI366" i="4"/>
  <c r="AI367" i="4"/>
  <c r="AI357" i="4"/>
  <c r="AI358" i="4"/>
  <c r="AI359" i="4"/>
  <c r="AI354" i="4"/>
  <c r="AI355" i="4"/>
  <c r="AI363" i="4"/>
  <c r="AI364" i="4"/>
  <c r="AI369" i="4"/>
  <c r="AI370" i="4"/>
  <c r="AI371" i="4"/>
  <c r="AI372" i="4"/>
  <c r="AI361" i="4"/>
  <c r="AI362" i="4"/>
  <c r="AI373" i="4"/>
  <c r="AI368" i="4"/>
  <c r="AI374" i="4"/>
  <c r="AI365" i="4"/>
  <c r="AI360" i="4"/>
  <c r="AI376" i="4"/>
  <c r="AI382" i="4"/>
  <c r="AI383" i="4"/>
  <c r="AI384" i="4"/>
  <c r="AI378" i="4"/>
  <c r="AI375" i="4"/>
  <c r="AI381" i="4"/>
  <c r="AI379" i="4"/>
  <c r="AI380" i="4"/>
  <c r="AI386" i="4"/>
  <c r="AI377" i="4"/>
  <c r="AI390" i="4"/>
  <c r="AI392" i="4"/>
  <c r="AI391" i="4"/>
  <c r="AI389" i="4"/>
  <c r="AI388" i="4"/>
  <c r="AI396" i="4"/>
  <c r="AI395" i="4"/>
  <c r="AI400" i="4"/>
  <c r="AI394" i="4"/>
  <c r="AI413" i="4"/>
  <c r="AI397" i="4"/>
  <c r="AI403" i="4"/>
  <c r="AI404" i="4"/>
  <c r="AI405" i="4"/>
  <c r="AI406" i="4"/>
  <c r="AI409" i="4"/>
  <c r="AI410" i="4"/>
  <c r="AI411" i="4"/>
  <c r="AI399" i="4"/>
  <c r="AI408" i="4"/>
  <c r="AI412" i="4"/>
  <c r="AI415" i="4"/>
  <c r="AI416" i="4"/>
  <c r="AI417" i="4"/>
  <c r="AI407" i="4"/>
  <c r="AI398" i="4"/>
  <c r="AI401" i="4"/>
  <c r="AI402" i="4"/>
  <c r="AI414" i="4"/>
  <c r="AI393" i="4"/>
  <c r="AI192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7" i="1"/>
  <c r="BA27" i="1"/>
  <c r="BB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BC27" i="1"/>
  <c r="CT27" i="1"/>
  <c r="AZ29" i="1"/>
  <c r="BA29" i="1"/>
  <c r="BB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BC29" i="1"/>
  <c r="CT29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C55" i="1"/>
  <c r="BB55" i="1"/>
  <c r="BA55" i="1"/>
  <c r="AZ55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N67" i="4"/>
  <c r="AZ432" i="1"/>
  <c r="BA432" i="1"/>
  <c r="BB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BC432" i="1"/>
  <c r="CT432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5" i="6"/>
  <c r="AA130" i="6"/>
  <c r="AA135" i="6"/>
  <c r="AA137" i="6"/>
  <c r="AA150" i="6"/>
  <c r="AA153" i="6"/>
  <c r="AA157" i="6"/>
  <c r="AA164" i="6"/>
  <c r="AA171" i="6"/>
  <c r="AA181" i="6"/>
  <c r="AA190" i="6"/>
  <c r="AA193" i="6"/>
  <c r="AA196" i="6"/>
  <c r="AA205" i="6"/>
  <c r="AA227" i="6"/>
  <c r="AA253" i="6"/>
  <c r="AA267" i="6"/>
  <c r="AA280" i="6"/>
  <c r="AA292" i="6"/>
  <c r="AA299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4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7" i="6"/>
  <c r="AA160" i="6"/>
  <c r="AA70" i="6"/>
  <c r="AA106" i="6"/>
  <c r="AA208" i="6"/>
  <c r="AA89" i="6"/>
  <c r="AA90" i="6"/>
  <c r="AA91" i="6"/>
  <c r="AA92" i="6"/>
  <c r="AA94" i="6"/>
  <c r="AA95" i="6"/>
  <c r="AA96" i="6"/>
  <c r="AA97" i="6"/>
  <c r="AA233" i="6"/>
  <c r="AA234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4" i="6"/>
  <c r="AA126" i="6"/>
  <c r="AA131" i="6"/>
  <c r="AA273" i="6"/>
  <c r="AA161" i="6"/>
  <c r="AA110" i="6"/>
  <c r="AA111" i="6"/>
  <c r="AA112" i="6"/>
  <c r="AA31" i="6"/>
  <c r="AA166" i="6"/>
  <c r="AA167" i="6"/>
  <c r="AA168" i="6"/>
  <c r="AA209" i="6"/>
  <c r="AA142" i="6"/>
  <c r="AA169" i="6"/>
  <c r="AA56" i="6"/>
  <c r="AA285" i="6"/>
  <c r="AA235" i="6"/>
  <c r="AA197" i="6"/>
  <c r="AA143" i="6"/>
  <c r="AA176" i="6"/>
  <c r="AA177" i="6"/>
  <c r="AA132" i="6"/>
  <c r="AA12" i="6"/>
  <c r="AA298" i="6"/>
  <c r="AA198" i="6"/>
  <c r="AA210" i="6"/>
  <c r="AA144" i="6"/>
  <c r="AA211" i="6"/>
  <c r="AA133" i="6"/>
  <c r="AA13" i="6"/>
  <c r="AA46" i="6"/>
  <c r="AA262" i="6"/>
  <c r="AA24" i="6"/>
  <c r="AA236" i="6"/>
  <c r="AA199" i="6"/>
  <c r="AA72" i="6"/>
  <c r="AA263" i="6"/>
  <c r="AA38" i="6"/>
  <c r="AA73" i="6"/>
  <c r="AA74" i="6"/>
  <c r="AA286" i="6"/>
  <c r="AA75" i="6"/>
  <c r="AA237" i="6"/>
  <c r="AA238" i="6"/>
  <c r="AA212" i="6"/>
  <c r="AA274" i="6"/>
  <c r="AA213" i="6"/>
  <c r="AA134" i="6"/>
  <c r="AA76" i="6"/>
  <c r="AA214" i="6"/>
  <c r="AA25" i="6"/>
  <c r="AA136" i="6"/>
  <c r="AA239" i="6"/>
  <c r="AA162" i="6"/>
  <c r="AA77" i="6"/>
  <c r="AA264" i="6"/>
  <c r="AA275" i="6"/>
  <c r="AA127" i="6"/>
  <c r="AA145" i="6"/>
  <c r="AA240" i="6"/>
  <c r="AA276" i="6"/>
  <c r="AA57" i="6"/>
  <c r="AA215" i="6"/>
  <c r="AA277" i="6"/>
  <c r="AA287" i="6"/>
  <c r="AA119" i="6"/>
  <c r="AA120" i="6"/>
  <c r="AA14" i="6"/>
  <c r="AA121" i="6"/>
  <c r="AA200" i="6"/>
  <c r="AA154" i="6"/>
  <c r="AA216" i="6"/>
  <c r="AA201" i="6"/>
  <c r="AA26" i="6"/>
  <c r="AA265" i="6"/>
  <c r="AA122" i="6"/>
  <c r="AA128" i="6"/>
  <c r="AA241" i="6"/>
  <c r="AA242" i="6"/>
  <c r="AA243" i="6"/>
  <c r="AA58" i="6"/>
  <c r="AA39" i="6"/>
  <c r="AA44" i="6"/>
  <c r="AA178" i="6"/>
  <c r="AA78" i="6"/>
  <c r="AA32" i="6"/>
  <c r="AA191" i="6"/>
  <c r="AA138" i="6"/>
  <c r="AA139" i="6"/>
  <c r="AA244" i="6"/>
  <c r="AA245" i="6"/>
  <c r="AA246" i="6"/>
  <c r="AA33" i="6"/>
  <c r="AA79" i="6"/>
  <c r="AA113" i="6"/>
  <c r="AA247" i="6"/>
  <c r="AA248" i="6"/>
  <c r="AA288" i="6"/>
  <c r="AA289" i="6"/>
  <c r="AA34" i="6"/>
  <c r="AA179" i="6"/>
  <c r="AA155" i="6"/>
  <c r="AA249" i="6"/>
  <c r="AA278" i="6"/>
  <c r="AA250" i="6"/>
  <c r="AA80" i="6"/>
  <c r="AA251" i="6"/>
  <c r="AA81" i="6"/>
  <c r="AA266" i="6"/>
  <c r="AA163" i="6"/>
  <c r="AA290" i="6"/>
  <c r="AA146" i="6"/>
  <c r="AA59" i="6"/>
  <c r="AA217" i="6"/>
  <c r="AA218" i="6"/>
  <c r="AA219" i="6"/>
  <c r="AA202" i="6"/>
  <c r="AA220" i="6"/>
  <c r="AA129" i="6"/>
  <c r="AA147" i="6"/>
  <c r="AA148" i="6"/>
  <c r="AA180" i="6"/>
  <c r="AA156" i="6"/>
  <c r="AA221" i="6"/>
  <c r="AA203" i="6"/>
  <c r="AA222" i="6"/>
  <c r="AA223" i="6"/>
  <c r="AA204" i="6"/>
  <c r="AA224" i="6"/>
  <c r="AA225" i="6"/>
  <c r="AA226" i="6"/>
  <c r="AA149" i="6"/>
  <c r="AA151" i="6"/>
  <c r="AA82" i="6"/>
  <c r="AA187" i="6"/>
  <c r="AA188" i="6"/>
  <c r="AA189" i="6"/>
  <c r="AA170" i="6"/>
  <c r="AA192" i="6"/>
  <c r="AA194" i="6"/>
  <c r="AA195" i="6"/>
  <c r="AA165" i="6"/>
  <c r="AA252" i="6"/>
  <c r="AA206" i="6"/>
  <c r="AA254" i="6"/>
  <c r="AA255" i="6"/>
  <c r="AA256" i="6"/>
  <c r="AA279" i="6"/>
  <c r="AA257" i="6"/>
  <c r="AA258" i="6"/>
  <c r="AA268" i="6"/>
  <c r="AA269" i="6"/>
  <c r="AA281" i="6"/>
  <c r="AA282" i="6"/>
  <c r="AA283" i="6"/>
  <c r="AA228" i="6"/>
  <c r="AA158" i="6"/>
  <c r="AA35" i="6"/>
  <c r="AA152" i="6"/>
  <c r="AA291" i="6"/>
  <c r="AA270" i="6"/>
  <c r="AA271" i="6"/>
  <c r="AA123" i="6"/>
  <c r="AA229" i="6"/>
  <c r="AA230" i="6"/>
  <c r="AA231" i="6"/>
  <c r="AA259" i="6"/>
  <c r="AA272" i="6"/>
  <c r="AA232" i="6"/>
  <c r="AA83" i="6"/>
  <c r="AA84" i="6"/>
  <c r="AA63" i="6"/>
  <c r="AA60" i="6"/>
  <c r="AA293" i="6"/>
  <c r="AA294" i="6"/>
  <c r="AA295" i="6"/>
  <c r="AA296" i="6"/>
  <c r="AA172" i="6"/>
  <c r="AA173" i="6"/>
  <c r="AA182" i="6"/>
  <c r="AA159" i="6"/>
  <c r="AA174" i="6"/>
  <c r="AA260" i="6"/>
  <c r="AA297" i="6"/>
  <c r="AA61" i="6"/>
  <c r="AA15" i="6"/>
  <c r="AA16" i="6"/>
  <c r="AA17" i="6"/>
  <c r="AA18" i="6"/>
  <c r="AA19" i="6"/>
  <c r="AA20" i="6"/>
  <c r="AA183" i="6"/>
  <c r="AA36" i="6"/>
  <c r="AA184" i="6"/>
  <c r="AA175" i="6"/>
  <c r="AA185" i="6"/>
  <c r="AA186" i="6"/>
  <c r="AA102" i="6"/>
  <c r="AA306" i="6"/>
  <c r="AA312" i="6"/>
  <c r="AA304" i="6"/>
  <c r="AA305" i="6"/>
  <c r="AA307" i="6"/>
  <c r="AA308" i="6"/>
  <c r="AA309" i="6"/>
  <c r="AA310" i="6"/>
  <c r="AA311" i="6"/>
  <c r="AA313" i="6"/>
  <c r="AA314" i="6"/>
  <c r="AA315" i="6"/>
  <c r="AA316" i="6"/>
  <c r="AA317" i="6"/>
  <c r="AA318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51" i="6"/>
  <c r="AA347" i="6"/>
  <c r="AA348" i="6"/>
  <c r="AA352" i="6"/>
  <c r="AA349" i="6"/>
  <c r="AA350" i="6"/>
  <c r="AA361" i="6"/>
  <c r="AA371" i="6"/>
  <c r="AA366" i="6"/>
  <c r="AA353" i="6"/>
  <c r="AA367" i="6"/>
  <c r="AA354" i="6"/>
  <c r="AA355" i="6"/>
  <c r="AA356" i="6"/>
  <c r="AA357" i="6"/>
  <c r="AA358" i="6"/>
  <c r="AA359" i="6"/>
  <c r="AA360" i="6"/>
  <c r="AA368" i="6"/>
  <c r="AA369" i="6"/>
  <c r="AA370" i="6"/>
  <c r="AA372" i="6"/>
  <c r="AA373" i="6"/>
  <c r="AA374" i="6"/>
  <c r="AA362" i="6"/>
  <c r="AA363" i="6"/>
  <c r="AA364" i="6"/>
  <c r="AA365" i="6"/>
  <c r="AA385" i="6"/>
  <c r="AA375" i="6"/>
  <c r="AA376" i="6"/>
  <c r="AA377" i="6"/>
  <c r="AA378" i="6"/>
  <c r="AA379" i="6"/>
  <c r="AA380" i="6"/>
  <c r="AA381" i="6"/>
  <c r="AA382" i="6"/>
  <c r="AA383" i="6"/>
  <c r="AA384" i="6"/>
  <c r="AA389" i="6"/>
  <c r="AA392" i="6"/>
  <c r="AA388" i="6"/>
  <c r="AA391" i="6"/>
  <c r="AA390" i="6"/>
  <c r="AA416" i="6"/>
  <c r="AA394" i="6"/>
  <c r="AA415" i="6"/>
  <c r="AA414" i="6"/>
  <c r="AA397" i="6"/>
  <c r="AA398" i="6"/>
  <c r="AA399" i="6"/>
  <c r="AA400" i="6"/>
  <c r="AA401" i="6"/>
  <c r="AA396" i="6"/>
  <c r="AA412" i="6"/>
  <c r="AA402" i="6"/>
  <c r="AA403" i="6"/>
  <c r="AA404" i="6"/>
  <c r="AA405" i="6"/>
  <c r="AA406" i="6"/>
  <c r="AA407" i="6"/>
  <c r="AA393" i="6"/>
  <c r="AA413" i="6"/>
  <c r="AA408" i="6"/>
  <c r="AA395" i="6"/>
  <c r="AA417" i="6"/>
  <c r="AA409" i="6"/>
  <c r="AA410" i="6"/>
  <c r="AA411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5" i="6"/>
  <c r="Z130" i="6"/>
  <c r="Z135" i="6"/>
  <c r="Z137" i="6"/>
  <c r="Z150" i="6"/>
  <c r="Z153" i="6"/>
  <c r="Z157" i="6"/>
  <c r="Z164" i="6"/>
  <c r="Z171" i="6"/>
  <c r="Z181" i="6"/>
  <c r="Z190" i="6"/>
  <c r="Z193" i="6"/>
  <c r="Z196" i="6"/>
  <c r="Z205" i="6"/>
  <c r="Z227" i="6"/>
  <c r="Z253" i="6"/>
  <c r="Z267" i="6"/>
  <c r="Z280" i="6"/>
  <c r="Z292" i="6"/>
  <c r="Z299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4" i="6"/>
  <c r="Z9" i="6"/>
  <c r="Z49" i="6"/>
  <c r="Z50" i="6"/>
  <c r="Z10" i="6"/>
  <c r="Z114" i="6"/>
  <c r="Z11" i="6"/>
  <c r="Z51" i="6"/>
  <c r="Z53" i="6"/>
  <c r="Z66" i="6"/>
  <c r="Z67" i="6"/>
  <c r="Z68" i="6"/>
  <c r="Z69" i="6"/>
  <c r="Z207" i="6"/>
  <c r="Z160" i="6"/>
  <c r="Z70" i="6"/>
  <c r="Z106" i="6"/>
  <c r="Z208" i="6"/>
  <c r="Z89" i="6"/>
  <c r="Z90" i="6"/>
  <c r="Z91" i="6"/>
  <c r="Z92" i="6"/>
  <c r="Z94" i="6"/>
  <c r="Z95" i="6"/>
  <c r="Z96" i="6"/>
  <c r="Z97" i="6"/>
  <c r="Z233" i="6"/>
  <c r="Z234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4" i="6"/>
  <c r="Z126" i="6"/>
  <c r="Z131" i="6"/>
  <c r="Z273" i="6"/>
  <c r="Z161" i="6"/>
  <c r="Z110" i="6"/>
  <c r="Z111" i="6"/>
  <c r="Z112" i="6"/>
  <c r="Z31" i="6"/>
  <c r="Z166" i="6"/>
  <c r="Z167" i="6"/>
  <c r="Z168" i="6"/>
  <c r="Z209" i="6"/>
  <c r="Z142" i="6"/>
  <c r="Z169" i="6"/>
  <c r="Z56" i="6"/>
  <c r="Z285" i="6"/>
  <c r="Z235" i="6"/>
  <c r="Z197" i="6"/>
  <c r="Z143" i="6"/>
  <c r="Z176" i="6"/>
  <c r="Z177" i="6"/>
  <c r="Z132" i="6"/>
  <c r="Z12" i="6"/>
  <c r="Z298" i="6"/>
  <c r="Z198" i="6"/>
  <c r="Z210" i="6"/>
  <c r="Z144" i="6"/>
  <c r="Z211" i="6"/>
  <c r="Z133" i="6"/>
  <c r="Z13" i="6"/>
  <c r="Z46" i="6"/>
  <c r="Z262" i="6"/>
  <c r="Z24" i="6"/>
  <c r="Z236" i="6"/>
  <c r="Z199" i="6"/>
  <c r="Z72" i="6"/>
  <c r="Z263" i="6"/>
  <c r="Z38" i="6"/>
  <c r="Z73" i="6"/>
  <c r="Z74" i="6"/>
  <c r="Z286" i="6"/>
  <c r="Z75" i="6"/>
  <c r="Z237" i="6"/>
  <c r="Z238" i="6"/>
  <c r="Z212" i="6"/>
  <c r="Z274" i="6"/>
  <c r="Z213" i="6"/>
  <c r="Z134" i="6"/>
  <c r="Z76" i="6"/>
  <c r="Z214" i="6"/>
  <c r="Z25" i="6"/>
  <c r="Z136" i="6"/>
  <c r="Z239" i="6"/>
  <c r="Z162" i="6"/>
  <c r="Z77" i="6"/>
  <c r="Z264" i="6"/>
  <c r="Z275" i="6"/>
  <c r="Z127" i="6"/>
  <c r="Z145" i="6"/>
  <c r="Z240" i="6"/>
  <c r="Z276" i="6"/>
  <c r="Z57" i="6"/>
  <c r="Z215" i="6"/>
  <c r="Z277" i="6"/>
  <c r="Z287" i="6"/>
  <c r="Z119" i="6"/>
  <c r="Z120" i="6"/>
  <c r="Z14" i="6"/>
  <c r="Z121" i="6"/>
  <c r="Z200" i="6"/>
  <c r="Z154" i="6"/>
  <c r="Z216" i="6"/>
  <c r="Z201" i="6"/>
  <c r="Z26" i="6"/>
  <c r="Z265" i="6"/>
  <c r="Z122" i="6"/>
  <c r="Z128" i="6"/>
  <c r="Z241" i="6"/>
  <c r="Z242" i="6"/>
  <c r="Z243" i="6"/>
  <c r="Z58" i="6"/>
  <c r="Z39" i="6"/>
  <c r="Z44" i="6"/>
  <c r="Z178" i="6"/>
  <c r="Z78" i="6"/>
  <c r="Z32" i="6"/>
  <c r="Z191" i="6"/>
  <c r="Z138" i="6"/>
  <c r="Z139" i="6"/>
  <c r="Z244" i="6"/>
  <c r="Z245" i="6"/>
  <c r="Z246" i="6"/>
  <c r="Z33" i="6"/>
  <c r="Z79" i="6"/>
  <c r="Z113" i="6"/>
  <c r="Z247" i="6"/>
  <c r="Z248" i="6"/>
  <c r="Z288" i="6"/>
  <c r="Z289" i="6"/>
  <c r="Z34" i="6"/>
  <c r="Z179" i="6"/>
  <c r="Z155" i="6"/>
  <c r="Z249" i="6"/>
  <c r="Z278" i="6"/>
  <c r="Z250" i="6"/>
  <c r="Z80" i="6"/>
  <c r="Z251" i="6"/>
  <c r="Z81" i="6"/>
  <c r="Z266" i="6"/>
  <c r="Z163" i="6"/>
  <c r="Z290" i="6"/>
  <c r="Z146" i="6"/>
  <c r="Z59" i="6"/>
  <c r="Z217" i="6"/>
  <c r="Z218" i="6"/>
  <c r="Z219" i="6"/>
  <c r="Z202" i="6"/>
  <c r="Z220" i="6"/>
  <c r="Z129" i="6"/>
  <c r="Z147" i="6"/>
  <c r="Z148" i="6"/>
  <c r="Z180" i="6"/>
  <c r="Z156" i="6"/>
  <c r="Z221" i="6"/>
  <c r="Z203" i="6"/>
  <c r="Z222" i="6"/>
  <c r="Z223" i="6"/>
  <c r="Z204" i="6"/>
  <c r="Z224" i="6"/>
  <c r="Z225" i="6"/>
  <c r="Z226" i="6"/>
  <c r="Z149" i="6"/>
  <c r="Z151" i="6"/>
  <c r="Z82" i="6"/>
  <c r="Z187" i="6"/>
  <c r="Z188" i="6"/>
  <c r="Z189" i="6"/>
  <c r="Z170" i="6"/>
  <c r="Z192" i="6"/>
  <c r="Z194" i="6"/>
  <c r="Z195" i="6"/>
  <c r="Z165" i="6"/>
  <c r="Z252" i="6"/>
  <c r="Z206" i="6"/>
  <c r="Z254" i="6"/>
  <c r="Z255" i="6"/>
  <c r="Z256" i="6"/>
  <c r="Z279" i="6"/>
  <c r="Z257" i="6"/>
  <c r="Z258" i="6"/>
  <c r="Z268" i="6"/>
  <c r="Z269" i="6"/>
  <c r="Z281" i="6"/>
  <c r="Z282" i="6"/>
  <c r="Z283" i="6"/>
  <c r="Z228" i="6"/>
  <c r="Z158" i="6"/>
  <c r="Z35" i="6"/>
  <c r="Z152" i="6"/>
  <c r="Z291" i="6"/>
  <c r="Z270" i="6"/>
  <c r="Z271" i="6"/>
  <c r="Z123" i="6"/>
  <c r="Z229" i="6"/>
  <c r="Z230" i="6"/>
  <c r="Z231" i="6"/>
  <c r="Z259" i="6"/>
  <c r="Z272" i="6"/>
  <c r="Z232" i="6"/>
  <c r="Z83" i="6"/>
  <c r="Z84" i="6"/>
  <c r="Z63" i="6"/>
  <c r="Z60" i="6"/>
  <c r="Z293" i="6"/>
  <c r="Z294" i="6"/>
  <c r="Z295" i="6"/>
  <c r="Z296" i="6"/>
  <c r="Z172" i="6"/>
  <c r="Z173" i="6"/>
  <c r="Z182" i="6"/>
  <c r="Z159" i="6"/>
  <c r="Z174" i="6"/>
  <c r="Z260" i="6"/>
  <c r="Z297" i="6"/>
  <c r="Z61" i="6"/>
  <c r="Z15" i="6"/>
  <c r="Z16" i="6"/>
  <c r="Z17" i="6"/>
  <c r="Z18" i="6"/>
  <c r="Z19" i="6"/>
  <c r="Z20" i="6"/>
  <c r="Z183" i="6"/>
  <c r="Z36" i="6"/>
  <c r="Z184" i="6"/>
  <c r="Z175" i="6"/>
  <c r="Z185" i="6"/>
  <c r="Z186" i="6"/>
  <c r="Z102" i="6"/>
  <c r="Z306" i="6"/>
  <c r="Z312" i="6"/>
  <c r="Z304" i="6"/>
  <c r="Z305" i="6"/>
  <c r="Z307" i="6"/>
  <c r="Z308" i="6"/>
  <c r="Z309" i="6"/>
  <c r="Z310" i="6"/>
  <c r="Z311" i="6"/>
  <c r="Z313" i="6"/>
  <c r="Z314" i="6"/>
  <c r="Z315" i="6"/>
  <c r="Z316" i="6"/>
  <c r="Z317" i="6"/>
  <c r="Z318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51" i="6"/>
  <c r="Z347" i="6"/>
  <c r="Z348" i="6"/>
  <c r="Z352" i="6"/>
  <c r="Z349" i="6"/>
  <c r="Z350" i="6"/>
  <c r="Z361" i="6"/>
  <c r="Z371" i="6"/>
  <c r="Z366" i="6"/>
  <c r="Z353" i="6"/>
  <c r="Z367" i="6"/>
  <c r="Z354" i="6"/>
  <c r="Z355" i="6"/>
  <c r="Z356" i="6"/>
  <c r="Z357" i="6"/>
  <c r="Z358" i="6"/>
  <c r="Z359" i="6"/>
  <c r="Z360" i="6"/>
  <c r="Z368" i="6"/>
  <c r="Z369" i="6"/>
  <c r="Z370" i="6"/>
  <c r="Z372" i="6"/>
  <c r="Z373" i="6"/>
  <c r="Z374" i="6"/>
  <c r="Z362" i="6"/>
  <c r="Z363" i="6"/>
  <c r="Z364" i="6"/>
  <c r="Z365" i="6"/>
  <c r="Z385" i="6"/>
  <c r="Z375" i="6"/>
  <c r="Z376" i="6"/>
  <c r="Z377" i="6"/>
  <c r="Z378" i="6"/>
  <c r="Z379" i="6"/>
  <c r="Z380" i="6"/>
  <c r="Z381" i="6"/>
  <c r="Z382" i="6"/>
  <c r="Z383" i="6"/>
  <c r="Z384" i="6"/>
  <c r="Z389" i="6"/>
  <c r="Z392" i="6"/>
  <c r="Z388" i="6"/>
  <c r="Z391" i="6"/>
  <c r="Z390" i="6"/>
  <c r="Z416" i="6"/>
  <c r="Z394" i="6"/>
  <c r="Z415" i="6"/>
  <c r="Z414" i="6"/>
  <c r="Z397" i="6"/>
  <c r="Z398" i="6"/>
  <c r="Z399" i="6"/>
  <c r="Z400" i="6"/>
  <c r="Z401" i="6"/>
  <c r="Z396" i="6"/>
  <c r="Z412" i="6"/>
  <c r="Z402" i="6"/>
  <c r="Z403" i="6"/>
  <c r="Z404" i="6"/>
  <c r="Z405" i="6"/>
  <c r="Z406" i="6"/>
  <c r="Z407" i="6"/>
  <c r="Z393" i="6"/>
  <c r="Z413" i="6"/>
  <c r="Z408" i="6"/>
  <c r="Z395" i="6"/>
  <c r="Z417" i="6"/>
  <c r="Z409" i="6"/>
  <c r="Z410" i="6"/>
  <c r="Z411" i="6"/>
  <c r="Z3" i="6"/>
  <c r="AO29" i="5"/>
  <c r="AO9" i="5"/>
  <c r="AO11" i="5"/>
  <c r="AO10" i="5"/>
  <c r="AO271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8" i="5"/>
  <c r="AO270" i="5"/>
  <c r="AO290" i="5"/>
  <c r="AO275" i="5"/>
  <c r="AO295" i="5"/>
  <c r="AO283" i="5"/>
  <c r="AO293" i="5"/>
  <c r="AO284" i="5"/>
  <c r="AO281" i="5"/>
  <c r="AO296" i="5"/>
  <c r="AO8" i="5"/>
  <c r="AO3" i="5"/>
  <c r="AO297" i="5"/>
  <c r="AO287" i="5"/>
  <c r="AO291" i="5"/>
  <c r="AO289" i="5"/>
  <c r="AO292" i="5"/>
  <c r="AO5" i="5"/>
  <c r="AO14" i="5"/>
  <c r="AO282" i="5"/>
  <c r="AO27" i="5"/>
  <c r="AO15" i="5"/>
  <c r="AO28" i="5"/>
  <c r="AO32" i="5"/>
  <c r="AO33" i="5"/>
  <c r="AO119" i="5"/>
  <c r="AO410" i="5"/>
  <c r="AO49" i="5"/>
  <c r="AO279" i="5"/>
  <c r="AO67" i="5"/>
  <c r="AO244" i="5"/>
  <c r="AO39" i="5"/>
  <c r="AO47" i="5"/>
  <c r="AO246" i="5"/>
  <c r="AO247" i="5"/>
  <c r="AO249" i="5"/>
  <c r="AO245" i="5"/>
  <c r="AO248" i="5"/>
  <c r="AO40" i="5"/>
  <c r="AO65" i="5"/>
  <c r="AO38" i="5"/>
  <c r="AO122" i="5"/>
  <c r="AO62" i="5"/>
  <c r="AO41" i="5"/>
  <c r="AO42" i="5"/>
  <c r="AO394" i="5"/>
  <c r="AO43" i="5"/>
  <c r="AO44" i="5"/>
  <c r="AO45" i="5"/>
  <c r="AO125" i="5"/>
  <c r="AO155" i="5"/>
  <c r="AO256" i="5"/>
  <c r="AO178" i="5"/>
  <c r="AO166" i="5"/>
  <c r="AO251" i="5"/>
  <c r="AO110" i="5"/>
  <c r="AO171" i="5"/>
  <c r="AO224" i="5"/>
  <c r="AO52" i="5"/>
  <c r="AO50" i="5"/>
  <c r="AO51" i="5"/>
  <c r="AO53" i="5"/>
  <c r="AO257" i="5"/>
  <c r="AO55" i="5"/>
  <c r="AO276" i="5"/>
  <c r="AO413" i="5"/>
  <c r="AO56" i="5"/>
  <c r="AO402" i="5"/>
  <c r="AO57" i="5"/>
  <c r="AO58" i="5"/>
  <c r="AO60" i="5"/>
  <c r="AO258" i="5"/>
  <c r="AO59" i="5"/>
  <c r="AO123" i="5"/>
  <c r="AO64" i="5"/>
  <c r="AO99" i="5"/>
  <c r="AO68" i="5"/>
  <c r="AO69" i="5"/>
  <c r="AO71" i="5"/>
  <c r="AO63" i="5"/>
  <c r="AO96" i="5"/>
  <c r="AO46" i="5"/>
  <c r="AO116" i="5"/>
  <c r="AO277" i="5"/>
  <c r="AO243" i="5"/>
  <c r="AO48" i="5"/>
  <c r="AO191" i="5"/>
  <c r="AO163" i="5"/>
  <c r="AO70" i="5"/>
  <c r="AO184" i="5"/>
  <c r="AO186" i="5"/>
  <c r="AO390" i="5"/>
  <c r="AO397" i="5"/>
  <c r="AO398" i="5"/>
  <c r="AO399" i="5"/>
  <c r="AO400" i="5"/>
  <c r="AO401" i="5"/>
  <c r="AO404" i="5"/>
  <c r="AO405" i="5"/>
  <c r="AO406" i="5"/>
  <c r="AO407" i="5"/>
  <c r="AO408" i="5"/>
  <c r="AO409" i="5"/>
  <c r="AO412" i="5"/>
  <c r="AO415" i="5"/>
  <c r="AO416" i="5"/>
  <c r="AO417" i="5"/>
  <c r="AO165" i="5"/>
  <c r="AO298" i="5"/>
  <c r="AO75" i="5"/>
  <c r="AO128" i="5"/>
  <c r="AO126" i="5"/>
  <c r="AO266" i="5"/>
  <c r="AO136" i="5"/>
  <c r="AO233" i="5"/>
  <c r="AO74" i="5"/>
  <c r="AO89" i="5"/>
  <c r="AO78" i="5"/>
  <c r="AO129" i="5"/>
  <c r="AO131" i="5"/>
  <c r="AO73" i="5"/>
  <c r="AO72" i="5"/>
  <c r="AO141" i="5"/>
  <c r="AO200" i="5"/>
  <c r="AO172" i="5"/>
  <c r="AO261" i="5"/>
  <c r="AO262" i="5"/>
  <c r="AO260" i="5"/>
  <c r="AO265" i="5"/>
  <c r="AO54" i="5"/>
  <c r="AO268" i="5"/>
  <c r="AO82" i="5"/>
  <c r="AO84" i="5"/>
  <c r="AO267" i="5"/>
  <c r="AO81" i="5"/>
  <c r="AO83" i="5"/>
  <c r="AO86" i="5"/>
  <c r="AO254" i="5"/>
  <c r="AO263" i="5"/>
  <c r="AO85" i="5"/>
  <c r="AO92" i="5"/>
  <c r="AO253" i="5"/>
  <c r="AO352" i="5"/>
  <c r="AO339" i="5"/>
  <c r="AO349" i="5"/>
  <c r="AO350" i="5"/>
  <c r="AO335" i="5"/>
  <c r="AO347" i="5"/>
  <c r="AO323" i="5"/>
  <c r="AO324" i="5"/>
  <c r="AO341" i="5"/>
  <c r="AO345" i="5"/>
  <c r="AO343" i="5"/>
  <c r="AO344" i="5"/>
  <c r="AO321" i="5"/>
  <c r="AO333" i="5"/>
  <c r="AO322" i="5"/>
  <c r="AO326" i="5"/>
  <c r="AO337" i="5"/>
  <c r="AO327" i="5"/>
  <c r="AO331" i="5"/>
  <c r="AO325" i="5"/>
  <c r="AO328" i="5"/>
  <c r="AO342" i="5"/>
  <c r="AO332" i="5"/>
  <c r="AO336" i="5"/>
  <c r="AO346" i="5"/>
  <c r="AO334" i="5"/>
  <c r="AO329" i="5"/>
  <c r="AO338" i="5"/>
  <c r="AO340" i="5"/>
  <c r="AO330" i="5"/>
  <c r="AO304" i="5"/>
  <c r="AO305" i="5"/>
  <c r="AO306" i="5"/>
  <c r="AO307" i="5"/>
  <c r="AO320" i="5"/>
  <c r="AO388" i="5"/>
  <c r="AO392" i="5"/>
  <c r="AO93" i="5"/>
  <c r="AO95" i="5"/>
  <c r="AO173" i="5"/>
  <c r="AO79" i="5"/>
  <c r="AO94" i="5"/>
  <c r="AO107" i="5"/>
  <c r="AO108" i="5"/>
  <c r="AO109" i="5"/>
  <c r="AO157" i="5"/>
  <c r="AO151" i="5"/>
  <c r="AO280" i="5"/>
  <c r="AO97" i="5"/>
  <c r="AO255" i="5"/>
  <c r="AO264" i="5"/>
  <c r="AO229" i="5"/>
  <c r="AO66" i="5"/>
  <c r="AO278" i="5"/>
  <c r="AO144" i="5"/>
  <c r="AO102" i="5"/>
  <c r="AO101" i="5"/>
  <c r="AO100" i="5"/>
  <c r="AO194" i="5"/>
  <c r="AO158" i="5"/>
  <c r="AO103" i="5"/>
  <c r="AO104" i="5"/>
  <c r="AO351" i="5"/>
  <c r="AO348" i="5"/>
  <c r="AO315" i="5"/>
  <c r="AO312" i="5"/>
  <c r="AO316" i="5"/>
  <c r="AO311" i="5"/>
  <c r="AO314" i="5"/>
  <c r="AO313" i="5"/>
  <c r="AO310" i="5"/>
  <c r="AO317" i="5"/>
  <c r="AO318" i="5"/>
  <c r="AO309" i="5"/>
  <c r="AO319" i="5"/>
  <c r="AO356" i="5"/>
  <c r="AO361" i="5"/>
  <c r="AO371" i="5"/>
  <c r="AO391" i="5"/>
  <c r="AO354" i="5"/>
  <c r="AO363" i="5"/>
  <c r="AO362" i="5"/>
  <c r="AO374" i="5"/>
  <c r="AO372" i="5"/>
  <c r="AO373" i="5"/>
  <c r="AO357" i="5"/>
  <c r="AO358" i="5"/>
  <c r="AO360" i="5"/>
  <c r="AO359" i="5"/>
  <c r="AO353" i="5"/>
  <c r="AO369" i="5"/>
  <c r="AO366" i="5"/>
  <c r="AO368" i="5"/>
  <c r="AO370" i="5"/>
  <c r="AO367" i="5"/>
  <c r="AO365" i="5"/>
  <c r="AO364" i="5"/>
  <c r="AO355" i="5"/>
  <c r="AO162" i="5"/>
  <c r="AO274" i="5"/>
  <c r="AO90" i="5"/>
  <c r="AO91" i="5"/>
  <c r="AO138" i="5"/>
  <c r="AO16" i="5"/>
  <c r="AO190" i="5"/>
  <c r="AO198" i="5"/>
  <c r="AO197" i="5"/>
  <c r="AO195" i="5"/>
  <c r="AO145" i="5"/>
  <c r="AO196" i="5"/>
  <c r="AO115" i="5"/>
  <c r="AO199" i="5"/>
  <c r="AO225" i="5"/>
  <c r="AO120" i="5"/>
  <c r="AO153" i="5"/>
  <c r="AO202" i="5"/>
  <c r="AO203" i="5"/>
  <c r="AO238" i="5"/>
  <c r="AO286" i="5"/>
  <c r="AO180" i="5"/>
  <c r="AO223" i="5"/>
  <c r="AO188" i="5"/>
  <c r="AO209" i="5"/>
  <c r="AO204" i="5"/>
  <c r="AO106" i="5"/>
  <c r="AO140" i="5"/>
  <c r="AO77" i="5"/>
  <c r="AO403" i="5"/>
  <c r="AO205" i="5"/>
  <c r="AO206" i="5"/>
  <c r="AO235" i="5"/>
  <c r="AO236" i="5"/>
  <c r="AO111" i="5"/>
  <c r="AO239" i="5"/>
  <c r="AO112" i="5"/>
  <c r="AO113" i="5"/>
  <c r="AO179" i="5"/>
  <c r="AO207" i="5"/>
  <c r="AO252" i="5"/>
  <c r="AO164" i="5"/>
  <c r="AO237" i="5"/>
  <c r="AO285" i="5"/>
  <c r="AO250" i="5"/>
  <c r="AO118" i="5"/>
  <c r="AO201" i="5"/>
  <c r="AO294" i="5"/>
  <c r="AO23" i="5"/>
  <c r="AO411" i="5"/>
  <c r="AO167" i="5"/>
  <c r="AO24" i="5"/>
  <c r="AO208" i="5"/>
  <c r="AO273" i="5"/>
  <c r="AO6" i="5"/>
  <c r="AO154" i="5"/>
  <c r="AO152" i="5"/>
  <c r="AO396" i="5"/>
  <c r="AO7" i="5"/>
  <c r="AO114" i="5"/>
  <c r="AO76" i="5"/>
  <c r="AO232" i="5"/>
  <c r="AO80" i="5"/>
  <c r="AO148" i="5"/>
  <c r="AO192" i="5"/>
  <c r="AO222" i="5"/>
  <c r="AO135" i="5"/>
  <c r="AO193" i="5"/>
  <c r="AO121" i="5"/>
  <c r="AO137" i="5"/>
  <c r="AO174" i="5"/>
  <c r="AO175" i="5"/>
  <c r="AO181" i="5"/>
  <c r="AO183" i="5"/>
  <c r="AO185" i="5"/>
  <c r="AO395" i="5"/>
  <c r="AO132" i="5"/>
  <c r="AO211" i="5"/>
  <c r="AO215" i="5"/>
  <c r="AO168" i="5"/>
  <c r="AO88" i="5"/>
  <c r="AO269" i="5"/>
  <c r="AO213" i="5"/>
  <c r="AO210" i="5"/>
  <c r="AO212" i="5"/>
  <c r="AO160" i="5"/>
  <c r="AO161" i="5"/>
  <c r="AO259" i="5"/>
  <c r="AO169" i="5"/>
  <c r="AO87" i="5"/>
  <c r="AO133" i="5"/>
  <c r="AO240" i="5"/>
  <c r="AO230" i="5"/>
  <c r="AO146" i="5"/>
  <c r="AO170" i="5"/>
  <c r="AO159" i="5"/>
  <c r="AO139" i="5"/>
  <c r="AO187" i="5"/>
  <c r="AO227" i="5"/>
  <c r="AO389" i="5"/>
  <c r="AO142" i="5"/>
  <c r="AO217" i="5"/>
  <c r="AO156" i="5"/>
  <c r="AO228" i="5"/>
  <c r="AO127" i="5"/>
  <c r="AO216" i="5"/>
  <c r="AO231" i="5"/>
  <c r="AO218" i="5"/>
  <c r="AO124" i="5"/>
  <c r="AO134" i="5"/>
  <c r="AO182" i="5"/>
  <c r="AO219" i="5"/>
  <c r="AO220" i="5"/>
  <c r="AO221" i="5"/>
  <c r="AO214" i="5"/>
  <c r="AO105" i="5"/>
  <c r="AO147" i="5"/>
  <c r="AO149" i="5"/>
  <c r="AO143" i="5"/>
  <c r="AO61" i="5"/>
  <c r="AO117" i="5"/>
  <c r="AO130" i="5"/>
  <c r="AO150" i="5"/>
  <c r="AO176" i="5"/>
  <c r="AO177" i="5"/>
  <c r="AO189" i="5"/>
  <c r="AO226" i="5"/>
  <c r="AO31" i="5"/>
  <c r="AO234" i="5"/>
  <c r="AO34" i="5"/>
  <c r="AO242" i="5"/>
  <c r="AO393" i="5"/>
  <c r="AO375" i="5"/>
  <c r="AO383" i="5"/>
  <c r="AO382" i="5"/>
  <c r="AO377" i="5"/>
  <c r="AO380" i="5"/>
  <c r="AO385" i="5"/>
  <c r="AO384" i="5"/>
  <c r="AO376" i="5"/>
  <c r="AO379" i="5"/>
  <c r="AO378" i="5"/>
  <c r="AO381" i="5"/>
  <c r="AO272" i="5"/>
  <c r="AO414" i="5"/>
  <c r="AO299" i="5"/>
  <c r="AO30" i="5"/>
  <c r="C2" i="7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32" i="1"/>
  <c r="BA88" i="1"/>
  <c r="BA87" i="1"/>
  <c r="BA143" i="1"/>
  <c r="BA141" i="1"/>
  <c r="BA145" i="1"/>
  <c r="BA146" i="1"/>
  <c r="BA147" i="1"/>
  <c r="BA148" i="1"/>
  <c r="BA327" i="1"/>
  <c r="BA338" i="1"/>
  <c r="BA339" i="1"/>
  <c r="BA431" i="1"/>
  <c r="BA3" i="1"/>
  <c r="BA4" i="1"/>
  <c r="BA14" i="1"/>
  <c r="BA16" i="1"/>
  <c r="BA15" i="1"/>
  <c r="BA17" i="1"/>
  <c r="BA31" i="1"/>
  <c r="BA41" i="1"/>
  <c r="BA39" i="1"/>
  <c r="BA44" i="1"/>
  <c r="BA48" i="1"/>
  <c r="BA49" i="1"/>
  <c r="BA50" i="1"/>
  <c r="BA51" i="1"/>
  <c r="BA40" i="1"/>
  <c r="BA46" i="1"/>
  <c r="BA36" i="1"/>
  <c r="BA37" i="1"/>
  <c r="BA38" i="1"/>
  <c r="BA43" i="1"/>
  <c r="BA45" i="1"/>
  <c r="BA47" i="1"/>
  <c r="BA42" i="1"/>
  <c r="BA35" i="1"/>
  <c r="BA34" i="1"/>
  <c r="BA81" i="1"/>
  <c r="BA82" i="1"/>
  <c r="BA85" i="1"/>
  <c r="BA86" i="1"/>
  <c r="BA96" i="1"/>
  <c r="BA97" i="1"/>
  <c r="BA98" i="1"/>
  <c r="BA100" i="1"/>
  <c r="BA101" i="1"/>
  <c r="BA113" i="1"/>
  <c r="BA114" i="1"/>
  <c r="BA115" i="1"/>
  <c r="BA116" i="1"/>
  <c r="BA117" i="1"/>
  <c r="BA120" i="1"/>
  <c r="BA121" i="1"/>
  <c r="BA123" i="1"/>
  <c r="BA124" i="1"/>
  <c r="BA119" i="1"/>
  <c r="BA126" i="1"/>
  <c r="BA122" i="1"/>
  <c r="BA118" i="1"/>
  <c r="BA127" i="1"/>
  <c r="BA125" i="1"/>
  <c r="BA135" i="1"/>
  <c r="BA150" i="1"/>
  <c r="BA142" i="1"/>
  <c r="BA136" i="1"/>
  <c r="BA149" i="1"/>
  <c r="BA137" i="1"/>
  <c r="BA138" i="1"/>
  <c r="BA139" i="1"/>
  <c r="BA140" i="1"/>
  <c r="BA166" i="1"/>
  <c r="BA168" i="1"/>
  <c r="BA169" i="1"/>
  <c r="BA167" i="1"/>
  <c r="BA188" i="1"/>
  <c r="BA189" i="1"/>
  <c r="BA192" i="1"/>
  <c r="BA193" i="1"/>
  <c r="BA204" i="1"/>
  <c r="BA214" i="1"/>
  <c r="BA215" i="1"/>
  <c r="BA216" i="1"/>
  <c r="BA447" i="1"/>
  <c r="BA451" i="1"/>
  <c r="BA450" i="1"/>
  <c r="BA449" i="1"/>
  <c r="BA448" i="1"/>
  <c r="BA231" i="1"/>
  <c r="BA232" i="1"/>
  <c r="BA234" i="1"/>
  <c r="BA233" i="1"/>
  <c r="BA239" i="1"/>
  <c r="BA240" i="1"/>
  <c r="BA248" i="1"/>
  <c r="BA247" i="1"/>
  <c r="BA246" i="1"/>
  <c r="BA255" i="1"/>
  <c r="BA256" i="1"/>
  <c r="BA458" i="1"/>
  <c r="BA457" i="1"/>
  <c r="BA459" i="1"/>
  <c r="BA508" i="1"/>
  <c r="BA509" i="1"/>
  <c r="BA510" i="1"/>
  <c r="BA511" i="1"/>
  <c r="BA512" i="1"/>
  <c r="BA513" i="1"/>
  <c r="BA274" i="1"/>
  <c r="BA275" i="1"/>
  <c r="BA276" i="1"/>
  <c r="BA277" i="1"/>
  <c r="BA278" i="1"/>
  <c r="BA279" i="1"/>
  <c r="BA308" i="1"/>
  <c r="BA309" i="1"/>
  <c r="BA312" i="1"/>
  <c r="BA311" i="1"/>
  <c r="BA310" i="1"/>
  <c r="BA314" i="1"/>
  <c r="BA315" i="1"/>
  <c r="BA316" i="1"/>
  <c r="BA319" i="1"/>
  <c r="BA320" i="1"/>
  <c r="BA321" i="1"/>
  <c r="BA322" i="1"/>
  <c r="BA325" i="1"/>
  <c r="BA326" i="1"/>
  <c r="BA330" i="1"/>
  <c r="BA332" i="1"/>
  <c r="BA331" i="1"/>
  <c r="BA333" i="1"/>
  <c r="BA334" i="1"/>
  <c r="BA341" i="1"/>
  <c r="BA342" i="1"/>
  <c r="BA343" i="1"/>
  <c r="BA335" i="1"/>
  <c r="BA336" i="1"/>
  <c r="BA364" i="1"/>
  <c r="BA365" i="1"/>
  <c r="BA369" i="1"/>
  <c r="BA370" i="1"/>
  <c r="BA371" i="1"/>
  <c r="BA372" i="1"/>
  <c r="BA373" i="1"/>
  <c r="BA386" i="1"/>
  <c r="BA387" i="1"/>
  <c r="BA395" i="1"/>
  <c r="BA397" i="1"/>
  <c r="BA396" i="1"/>
  <c r="BA398" i="1"/>
  <c r="BA399" i="1"/>
  <c r="BA400" i="1"/>
  <c r="BA401" i="1"/>
  <c r="BA402" i="1"/>
  <c r="BA403" i="1"/>
  <c r="BA424" i="1"/>
  <c r="BA425" i="1"/>
  <c r="BA522" i="1"/>
  <c r="BA524" i="1"/>
  <c r="BA523" i="1"/>
  <c r="BA526" i="1"/>
  <c r="BA527" i="1"/>
  <c r="BA528" i="1"/>
  <c r="BA529" i="1"/>
  <c r="BA525" i="1"/>
  <c r="BA430" i="1"/>
  <c r="BA33" i="1"/>
  <c r="AZ33" i="1"/>
  <c r="AA3" i="2"/>
  <c r="AD3" i="2"/>
  <c r="AE3" i="2"/>
  <c r="AF3" i="2"/>
  <c r="AG3" i="2"/>
  <c r="AH3" i="2"/>
  <c r="AI3" i="2"/>
  <c r="AJ3" i="2"/>
  <c r="AK3" i="2"/>
  <c r="AL3" i="2"/>
  <c r="AM3" i="2"/>
  <c r="AZ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C188" i="1"/>
  <c r="BB188" i="1"/>
  <c r="AZ188" i="1"/>
  <c r="BB339" i="1"/>
  <c r="BB4" i="1"/>
  <c r="BB17" i="1"/>
  <c r="BB336" i="1"/>
  <c r="BB338" i="1"/>
  <c r="BB341" i="1"/>
  <c r="BB342" i="1"/>
  <c r="BB343" i="1"/>
  <c r="BB364" i="1"/>
  <c r="BB46" i="1"/>
  <c r="BB47" i="1"/>
  <c r="BB48" i="1"/>
  <c r="BB49" i="1"/>
  <c r="BB50" i="1"/>
  <c r="BB51" i="1"/>
  <c r="BB81" i="1"/>
  <c r="BB82" i="1"/>
  <c r="BB85" i="1"/>
  <c r="BB86" i="1"/>
  <c r="BB87" i="1"/>
  <c r="BB88" i="1"/>
  <c r="BB96" i="1"/>
  <c r="BB97" i="1"/>
  <c r="BB98" i="1"/>
  <c r="BB100" i="1"/>
  <c r="BB101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35" i="1"/>
  <c r="BB136" i="1"/>
  <c r="BB137" i="1"/>
  <c r="BB138" i="1"/>
  <c r="BB139" i="1"/>
  <c r="BB140" i="1"/>
  <c r="BB141" i="1"/>
  <c r="BB142" i="1"/>
  <c r="BB143" i="1"/>
  <c r="BB145" i="1"/>
  <c r="BB146" i="1"/>
  <c r="BB147" i="1"/>
  <c r="BB148" i="1"/>
  <c r="BB149" i="1"/>
  <c r="BB150" i="1"/>
  <c r="BB166" i="1"/>
  <c r="BB167" i="1"/>
  <c r="BB168" i="1"/>
  <c r="BB169" i="1"/>
  <c r="BB192" i="1"/>
  <c r="BB193" i="1"/>
  <c r="BB204" i="1"/>
  <c r="BB214" i="1"/>
  <c r="BB215" i="1"/>
  <c r="BB216" i="1"/>
  <c r="BB447" i="1"/>
  <c r="BB448" i="1"/>
  <c r="BB449" i="1"/>
  <c r="BB450" i="1"/>
  <c r="BB451" i="1"/>
  <c r="BB231" i="1"/>
  <c r="BB232" i="1"/>
  <c r="BB233" i="1"/>
  <c r="BB234" i="1"/>
  <c r="BB239" i="1"/>
  <c r="BB240" i="1"/>
  <c r="BB246" i="1"/>
  <c r="BB247" i="1"/>
  <c r="BB248" i="1"/>
  <c r="BB255" i="1"/>
  <c r="BB256" i="1"/>
  <c r="BB457" i="1"/>
  <c r="BB458" i="1"/>
  <c r="BB459" i="1"/>
  <c r="BB508" i="1"/>
  <c r="BB509" i="1"/>
  <c r="BB510" i="1"/>
  <c r="BB511" i="1"/>
  <c r="BB512" i="1"/>
  <c r="BB513" i="1"/>
  <c r="BB274" i="1"/>
  <c r="BB275" i="1"/>
  <c r="BB276" i="1"/>
  <c r="BB277" i="1"/>
  <c r="BB278" i="1"/>
  <c r="BB279" i="1"/>
  <c r="BB308" i="1"/>
  <c r="BB309" i="1"/>
  <c r="BB310" i="1"/>
  <c r="BB311" i="1"/>
  <c r="BB312" i="1"/>
  <c r="BB314" i="1"/>
  <c r="BB315" i="1"/>
  <c r="BB316" i="1"/>
  <c r="BB319" i="1"/>
  <c r="BB320" i="1"/>
  <c r="BB321" i="1"/>
  <c r="BB322" i="1"/>
  <c r="BB325" i="1"/>
  <c r="BB326" i="1"/>
  <c r="BB327" i="1"/>
  <c r="BB330" i="1"/>
  <c r="BB331" i="1"/>
  <c r="BB332" i="1"/>
  <c r="BB333" i="1"/>
  <c r="BB334" i="1"/>
  <c r="BB335" i="1"/>
  <c r="BB43" i="1"/>
  <c r="BB44" i="1"/>
  <c r="BB45" i="1"/>
  <c r="AZ43" i="1"/>
  <c r="AZ338" i="1"/>
  <c r="AZ339" i="1"/>
  <c r="AZ341" i="1"/>
  <c r="AZ342" i="1"/>
  <c r="AZ343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T2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BC248" i="1"/>
  <c r="BC247" i="1"/>
  <c r="BC42" i="1"/>
  <c r="BC127" i="1"/>
  <c r="BC343" i="1"/>
  <c r="BC459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155" i="4"/>
  <c r="AF132" i="4"/>
  <c r="AF161" i="4"/>
  <c r="AF92" i="4"/>
  <c r="AF292" i="4"/>
  <c r="AF163" i="4"/>
  <c r="AF164" i="4"/>
  <c r="AF101" i="4"/>
  <c r="AF6" i="4"/>
  <c r="AF282" i="4"/>
  <c r="AF270" i="4"/>
  <c r="AF129" i="4"/>
  <c r="AF178" i="4"/>
  <c r="AF173" i="4"/>
  <c r="AF175" i="4"/>
  <c r="AF176" i="4"/>
  <c r="AF303" i="4"/>
  <c r="AF78" i="4"/>
  <c r="AF48" i="4"/>
  <c r="AF174" i="4"/>
  <c r="AF211" i="4"/>
  <c r="AF212" i="4"/>
  <c r="AF140" i="4"/>
  <c r="AF79" i="4"/>
  <c r="AF179" i="4"/>
  <c r="AF177" i="4"/>
  <c r="AF186" i="4"/>
  <c r="AF204" i="4"/>
  <c r="AF205" i="4"/>
  <c r="AF76" i="4"/>
  <c r="AF130" i="4"/>
  <c r="AF221" i="4"/>
  <c r="AF220" i="4"/>
  <c r="AF274" i="4"/>
  <c r="AF275" i="4"/>
  <c r="AF120" i="4"/>
  <c r="AF187" i="4"/>
  <c r="AF89" i="4"/>
  <c r="AF90" i="4"/>
  <c r="AF122" i="4"/>
  <c r="AF121" i="4"/>
  <c r="AF253" i="4"/>
  <c r="AF262" i="4"/>
  <c r="AF239" i="4"/>
  <c r="AF182" i="4"/>
  <c r="AF95" i="4"/>
  <c r="AF100" i="4"/>
  <c r="AF94" i="4"/>
  <c r="AF189" i="4"/>
  <c r="AF188" i="4"/>
  <c r="AF131" i="4"/>
  <c r="AF99" i="4"/>
  <c r="AF159" i="4"/>
  <c r="AF113" i="4"/>
  <c r="AF160" i="4"/>
  <c r="AF52" i="4"/>
  <c r="AF53" i="4"/>
  <c r="AF119" i="4"/>
  <c r="AF50" i="4"/>
  <c r="AF96" i="4"/>
  <c r="AF97" i="4"/>
  <c r="AF29" i="4"/>
  <c r="AF134" i="4"/>
  <c r="AF136" i="4"/>
  <c r="AF137" i="4"/>
  <c r="AF208" i="4"/>
  <c r="AF8" i="4"/>
  <c r="AF9" i="4"/>
  <c r="AF7" i="4"/>
  <c r="AF133" i="4"/>
  <c r="AF257" i="4"/>
  <c r="AF237" i="4"/>
  <c r="AF251" i="4"/>
  <c r="AF124" i="4"/>
  <c r="AF5" i="4"/>
  <c r="AF278" i="4"/>
  <c r="AF300" i="4"/>
  <c r="AF276" i="4"/>
  <c r="AF245" i="4"/>
  <c r="AF248" i="4"/>
  <c r="AF268" i="4"/>
  <c r="AF243" i="4"/>
  <c r="AF17" i="4"/>
  <c r="AF62" i="4"/>
  <c r="AF295" i="4"/>
  <c r="AF296" i="4"/>
  <c r="AF30" i="4"/>
  <c r="AF68" i="4"/>
  <c r="AF279" i="4"/>
  <c r="AF156" i="4"/>
  <c r="AF207" i="4"/>
  <c r="AF102" i="4"/>
  <c r="AF242" i="4"/>
  <c r="AF244" i="4"/>
  <c r="AF146" i="4"/>
  <c r="AF148" i="4"/>
  <c r="AF290" i="4"/>
  <c r="AF142" i="4"/>
  <c r="AF147" i="4"/>
  <c r="AF286" i="4"/>
  <c r="AF260" i="4"/>
  <c r="AF149" i="4"/>
  <c r="AF117" i="4"/>
  <c r="AF217" i="4"/>
  <c r="AF194" i="4"/>
  <c r="AF259" i="4"/>
  <c r="AF31" i="4"/>
  <c r="AF77" i="4"/>
  <c r="AF191" i="4"/>
  <c r="AF214" i="4"/>
  <c r="AF254" i="4"/>
  <c r="AF81" i="4"/>
  <c r="AF28" i="4"/>
  <c r="AF190" i="4"/>
  <c r="AF12" i="4"/>
  <c r="AF283" i="4"/>
  <c r="AF289" i="4"/>
  <c r="AF11" i="4"/>
  <c r="AF301" i="4"/>
  <c r="AF255" i="4"/>
  <c r="AF256" i="4"/>
  <c r="AF284" i="4"/>
  <c r="AF285" i="4"/>
  <c r="AF200" i="4"/>
  <c r="AF222" i="4"/>
  <c r="AF232" i="4"/>
  <c r="AF302" i="4"/>
  <c r="AF299" i="4"/>
  <c r="AF250" i="4"/>
  <c r="AF252" i="4"/>
  <c r="AF198" i="4"/>
  <c r="AF145" i="4"/>
  <c r="AF195" i="4"/>
  <c r="AF234" i="4"/>
  <c r="AF241" i="4"/>
  <c r="AF226" i="4"/>
  <c r="AF235" i="4"/>
  <c r="AF126" i="4"/>
  <c r="AF233" i="4"/>
  <c r="AF265" i="4"/>
  <c r="AF240" i="4"/>
  <c r="AF294" i="4"/>
  <c r="AF227" i="4"/>
  <c r="AF115" i="4"/>
  <c r="AF127" i="4"/>
  <c r="AF128" i="4"/>
  <c r="AF215" i="4"/>
  <c r="AF169" i="4"/>
  <c r="AF170" i="4"/>
  <c r="AF171" i="4"/>
  <c r="AF84" i="4"/>
  <c r="AF55" i="4"/>
  <c r="AF57" i="4"/>
  <c r="AF206" i="4"/>
  <c r="AF197" i="4"/>
  <c r="AF116" i="4"/>
  <c r="AF219" i="4"/>
  <c r="AF56" i="4"/>
  <c r="AF93" i="4"/>
  <c r="AF54" i="4"/>
  <c r="AF58" i="4"/>
  <c r="AF60" i="4"/>
  <c r="AF23" i="4"/>
  <c r="AF105" i="4"/>
  <c r="AF47" i="4"/>
  <c r="AF103" i="4"/>
  <c r="AF74" i="4"/>
  <c r="AF185" i="4"/>
  <c r="AF66" i="4"/>
  <c r="AF64" i="4"/>
  <c r="AF65" i="4"/>
  <c r="AF14" i="4"/>
  <c r="AF41" i="4"/>
  <c r="AF108" i="4"/>
  <c r="AF32" i="4"/>
  <c r="AF61" i="4"/>
  <c r="AF158" i="4"/>
  <c r="AF106" i="4"/>
  <c r="AF18" i="4"/>
  <c r="AF110" i="4"/>
  <c r="AF112" i="4"/>
  <c r="AF40" i="4"/>
  <c r="AF37" i="4"/>
  <c r="AF192" i="4"/>
  <c r="AF27" i="4"/>
  <c r="AF224" i="4"/>
  <c r="AF216" i="4"/>
  <c r="AF199" i="4"/>
  <c r="AF213" i="4"/>
  <c r="AF10" i="4"/>
  <c r="AF183" i="4"/>
  <c r="AF196" i="4"/>
  <c r="AF193" i="4"/>
  <c r="AF73" i="4"/>
  <c r="AF59" i="4"/>
  <c r="AF63" i="4"/>
  <c r="AF135" i="4"/>
  <c r="AF269" i="4"/>
  <c r="AF203" i="4"/>
  <c r="AF223" i="4"/>
  <c r="AF172" i="4"/>
  <c r="AF24" i="4"/>
  <c r="AF46" i="4"/>
  <c r="AF154" i="4"/>
  <c r="AF184" i="4"/>
  <c r="AF125" i="4"/>
  <c r="AF13" i="4"/>
  <c r="AF264" i="4"/>
  <c r="AF16" i="4"/>
  <c r="AF111" i="4"/>
  <c r="AF225" i="4"/>
  <c r="AF258" i="4"/>
  <c r="AF26" i="4"/>
  <c r="AF210" i="4"/>
  <c r="AF75" i="4"/>
  <c r="AF83" i="4"/>
  <c r="AF209" i="4"/>
  <c r="AF34" i="4"/>
  <c r="AF152" i="4"/>
  <c r="AF150" i="4"/>
  <c r="AF151" i="4"/>
  <c r="AF45" i="4"/>
  <c r="AF228" i="4"/>
  <c r="AF229" i="4"/>
  <c r="AF82" i="4"/>
  <c r="AF231" i="4"/>
  <c r="AF21" i="4"/>
  <c r="AF291" i="4"/>
  <c r="AF118" i="4"/>
  <c r="AF298" i="4"/>
  <c r="AF15" i="4"/>
  <c r="AF22" i="4"/>
  <c r="AF166" i="4"/>
  <c r="AF51" i="4"/>
  <c r="AF280" i="4"/>
  <c r="AF153" i="4"/>
  <c r="AF167" i="4"/>
  <c r="AF168" i="4"/>
  <c r="AF165" i="4"/>
  <c r="AF202" i="4"/>
  <c r="AF86" i="4"/>
  <c r="AF87" i="4"/>
  <c r="AF88" i="4"/>
  <c r="AF72" i="4"/>
  <c r="AF91" i="4"/>
  <c r="AF104" i="4"/>
  <c r="AF20" i="4"/>
  <c r="AF246" i="4"/>
  <c r="AF277" i="4"/>
  <c r="AF109" i="4"/>
  <c r="AF67" i="4"/>
  <c r="AF180" i="4"/>
  <c r="AF143" i="4"/>
  <c r="AF144" i="4"/>
  <c r="AF181" i="4"/>
  <c r="AF141" i="4"/>
  <c r="AF19" i="4"/>
  <c r="AF297" i="4"/>
  <c r="AF201" i="4"/>
  <c r="AF238" i="4"/>
  <c r="AF263" i="4"/>
  <c r="AF43" i="4"/>
  <c r="AF42" i="4"/>
  <c r="AF107" i="4"/>
  <c r="AF35" i="4"/>
  <c r="AF36" i="4"/>
  <c r="AF39" i="4"/>
  <c r="AF49" i="4"/>
  <c r="AF38" i="4"/>
  <c r="AF281" i="4"/>
  <c r="AF98" i="4"/>
  <c r="AF123" i="4"/>
  <c r="AF230" i="4"/>
  <c r="AF249" i="4"/>
  <c r="AF271" i="4"/>
  <c r="AF114" i="4"/>
  <c r="AF157" i="4"/>
  <c r="AF162" i="4"/>
  <c r="AF44" i="4"/>
  <c r="AF261" i="4"/>
  <c r="AF33" i="4"/>
  <c r="AF85" i="4"/>
  <c r="AF80" i="4"/>
  <c r="AF25" i="4"/>
  <c r="AF272" i="4"/>
  <c r="AF138" i="4"/>
  <c r="AF139" i="4"/>
  <c r="AF247" i="4"/>
  <c r="AF273" i="4"/>
  <c r="AF69" i="4"/>
  <c r="AF288" i="4"/>
  <c r="AF218" i="4"/>
  <c r="AF308" i="4"/>
  <c r="AF312" i="4"/>
  <c r="AF309" i="4"/>
  <c r="AF310" i="4"/>
  <c r="AF305" i="4"/>
  <c r="AF306" i="4"/>
  <c r="AF304" i="4"/>
  <c r="AF307" i="4"/>
  <c r="AF315" i="4"/>
  <c r="AF316" i="4"/>
  <c r="AF317" i="4"/>
  <c r="AF313" i="4"/>
  <c r="AF319" i="4"/>
  <c r="AF311" i="4"/>
  <c r="AF318" i="4"/>
  <c r="AF340" i="4"/>
  <c r="AF341" i="4"/>
  <c r="AF342" i="4"/>
  <c r="AF339" i="4"/>
  <c r="AF337" i="4"/>
  <c r="AF338" i="4"/>
  <c r="AF323" i="4"/>
  <c r="AF332" i="4"/>
  <c r="AF333" i="4"/>
  <c r="AF334" i="4"/>
  <c r="AF335" i="4"/>
  <c r="AF320" i="4"/>
  <c r="AF336" i="4"/>
  <c r="AF327" i="4"/>
  <c r="AF347" i="4"/>
  <c r="AF329" i="4"/>
  <c r="AF328" i="4"/>
  <c r="AF331" i="4"/>
  <c r="AF322" i="4"/>
  <c r="AF330" i="4"/>
  <c r="AF351" i="4"/>
  <c r="AF344" i="4"/>
  <c r="AF345" i="4"/>
  <c r="AF343" i="4"/>
  <c r="AF321" i="4"/>
  <c r="AF346" i="4"/>
  <c r="AF324" i="4"/>
  <c r="AF325" i="4"/>
  <c r="AF326" i="4"/>
  <c r="AF352" i="4"/>
  <c r="AF350" i="4"/>
  <c r="AF348" i="4"/>
  <c r="AF349" i="4"/>
  <c r="AF366" i="4"/>
  <c r="AF367" i="4"/>
  <c r="AF373" i="4"/>
  <c r="AF368" i="4"/>
  <c r="AF374" i="4"/>
  <c r="AF365" i="4"/>
  <c r="AF362" i="4"/>
  <c r="AF356" i="4"/>
  <c r="AF360" i="4"/>
  <c r="AF355" i="4"/>
  <c r="AF363" i="4"/>
  <c r="AF364" i="4"/>
  <c r="AF369" i="4"/>
  <c r="AF370" i="4"/>
  <c r="AF371" i="4"/>
  <c r="AF372" i="4"/>
  <c r="AF361" i="4"/>
  <c r="AF357" i="4"/>
  <c r="AF358" i="4"/>
  <c r="AF359" i="4"/>
  <c r="AF353" i="4"/>
  <c r="AF354" i="4"/>
  <c r="AF376" i="4"/>
  <c r="AF382" i="4"/>
  <c r="AF383" i="4"/>
  <c r="AF384" i="4"/>
  <c r="AF378" i="4"/>
  <c r="AF375" i="4"/>
  <c r="AF381" i="4"/>
  <c r="AF379" i="4"/>
  <c r="AF380" i="4"/>
  <c r="AF377" i="4"/>
  <c r="AF386" i="4"/>
  <c r="AF392" i="4"/>
  <c r="AF389" i="4"/>
  <c r="AF391" i="4"/>
  <c r="AF388" i="4"/>
  <c r="AF390" i="4"/>
  <c r="AF396" i="4"/>
  <c r="AF401" i="4"/>
  <c r="AF414" i="4"/>
  <c r="AF403" i="4"/>
  <c r="AF404" i="4"/>
  <c r="AF405" i="4"/>
  <c r="AF406" i="4"/>
  <c r="AF409" i="4"/>
  <c r="AF410" i="4"/>
  <c r="AF411" i="4"/>
  <c r="AF413" i="4"/>
  <c r="AF393" i="4"/>
  <c r="AF395" i="4"/>
  <c r="AF402" i="4"/>
  <c r="AF394" i="4"/>
  <c r="AF397" i="4"/>
  <c r="AF398" i="4"/>
  <c r="AF399" i="4"/>
  <c r="AF408" i="4"/>
  <c r="AF400" i="4"/>
  <c r="AF412" i="4"/>
  <c r="AF415" i="4"/>
  <c r="AF416" i="4"/>
  <c r="AF417" i="4"/>
  <c r="AF407" i="4"/>
  <c r="AF293" i="4"/>
  <c r="AE249" i="4"/>
  <c r="BC119" i="5"/>
  <c r="B9" i="3"/>
  <c r="C9" i="3"/>
  <c r="E9" i="3"/>
  <c r="B11" i="3"/>
  <c r="C11" i="3"/>
  <c r="E11" i="3"/>
  <c r="I11" i="3"/>
  <c r="J11" i="3"/>
  <c r="AA2" i="2"/>
  <c r="AD2" i="2"/>
  <c r="AE2" i="2"/>
  <c r="AF2" i="2"/>
  <c r="AG2" i="2"/>
  <c r="AH2" i="2"/>
  <c r="AI2" i="2"/>
  <c r="AK2" i="2"/>
  <c r="AL2" i="2"/>
  <c r="AM2" i="2"/>
  <c r="D67" i="6"/>
  <c r="D207" i="6"/>
  <c r="D90" i="6"/>
  <c r="D91" i="6"/>
  <c r="D98" i="6"/>
  <c r="D100" i="6"/>
  <c r="D107" i="6"/>
  <c r="D109" i="6"/>
  <c r="D117" i="6"/>
  <c r="D124" i="6"/>
  <c r="D125" i="6"/>
  <c r="D126" i="6"/>
  <c r="D161" i="6"/>
  <c r="D166" i="6"/>
  <c r="D142" i="6"/>
  <c r="D169" i="6"/>
  <c r="D127" i="6"/>
  <c r="D145" i="6"/>
  <c r="D57" i="6"/>
  <c r="D14" i="6"/>
  <c r="D128" i="6"/>
  <c r="D245" i="6"/>
  <c r="D79" i="6"/>
  <c r="D113" i="6"/>
  <c r="D155" i="6"/>
  <c r="D146" i="6"/>
  <c r="D219" i="6"/>
  <c r="D202" i="6"/>
  <c r="D220" i="6"/>
  <c r="D129" i="6"/>
  <c r="D204" i="6"/>
  <c r="D149" i="6"/>
  <c r="D150" i="6"/>
  <c r="D151" i="6"/>
  <c r="D283" i="6"/>
  <c r="D229" i="6"/>
  <c r="D230" i="6"/>
  <c r="D231" i="6"/>
  <c r="D299" i="6"/>
  <c r="D160" i="6"/>
  <c r="D103" i="6"/>
  <c r="D225" i="6"/>
  <c r="D213" i="6"/>
  <c r="D215" i="6"/>
  <c r="D201" i="6"/>
  <c r="D235" i="6"/>
  <c r="D154" i="6"/>
  <c r="D179" i="6"/>
  <c r="D172" i="6"/>
  <c r="D173" i="6"/>
  <c r="D217" i="6"/>
  <c r="D260" i="6"/>
  <c r="D208" i="6"/>
  <c r="D209" i="6"/>
  <c r="D262" i="6"/>
  <c r="D237" i="6"/>
  <c r="D221" i="6"/>
  <c r="D203" i="6"/>
  <c r="D205" i="6"/>
  <c r="D227" i="6"/>
  <c r="D282" i="6"/>
  <c r="D44" i="6"/>
  <c r="D210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3" i="6"/>
  <c r="D71" i="6"/>
  <c r="D99" i="6"/>
  <c r="D101" i="6"/>
  <c r="D115" i="6"/>
  <c r="D116" i="6"/>
  <c r="D167" i="6"/>
  <c r="D168" i="6"/>
  <c r="D197" i="6"/>
  <c r="D144" i="6"/>
  <c r="D199" i="6"/>
  <c r="D77" i="6"/>
  <c r="D277" i="6"/>
  <c r="D216" i="6"/>
  <c r="D265" i="6"/>
  <c r="D178" i="6"/>
  <c r="D246" i="6"/>
  <c r="D147" i="6"/>
  <c r="D148" i="6"/>
  <c r="D222" i="6"/>
  <c r="D223" i="6"/>
  <c r="D224" i="6"/>
  <c r="D226" i="6"/>
  <c r="D206" i="6"/>
  <c r="D83" i="6"/>
  <c r="D174" i="6"/>
  <c r="D175" i="6"/>
  <c r="D185" i="6"/>
  <c r="D186" i="6"/>
  <c r="D86" i="6"/>
  <c r="D70" i="6"/>
  <c r="D106" i="6"/>
  <c r="D96" i="6"/>
  <c r="D97" i="6"/>
  <c r="D108" i="6"/>
  <c r="D110" i="6"/>
  <c r="D111" i="6"/>
  <c r="D112" i="6"/>
  <c r="D263" i="6"/>
  <c r="D238" i="6"/>
  <c r="D239" i="6"/>
  <c r="D281" i="6"/>
  <c r="D158" i="6"/>
  <c r="D84" i="6"/>
  <c r="D159" i="6"/>
  <c r="D184" i="6"/>
  <c r="D176" i="6"/>
  <c r="D212" i="6"/>
  <c r="D135" i="6"/>
  <c r="D59" i="6"/>
  <c r="D218" i="6"/>
  <c r="D180" i="6"/>
  <c r="D156" i="6"/>
  <c r="D252" i="6"/>
  <c r="D280" i="6"/>
  <c r="D182" i="6"/>
  <c r="D39" i="6"/>
  <c r="D104" i="6"/>
  <c r="D31" i="6"/>
  <c r="D198" i="6"/>
  <c r="D24" i="6"/>
  <c r="D38" i="6"/>
  <c r="D25" i="6"/>
  <c r="D119" i="6"/>
  <c r="D121" i="6"/>
  <c r="D26" i="6"/>
  <c r="D32" i="6"/>
  <c r="D191" i="6"/>
  <c r="D33" i="6"/>
  <c r="D187" i="6"/>
  <c r="D190" i="6"/>
  <c r="D193" i="6"/>
  <c r="D196" i="6"/>
  <c r="D258" i="6"/>
  <c r="D269" i="6"/>
  <c r="D35" i="6"/>
  <c r="D291" i="6"/>
  <c r="D271" i="6"/>
  <c r="D272" i="6"/>
  <c r="D63" i="6"/>
  <c r="D60" i="6"/>
  <c r="D61" i="6"/>
  <c r="D15" i="6"/>
  <c r="D36" i="6"/>
  <c r="D131" i="6"/>
  <c r="D273" i="6"/>
  <c r="D13" i="6"/>
  <c r="D236" i="6"/>
  <c r="D162" i="6"/>
  <c r="D276" i="6"/>
  <c r="D256" i="6"/>
  <c r="D257" i="6"/>
  <c r="D228" i="6"/>
  <c r="D152" i="6"/>
  <c r="D270" i="6"/>
  <c r="D123" i="6"/>
  <c r="D183" i="6"/>
  <c r="D134" i="6"/>
  <c r="D264" i="6"/>
  <c r="D27" i="6"/>
  <c r="D28" i="6"/>
  <c r="D29" i="6"/>
  <c r="D30" i="6"/>
  <c r="D284" i="6"/>
  <c r="D285" i="6"/>
  <c r="D74" i="6"/>
  <c r="D286" i="6"/>
  <c r="D75" i="6"/>
  <c r="D76" i="6"/>
  <c r="D136" i="6"/>
  <c r="D287" i="6"/>
  <c r="D120" i="6"/>
  <c r="D78" i="6"/>
  <c r="D137" i="6"/>
  <c r="D138" i="6"/>
  <c r="D139" i="6"/>
  <c r="D244" i="6"/>
  <c r="D288" i="6"/>
  <c r="D289" i="6"/>
  <c r="D34" i="6"/>
  <c r="D153" i="6"/>
  <c r="D157" i="6"/>
  <c r="D164" i="6"/>
  <c r="D170" i="6"/>
  <c r="D171" i="6"/>
  <c r="D181" i="6"/>
  <c r="D232" i="6"/>
  <c r="D292" i="6"/>
  <c r="D293" i="6"/>
  <c r="D294" i="6"/>
  <c r="D296" i="6"/>
  <c r="D297" i="6"/>
  <c r="D278" i="6"/>
  <c r="D253" i="6"/>
  <c r="D130" i="6"/>
  <c r="D275" i="6"/>
  <c r="D255" i="6"/>
  <c r="D279" i="6"/>
  <c r="D240" i="6"/>
  <c r="D248" i="6"/>
  <c r="D249" i="6"/>
  <c r="D165" i="6"/>
  <c r="D259" i="6"/>
  <c r="D12" i="6"/>
  <c r="D214" i="6"/>
  <c r="D254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4" i="6"/>
  <c r="D105" i="6"/>
  <c r="D54" i="6"/>
  <c r="D55" i="6"/>
  <c r="D56" i="6"/>
  <c r="D132" i="6"/>
  <c r="D298" i="6"/>
  <c r="D211" i="6"/>
  <c r="D46" i="6"/>
  <c r="D200" i="6"/>
  <c r="D58" i="6"/>
  <c r="D251" i="6"/>
  <c r="D81" i="6"/>
  <c r="D266" i="6"/>
  <c r="D163" i="6"/>
  <c r="D290" i="6"/>
  <c r="D82" i="6"/>
  <c r="D188" i="6"/>
  <c r="D192" i="6"/>
  <c r="D267" i="6"/>
  <c r="D268" i="6"/>
  <c r="D16" i="6"/>
  <c r="D18" i="6"/>
  <c r="D19" i="6"/>
  <c r="D20" i="6"/>
  <c r="D102" i="6"/>
  <c r="D8" i="6"/>
  <c r="D143" i="6"/>
  <c r="D177" i="6"/>
  <c r="D73" i="6"/>
  <c r="D274" i="6"/>
  <c r="D241" i="6"/>
  <c r="D242" i="6"/>
  <c r="D243" i="6"/>
  <c r="D247" i="6"/>
  <c r="D250" i="6"/>
  <c r="D189" i="6"/>
  <c r="D194" i="6"/>
  <c r="D195" i="6"/>
  <c r="D17" i="6"/>
  <c r="D133" i="6"/>
  <c r="D122" i="6"/>
  <c r="D80" i="6"/>
  <c r="D37" i="6"/>
  <c r="D40" i="6"/>
  <c r="D41" i="6"/>
  <c r="D42" i="6"/>
  <c r="D45" i="6"/>
  <c r="D43" i="6"/>
  <c r="D309" i="6"/>
  <c r="D310" i="6"/>
  <c r="D311" i="6"/>
  <c r="D312" i="6"/>
  <c r="D305" i="6"/>
  <c r="D306" i="6"/>
  <c r="D307" i="6"/>
  <c r="D318" i="6"/>
  <c r="D304" i="6"/>
  <c r="D308" i="6"/>
  <c r="D317" i="6"/>
  <c r="D313" i="6"/>
  <c r="D314" i="6"/>
  <c r="D315" i="6"/>
  <c r="D316" i="6"/>
  <c r="D332" i="6"/>
  <c r="D333" i="6"/>
  <c r="D334" i="6"/>
  <c r="D320" i="6"/>
  <c r="D321" i="6"/>
  <c r="D322" i="6"/>
  <c r="D325" i="6"/>
  <c r="D330" i="6"/>
  <c r="D352" i="6"/>
  <c r="D331" i="6"/>
  <c r="D335" i="6"/>
  <c r="D347" i="6"/>
  <c r="D348" i="6"/>
  <c r="D323" i="6"/>
  <c r="D324" i="6"/>
  <c r="D326" i="6"/>
  <c r="D327" i="6"/>
  <c r="D328" i="6"/>
  <c r="D329" i="6"/>
  <c r="D336" i="6"/>
  <c r="D337" i="6"/>
  <c r="D338" i="6"/>
  <c r="D339" i="6"/>
  <c r="D340" i="6"/>
  <c r="D341" i="6"/>
  <c r="D342" i="6"/>
  <c r="D343" i="6"/>
  <c r="D344" i="6"/>
  <c r="D345" i="6"/>
  <c r="D346" i="6"/>
  <c r="D351" i="6"/>
  <c r="D349" i="6"/>
  <c r="D350" i="6"/>
  <c r="D355" i="6"/>
  <c r="D357" i="6"/>
  <c r="D359" i="6"/>
  <c r="D362" i="6"/>
  <c r="D366" i="6"/>
  <c r="D360" i="6"/>
  <c r="D363" i="6"/>
  <c r="D365" i="6"/>
  <c r="D356" i="6"/>
  <c r="D370" i="6"/>
  <c r="D371" i="6"/>
  <c r="D353" i="6"/>
  <c r="D367" i="6"/>
  <c r="D354" i="6"/>
  <c r="D372" i="6"/>
  <c r="D358" i="6"/>
  <c r="D361" i="6"/>
  <c r="D368" i="6"/>
  <c r="D369" i="6"/>
  <c r="D373" i="6"/>
  <c r="D374" i="6"/>
  <c r="D364" i="6"/>
  <c r="D380" i="6"/>
  <c r="D383" i="6"/>
  <c r="D375" i="6"/>
  <c r="D376" i="6"/>
  <c r="D377" i="6"/>
  <c r="D378" i="6"/>
  <c r="D379" i="6"/>
  <c r="D381" i="6"/>
  <c r="D382" i="6"/>
  <c r="D384" i="6"/>
  <c r="D385" i="6"/>
  <c r="D389" i="6"/>
  <c r="D388" i="6"/>
  <c r="D392" i="6"/>
  <c r="D391" i="6"/>
  <c r="D390" i="6"/>
  <c r="D397" i="6"/>
  <c r="D398" i="6"/>
  <c r="D399" i="6"/>
  <c r="D400" i="6"/>
  <c r="D404" i="6"/>
  <c r="D405" i="6"/>
  <c r="D406" i="6"/>
  <c r="D407" i="6"/>
  <c r="D403" i="6"/>
  <c r="D393" i="6"/>
  <c r="D395" i="6"/>
  <c r="D409" i="6"/>
  <c r="D408" i="6"/>
  <c r="D401" i="6"/>
  <c r="D402" i="6"/>
  <c r="D411" i="6"/>
  <c r="D416" i="6"/>
  <c r="D394" i="6"/>
  <c r="D415" i="6"/>
  <c r="D417" i="6"/>
  <c r="D410" i="6"/>
  <c r="D413" i="6"/>
  <c r="D396" i="6"/>
  <c r="D412" i="6"/>
  <c r="D414" i="6"/>
  <c r="D22" i="6"/>
  <c r="A171" i="8"/>
  <c r="C171" i="8"/>
  <c r="AZ204" i="1"/>
  <c r="BC204" i="1"/>
  <c r="AZ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K180" i="4"/>
  <c r="K143" i="4"/>
  <c r="K144" i="4"/>
  <c r="K181" i="4"/>
  <c r="K141" i="4"/>
  <c r="K50" i="4"/>
  <c r="K119" i="4"/>
  <c r="AM29" i="4"/>
  <c r="AM293" i="4"/>
  <c r="AM134" i="4"/>
  <c r="AM136" i="4"/>
  <c r="AM137" i="4"/>
  <c r="AM208" i="4"/>
  <c r="AM8" i="4"/>
  <c r="AM9" i="4"/>
  <c r="AM133" i="4"/>
  <c r="AM257" i="4"/>
  <c r="AM282" i="4"/>
  <c r="AM132" i="4"/>
  <c r="AM237" i="4"/>
  <c r="AM270" i="4"/>
  <c r="AM251" i="4"/>
  <c r="AM274" i="4"/>
  <c r="AM155" i="4"/>
  <c r="AM124" i="4"/>
  <c r="AM5" i="4"/>
  <c r="AM246" i="4"/>
  <c r="AM278" i="4"/>
  <c r="AM300" i="4"/>
  <c r="AM271" i="4"/>
  <c r="AM276" i="4"/>
  <c r="AM277" i="4"/>
  <c r="AM275" i="4"/>
  <c r="AM245" i="4"/>
  <c r="AM272" i="4"/>
  <c r="AM109" i="4"/>
  <c r="AM273" i="4"/>
  <c r="AM295" i="4"/>
  <c r="AM296" i="4"/>
  <c r="AM120" i="4"/>
  <c r="AM187" i="4"/>
  <c r="AM138" i="4"/>
  <c r="AM30" i="4"/>
  <c r="AM89" i="4"/>
  <c r="AM90" i="4"/>
  <c r="AM119" i="4"/>
  <c r="AM68" i="4"/>
  <c r="AM122" i="4"/>
  <c r="AM279" i="4"/>
  <c r="AM156" i="4"/>
  <c r="AM207" i="4"/>
  <c r="AM102" i="4"/>
  <c r="AM114" i="4"/>
  <c r="AM67" i="4"/>
  <c r="AM242" i="4"/>
  <c r="AM244" i="4"/>
  <c r="AM180" i="4"/>
  <c r="AM143" i="4"/>
  <c r="AM144" i="4"/>
  <c r="AM146" i="4"/>
  <c r="AM148" i="4"/>
  <c r="AM129" i="4"/>
  <c r="AM290" i="4"/>
  <c r="AM139" i="4"/>
  <c r="AM181" i="4"/>
  <c r="AM142" i="4"/>
  <c r="AM147" i="4"/>
  <c r="AM286" i="4"/>
  <c r="AM260" i="4"/>
  <c r="AM149" i="4"/>
  <c r="AM141" i="4"/>
  <c r="AM121" i="4"/>
  <c r="AM117" i="4"/>
  <c r="AM247" i="4"/>
  <c r="AM217" i="4"/>
  <c r="AM194" i="4"/>
  <c r="AM253" i="4"/>
  <c r="AM262" i="4"/>
  <c r="AM259" i="4"/>
  <c r="AM191" i="4"/>
  <c r="AM214" i="4"/>
  <c r="AM254" i="4"/>
  <c r="AM81" i="4"/>
  <c r="AM28" i="4"/>
  <c r="AM190" i="4"/>
  <c r="AM12" i="4"/>
  <c r="AM19" i="4"/>
  <c r="AM283" i="4"/>
  <c r="AM289" i="4"/>
  <c r="AM11" i="4"/>
  <c r="AM301" i="4"/>
  <c r="AM255" i="4"/>
  <c r="AM256" i="4"/>
  <c r="AM284" i="4"/>
  <c r="AM285" i="4"/>
  <c r="AM200" i="4"/>
  <c r="AM222" i="4"/>
  <c r="AM232" i="4"/>
  <c r="AM297" i="4"/>
  <c r="AM302" i="4"/>
  <c r="AM201" i="4"/>
  <c r="AM299" i="4"/>
  <c r="AM250" i="4"/>
  <c r="AM252" i="4"/>
  <c r="AM198" i="4"/>
  <c r="AM145" i="4"/>
  <c r="AM238" i="4"/>
  <c r="AM239" i="4"/>
  <c r="AM195" i="4"/>
  <c r="AM234" i="4"/>
  <c r="AM182" i="4"/>
  <c r="AM241" i="4"/>
  <c r="AM226" i="4"/>
  <c r="AM235" i="4"/>
  <c r="AM126" i="4"/>
  <c r="AM233" i="4"/>
  <c r="AM263" i="4"/>
  <c r="AM265" i="4"/>
  <c r="AM240" i="4"/>
  <c r="AM294" i="4"/>
  <c r="AM227" i="4"/>
  <c r="AM115" i="4"/>
  <c r="AM127" i="4"/>
  <c r="AM95" i="4"/>
  <c r="AM96" i="4"/>
  <c r="AM97" i="4"/>
  <c r="AM100" i="4"/>
  <c r="AM157" i="4"/>
  <c r="AM162" i="4"/>
  <c r="AM128" i="4"/>
  <c r="AM215" i="4"/>
  <c r="AM169" i="4"/>
  <c r="AM170" i="4"/>
  <c r="AM171" i="4"/>
  <c r="AM178" i="4"/>
  <c r="AM84" i="4"/>
  <c r="AM173" i="4"/>
  <c r="AM175" i="4"/>
  <c r="AM176" i="4"/>
  <c r="AM303" i="4"/>
  <c r="AM78" i="4"/>
  <c r="AM48" i="4"/>
  <c r="AM174" i="4"/>
  <c r="AM92" i="4"/>
  <c r="AM94" i="4"/>
  <c r="AM55" i="4"/>
  <c r="AM57" i="4"/>
  <c r="AM206" i="4"/>
  <c r="AM197" i="4"/>
  <c r="AM116" i="4"/>
  <c r="AM211" i="4"/>
  <c r="AM212" i="4"/>
  <c r="AM219" i="4"/>
  <c r="AM288" i="4"/>
  <c r="AM56" i="4"/>
  <c r="AM93" i="4"/>
  <c r="AM54" i="4"/>
  <c r="AM58" i="4"/>
  <c r="AM60" i="4"/>
  <c r="AM23" i="4"/>
  <c r="AM140" i="4"/>
  <c r="AM105" i="4"/>
  <c r="AM47" i="4"/>
  <c r="AM163" i="4"/>
  <c r="AM43" i="4"/>
  <c r="AM103" i="4"/>
  <c r="AM221" i="4"/>
  <c r="AM74" i="4"/>
  <c r="AM189" i="4"/>
  <c r="AM42" i="4"/>
  <c r="AM220" i="4"/>
  <c r="AM185" i="4"/>
  <c r="AM66" i="4"/>
  <c r="AM64" i="4"/>
  <c r="AM65" i="4"/>
  <c r="AM14" i="4"/>
  <c r="AM41" i="4"/>
  <c r="AM79" i="4"/>
  <c r="AM108" i="4"/>
  <c r="AM107" i="4"/>
  <c r="AM32" i="4"/>
  <c r="AM61" i="4"/>
  <c r="AM158" i="4"/>
  <c r="AM106" i="4"/>
  <c r="AM179" i="4"/>
  <c r="AM35" i="4"/>
  <c r="AM18" i="4"/>
  <c r="AM44" i="4"/>
  <c r="AM110" i="4"/>
  <c r="AM36" i="4"/>
  <c r="AM39" i="4"/>
  <c r="AM112" i="4"/>
  <c r="AM49" i="4"/>
  <c r="AM40" i="4"/>
  <c r="AM37" i="4"/>
  <c r="AM281" i="4"/>
  <c r="AM192" i="4"/>
  <c r="AM27" i="4"/>
  <c r="AM224" i="4"/>
  <c r="AM216" i="4"/>
  <c r="AM261" i="4"/>
  <c r="AM199" i="4"/>
  <c r="AM213" i="4"/>
  <c r="AM188" i="4"/>
  <c r="AM10" i="4"/>
  <c r="AM183" i="4"/>
  <c r="AM196" i="4"/>
  <c r="AM193" i="4"/>
  <c r="AM131" i="4"/>
  <c r="AM73" i="4"/>
  <c r="AM59" i="4"/>
  <c r="AM63" i="4"/>
  <c r="AM135" i="4"/>
  <c r="AM269" i="4"/>
  <c r="AM203" i="4"/>
  <c r="AM223" i="4"/>
  <c r="AM172" i="4"/>
  <c r="AM24" i="4"/>
  <c r="AM46" i="4"/>
  <c r="AM154" i="4"/>
  <c r="AM184" i="4"/>
  <c r="AM125" i="4"/>
  <c r="AM13" i="4"/>
  <c r="AM264" i="4"/>
  <c r="AM99" i="4"/>
  <c r="AM164" i="4"/>
  <c r="AM16" i="4"/>
  <c r="AM111" i="4"/>
  <c r="AM26" i="4"/>
  <c r="AM159" i="4"/>
  <c r="AM210" i="4"/>
  <c r="AM186" i="4"/>
  <c r="AM98" i="4"/>
  <c r="AM75" i="4"/>
  <c r="AM83" i="4"/>
  <c r="AM209" i="4"/>
  <c r="AM34" i="4"/>
  <c r="AM152" i="4"/>
  <c r="AM150" i="4"/>
  <c r="AM151" i="4"/>
  <c r="AM123" i="4"/>
  <c r="AM113" i="4"/>
  <c r="AM69" i="4"/>
  <c r="AM204" i="4"/>
  <c r="AM205" i="4"/>
  <c r="AM45" i="4"/>
  <c r="AM161" i="4"/>
  <c r="AM228" i="4"/>
  <c r="AM229" i="4"/>
  <c r="AM230" i="4"/>
  <c r="AM82" i="4"/>
  <c r="AM231" i="4"/>
  <c r="AM76" i="4"/>
  <c r="AM6" i="4"/>
  <c r="AM21" i="4"/>
  <c r="AM291" i="4"/>
  <c r="AM118" i="4"/>
  <c r="AM218" i="4"/>
  <c r="AM298" i="4"/>
  <c r="AM15" i="4"/>
  <c r="AM22" i="4"/>
  <c r="AM80" i="4"/>
  <c r="AM166" i="4"/>
  <c r="AM51" i="4"/>
  <c r="AM280" i="4"/>
  <c r="AM153" i="4"/>
  <c r="AM167" i="4"/>
  <c r="AM168" i="4"/>
  <c r="AM165" i="4"/>
  <c r="AM202" i="4"/>
  <c r="AM86" i="4"/>
  <c r="AM87" i="4"/>
  <c r="AM88" i="4"/>
  <c r="AM72" i="4"/>
  <c r="AM91" i="4"/>
  <c r="AM104" i="4"/>
  <c r="AM52" i="4"/>
  <c r="AM53" i="4"/>
  <c r="AM130" i="4"/>
  <c r="AM25" i="4"/>
  <c r="AM20" i="4"/>
  <c r="AM312" i="4"/>
  <c r="AM311" i="4"/>
  <c r="AM309" i="4"/>
  <c r="AM310" i="4"/>
  <c r="AM305" i="4"/>
  <c r="AM306" i="4"/>
  <c r="AM304" i="4"/>
  <c r="AM307" i="4"/>
  <c r="AM308" i="4"/>
  <c r="AM315" i="4"/>
  <c r="AM316" i="4"/>
  <c r="AM317" i="4"/>
  <c r="AM318" i="4"/>
  <c r="AM313" i="4"/>
  <c r="AM319" i="4"/>
  <c r="AM339" i="4"/>
  <c r="AM337" i="4"/>
  <c r="AM338" i="4"/>
  <c r="AM340" i="4"/>
  <c r="AM323" i="4"/>
  <c r="AM324" i="4"/>
  <c r="AM325" i="4"/>
  <c r="AM326" i="4"/>
  <c r="AM352" i="4"/>
  <c r="AM332" i="4"/>
  <c r="AM333" i="4"/>
  <c r="AM334" i="4"/>
  <c r="AM335" i="4"/>
  <c r="AM320" i="4"/>
  <c r="AM341" i="4"/>
  <c r="AM342" i="4"/>
  <c r="AM347" i="4"/>
  <c r="AM336" i="4"/>
  <c r="AM329" i="4"/>
  <c r="AM328" i="4"/>
  <c r="AM331" i="4"/>
  <c r="AM327" i="4"/>
  <c r="AM322" i="4"/>
  <c r="AM350" i="4"/>
  <c r="AM348" i="4"/>
  <c r="AM349" i="4"/>
  <c r="AM330" i="4"/>
  <c r="AM344" i="4"/>
  <c r="AM345" i="4"/>
  <c r="AM343" i="4"/>
  <c r="AM321" i="4"/>
  <c r="AM346" i="4"/>
  <c r="AM351" i="4"/>
  <c r="AM356" i="4"/>
  <c r="AM355" i="4"/>
  <c r="AM366" i="4"/>
  <c r="AM367" i="4"/>
  <c r="AM353" i="4"/>
  <c r="AM363" i="4"/>
  <c r="AM364" i="4"/>
  <c r="AM369" i="4"/>
  <c r="AM354" i="4"/>
  <c r="AM370" i="4"/>
  <c r="AM371" i="4"/>
  <c r="AM372" i="4"/>
  <c r="AM357" i="4"/>
  <c r="AM358" i="4"/>
  <c r="AM359" i="4"/>
  <c r="AM373" i="4"/>
  <c r="AM368" i="4"/>
  <c r="AM374" i="4"/>
  <c r="AM365" i="4"/>
  <c r="AM360" i="4"/>
  <c r="AM361" i="4"/>
  <c r="AM362" i="4"/>
  <c r="AM376" i="4"/>
  <c r="AM382" i="4"/>
  <c r="AM383" i="4"/>
  <c r="AM384" i="4"/>
  <c r="AM378" i="4"/>
  <c r="AM375" i="4"/>
  <c r="AM381" i="4"/>
  <c r="AM386" i="4"/>
  <c r="AM379" i="4"/>
  <c r="AM380" i="4"/>
  <c r="AM377" i="4"/>
  <c r="AM389" i="4"/>
  <c r="AM391" i="4"/>
  <c r="AM392" i="4"/>
  <c r="AM390" i="4"/>
  <c r="AM388" i="4"/>
  <c r="AM396" i="4"/>
  <c r="AM401" i="4"/>
  <c r="AM414" i="4"/>
  <c r="AM403" i="4"/>
  <c r="AM404" i="4"/>
  <c r="AM405" i="4"/>
  <c r="AM406" i="4"/>
  <c r="AM409" i="4"/>
  <c r="AM410" i="4"/>
  <c r="AM411" i="4"/>
  <c r="AM413" i="4"/>
  <c r="AM393" i="4"/>
  <c r="AM395" i="4"/>
  <c r="AM402" i="4"/>
  <c r="AM394" i="4"/>
  <c r="AM397" i="4"/>
  <c r="AM398" i="4"/>
  <c r="AM399" i="4"/>
  <c r="AM408" i="4"/>
  <c r="AM400" i="4"/>
  <c r="AM412" i="4"/>
  <c r="AM415" i="4"/>
  <c r="AM416" i="4"/>
  <c r="AM417" i="4"/>
  <c r="AM407" i="4"/>
  <c r="AM7" i="4"/>
  <c r="AM248" i="4"/>
  <c r="AM268" i="4"/>
  <c r="AM243" i="4"/>
  <c r="AM17" i="4"/>
  <c r="AM62" i="4"/>
  <c r="AM292" i="4"/>
  <c r="AM31" i="4"/>
  <c r="AM50" i="4"/>
  <c r="AM77" i="4"/>
  <c r="AM225" i="4"/>
  <c r="AM258" i="4"/>
  <c r="AM177" i="4"/>
  <c r="AM33" i="4"/>
  <c r="AM101" i="4"/>
  <c r="AM85" i="4"/>
  <c r="AM160" i="4"/>
  <c r="AM249" i="4"/>
  <c r="F67" i="4"/>
  <c r="F68" i="4"/>
  <c r="E68" i="4"/>
  <c r="E67" i="4"/>
  <c r="M67" i="4"/>
  <c r="AA21" i="2"/>
  <c r="AD21" i="2"/>
  <c r="AE21" i="2"/>
  <c r="AF21" i="2"/>
  <c r="AG21" i="2"/>
  <c r="AH21" i="2"/>
  <c r="AI21" i="2"/>
  <c r="AK21" i="2"/>
  <c r="AL21" i="2"/>
  <c r="AM21" i="2"/>
  <c r="AZ214" i="1"/>
  <c r="BC214" i="1"/>
  <c r="AZ215" i="1"/>
  <c r="BC215" i="1"/>
  <c r="BC342" i="1"/>
  <c r="AZ333" i="1"/>
  <c r="BC333" i="1"/>
  <c r="AZ332" i="1"/>
  <c r="BC332" i="1"/>
  <c r="AZ127" i="1"/>
  <c r="AZ529" i="1"/>
  <c r="BC529" i="1"/>
  <c r="BB529" i="1"/>
  <c r="AZ528" i="1"/>
  <c r="BC528" i="1"/>
  <c r="BB528" i="1"/>
  <c r="AZ312" i="1"/>
  <c r="BC312" i="1"/>
  <c r="AZ311" i="1"/>
  <c r="BC311" i="1"/>
  <c r="AZ47" i="1"/>
  <c r="BC47" i="1"/>
  <c r="AZ46" i="1"/>
  <c r="BC46" i="1"/>
  <c r="AZ45" i="1"/>
  <c r="BC45" i="1"/>
  <c r="AZ44" i="1"/>
  <c r="BC44" i="1"/>
  <c r="BC43" i="1"/>
  <c r="AZ150" i="1"/>
  <c r="BC150" i="1"/>
  <c r="AZ149" i="1"/>
  <c r="BC149" i="1"/>
  <c r="AZ51" i="1"/>
  <c r="BC51" i="1"/>
  <c r="AZ50" i="1"/>
  <c r="BC50" i="1"/>
  <c r="AZ3" i="1"/>
  <c r="AZ4" i="1"/>
  <c r="AZ14" i="1"/>
  <c r="AZ15" i="1"/>
  <c r="AZ16" i="1"/>
  <c r="AZ17" i="1"/>
  <c r="AZ31" i="1"/>
  <c r="AZ32" i="1"/>
  <c r="AZ34" i="1"/>
  <c r="AZ35" i="1"/>
  <c r="AZ36" i="1"/>
  <c r="AZ37" i="1"/>
  <c r="AZ38" i="1"/>
  <c r="AZ39" i="1"/>
  <c r="AZ40" i="1"/>
  <c r="AZ41" i="1"/>
  <c r="AZ42" i="1"/>
  <c r="AZ48" i="1"/>
  <c r="AZ49" i="1"/>
  <c r="AZ81" i="1"/>
  <c r="AZ82" i="1"/>
  <c r="AZ85" i="1"/>
  <c r="AZ86" i="1"/>
  <c r="AZ87" i="1"/>
  <c r="AZ88" i="1"/>
  <c r="AZ96" i="1"/>
  <c r="AZ97" i="1"/>
  <c r="AZ98" i="1"/>
  <c r="AZ100" i="1"/>
  <c r="AZ101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35" i="1"/>
  <c r="AZ136" i="1"/>
  <c r="AZ137" i="1"/>
  <c r="AZ138" i="1"/>
  <c r="AZ139" i="1"/>
  <c r="AZ140" i="1"/>
  <c r="AZ141" i="1"/>
  <c r="AZ142" i="1"/>
  <c r="AZ143" i="1"/>
  <c r="AZ145" i="1"/>
  <c r="AZ146" i="1"/>
  <c r="AZ147" i="1"/>
  <c r="AZ148" i="1"/>
  <c r="AZ166" i="1"/>
  <c r="AZ167" i="1"/>
  <c r="AZ168" i="1"/>
  <c r="AZ169" i="1"/>
  <c r="AZ192" i="1"/>
  <c r="AZ193" i="1"/>
  <c r="AZ231" i="1"/>
  <c r="AZ232" i="1"/>
  <c r="AZ233" i="1"/>
  <c r="AZ234" i="1"/>
  <c r="AZ239" i="1"/>
  <c r="AZ240" i="1"/>
  <c r="AZ246" i="1"/>
  <c r="AZ247" i="1"/>
  <c r="AZ248" i="1"/>
  <c r="AZ255" i="1"/>
  <c r="AZ256" i="1"/>
  <c r="AZ274" i="1"/>
  <c r="AZ275" i="1"/>
  <c r="AZ276" i="1"/>
  <c r="AZ277" i="1"/>
  <c r="AZ278" i="1"/>
  <c r="AZ279" i="1"/>
  <c r="AZ308" i="1"/>
  <c r="AZ309" i="1"/>
  <c r="AZ310" i="1"/>
  <c r="AZ314" i="1"/>
  <c r="AZ315" i="1"/>
  <c r="AZ316" i="1"/>
  <c r="AZ319" i="1"/>
  <c r="AZ320" i="1"/>
  <c r="AZ321" i="1"/>
  <c r="AZ322" i="1"/>
  <c r="AZ325" i="1"/>
  <c r="AZ326" i="1"/>
  <c r="AZ327" i="1"/>
  <c r="AZ330" i="1"/>
  <c r="AZ331" i="1"/>
  <c r="AZ334" i="1"/>
  <c r="AZ335" i="1"/>
  <c r="AZ336" i="1"/>
  <c r="AZ364" i="1"/>
  <c r="AZ365" i="1"/>
  <c r="AZ369" i="1"/>
  <c r="AZ370" i="1"/>
  <c r="AZ371" i="1"/>
  <c r="AZ372" i="1"/>
  <c r="AZ373" i="1"/>
  <c r="AZ386" i="1"/>
  <c r="AZ387" i="1"/>
  <c r="AZ395" i="1"/>
  <c r="AZ396" i="1"/>
  <c r="AZ397" i="1"/>
  <c r="AZ398" i="1"/>
  <c r="AZ399" i="1"/>
  <c r="AZ400" i="1"/>
  <c r="AZ401" i="1"/>
  <c r="AZ402" i="1"/>
  <c r="AZ403" i="1"/>
  <c r="AZ424" i="1"/>
  <c r="AZ425" i="1"/>
  <c r="AZ430" i="1"/>
  <c r="AZ431" i="1"/>
  <c r="AZ447" i="1"/>
  <c r="AZ448" i="1"/>
  <c r="AZ449" i="1"/>
  <c r="AZ450" i="1"/>
  <c r="AZ451" i="1"/>
  <c r="AZ457" i="1"/>
  <c r="AZ458" i="1"/>
  <c r="AZ459" i="1"/>
  <c r="AZ508" i="1"/>
  <c r="AZ509" i="1"/>
  <c r="AZ510" i="1"/>
  <c r="AZ511" i="1"/>
  <c r="AZ512" i="1"/>
  <c r="AZ513" i="1"/>
  <c r="AZ522" i="1"/>
  <c r="AZ523" i="1"/>
  <c r="AZ524" i="1"/>
  <c r="AZ525" i="1"/>
  <c r="AZ526" i="1"/>
  <c r="AZ527" i="1"/>
  <c r="AZ2" i="1"/>
  <c r="BC49" i="1"/>
  <c r="BC48" i="1"/>
  <c r="BC316" i="1"/>
  <c r="BB527" i="1"/>
  <c r="BC527" i="1"/>
  <c r="BB526" i="1"/>
  <c r="BC526" i="1"/>
  <c r="BB525" i="1"/>
  <c r="BC525" i="1"/>
  <c r="BB524" i="1"/>
  <c r="BC524" i="1"/>
  <c r="BB523" i="1"/>
  <c r="BC523" i="1"/>
  <c r="CT522" i="1"/>
  <c r="CS522" i="1"/>
  <c r="CR522" i="1"/>
  <c r="CQ522" i="1"/>
  <c r="CP522" i="1"/>
  <c r="CO522" i="1"/>
  <c r="CN522" i="1"/>
  <c r="CM522" i="1"/>
  <c r="CL522" i="1"/>
  <c r="CK522" i="1"/>
  <c r="CJ522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B522" i="1"/>
  <c r="BC522" i="1"/>
  <c r="BC513" i="1"/>
  <c r="BC512" i="1"/>
  <c r="BC511" i="1"/>
  <c r="CT510" i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C510" i="1"/>
  <c r="BC509" i="1"/>
  <c r="CT508" i="1"/>
  <c r="CS508" i="1"/>
  <c r="CR508" i="1"/>
  <c r="CQ508" i="1"/>
  <c r="CP508" i="1"/>
  <c r="CO508" i="1"/>
  <c r="CN508" i="1"/>
  <c r="CM508" i="1"/>
  <c r="CL508" i="1"/>
  <c r="CK508" i="1"/>
  <c r="CJ508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C508" i="1"/>
  <c r="BC458" i="1"/>
  <c r="BC457" i="1"/>
  <c r="CT451" i="1"/>
  <c r="CS451" i="1"/>
  <c r="CR451" i="1"/>
  <c r="CQ451" i="1"/>
  <c r="CP451" i="1"/>
  <c r="CO451" i="1"/>
  <c r="CN451" i="1"/>
  <c r="CM451" i="1"/>
  <c r="CL451" i="1"/>
  <c r="CK451" i="1"/>
  <c r="CJ451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C451" i="1"/>
  <c r="BC450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C449" i="1"/>
  <c r="BC448" i="1"/>
  <c r="BC447" i="1"/>
  <c r="BB431" i="1"/>
  <c r="BC431" i="1"/>
  <c r="CT430" i="1"/>
  <c r="CS430" i="1"/>
  <c r="CR430" i="1"/>
  <c r="CQ430" i="1"/>
  <c r="CP430" i="1"/>
  <c r="CO430" i="1"/>
  <c r="CN430" i="1"/>
  <c r="CM430" i="1"/>
  <c r="CL430" i="1"/>
  <c r="CK430" i="1"/>
  <c r="CJ430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B430" i="1"/>
  <c r="BC430" i="1"/>
  <c r="BB425" i="1"/>
  <c r="BC425" i="1"/>
  <c r="CT424" i="1"/>
  <c r="CS424" i="1"/>
  <c r="CR424" i="1"/>
  <c r="CQ424" i="1"/>
  <c r="CP424" i="1"/>
  <c r="CO424" i="1"/>
  <c r="CN424" i="1"/>
  <c r="CM424" i="1"/>
  <c r="CL424" i="1"/>
  <c r="CK424" i="1"/>
  <c r="CJ424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B424" i="1"/>
  <c r="BC424" i="1"/>
  <c r="BB403" i="1"/>
  <c r="BC403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B402" i="1"/>
  <c r="BC402" i="1"/>
  <c r="BB401" i="1"/>
  <c r="BC401" i="1"/>
  <c r="BB400" i="1"/>
  <c r="BC400" i="1"/>
  <c r="BB399" i="1"/>
  <c r="BC399" i="1"/>
  <c r="CT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B398" i="1"/>
  <c r="BC398" i="1"/>
  <c r="BB397" i="1"/>
  <c r="BC397" i="1"/>
  <c r="BB396" i="1"/>
  <c r="BC396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B395" i="1"/>
  <c r="BC395" i="1"/>
  <c r="BB387" i="1"/>
  <c r="BC387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B386" i="1"/>
  <c r="BC386" i="1"/>
  <c r="BB373" i="1"/>
  <c r="BC373" i="1"/>
  <c r="BB372" i="1"/>
  <c r="BC372" i="1"/>
  <c r="CT371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B371" i="1"/>
  <c r="BC371" i="1"/>
  <c r="BB370" i="1"/>
  <c r="BC370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B369" i="1"/>
  <c r="BC369" i="1"/>
  <c r="BB365" i="1"/>
  <c r="BC365" i="1"/>
  <c r="CT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C364" i="1"/>
  <c r="BC341" i="1"/>
  <c r="BC339" i="1"/>
  <c r="BC338" i="1"/>
  <c r="BC336" i="1"/>
  <c r="BC335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C334" i="1"/>
  <c r="BC331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C330" i="1"/>
  <c r="BC327" i="1"/>
  <c r="BC326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C325" i="1"/>
  <c r="BC322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C321" i="1"/>
  <c r="BC320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C319" i="1"/>
  <c r="BC315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C314" i="1"/>
  <c r="BC310" i="1"/>
  <c r="BC309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C308" i="1"/>
  <c r="BC279" i="1"/>
  <c r="BC278" i="1"/>
  <c r="BC277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C276" i="1"/>
  <c r="BC275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C274" i="1"/>
  <c r="BC256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C255" i="1"/>
  <c r="BC240" i="1"/>
  <c r="BC239" i="1"/>
  <c r="BC234" i="1"/>
  <c r="BC233" i="1"/>
  <c r="BC232" i="1"/>
  <c r="BC231" i="1"/>
  <c r="BC193" i="1"/>
  <c r="BC192" i="1"/>
  <c r="BC169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C168" i="1"/>
  <c r="BC167" i="1"/>
  <c r="BC166" i="1"/>
  <c r="BC148" i="1"/>
  <c r="BC147" i="1"/>
  <c r="BC146" i="1"/>
  <c r="BC145" i="1"/>
  <c r="BC143" i="1"/>
  <c r="BC142" i="1"/>
  <c r="BC141" i="1"/>
  <c r="BC140" i="1"/>
  <c r="BC139" i="1"/>
  <c r="BC138" i="1"/>
  <c r="BC137" i="1"/>
  <c r="BC136" i="1"/>
  <c r="BC135" i="1"/>
  <c r="BC126" i="1"/>
  <c r="BC125" i="1"/>
  <c r="BC124" i="1"/>
  <c r="BC123" i="1"/>
  <c r="BC122" i="1"/>
  <c r="BC121" i="1"/>
  <c r="BC120" i="1"/>
  <c r="BC119" i="1"/>
  <c r="BC118" i="1"/>
  <c r="BC117" i="1"/>
  <c r="BC116" i="1"/>
  <c r="BC115" i="1"/>
  <c r="BC114" i="1"/>
  <c r="BC113" i="1"/>
  <c r="BC101" i="1"/>
  <c r="BC100" i="1"/>
  <c r="BC98" i="1"/>
  <c r="BC97" i="1"/>
  <c r="BC96" i="1"/>
  <c r="BC88" i="1"/>
  <c r="BC87" i="1"/>
  <c r="BC86" i="1"/>
  <c r="BC85" i="1"/>
  <c r="BC82" i="1"/>
  <c r="BC81" i="1"/>
  <c r="BB42" i="1"/>
  <c r="BB41" i="1"/>
  <c r="BC41" i="1"/>
  <c r="BB40" i="1"/>
  <c r="BC40" i="1"/>
  <c r="BB39" i="1"/>
  <c r="BC39" i="1"/>
  <c r="BB38" i="1"/>
  <c r="BC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C17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B16" i="1"/>
  <c r="BC16" i="1"/>
  <c r="BB15" i="1"/>
  <c r="BC15" i="1"/>
  <c r="BB14" i="1"/>
  <c r="BC14" i="1"/>
  <c r="BC4" i="1"/>
  <c r="BB3" i="1"/>
  <c r="BC3" i="1"/>
  <c r="BB2" i="1"/>
  <c r="B272" i="6"/>
  <c r="F42" i="3"/>
  <c r="A42" i="3"/>
  <c r="G42" i="3"/>
  <c r="H42" i="3"/>
  <c r="F43" i="3"/>
  <c r="F44" i="3"/>
  <c r="F45" i="3"/>
  <c r="A43" i="3"/>
  <c r="H43" i="3"/>
  <c r="A44" i="3"/>
  <c r="H44" i="3"/>
  <c r="A45" i="3"/>
  <c r="H45" i="3"/>
  <c r="AJ297" i="4"/>
  <c r="AJ98" i="4"/>
  <c r="U98" i="4" a="1"/>
  <c r="U98" i="4"/>
  <c r="AJ221" i="4"/>
  <c r="AJ220" i="4"/>
  <c r="G43" i="3"/>
  <c r="G44" i="3"/>
  <c r="G45" i="3"/>
  <c r="T98" i="4" a="1"/>
  <c r="T98" i="4"/>
  <c r="T221" i="4" a="1"/>
  <c r="T221" i="4"/>
  <c r="T220" i="4" a="1"/>
  <c r="T220" i="4"/>
  <c r="B26" i="3"/>
  <c r="C26" i="3"/>
  <c r="E26" i="3"/>
  <c r="AA25" i="2"/>
  <c r="AD25" i="2"/>
  <c r="AE25" i="2"/>
  <c r="AF25" i="2"/>
  <c r="AG25" i="2"/>
  <c r="AH25" i="2"/>
  <c r="AI25" i="2"/>
  <c r="AK25" i="2"/>
  <c r="AL25" i="2"/>
  <c r="R329" i="4"/>
  <c r="R339" i="4"/>
  <c r="R337" i="4"/>
  <c r="R338" i="4"/>
  <c r="R346" i="4"/>
  <c r="R340" i="4"/>
  <c r="R341" i="4"/>
  <c r="R342" i="4"/>
  <c r="R331" i="4"/>
  <c r="R334" i="4"/>
  <c r="R332" i="4"/>
  <c r="R333" i="4"/>
  <c r="R349" i="4"/>
  <c r="R344" i="4"/>
  <c r="R350" i="4"/>
  <c r="R320" i="4"/>
  <c r="R328" i="4"/>
  <c r="R324" i="4"/>
  <c r="R355" i="4"/>
  <c r="R343" i="4"/>
  <c r="R361" i="4"/>
  <c r="R371" i="4"/>
  <c r="R353" i="4"/>
  <c r="R369" i="4"/>
  <c r="R356" i="4"/>
  <c r="R370" i="4"/>
  <c r="R372" i="4"/>
  <c r="R323" i="4"/>
  <c r="R354" i="4"/>
  <c r="R364" i="4"/>
  <c r="R359" i="4"/>
  <c r="R363" i="4"/>
  <c r="R357" i="4"/>
  <c r="R358" i="4"/>
  <c r="R88" i="4"/>
  <c r="R87" i="4"/>
  <c r="R325" i="4"/>
  <c r="R86" i="4"/>
  <c r="R327" i="4"/>
  <c r="R362" i="4"/>
  <c r="R351" i="4"/>
  <c r="R321" i="4"/>
  <c r="R347" i="4"/>
  <c r="R335" i="4"/>
  <c r="R345" i="4"/>
  <c r="R53" i="4"/>
  <c r="R366" i="4"/>
  <c r="R104" i="4"/>
  <c r="R52" i="4"/>
  <c r="R367" i="4"/>
  <c r="R326" i="4"/>
  <c r="R72" i="4"/>
  <c r="R91" i="4"/>
  <c r="R384" i="4"/>
  <c r="R377" i="4"/>
  <c r="R322" i="4"/>
  <c r="R330" i="4"/>
  <c r="R162" i="4"/>
  <c r="R381" i="4"/>
  <c r="R378" i="4"/>
  <c r="R376" i="4"/>
  <c r="R386" i="4"/>
  <c r="R383" i="4"/>
  <c r="R382" i="4"/>
  <c r="R375" i="4"/>
  <c r="R379" i="4"/>
  <c r="R352" i="4"/>
  <c r="R380" i="4"/>
  <c r="R309" i="4"/>
  <c r="R319" i="4"/>
  <c r="R317" i="4"/>
  <c r="R310" i="4"/>
  <c r="R212" i="4"/>
  <c r="R313" i="4"/>
  <c r="R316" i="4"/>
  <c r="R306" i="4"/>
  <c r="R318" i="4"/>
  <c r="R311" i="4"/>
  <c r="R157" i="4"/>
  <c r="R315" i="4"/>
  <c r="R304" i="4"/>
  <c r="R307" i="4"/>
  <c r="R312" i="4"/>
  <c r="R305" i="4"/>
  <c r="R308" i="4"/>
  <c r="R115" i="4"/>
  <c r="R130" i="4"/>
  <c r="R281" i="4"/>
  <c r="R201" i="4"/>
  <c r="R183" i="4"/>
  <c r="R288" i="4"/>
  <c r="R65" i="4"/>
  <c r="R280" i="4"/>
  <c r="R222" i="4"/>
  <c r="R169" i="4"/>
  <c r="R175" i="4"/>
  <c r="R152" i="4"/>
  <c r="R164" i="4"/>
  <c r="R184" i="4"/>
  <c r="R150" i="4"/>
  <c r="R182" i="4"/>
  <c r="R230" i="4"/>
  <c r="R48" i="4"/>
  <c r="R229" i="4"/>
  <c r="R37" i="4"/>
  <c r="R93" i="4"/>
  <c r="R38" i="4"/>
  <c r="R209" i="4"/>
  <c r="R142" i="4"/>
  <c r="R279" i="4"/>
  <c r="R161" i="4"/>
  <c r="R143" i="4"/>
  <c r="R204" i="4"/>
  <c r="R41" i="4"/>
  <c r="R241" i="4"/>
  <c r="R186" i="4"/>
  <c r="R272" i="4"/>
  <c r="R78" i="4"/>
  <c r="R228" i="4"/>
  <c r="R141" i="4"/>
  <c r="R221" i="4"/>
  <c r="R255" i="4"/>
  <c r="R205" i="4"/>
  <c r="R30" i="4"/>
  <c r="R123" i="4"/>
  <c r="R151" i="4"/>
  <c r="R158" i="4"/>
  <c r="R300" i="4"/>
  <c r="R227" i="4"/>
  <c r="R210" i="4"/>
  <c r="R206" i="4"/>
  <c r="R276" i="4"/>
  <c r="R211" i="4"/>
  <c r="R177" i="4"/>
  <c r="R99" i="4"/>
  <c r="R100" i="4"/>
  <c r="R188" i="4"/>
  <c r="R111" i="4"/>
  <c r="R278" i="4"/>
  <c r="R254" i="4"/>
  <c r="R296" i="4"/>
  <c r="R220" i="4"/>
  <c r="R297" i="4"/>
  <c r="R368" i="4"/>
  <c r="R178" i="4"/>
  <c r="R213" i="4"/>
  <c r="R55" i="4"/>
  <c r="R129" i="4"/>
  <c r="R144" i="4"/>
  <c r="R107" i="4"/>
  <c r="R42" i="4"/>
  <c r="R187" i="4"/>
  <c r="R273" i="4"/>
  <c r="R215" i="4"/>
  <c r="R199" i="4"/>
  <c r="R176" i="4"/>
  <c r="R179" i="4"/>
  <c r="R180" i="4"/>
  <c r="R181" i="4"/>
  <c r="R31" i="4"/>
  <c r="R247" i="4"/>
  <c r="R79" i="4"/>
  <c r="R139" i="4"/>
  <c r="R140" i="4"/>
  <c r="R348" i="4"/>
  <c r="R269" i="4"/>
  <c r="R66" i="4"/>
  <c r="R154" i="4"/>
  <c r="R275" i="4"/>
  <c r="R197" i="4"/>
  <c r="R293" i="4"/>
  <c r="R237" i="4"/>
  <c r="R64" i="4"/>
  <c r="R239" i="4"/>
  <c r="R82" i="4"/>
  <c r="R105" i="4"/>
  <c r="R156" i="4"/>
  <c r="R231" i="4"/>
  <c r="R264" i="4"/>
  <c r="R24" i="4"/>
  <c r="R147" i="4"/>
  <c r="R373" i="4"/>
  <c r="R34" i="4"/>
  <c r="R76" i="4"/>
  <c r="R258" i="4"/>
  <c r="R57" i="4"/>
  <c r="R43" i="4"/>
  <c r="R271" i="4"/>
  <c r="R283" i="4"/>
  <c r="R217" i="4"/>
  <c r="R219" i="4"/>
  <c r="R302" i="4"/>
  <c r="R289" i="4"/>
  <c r="R148" i="4"/>
  <c r="R243" i="4"/>
  <c r="R171" i="4"/>
  <c r="R58" i="4"/>
  <c r="R60" i="4"/>
  <c r="R240" i="4"/>
  <c r="R125" i="4"/>
  <c r="R113" i="4"/>
  <c r="R56" i="4"/>
  <c r="R59" i="4"/>
  <c r="R108" i="4"/>
  <c r="R18" i="4"/>
  <c r="R191" i="4"/>
  <c r="R85" i="4"/>
  <c r="R259" i="4"/>
  <c r="R138" i="4"/>
  <c r="R92" i="4"/>
  <c r="R106" i="4"/>
  <c r="R245" i="4"/>
  <c r="R193" i="4"/>
  <c r="R274" i="4"/>
  <c r="R126" i="4"/>
  <c r="R131" i="4"/>
  <c r="R196" i="4"/>
  <c r="R96" i="4"/>
  <c r="R97" i="4"/>
  <c r="R101" i="4"/>
  <c r="R15" i="4"/>
  <c r="R192" i="4"/>
  <c r="R277" i="4"/>
  <c r="R207" i="4"/>
  <c r="R301" i="4"/>
  <c r="R98" i="4"/>
  <c r="R149" i="4"/>
  <c r="R189" i="4"/>
  <c r="R39" i="4"/>
  <c r="R234" i="4"/>
  <c r="R33" i="4"/>
  <c r="R270" i="4"/>
  <c r="R116" i="4"/>
  <c r="R95" i="4"/>
  <c r="R40" i="4"/>
  <c r="R242" i="4"/>
  <c r="R244" i="4"/>
  <c r="R248" i="4"/>
  <c r="R226" i="4"/>
  <c r="R94" i="4"/>
  <c r="R232" i="4"/>
  <c r="R233" i="4"/>
  <c r="R202" i="4"/>
  <c r="R44" i="4"/>
  <c r="R112" i="4"/>
  <c r="R195" i="4"/>
  <c r="R163" i="4"/>
  <c r="R203" i="4"/>
  <c r="R54" i="4"/>
  <c r="R223" i="4"/>
  <c r="R249" i="4"/>
  <c r="R69" i="4"/>
  <c r="R294" i="4"/>
  <c r="R23" i="4"/>
  <c r="R174" i="4"/>
  <c r="R262" i="4"/>
  <c r="R16" i="4"/>
  <c r="R238" i="4"/>
  <c r="R155" i="4"/>
  <c r="R49" i="4"/>
  <c r="R173" i="4"/>
  <c r="R81" i="4"/>
  <c r="R103" i="4"/>
  <c r="R35" i="4"/>
  <c r="R246" i="4"/>
  <c r="R74" i="4"/>
  <c r="R172" i="4"/>
  <c r="R284" i="4"/>
  <c r="R285" i="4"/>
  <c r="R170" i="4"/>
  <c r="R261" i="4"/>
  <c r="R36" i="4"/>
  <c r="R63" i="4"/>
  <c r="R214" i="4"/>
  <c r="R224" i="4"/>
  <c r="R225" i="4"/>
  <c r="R251" i="4"/>
  <c r="R127" i="4"/>
  <c r="R286" i="4"/>
  <c r="R145" i="4"/>
  <c r="R263" i="4"/>
  <c r="R268" i="4"/>
  <c r="R45" i="4"/>
  <c r="R75" i="4"/>
  <c r="R84" i="4"/>
  <c r="R32" i="4"/>
  <c r="R250" i="4"/>
  <c r="R235" i="4"/>
  <c r="R292" i="4"/>
  <c r="R61" i="4"/>
  <c r="R190" i="4"/>
  <c r="R128" i="4"/>
  <c r="R77" i="4"/>
  <c r="R83" i="4"/>
  <c r="R200" i="4"/>
  <c r="R265" i="4"/>
  <c r="R290" i="4"/>
  <c r="R124" i="4"/>
  <c r="R80" i="4"/>
  <c r="R19" i="4"/>
  <c r="R51" i="4"/>
  <c r="R299" i="4"/>
  <c r="R62" i="4"/>
  <c r="R12" i="4"/>
  <c r="R13" i="4"/>
  <c r="R22" i="4"/>
  <c r="R253" i="4"/>
  <c r="R256" i="4"/>
  <c r="R257" i="4"/>
  <c r="R14" i="4"/>
  <c r="R260" i="4"/>
  <c r="R295" i="4"/>
  <c r="R109" i="4"/>
  <c r="R17" i="4"/>
  <c r="R194" i="4"/>
  <c r="R252" i="4"/>
  <c r="R198" i="4"/>
  <c r="R110" i="4"/>
  <c r="R11" i="4"/>
  <c r="R114" i="4"/>
  <c r="R216" i="4"/>
  <c r="R208" i="4"/>
  <c r="R6" i="4"/>
  <c r="R21" i="4"/>
  <c r="R46" i="4"/>
  <c r="R47" i="4"/>
  <c r="Z368" i="4"/>
  <c r="Z374" i="4"/>
  <c r="Z365" i="4"/>
  <c r="U2" i="12"/>
  <c r="R291" i="4"/>
  <c r="R298" i="4"/>
  <c r="R73" i="4"/>
  <c r="R336" i="4"/>
  <c r="Q2" i="12"/>
  <c r="O2" i="12"/>
  <c r="N402" i="4"/>
  <c r="N414" i="4"/>
  <c r="M2" i="12"/>
  <c r="K2" i="12"/>
  <c r="J192" i="4"/>
  <c r="J26" i="4"/>
  <c r="J183" i="4"/>
  <c r="J184" i="4"/>
  <c r="J291" i="4"/>
  <c r="J191" i="4"/>
  <c r="J242" i="4"/>
  <c r="J271" i="4"/>
  <c r="J244" i="4"/>
  <c r="J245" i="4"/>
  <c r="J247" i="4"/>
  <c r="J272" i="4"/>
  <c r="J248" i="4"/>
  <c r="J273" i="4"/>
  <c r="J125" i="4"/>
  <c r="J274" i="4"/>
  <c r="J275" i="4"/>
  <c r="J276" i="4"/>
  <c r="J277" i="4"/>
  <c r="J155" i="4"/>
  <c r="J214" i="4"/>
  <c r="J224" i="4"/>
  <c r="J225" i="4"/>
  <c r="J254" i="4"/>
  <c r="J196" i="4"/>
  <c r="J217" i="4"/>
  <c r="J81" i="4"/>
  <c r="J295" i="4"/>
  <c r="J203" i="4"/>
  <c r="J268" i="4"/>
  <c r="J190" i="4"/>
  <c r="J243" i="4"/>
  <c r="J246" i="4"/>
  <c r="J278" i="4"/>
  <c r="J12" i="4"/>
  <c r="J194" i="4"/>
  <c r="J13" i="4"/>
  <c r="J19" i="4"/>
  <c r="J283" i="4"/>
  <c r="J289" i="4"/>
  <c r="J11" i="4"/>
  <c r="J72" i="4"/>
  <c r="J301" i="4"/>
  <c r="J255" i="4"/>
  <c r="J256" i="4"/>
  <c r="J284" i="4"/>
  <c r="J285" i="4"/>
  <c r="J286" i="4"/>
  <c r="J91" i="4"/>
  <c r="J296" i="4"/>
  <c r="J200" i="4"/>
  <c r="J222" i="4"/>
  <c r="J232" i="4"/>
  <c r="J297" i="4"/>
  <c r="J302" i="4"/>
  <c r="J201" i="4"/>
  <c r="J299" i="4"/>
  <c r="J104" i="4"/>
  <c r="J250" i="4"/>
  <c r="J198" i="4"/>
  <c r="J145" i="4"/>
  <c r="J120" i="4"/>
  <c r="J238" i="4"/>
  <c r="J239" i="4"/>
  <c r="J159" i="4"/>
  <c r="J195" i="4"/>
  <c r="J253" i="4"/>
  <c r="J300" i="4"/>
  <c r="J77" i="4"/>
  <c r="J216" i="4"/>
  <c r="J259" i="4"/>
  <c r="J260" i="4"/>
  <c r="J234" i="4"/>
  <c r="J262" i="4"/>
  <c r="J290" i="4"/>
  <c r="J241" i="4"/>
  <c r="J193" i="4"/>
  <c r="J282" i="4"/>
  <c r="J226" i="4"/>
  <c r="J258" i="4"/>
  <c r="J235" i="4"/>
  <c r="J223" i="4"/>
  <c r="J126" i="4"/>
  <c r="J233" i="4"/>
  <c r="J261" i="4"/>
  <c r="J264" i="4"/>
  <c r="J118" i="4"/>
  <c r="J149" i="4"/>
  <c r="J187" i="4"/>
  <c r="J240" i="4"/>
  <c r="J131" i="4"/>
  <c r="J294" i="4"/>
  <c r="J227" i="4"/>
  <c r="J218" i="4"/>
  <c r="J115" i="4"/>
  <c r="J138" i="4"/>
  <c r="J139" i="4"/>
  <c r="J180" i="4"/>
  <c r="J141" i="4"/>
  <c r="J142" i="4"/>
  <c r="J144" i="4"/>
  <c r="J121" i="4"/>
  <c r="J146" i="4"/>
  <c r="J30" i="4"/>
  <c r="J147" i="4"/>
  <c r="J31" i="4"/>
  <c r="J127" i="4"/>
  <c r="J172" i="4"/>
  <c r="J177" i="4"/>
  <c r="J95" i="4"/>
  <c r="J97" i="4"/>
  <c r="J99" i="4"/>
  <c r="J100" i="4"/>
  <c r="J53" i="4"/>
  <c r="J281" i="4"/>
  <c r="J162" i="4"/>
  <c r="J280" i="4"/>
  <c r="J128" i="4"/>
  <c r="J215" i="4"/>
  <c r="J169" i="4"/>
  <c r="J170" i="4"/>
  <c r="J171" i="4"/>
  <c r="J178" i="4"/>
  <c r="J298" i="4"/>
  <c r="J148" i="4"/>
  <c r="J124" i="4"/>
  <c r="J84" i="4"/>
  <c r="J173" i="4"/>
  <c r="J175" i="4"/>
  <c r="J210" i="4"/>
  <c r="J176" i="4"/>
  <c r="J303" i="4"/>
  <c r="J204" i="4"/>
  <c r="J205" i="4"/>
  <c r="J17" i="4"/>
  <c r="J78" i="4"/>
  <c r="J48" i="4"/>
  <c r="J50" i="4"/>
  <c r="J89" i="4"/>
  <c r="J90" i="4"/>
  <c r="J174" i="4"/>
  <c r="J92" i="4"/>
  <c r="J94" i="4"/>
  <c r="J186" i="4"/>
  <c r="J55" i="4"/>
  <c r="J57" i="4"/>
  <c r="J62" i="4"/>
  <c r="J206" i="4"/>
  <c r="J197" i="4"/>
  <c r="J116" i="4"/>
  <c r="J199" i="4"/>
  <c r="J211" i="4"/>
  <c r="J212" i="4"/>
  <c r="J119" i="4"/>
  <c r="J109" i="4"/>
  <c r="J129" i="4"/>
  <c r="J219" i="4"/>
  <c r="J213" i="4"/>
  <c r="J288" i="4"/>
  <c r="J122" i="4"/>
  <c r="J56" i="4"/>
  <c r="J76" i="4"/>
  <c r="J93" i="4"/>
  <c r="J54" i="4"/>
  <c r="J58" i="4"/>
  <c r="J59" i="4"/>
  <c r="J60" i="4"/>
  <c r="J75" i="4"/>
  <c r="J83" i="4"/>
  <c r="J140" i="4"/>
  <c r="J5" i="4"/>
  <c r="J209" i="4"/>
  <c r="J105" i="4"/>
  <c r="J33" i="4"/>
  <c r="J229" i="4"/>
  <c r="J279" i="4"/>
  <c r="J163" i="4"/>
  <c r="J164" i="4"/>
  <c r="J156" i="4"/>
  <c r="J21" i="4"/>
  <c r="J43" i="4"/>
  <c r="J101" i="4"/>
  <c r="J103" i="4"/>
  <c r="J188" i="4"/>
  <c r="J207" i="4"/>
  <c r="J82" i="4"/>
  <c r="J16" i="4"/>
  <c r="J221" i="4"/>
  <c r="J74" i="4"/>
  <c r="J189" i="4"/>
  <c r="J220" i="4"/>
  <c r="J34" i="4"/>
  <c r="J152" i="4"/>
  <c r="J63" i="4"/>
  <c r="J66" i="4"/>
  <c r="J150" i="4"/>
  <c r="J64" i="4"/>
  <c r="J231" i="4"/>
  <c r="J22" i="4"/>
  <c r="J102" i="4"/>
  <c r="J65" i="4"/>
  <c r="J151" i="4"/>
  <c r="J41" i="4"/>
  <c r="J108" i="4"/>
  <c r="J154" i="4"/>
  <c r="J107" i="4"/>
  <c r="J123" i="4"/>
  <c r="J32" i="4"/>
  <c r="J20" i="4"/>
  <c r="J61" i="4"/>
  <c r="J158" i="4"/>
  <c r="J114" i="4"/>
  <c r="J69" i="4"/>
  <c r="J106" i="4"/>
  <c r="J179" i="4"/>
  <c r="J85" i="4"/>
  <c r="J111" i="4"/>
  <c r="J35" i="4"/>
  <c r="J18" i="4"/>
  <c r="J44" i="4"/>
  <c r="J110" i="4"/>
  <c r="J36" i="4"/>
  <c r="J39" i="4"/>
  <c r="J112" i="4"/>
  <c r="J49" i="4"/>
  <c r="J40" i="4"/>
  <c r="J37" i="4"/>
  <c r="I2" i="12"/>
  <c r="H94" i="4"/>
  <c r="H93" i="4"/>
  <c r="G2" i="12"/>
  <c r="F249" i="4"/>
  <c r="F237" i="4"/>
  <c r="F269" i="4"/>
  <c r="F270" i="4"/>
  <c r="F242" i="4"/>
  <c r="F271" i="4"/>
  <c r="F244" i="4"/>
  <c r="F245" i="4"/>
  <c r="F247" i="4"/>
  <c r="F272" i="4"/>
  <c r="F248" i="4"/>
  <c r="F273" i="4"/>
  <c r="F251" i="4"/>
  <c r="F274" i="4"/>
  <c r="F275" i="4"/>
  <c r="F276" i="4"/>
  <c r="F277" i="4"/>
  <c r="F155" i="4"/>
  <c r="F254" i="4"/>
  <c r="F295" i="4"/>
  <c r="F292" i="4"/>
  <c r="F268" i="4"/>
  <c r="F243" i="4"/>
  <c r="F246" i="4"/>
  <c r="F278" i="4"/>
  <c r="F194" i="4"/>
  <c r="F283" i="4"/>
  <c r="F289" i="4"/>
  <c r="F72" i="4"/>
  <c r="F286" i="4"/>
  <c r="F91" i="4"/>
  <c r="F296" i="4"/>
  <c r="F222" i="4"/>
  <c r="F201" i="4"/>
  <c r="F104" i="4"/>
  <c r="F120" i="4"/>
  <c r="F238" i="4"/>
  <c r="F300" i="4"/>
  <c r="F133" i="4"/>
  <c r="F216" i="4"/>
  <c r="F259" i="4"/>
  <c r="F260" i="4"/>
  <c r="F153" i="4"/>
  <c r="F241" i="4"/>
  <c r="F261" i="4"/>
  <c r="F118" i="4"/>
  <c r="F149" i="4"/>
  <c r="F187" i="4"/>
  <c r="F240" i="4"/>
  <c r="F294" i="4"/>
  <c r="F115" i="4"/>
  <c r="F138" i="4"/>
  <c r="F139" i="4"/>
  <c r="F180" i="4"/>
  <c r="F181" i="4"/>
  <c r="F141" i="4"/>
  <c r="F142" i="4"/>
  <c r="F143" i="4"/>
  <c r="F144" i="4"/>
  <c r="F121" i="4"/>
  <c r="F146" i="4"/>
  <c r="F30" i="4"/>
  <c r="F147" i="4"/>
  <c r="F31" i="4"/>
  <c r="F127" i="4"/>
  <c r="F172" i="4"/>
  <c r="F177" i="4"/>
  <c r="F95" i="4"/>
  <c r="F96" i="4"/>
  <c r="F97" i="4"/>
  <c r="F99" i="4"/>
  <c r="F100" i="4"/>
  <c r="F52" i="4"/>
  <c r="F53" i="4"/>
  <c r="F281" i="4"/>
  <c r="F157" i="4"/>
  <c r="F162" i="4"/>
  <c r="F280" i="4"/>
  <c r="F128" i="4"/>
  <c r="F215" i="4"/>
  <c r="F169" i="4"/>
  <c r="F170" i="4"/>
  <c r="F171" i="4"/>
  <c r="F178" i="4"/>
  <c r="F148" i="4"/>
  <c r="F124" i="4"/>
  <c r="F84" i="4"/>
  <c r="F173" i="4"/>
  <c r="F175" i="4"/>
  <c r="F210" i="4"/>
  <c r="F176" i="4"/>
  <c r="F303" i="4"/>
  <c r="F204" i="4"/>
  <c r="F205" i="4"/>
  <c r="F17" i="4"/>
  <c r="F78" i="4"/>
  <c r="F48" i="4"/>
  <c r="F50" i="4"/>
  <c r="F89" i="4"/>
  <c r="F90" i="4"/>
  <c r="F166" i="4"/>
  <c r="F167" i="4"/>
  <c r="F174" i="4"/>
  <c r="F92" i="4"/>
  <c r="F94" i="4"/>
  <c r="F186" i="4"/>
  <c r="F55" i="4"/>
  <c r="F57" i="4"/>
  <c r="F62" i="4"/>
  <c r="F206" i="4"/>
  <c r="F130" i="4"/>
  <c r="F8" i="4"/>
  <c r="F9" i="4"/>
  <c r="F197" i="4"/>
  <c r="F168" i="4"/>
  <c r="F199" i="4"/>
  <c r="F211" i="4"/>
  <c r="F165" i="4"/>
  <c r="F212" i="4"/>
  <c r="F119" i="4"/>
  <c r="F109" i="4"/>
  <c r="F129" i="4"/>
  <c r="F25" i="4"/>
  <c r="F219" i="4"/>
  <c r="F213" i="4"/>
  <c r="F288" i="4"/>
  <c r="F122" i="4"/>
  <c r="F56" i="4"/>
  <c r="F132" i="4"/>
  <c r="F76" i="4"/>
  <c r="F93" i="4"/>
  <c r="F98" i="4"/>
  <c r="F54" i="4"/>
  <c r="F58" i="4"/>
  <c r="F59" i="4"/>
  <c r="F60" i="4"/>
  <c r="F23" i="4"/>
  <c r="F75" i="4"/>
  <c r="F24" i="4"/>
  <c r="F83" i="4"/>
  <c r="F5" i="4"/>
  <c r="F209" i="4"/>
  <c r="F105" i="4"/>
  <c r="F33" i="4"/>
  <c r="F229" i="4"/>
  <c r="F15" i="4"/>
  <c r="F46" i="4"/>
  <c r="F47" i="4"/>
  <c r="F279" i="4"/>
  <c r="F230" i="4"/>
  <c r="F163" i="4"/>
  <c r="F164" i="4"/>
  <c r="F21" i="4"/>
  <c r="F43" i="4"/>
  <c r="F101" i="4"/>
  <c r="F103" i="4"/>
  <c r="F188" i="4"/>
  <c r="F207" i="4"/>
  <c r="F16" i="4"/>
  <c r="F221" i="4"/>
  <c r="F74" i="4"/>
  <c r="F189" i="4"/>
  <c r="F42" i="4"/>
  <c r="F220" i="4"/>
  <c r="F34" i="4"/>
  <c r="F152" i="4"/>
  <c r="F63" i="4"/>
  <c r="F66" i="4"/>
  <c r="F150" i="4"/>
  <c r="F64" i="4"/>
  <c r="F22" i="4"/>
  <c r="F102" i="4"/>
  <c r="F65" i="4"/>
  <c r="F14" i="4"/>
  <c r="F151" i="4"/>
  <c r="F41" i="4"/>
  <c r="F79" i="4"/>
  <c r="F108" i="4"/>
  <c r="F154" i="4"/>
  <c r="F107" i="4"/>
  <c r="F123" i="4"/>
  <c r="F80" i="4"/>
  <c r="F32" i="4"/>
  <c r="F61" i="4"/>
  <c r="F158" i="4"/>
  <c r="F113" i="4"/>
  <c r="F114" i="4"/>
  <c r="F69" i="4"/>
  <c r="F106" i="4"/>
  <c r="F179" i="4"/>
  <c r="F85" i="4"/>
  <c r="F111" i="4"/>
  <c r="F35" i="4"/>
  <c r="F18" i="4"/>
  <c r="F44" i="4"/>
  <c r="F110" i="4"/>
  <c r="F36" i="4"/>
  <c r="F39" i="4"/>
  <c r="F112" i="4"/>
  <c r="F49" i="4"/>
  <c r="F40" i="4"/>
  <c r="F37" i="4"/>
  <c r="F38" i="4"/>
  <c r="F309" i="4"/>
  <c r="F310" i="4"/>
  <c r="F311" i="4"/>
  <c r="F312" i="4"/>
  <c r="F315" i="4"/>
  <c r="F316" i="4"/>
  <c r="F317" i="4"/>
  <c r="F318" i="4"/>
  <c r="F305" i="4"/>
  <c r="F306" i="4"/>
  <c r="F304" i="4"/>
  <c r="F307" i="4"/>
  <c r="F308" i="4"/>
  <c r="F319" i="4"/>
  <c r="F313" i="4"/>
  <c r="F347" i="4"/>
  <c r="F339" i="4"/>
  <c r="F337" i="4"/>
  <c r="F338" i="4"/>
  <c r="F330" i="4"/>
  <c r="F336" i="4"/>
  <c r="F329" i="4"/>
  <c r="F340" i="4"/>
  <c r="F321" i="4"/>
  <c r="F345" i="4"/>
  <c r="F328" i="4"/>
  <c r="F351" i="4"/>
  <c r="F331" i="4"/>
  <c r="F323" i="4"/>
  <c r="F324" i="4"/>
  <c r="F325" i="4"/>
  <c r="F326" i="4"/>
  <c r="F352" i="4"/>
  <c r="F343" i="4"/>
  <c r="F344" i="4"/>
  <c r="F346" i="4"/>
  <c r="F332" i="4"/>
  <c r="F333" i="4"/>
  <c r="F334" i="4"/>
  <c r="F335" i="4"/>
  <c r="F327" i="4"/>
  <c r="F322" i="4"/>
  <c r="F320" i="4"/>
  <c r="F341" i="4"/>
  <c r="F342" i="4"/>
  <c r="F350" i="4"/>
  <c r="F348" i="4"/>
  <c r="F349" i="4"/>
  <c r="F356" i="4"/>
  <c r="F355" i="4"/>
  <c r="F366" i="4"/>
  <c r="F367" i="4"/>
  <c r="F353" i="4"/>
  <c r="F363" i="4"/>
  <c r="F364" i="4"/>
  <c r="F369" i="4"/>
  <c r="F354" i="4"/>
  <c r="F370" i="4"/>
  <c r="F371" i="4"/>
  <c r="F372" i="4"/>
  <c r="F357" i="4"/>
  <c r="F358" i="4"/>
  <c r="F359" i="4"/>
  <c r="F361" i="4"/>
  <c r="F362" i="4"/>
  <c r="F360" i="4"/>
  <c r="F373" i="4"/>
  <c r="F368" i="4"/>
  <c r="F374" i="4"/>
  <c r="F365" i="4"/>
  <c r="F384" i="4"/>
  <c r="F382" i="4"/>
  <c r="F378" i="4"/>
  <c r="F379" i="4"/>
  <c r="F375" i="4"/>
  <c r="F376" i="4"/>
  <c r="F380" i="4"/>
  <c r="F381" i="4"/>
  <c r="F383" i="4"/>
  <c r="F377" i="4"/>
  <c r="F386" i="4"/>
  <c r="F396" i="4"/>
  <c r="F395" i="4"/>
  <c r="F402" i="4"/>
  <c r="F394" i="4"/>
  <c r="F403" i="4"/>
  <c r="F404" i="4"/>
  <c r="F405" i="4"/>
  <c r="F406" i="4"/>
  <c r="F407" i="4"/>
  <c r="F397" i="4"/>
  <c r="F398" i="4"/>
  <c r="F399" i="4"/>
  <c r="F408" i="4"/>
  <c r="F409" i="4"/>
  <c r="F410" i="4"/>
  <c r="F411" i="4"/>
  <c r="F400" i="4"/>
  <c r="F401" i="4"/>
  <c r="F412" i="4"/>
  <c r="F413" i="4"/>
  <c r="F414" i="4"/>
  <c r="F415" i="4"/>
  <c r="F416" i="4"/>
  <c r="F417" i="4"/>
  <c r="F393" i="4"/>
  <c r="E2" i="12"/>
  <c r="C2" i="12"/>
  <c r="E249" i="4"/>
  <c r="E237" i="4"/>
  <c r="E269" i="4"/>
  <c r="E270" i="4"/>
  <c r="E242" i="4"/>
  <c r="E271" i="4"/>
  <c r="E244" i="4"/>
  <c r="E245" i="4"/>
  <c r="E247" i="4"/>
  <c r="E272" i="4"/>
  <c r="E248" i="4"/>
  <c r="E273" i="4"/>
  <c r="E251" i="4"/>
  <c r="E274" i="4"/>
  <c r="E275" i="4"/>
  <c r="E276" i="4"/>
  <c r="E277" i="4"/>
  <c r="E155" i="4"/>
  <c r="E254" i="4"/>
  <c r="E295" i="4"/>
  <c r="E292" i="4"/>
  <c r="E268" i="4"/>
  <c r="E243" i="4"/>
  <c r="E246" i="4"/>
  <c r="E278" i="4"/>
  <c r="E194" i="4"/>
  <c r="E283" i="4"/>
  <c r="E289" i="4"/>
  <c r="E72" i="4"/>
  <c r="E286" i="4"/>
  <c r="E91" i="4"/>
  <c r="E296" i="4"/>
  <c r="E222" i="4"/>
  <c r="E201" i="4"/>
  <c r="E104" i="4"/>
  <c r="E120" i="4"/>
  <c r="E238" i="4"/>
  <c r="E300" i="4"/>
  <c r="E133" i="4"/>
  <c r="E216" i="4"/>
  <c r="E259" i="4"/>
  <c r="E260" i="4"/>
  <c r="E153" i="4"/>
  <c r="E241" i="4"/>
  <c r="E261" i="4"/>
  <c r="E118" i="4"/>
  <c r="E149" i="4"/>
  <c r="E187" i="4"/>
  <c r="E240" i="4"/>
  <c r="E294" i="4"/>
  <c r="E115" i="4"/>
  <c r="E138" i="4"/>
  <c r="E139" i="4"/>
  <c r="E180" i="4"/>
  <c r="E181" i="4"/>
  <c r="E141" i="4"/>
  <c r="E142" i="4"/>
  <c r="E143" i="4"/>
  <c r="E144" i="4"/>
  <c r="E121" i="4"/>
  <c r="E146" i="4"/>
  <c r="E30" i="4"/>
  <c r="E147" i="4"/>
  <c r="E31" i="4"/>
  <c r="E127" i="4"/>
  <c r="E172" i="4"/>
  <c r="E177" i="4"/>
  <c r="E95" i="4"/>
  <c r="E96" i="4"/>
  <c r="E97" i="4"/>
  <c r="E99" i="4"/>
  <c r="E100" i="4"/>
  <c r="E52" i="4"/>
  <c r="E53" i="4"/>
  <c r="E281" i="4"/>
  <c r="E157" i="4"/>
  <c r="E162" i="4"/>
  <c r="E280" i="4"/>
  <c r="E128" i="4"/>
  <c r="E215" i="4"/>
  <c r="E169" i="4"/>
  <c r="E170" i="4"/>
  <c r="E171" i="4"/>
  <c r="E178" i="4"/>
  <c r="E148" i="4"/>
  <c r="E124" i="4"/>
  <c r="E84" i="4"/>
  <c r="E173" i="4"/>
  <c r="E175" i="4"/>
  <c r="E210" i="4"/>
  <c r="E176" i="4"/>
  <c r="E303" i="4"/>
  <c r="E204" i="4"/>
  <c r="E205" i="4"/>
  <c r="E17" i="4"/>
  <c r="E78" i="4"/>
  <c r="E48" i="4"/>
  <c r="E50" i="4"/>
  <c r="E89" i="4"/>
  <c r="E90" i="4"/>
  <c r="E166" i="4"/>
  <c r="E167" i="4"/>
  <c r="E174" i="4"/>
  <c r="E92" i="4"/>
  <c r="E94" i="4"/>
  <c r="E186" i="4"/>
  <c r="E55" i="4"/>
  <c r="E57" i="4"/>
  <c r="E62" i="4"/>
  <c r="E206" i="4"/>
  <c r="E130" i="4"/>
  <c r="E8" i="4"/>
  <c r="E9" i="4"/>
  <c r="E197" i="4"/>
  <c r="E168" i="4"/>
  <c r="E199" i="4"/>
  <c r="E211" i="4"/>
  <c r="E165" i="4"/>
  <c r="E212" i="4"/>
  <c r="E119" i="4"/>
  <c r="E109" i="4"/>
  <c r="E129" i="4"/>
  <c r="E25" i="4"/>
  <c r="E219" i="4"/>
  <c r="E213" i="4"/>
  <c r="E288" i="4"/>
  <c r="E122" i="4"/>
  <c r="E56" i="4"/>
  <c r="E132" i="4"/>
  <c r="E76" i="4"/>
  <c r="E93" i="4"/>
  <c r="E98" i="4"/>
  <c r="E54" i="4"/>
  <c r="E58" i="4"/>
  <c r="E59" i="4"/>
  <c r="E60" i="4"/>
  <c r="E23" i="4"/>
  <c r="E75" i="4"/>
  <c r="E24" i="4"/>
  <c r="E83" i="4"/>
  <c r="E5" i="4"/>
  <c r="E209" i="4"/>
  <c r="E105" i="4"/>
  <c r="E33" i="4"/>
  <c r="E229" i="4"/>
  <c r="E15" i="4"/>
  <c r="E46" i="4"/>
  <c r="E47" i="4"/>
  <c r="E279" i="4"/>
  <c r="E230" i="4"/>
  <c r="E163" i="4"/>
  <c r="E164" i="4"/>
  <c r="E21" i="4"/>
  <c r="E43" i="4"/>
  <c r="E101" i="4"/>
  <c r="E103" i="4"/>
  <c r="E188" i="4"/>
  <c r="E207" i="4"/>
  <c r="E16" i="4"/>
  <c r="E221" i="4"/>
  <c r="E74" i="4"/>
  <c r="E189" i="4"/>
  <c r="E42" i="4"/>
  <c r="E220" i="4"/>
  <c r="E34" i="4"/>
  <c r="E152" i="4"/>
  <c r="E63" i="4"/>
  <c r="E66" i="4"/>
  <c r="E150" i="4"/>
  <c r="E64" i="4"/>
  <c r="E22" i="4"/>
  <c r="E102" i="4"/>
  <c r="E65" i="4"/>
  <c r="E14" i="4"/>
  <c r="E151" i="4"/>
  <c r="E41" i="4"/>
  <c r="E79" i="4"/>
  <c r="E108" i="4"/>
  <c r="E154" i="4"/>
  <c r="E107" i="4"/>
  <c r="E123" i="4"/>
  <c r="E80" i="4"/>
  <c r="E32" i="4"/>
  <c r="E61" i="4"/>
  <c r="E158" i="4"/>
  <c r="E113" i="4"/>
  <c r="E114" i="4"/>
  <c r="E69" i="4"/>
  <c r="E106" i="4"/>
  <c r="E179" i="4"/>
  <c r="E85" i="4"/>
  <c r="E111" i="4"/>
  <c r="E35" i="4"/>
  <c r="E18" i="4"/>
  <c r="E44" i="4"/>
  <c r="E110" i="4"/>
  <c r="E36" i="4"/>
  <c r="E39" i="4"/>
  <c r="E112" i="4"/>
  <c r="E49" i="4"/>
  <c r="E40" i="4"/>
  <c r="E37" i="4"/>
  <c r="E38" i="4"/>
  <c r="E309" i="4"/>
  <c r="E310" i="4"/>
  <c r="E311" i="4"/>
  <c r="E312" i="4"/>
  <c r="E315" i="4"/>
  <c r="E316" i="4"/>
  <c r="E317" i="4"/>
  <c r="E318" i="4"/>
  <c r="E305" i="4"/>
  <c r="E306" i="4"/>
  <c r="E304" i="4"/>
  <c r="E307" i="4"/>
  <c r="E308" i="4"/>
  <c r="E319" i="4"/>
  <c r="E313" i="4"/>
  <c r="E347" i="4"/>
  <c r="E339" i="4"/>
  <c r="E337" i="4"/>
  <c r="E338" i="4"/>
  <c r="E330" i="4"/>
  <c r="E336" i="4"/>
  <c r="E329" i="4"/>
  <c r="E340" i="4"/>
  <c r="E321" i="4"/>
  <c r="E345" i="4"/>
  <c r="E328" i="4"/>
  <c r="E351" i="4"/>
  <c r="E331" i="4"/>
  <c r="E323" i="4"/>
  <c r="E324" i="4"/>
  <c r="E325" i="4"/>
  <c r="E326" i="4"/>
  <c r="E352" i="4"/>
  <c r="E343" i="4"/>
  <c r="E344" i="4"/>
  <c r="E346" i="4"/>
  <c r="E332" i="4"/>
  <c r="E333" i="4"/>
  <c r="E334" i="4"/>
  <c r="E335" i="4"/>
  <c r="E327" i="4"/>
  <c r="E322" i="4"/>
  <c r="E320" i="4"/>
  <c r="E341" i="4"/>
  <c r="E342" i="4"/>
  <c r="E350" i="4"/>
  <c r="E348" i="4"/>
  <c r="E349" i="4"/>
  <c r="E356" i="4"/>
  <c r="E355" i="4"/>
  <c r="E366" i="4"/>
  <c r="E367" i="4"/>
  <c r="E353" i="4"/>
  <c r="E363" i="4"/>
  <c r="E364" i="4"/>
  <c r="E369" i="4"/>
  <c r="E354" i="4"/>
  <c r="E370" i="4"/>
  <c r="E371" i="4"/>
  <c r="E372" i="4"/>
  <c r="E357" i="4"/>
  <c r="E358" i="4"/>
  <c r="E359" i="4"/>
  <c r="E361" i="4"/>
  <c r="E362" i="4"/>
  <c r="E360" i="4"/>
  <c r="E373" i="4"/>
  <c r="E368" i="4"/>
  <c r="E374" i="4"/>
  <c r="E365" i="4"/>
  <c r="E384" i="4"/>
  <c r="E382" i="4"/>
  <c r="E378" i="4"/>
  <c r="E379" i="4"/>
  <c r="E375" i="4"/>
  <c r="E376" i="4"/>
  <c r="E380" i="4"/>
  <c r="E381" i="4"/>
  <c r="E383" i="4"/>
  <c r="E377" i="4"/>
  <c r="E386" i="4"/>
  <c r="E396" i="4"/>
  <c r="E395" i="4"/>
  <c r="E402" i="4"/>
  <c r="E394" i="4"/>
  <c r="E403" i="4"/>
  <c r="E404" i="4"/>
  <c r="E405" i="4"/>
  <c r="E406" i="4"/>
  <c r="E407" i="4"/>
  <c r="E397" i="4"/>
  <c r="E398" i="4"/>
  <c r="E399" i="4"/>
  <c r="E408" i="4"/>
  <c r="E409" i="4"/>
  <c r="E410" i="4"/>
  <c r="E411" i="4"/>
  <c r="E400" i="4"/>
  <c r="E401" i="4"/>
  <c r="E412" i="4"/>
  <c r="E413" i="4"/>
  <c r="E414" i="4"/>
  <c r="E415" i="4"/>
  <c r="E416" i="4"/>
  <c r="E417" i="4"/>
  <c r="E393" i="4"/>
  <c r="D2" i="12"/>
  <c r="F2" i="12"/>
  <c r="I192" i="4"/>
  <c r="I26" i="4"/>
  <c r="I183" i="4"/>
  <c r="I184" i="4"/>
  <c r="I291" i="4"/>
  <c r="I191" i="4"/>
  <c r="I242" i="4"/>
  <c r="I271" i="4"/>
  <c r="I244" i="4"/>
  <c r="I245" i="4"/>
  <c r="I247" i="4"/>
  <c r="I272" i="4"/>
  <c r="I248" i="4"/>
  <c r="I273" i="4"/>
  <c r="I125" i="4"/>
  <c r="I274" i="4"/>
  <c r="I275" i="4"/>
  <c r="I276" i="4"/>
  <c r="I277" i="4"/>
  <c r="I155" i="4"/>
  <c r="I214" i="4"/>
  <c r="I224" i="4"/>
  <c r="I225" i="4"/>
  <c r="I254" i="4"/>
  <c r="I196" i="4"/>
  <c r="I217" i="4"/>
  <c r="I81" i="4"/>
  <c r="I295" i="4"/>
  <c r="I203" i="4"/>
  <c r="I268" i="4"/>
  <c r="I190" i="4"/>
  <c r="I243" i="4"/>
  <c r="I246" i="4"/>
  <c r="I278" i="4"/>
  <c r="I12" i="4"/>
  <c r="I194" i="4"/>
  <c r="I13" i="4"/>
  <c r="I19" i="4"/>
  <c r="I283" i="4"/>
  <c r="I289" i="4"/>
  <c r="I11" i="4"/>
  <c r="I301" i="4"/>
  <c r="I255" i="4"/>
  <c r="I256" i="4"/>
  <c r="I284" i="4"/>
  <c r="I285" i="4"/>
  <c r="I286" i="4"/>
  <c r="I296" i="4"/>
  <c r="I200" i="4"/>
  <c r="I222" i="4"/>
  <c r="I232" i="4"/>
  <c r="I297" i="4"/>
  <c r="I302" i="4"/>
  <c r="I201" i="4"/>
  <c r="I299" i="4"/>
  <c r="I250" i="4"/>
  <c r="I198" i="4"/>
  <c r="I145" i="4"/>
  <c r="I120" i="4"/>
  <c r="I238" i="4"/>
  <c r="I239" i="4"/>
  <c r="I159" i="4"/>
  <c r="I195" i="4"/>
  <c r="I253" i="4"/>
  <c r="I300" i="4"/>
  <c r="I77" i="4"/>
  <c r="I216" i="4"/>
  <c r="I259" i="4"/>
  <c r="I260" i="4"/>
  <c r="I234" i="4"/>
  <c r="I262" i="4"/>
  <c r="I182" i="4"/>
  <c r="I290" i="4"/>
  <c r="I241" i="4"/>
  <c r="I193" i="4"/>
  <c r="I282" i="4"/>
  <c r="I226" i="4"/>
  <c r="I258" i="4"/>
  <c r="I235" i="4"/>
  <c r="I223" i="4"/>
  <c r="I126" i="4"/>
  <c r="I233" i="4"/>
  <c r="I261" i="4"/>
  <c r="I264" i="4"/>
  <c r="I118" i="4"/>
  <c r="I149" i="4"/>
  <c r="I187" i="4"/>
  <c r="I240" i="4"/>
  <c r="I131" i="4"/>
  <c r="I294" i="4"/>
  <c r="I227" i="4"/>
  <c r="I218" i="4"/>
  <c r="I115" i="4"/>
  <c r="I138" i="4"/>
  <c r="I139" i="4"/>
  <c r="I180" i="4"/>
  <c r="I141" i="4"/>
  <c r="I142" i="4"/>
  <c r="I144" i="4"/>
  <c r="I121" i="4"/>
  <c r="I146" i="4"/>
  <c r="I30" i="4"/>
  <c r="I147" i="4"/>
  <c r="I31" i="4"/>
  <c r="I127" i="4"/>
  <c r="I172" i="4"/>
  <c r="I177" i="4"/>
  <c r="I95" i="4"/>
  <c r="I97" i="4"/>
  <c r="I99" i="4"/>
  <c r="I100" i="4"/>
  <c r="I53" i="4"/>
  <c r="I281" i="4"/>
  <c r="I162" i="4"/>
  <c r="I280" i="4"/>
  <c r="I128" i="4"/>
  <c r="I215" i="4"/>
  <c r="I169" i="4"/>
  <c r="I170" i="4"/>
  <c r="I171" i="4"/>
  <c r="I178" i="4"/>
  <c r="I148" i="4"/>
  <c r="I124" i="4"/>
  <c r="I84" i="4"/>
  <c r="I173" i="4"/>
  <c r="I175" i="4"/>
  <c r="I210" i="4"/>
  <c r="I176" i="4"/>
  <c r="I303" i="4"/>
  <c r="I204" i="4"/>
  <c r="I205" i="4"/>
  <c r="I17" i="4"/>
  <c r="I78" i="4"/>
  <c r="I48" i="4"/>
  <c r="I50" i="4"/>
  <c r="I89" i="4"/>
  <c r="I90" i="4"/>
  <c r="I174" i="4"/>
  <c r="I92" i="4"/>
  <c r="I94" i="4"/>
  <c r="I186" i="4"/>
  <c r="I55" i="4"/>
  <c r="I57" i="4"/>
  <c r="I62" i="4"/>
  <c r="I206" i="4"/>
  <c r="I197" i="4"/>
  <c r="I116" i="4"/>
  <c r="I199" i="4"/>
  <c r="I211" i="4"/>
  <c r="I212" i="4"/>
  <c r="I119" i="4"/>
  <c r="I109" i="4"/>
  <c r="I129" i="4"/>
  <c r="I219" i="4"/>
  <c r="I213" i="4"/>
  <c r="I288" i="4"/>
  <c r="I122" i="4"/>
  <c r="I56" i="4"/>
  <c r="I76" i="4"/>
  <c r="I93" i="4"/>
  <c r="I54" i="4"/>
  <c r="I58" i="4"/>
  <c r="I59" i="4"/>
  <c r="I60" i="4"/>
  <c r="I75" i="4"/>
  <c r="I83" i="4"/>
  <c r="I140" i="4"/>
  <c r="I5" i="4"/>
  <c r="I209" i="4"/>
  <c r="I105" i="4"/>
  <c r="I33" i="4"/>
  <c r="I229" i="4"/>
  <c r="I279" i="4"/>
  <c r="I163" i="4"/>
  <c r="I164" i="4"/>
  <c r="I156" i="4"/>
  <c r="I21" i="4"/>
  <c r="I43" i="4"/>
  <c r="I101" i="4"/>
  <c r="I103" i="4"/>
  <c r="I188" i="4"/>
  <c r="I207" i="4"/>
  <c r="I82" i="4"/>
  <c r="I16" i="4"/>
  <c r="I221" i="4"/>
  <c r="I74" i="4"/>
  <c r="I189" i="4"/>
  <c r="I220" i="4"/>
  <c r="I34" i="4"/>
  <c r="I152" i="4"/>
  <c r="I63" i="4"/>
  <c r="I66" i="4"/>
  <c r="I150" i="4"/>
  <c r="I64" i="4"/>
  <c r="I231" i="4"/>
  <c r="I22" i="4"/>
  <c r="I102" i="4"/>
  <c r="I65" i="4"/>
  <c r="I151" i="4"/>
  <c r="I41" i="4"/>
  <c r="I108" i="4"/>
  <c r="I154" i="4"/>
  <c r="I107" i="4"/>
  <c r="I123" i="4"/>
  <c r="I32" i="4"/>
  <c r="I20" i="4"/>
  <c r="I61" i="4"/>
  <c r="I158" i="4"/>
  <c r="I114" i="4"/>
  <c r="I69" i="4"/>
  <c r="I106" i="4"/>
  <c r="I179" i="4"/>
  <c r="I85" i="4"/>
  <c r="I111" i="4"/>
  <c r="I35" i="4"/>
  <c r="I18" i="4"/>
  <c r="I44" i="4"/>
  <c r="I110" i="4"/>
  <c r="I36" i="4"/>
  <c r="I39" i="4"/>
  <c r="I112" i="4"/>
  <c r="I49" i="4"/>
  <c r="I40" i="4"/>
  <c r="I37" i="4"/>
  <c r="H2" i="12"/>
  <c r="J2" i="12"/>
  <c r="M153" i="4"/>
  <c r="M166" i="4"/>
  <c r="M7" i="4"/>
  <c r="M8" i="4"/>
  <c r="M9" i="4"/>
  <c r="M168" i="4"/>
  <c r="M165" i="4"/>
  <c r="M68" i="4"/>
  <c r="M396" i="4"/>
  <c r="M395" i="4"/>
  <c r="M402" i="4"/>
  <c r="M394" i="4"/>
  <c r="M403" i="4"/>
  <c r="M404" i="4"/>
  <c r="M405" i="4"/>
  <c r="M406" i="4"/>
  <c r="M407" i="4"/>
  <c r="M397" i="4"/>
  <c r="M398" i="4"/>
  <c r="M399" i="4"/>
  <c r="M408" i="4"/>
  <c r="M409" i="4"/>
  <c r="M410" i="4"/>
  <c r="M411" i="4"/>
  <c r="M400" i="4"/>
  <c r="M401" i="4"/>
  <c r="M412" i="4"/>
  <c r="M413" i="4"/>
  <c r="M414" i="4"/>
  <c r="M415" i="4"/>
  <c r="M416" i="4"/>
  <c r="M417" i="4"/>
  <c r="M393" i="4"/>
  <c r="L2" i="12"/>
  <c r="N2" i="12"/>
  <c r="Q291" i="4"/>
  <c r="Q298" i="4"/>
  <c r="Q73" i="4"/>
  <c r="P2" i="12"/>
  <c r="R2" i="12"/>
  <c r="V2" i="12"/>
  <c r="Y321" i="4"/>
  <c r="Y365" i="4"/>
  <c r="B390" i="4"/>
  <c r="C390" i="4"/>
  <c r="B392" i="4"/>
  <c r="C392" i="4"/>
  <c r="B389" i="4"/>
  <c r="C389" i="4"/>
  <c r="C388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4" i="6"/>
  <c r="AH284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7" i="6"/>
  <c r="AH207" i="6"/>
  <c r="AG160" i="6"/>
  <c r="AH160" i="6"/>
  <c r="AG70" i="6"/>
  <c r="AH70" i="6"/>
  <c r="AG106" i="6"/>
  <c r="AH106" i="6"/>
  <c r="AG208" i="6"/>
  <c r="AH208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3" i="6"/>
  <c r="AH233" i="6"/>
  <c r="AG234" i="6"/>
  <c r="AH234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4" i="6"/>
  <c r="AH124" i="6"/>
  <c r="AG125" i="6"/>
  <c r="AH125" i="6"/>
  <c r="AG126" i="6"/>
  <c r="AH126" i="6"/>
  <c r="AG130" i="6"/>
  <c r="AH130" i="6"/>
  <c r="AG131" i="6"/>
  <c r="AH131" i="6"/>
  <c r="AG273" i="6"/>
  <c r="AH273" i="6"/>
  <c r="AG161" i="6"/>
  <c r="AH161" i="6"/>
  <c r="AG110" i="6"/>
  <c r="AH110" i="6"/>
  <c r="AG111" i="6"/>
  <c r="AH111" i="6"/>
  <c r="AG112" i="6"/>
  <c r="AH112" i="6"/>
  <c r="AG31" i="6"/>
  <c r="AH31" i="6"/>
  <c r="AG166" i="6"/>
  <c r="AH166" i="6"/>
  <c r="AG167" i="6"/>
  <c r="AH167" i="6"/>
  <c r="AG168" i="6"/>
  <c r="AH168" i="6"/>
  <c r="AG209" i="6"/>
  <c r="AH209" i="6"/>
  <c r="AG142" i="6"/>
  <c r="AH142" i="6"/>
  <c r="AG169" i="6"/>
  <c r="AH169" i="6"/>
  <c r="AG56" i="6"/>
  <c r="AH56" i="6"/>
  <c r="AG285" i="6"/>
  <c r="AH285" i="6"/>
  <c r="AG235" i="6"/>
  <c r="AH235" i="6"/>
  <c r="AG197" i="6"/>
  <c r="AH197" i="6"/>
  <c r="AG143" i="6"/>
  <c r="AH143" i="6"/>
  <c r="AG176" i="6"/>
  <c r="AH176" i="6"/>
  <c r="AG177" i="6"/>
  <c r="AH177" i="6"/>
  <c r="AG132" i="6"/>
  <c r="AH132" i="6"/>
  <c r="AG12" i="6"/>
  <c r="AH12" i="6"/>
  <c r="AG298" i="6"/>
  <c r="AH298" i="6"/>
  <c r="AG198" i="6"/>
  <c r="AH198" i="6"/>
  <c r="AG210" i="6"/>
  <c r="AH210" i="6"/>
  <c r="AG144" i="6"/>
  <c r="AH144" i="6"/>
  <c r="AG211" i="6"/>
  <c r="AH211" i="6"/>
  <c r="AG133" i="6"/>
  <c r="AH133" i="6"/>
  <c r="AG13" i="6"/>
  <c r="AH13" i="6"/>
  <c r="AG46" i="6"/>
  <c r="AH46" i="6"/>
  <c r="AG262" i="6"/>
  <c r="AH262" i="6"/>
  <c r="AG24" i="6"/>
  <c r="AH24" i="6"/>
  <c r="AG236" i="6"/>
  <c r="AH236" i="6"/>
  <c r="AG199" i="6"/>
  <c r="AH199" i="6"/>
  <c r="AG72" i="6"/>
  <c r="AH72" i="6"/>
  <c r="AG263" i="6"/>
  <c r="AH263" i="6"/>
  <c r="AG38" i="6"/>
  <c r="AH38" i="6"/>
  <c r="AG73" i="6"/>
  <c r="AH73" i="6"/>
  <c r="AG74" i="6"/>
  <c r="AH74" i="6"/>
  <c r="AG286" i="6"/>
  <c r="AH286" i="6"/>
  <c r="AG75" i="6"/>
  <c r="AH75" i="6"/>
  <c r="AG237" i="6"/>
  <c r="AH237" i="6"/>
  <c r="AG238" i="6"/>
  <c r="AH238" i="6"/>
  <c r="AG212" i="6"/>
  <c r="AH212" i="6"/>
  <c r="AG274" i="6"/>
  <c r="AH274" i="6"/>
  <c r="AG213" i="6"/>
  <c r="AH213" i="6"/>
  <c r="AG134" i="6"/>
  <c r="AH134" i="6"/>
  <c r="AG76" i="6"/>
  <c r="AH76" i="6"/>
  <c r="AG214" i="6"/>
  <c r="AH214" i="6"/>
  <c r="AG25" i="6"/>
  <c r="AH25" i="6"/>
  <c r="AG136" i="6"/>
  <c r="AH136" i="6"/>
  <c r="AG239" i="6"/>
  <c r="AH239" i="6"/>
  <c r="AG162" i="6"/>
  <c r="AH162" i="6"/>
  <c r="AG77" i="6"/>
  <c r="AH77" i="6"/>
  <c r="AG264" i="6"/>
  <c r="AH264" i="6"/>
  <c r="AG275" i="6"/>
  <c r="AH275" i="6"/>
  <c r="AG127" i="6"/>
  <c r="AH127" i="6"/>
  <c r="AG145" i="6"/>
  <c r="AH145" i="6"/>
  <c r="AG240" i="6"/>
  <c r="AH240" i="6"/>
  <c r="AG276" i="6"/>
  <c r="AH276" i="6"/>
  <c r="AG57" i="6"/>
  <c r="AH57" i="6"/>
  <c r="AG215" i="6"/>
  <c r="AH215" i="6"/>
  <c r="AG277" i="6"/>
  <c r="AH277" i="6"/>
  <c r="AG287" i="6"/>
  <c r="AH287" i="6"/>
  <c r="AG119" i="6"/>
  <c r="AH119" i="6"/>
  <c r="AG120" i="6"/>
  <c r="AH120" i="6"/>
  <c r="AG14" i="6"/>
  <c r="AH14" i="6"/>
  <c r="AG121" i="6"/>
  <c r="AH121" i="6"/>
  <c r="AG200" i="6"/>
  <c r="AH200" i="6"/>
  <c r="AG154" i="6"/>
  <c r="AH154" i="6"/>
  <c r="AG216" i="6"/>
  <c r="AH216" i="6"/>
  <c r="AG201" i="6"/>
  <c r="AH201" i="6"/>
  <c r="AG26" i="6"/>
  <c r="AH26" i="6"/>
  <c r="AG265" i="6"/>
  <c r="AH265" i="6"/>
  <c r="AG122" i="6"/>
  <c r="AH122" i="6"/>
  <c r="AG128" i="6"/>
  <c r="AH128" i="6"/>
  <c r="AG241" i="6"/>
  <c r="AH241" i="6"/>
  <c r="AG242" i="6"/>
  <c r="AH242" i="6"/>
  <c r="AG243" i="6"/>
  <c r="AH243" i="6"/>
  <c r="AG135" i="6"/>
  <c r="AH135" i="6"/>
  <c r="AG58" i="6"/>
  <c r="AH58" i="6"/>
  <c r="AG39" i="6"/>
  <c r="AH39" i="6"/>
  <c r="AG44" i="6"/>
  <c r="AH44" i="6"/>
  <c r="AG178" i="6"/>
  <c r="AH178" i="6"/>
  <c r="AG78" i="6"/>
  <c r="AH78" i="6"/>
  <c r="AG32" i="6"/>
  <c r="AH32" i="6"/>
  <c r="AG191" i="6"/>
  <c r="AH191" i="6"/>
  <c r="AG137" i="6"/>
  <c r="AH137" i="6"/>
  <c r="AG138" i="6"/>
  <c r="AH138" i="6"/>
  <c r="AG139" i="6"/>
  <c r="AH139" i="6"/>
  <c r="AG244" i="6"/>
  <c r="AH244" i="6"/>
  <c r="AG245" i="6"/>
  <c r="AH245" i="6"/>
  <c r="AG246" i="6"/>
  <c r="AH246" i="6"/>
  <c r="AG33" i="6"/>
  <c r="AH33" i="6"/>
  <c r="AG79" i="6"/>
  <c r="AH79" i="6"/>
  <c r="AG113" i="6"/>
  <c r="AH113" i="6"/>
  <c r="AG247" i="6"/>
  <c r="AH247" i="6"/>
  <c r="AG248" i="6"/>
  <c r="AH248" i="6"/>
  <c r="AG288" i="6"/>
  <c r="AH288" i="6"/>
  <c r="AG289" i="6"/>
  <c r="AH289" i="6"/>
  <c r="AG34" i="6"/>
  <c r="AH34" i="6"/>
  <c r="AG179" i="6"/>
  <c r="AH179" i="6"/>
  <c r="AG155" i="6"/>
  <c r="AH155" i="6"/>
  <c r="AG249" i="6"/>
  <c r="AH249" i="6"/>
  <c r="AG278" i="6"/>
  <c r="AH278" i="6"/>
  <c r="AG250" i="6"/>
  <c r="AH250" i="6"/>
  <c r="AG80" i="6"/>
  <c r="AH80" i="6"/>
  <c r="AG251" i="6"/>
  <c r="AH251" i="6"/>
  <c r="AG81" i="6"/>
  <c r="AH81" i="6"/>
  <c r="AG266" i="6"/>
  <c r="AH266" i="6"/>
  <c r="AG163" i="6"/>
  <c r="AH163" i="6"/>
  <c r="AG290" i="6"/>
  <c r="AH290" i="6"/>
  <c r="AG146" i="6"/>
  <c r="AH146" i="6"/>
  <c r="AG59" i="6"/>
  <c r="AH59" i="6"/>
  <c r="AG217" i="6"/>
  <c r="AH217" i="6"/>
  <c r="AG218" i="6"/>
  <c r="AH218" i="6"/>
  <c r="AG219" i="6"/>
  <c r="AH219" i="6"/>
  <c r="AG202" i="6"/>
  <c r="AH202" i="6"/>
  <c r="AG220" i="6"/>
  <c r="AH220" i="6"/>
  <c r="AG129" i="6"/>
  <c r="AH129" i="6"/>
  <c r="AG147" i="6"/>
  <c r="AH147" i="6"/>
  <c r="AG148" i="6"/>
  <c r="AH148" i="6"/>
  <c r="AG180" i="6"/>
  <c r="AH180" i="6"/>
  <c r="AG156" i="6"/>
  <c r="AH156" i="6"/>
  <c r="AG221" i="6"/>
  <c r="AH221" i="6"/>
  <c r="AG203" i="6"/>
  <c r="AH203" i="6"/>
  <c r="AG222" i="6"/>
  <c r="AH222" i="6"/>
  <c r="AG223" i="6"/>
  <c r="AH223" i="6"/>
  <c r="AG204" i="6"/>
  <c r="AH204" i="6"/>
  <c r="AG224" i="6"/>
  <c r="AH224" i="6"/>
  <c r="AG225" i="6"/>
  <c r="AH225" i="6"/>
  <c r="AG226" i="6"/>
  <c r="AH226" i="6"/>
  <c r="AG149" i="6"/>
  <c r="AH149" i="6"/>
  <c r="AG150" i="6"/>
  <c r="AH150" i="6"/>
  <c r="AG151" i="6"/>
  <c r="AH151" i="6"/>
  <c r="AG82" i="6"/>
  <c r="AH82" i="6"/>
  <c r="AG187" i="6"/>
  <c r="AH187" i="6"/>
  <c r="AG188" i="6"/>
  <c r="AH188" i="6"/>
  <c r="AG189" i="6"/>
  <c r="AH189" i="6"/>
  <c r="AG153" i="6"/>
  <c r="AH153" i="6"/>
  <c r="AG157" i="6"/>
  <c r="AH157" i="6"/>
  <c r="AG164" i="6"/>
  <c r="AH164" i="6"/>
  <c r="AG170" i="6"/>
  <c r="AH170" i="6"/>
  <c r="AG171" i="6"/>
  <c r="AH171" i="6"/>
  <c r="AG181" i="6"/>
  <c r="AH181" i="6"/>
  <c r="AG192" i="6"/>
  <c r="AH192" i="6"/>
  <c r="AG190" i="6"/>
  <c r="AH190" i="6"/>
  <c r="AG193" i="6"/>
  <c r="AH193" i="6"/>
  <c r="AG196" i="6"/>
  <c r="AH196" i="6"/>
  <c r="AG194" i="6"/>
  <c r="AH194" i="6"/>
  <c r="AG195" i="6"/>
  <c r="AH195" i="6"/>
  <c r="AG205" i="6"/>
  <c r="AH205" i="6"/>
  <c r="AG227" i="6"/>
  <c r="AH227" i="6"/>
  <c r="AG165" i="6"/>
  <c r="AH165" i="6"/>
  <c r="AG252" i="6"/>
  <c r="AH252" i="6"/>
  <c r="AG206" i="6"/>
  <c r="AH206" i="6"/>
  <c r="AG253" i="6"/>
  <c r="AH253" i="6"/>
  <c r="AG254" i="6"/>
  <c r="AH254" i="6"/>
  <c r="AG255" i="6"/>
  <c r="AH255" i="6"/>
  <c r="AG256" i="6"/>
  <c r="AH256" i="6"/>
  <c r="AG279" i="6"/>
  <c r="AH279" i="6"/>
  <c r="AG257" i="6"/>
  <c r="AH257" i="6"/>
  <c r="AG258" i="6"/>
  <c r="AH258" i="6"/>
  <c r="AG267" i="6"/>
  <c r="AH267" i="6"/>
  <c r="AG268" i="6"/>
  <c r="AH268" i="6"/>
  <c r="AG269" i="6"/>
  <c r="AH269" i="6"/>
  <c r="AG280" i="6"/>
  <c r="AH280" i="6"/>
  <c r="AG281" i="6"/>
  <c r="AH281" i="6"/>
  <c r="AG282" i="6"/>
  <c r="AH282" i="6"/>
  <c r="AG283" i="6"/>
  <c r="AH283" i="6"/>
  <c r="AG228" i="6"/>
  <c r="AH228" i="6"/>
  <c r="AG158" i="6"/>
  <c r="AH158" i="6"/>
  <c r="AG35" i="6"/>
  <c r="AH35" i="6"/>
  <c r="AG152" i="6"/>
  <c r="AH152" i="6"/>
  <c r="AG291" i="6"/>
  <c r="AH291" i="6"/>
  <c r="AG270" i="6"/>
  <c r="AH270" i="6"/>
  <c r="AG271" i="6"/>
  <c r="AH271" i="6"/>
  <c r="AG123" i="6"/>
  <c r="AH123" i="6"/>
  <c r="AG229" i="6"/>
  <c r="AH229" i="6"/>
  <c r="AG230" i="6"/>
  <c r="AH230" i="6"/>
  <c r="AG231" i="6"/>
  <c r="AH231" i="6"/>
  <c r="AG259" i="6"/>
  <c r="AH259" i="6"/>
  <c r="AG272" i="6"/>
  <c r="AH272" i="6"/>
  <c r="AG232" i="6"/>
  <c r="AH232" i="6"/>
  <c r="AG83" i="6"/>
  <c r="AH83" i="6"/>
  <c r="AG84" i="6"/>
  <c r="AH84" i="6"/>
  <c r="AG63" i="6"/>
  <c r="AH63" i="6"/>
  <c r="AG60" i="6"/>
  <c r="AH60" i="6"/>
  <c r="AG292" i="6"/>
  <c r="AH292" i="6"/>
  <c r="AG293" i="6"/>
  <c r="AH293" i="6"/>
  <c r="AG294" i="6"/>
  <c r="AH294" i="6"/>
  <c r="AG295" i="6"/>
  <c r="AH295" i="6"/>
  <c r="AG296" i="6"/>
  <c r="AH296" i="6"/>
  <c r="AG172" i="6"/>
  <c r="AH172" i="6"/>
  <c r="AG173" i="6"/>
  <c r="AH173" i="6"/>
  <c r="AG182" i="6"/>
  <c r="AH182" i="6"/>
  <c r="AG159" i="6"/>
  <c r="AH159" i="6"/>
  <c r="AG174" i="6"/>
  <c r="AH174" i="6"/>
  <c r="AG260" i="6"/>
  <c r="AH260" i="6"/>
  <c r="AG297" i="6"/>
  <c r="AH297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3" i="6"/>
  <c r="AH183" i="6"/>
  <c r="AG36" i="6"/>
  <c r="AH36" i="6"/>
  <c r="AG184" i="6"/>
  <c r="AH184" i="6"/>
  <c r="AG299" i="6"/>
  <c r="AH299" i="6"/>
  <c r="AG175" i="6"/>
  <c r="AH175" i="6"/>
  <c r="AG185" i="6"/>
  <c r="AH185" i="6"/>
  <c r="AG186" i="6"/>
  <c r="AH186" i="6"/>
  <c r="AG102" i="6"/>
  <c r="AH102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8" i="6"/>
  <c r="AH318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46" i="6"/>
  <c r="AH346" i="6"/>
  <c r="AG351" i="6"/>
  <c r="AH351" i="6"/>
  <c r="AG347" i="6"/>
  <c r="AH347" i="6"/>
  <c r="AG348" i="6"/>
  <c r="AH348" i="6"/>
  <c r="AG352" i="6"/>
  <c r="AH352" i="6"/>
  <c r="AG349" i="6"/>
  <c r="AH349" i="6"/>
  <c r="AG350" i="6"/>
  <c r="AH350" i="6"/>
  <c r="AG366" i="6"/>
  <c r="AH366" i="6"/>
  <c r="AG353" i="6"/>
  <c r="AH353" i="6"/>
  <c r="AG367" i="6"/>
  <c r="AH367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1" i="6"/>
  <c r="AH361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62" i="6"/>
  <c r="AH362" i="6"/>
  <c r="AG363" i="6"/>
  <c r="AH363" i="6"/>
  <c r="AG364" i="6"/>
  <c r="AH364" i="6"/>
  <c r="AG365" i="6"/>
  <c r="AH365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5" i="6"/>
  <c r="AH385" i="6"/>
  <c r="AG389" i="6"/>
  <c r="AH389" i="6"/>
  <c r="AG392" i="6"/>
  <c r="AH392" i="6"/>
  <c r="AG388" i="6"/>
  <c r="AH388" i="6"/>
  <c r="AG391" i="6"/>
  <c r="AH391" i="6"/>
  <c r="AG390" i="6"/>
  <c r="AH390" i="6"/>
  <c r="AG416" i="6"/>
  <c r="AH416" i="6"/>
  <c r="AG394" i="6"/>
  <c r="AH394" i="6"/>
  <c r="AG415" i="6"/>
  <c r="AH415" i="6"/>
  <c r="AG414" i="6"/>
  <c r="AH414" i="6"/>
  <c r="AG397" i="6"/>
  <c r="AH397" i="6"/>
  <c r="AG398" i="6"/>
  <c r="AH398" i="6"/>
  <c r="AG399" i="6"/>
  <c r="AH399" i="6"/>
  <c r="AG400" i="6"/>
  <c r="AH400" i="6"/>
  <c r="AG401" i="6"/>
  <c r="AH401" i="6"/>
  <c r="AG396" i="6"/>
  <c r="AH396" i="6"/>
  <c r="AG412" i="6"/>
  <c r="AH412" i="6"/>
  <c r="AG402" i="6"/>
  <c r="AH402" i="6"/>
  <c r="AG403" i="6"/>
  <c r="AH403" i="6"/>
  <c r="AG404" i="6"/>
  <c r="AH404" i="6"/>
  <c r="AG405" i="6"/>
  <c r="AH405" i="6"/>
  <c r="AG406" i="6"/>
  <c r="AH406" i="6"/>
  <c r="AG407" i="6"/>
  <c r="AH407" i="6"/>
  <c r="AG393" i="6"/>
  <c r="AH393" i="6"/>
  <c r="AG413" i="6"/>
  <c r="AH413" i="6"/>
  <c r="AG408" i="6"/>
  <c r="AH408" i="6"/>
  <c r="AG395" i="6"/>
  <c r="AH395" i="6"/>
  <c r="AG417" i="6"/>
  <c r="AH417" i="6"/>
  <c r="AG409" i="6"/>
  <c r="AH409" i="6"/>
  <c r="AG410" i="6"/>
  <c r="AH410" i="6"/>
  <c r="AG411" i="6"/>
  <c r="AH411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4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7" i="6"/>
  <c r="AF160" i="6"/>
  <c r="AF70" i="6"/>
  <c r="AF106" i="6"/>
  <c r="AF208" i="6"/>
  <c r="AF89" i="6"/>
  <c r="AF90" i="6"/>
  <c r="AF85" i="6"/>
  <c r="AF91" i="6"/>
  <c r="AF92" i="6"/>
  <c r="AF93" i="6"/>
  <c r="AF94" i="6"/>
  <c r="AF95" i="6"/>
  <c r="AF96" i="6"/>
  <c r="AF103" i="6"/>
  <c r="AF97" i="6"/>
  <c r="AF233" i="6"/>
  <c r="AF234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4" i="6"/>
  <c r="AF125" i="6"/>
  <c r="AF126" i="6"/>
  <c r="AF130" i="6"/>
  <c r="AF131" i="6"/>
  <c r="AF273" i="6"/>
  <c r="AF161" i="6"/>
  <c r="AF110" i="6"/>
  <c r="AF111" i="6"/>
  <c r="AF112" i="6"/>
  <c r="AF31" i="6"/>
  <c r="AF166" i="6"/>
  <c r="AF167" i="6"/>
  <c r="AF168" i="6"/>
  <c r="AF209" i="6"/>
  <c r="AF142" i="6"/>
  <c r="AF169" i="6"/>
  <c r="AF56" i="6"/>
  <c r="AF285" i="6"/>
  <c r="AF235" i="6"/>
  <c r="AF197" i="6"/>
  <c r="AF143" i="6"/>
  <c r="AF176" i="6"/>
  <c r="AF177" i="6"/>
  <c r="AF132" i="6"/>
  <c r="AF12" i="6"/>
  <c r="AF298" i="6"/>
  <c r="AF198" i="6"/>
  <c r="AF210" i="6"/>
  <c r="AF144" i="6"/>
  <c r="AF211" i="6"/>
  <c r="AF133" i="6"/>
  <c r="AF13" i="6"/>
  <c r="AF46" i="6"/>
  <c r="AF262" i="6"/>
  <c r="AF24" i="6"/>
  <c r="AF236" i="6"/>
  <c r="AF199" i="6"/>
  <c r="AF72" i="6"/>
  <c r="AF263" i="6"/>
  <c r="AF38" i="6"/>
  <c r="AF73" i="6"/>
  <c r="AF74" i="6"/>
  <c r="AF286" i="6"/>
  <c r="AF75" i="6"/>
  <c r="AF237" i="6"/>
  <c r="AF238" i="6"/>
  <c r="AF212" i="6"/>
  <c r="AF274" i="6"/>
  <c r="AF213" i="6"/>
  <c r="AF134" i="6"/>
  <c r="AF76" i="6"/>
  <c r="AF214" i="6"/>
  <c r="AF25" i="6"/>
  <c r="AF136" i="6"/>
  <c r="AF239" i="6"/>
  <c r="AF162" i="6"/>
  <c r="AF77" i="6"/>
  <c r="AF264" i="6"/>
  <c r="AF275" i="6"/>
  <c r="AF127" i="6"/>
  <c r="AF145" i="6"/>
  <c r="AF240" i="6"/>
  <c r="AF276" i="6"/>
  <c r="AF57" i="6"/>
  <c r="AF215" i="6"/>
  <c r="AF277" i="6"/>
  <c r="AF287" i="6"/>
  <c r="AF119" i="6"/>
  <c r="AF120" i="6"/>
  <c r="AF14" i="6"/>
  <c r="AF121" i="6"/>
  <c r="AF200" i="6"/>
  <c r="AF154" i="6"/>
  <c r="AF216" i="6"/>
  <c r="AF201" i="6"/>
  <c r="AF26" i="6"/>
  <c r="AF265" i="6"/>
  <c r="AF122" i="6"/>
  <c r="AF128" i="6"/>
  <c r="AF241" i="6"/>
  <c r="AF242" i="6"/>
  <c r="AF243" i="6"/>
  <c r="AF135" i="6"/>
  <c r="AF58" i="6"/>
  <c r="AF39" i="6"/>
  <c r="AF44" i="6"/>
  <c r="AF178" i="6"/>
  <c r="AF78" i="6"/>
  <c r="AF32" i="6"/>
  <c r="AF191" i="6"/>
  <c r="AF137" i="6"/>
  <c r="AF138" i="6"/>
  <c r="AF139" i="6"/>
  <c r="AF244" i="6"/>
  <c r="AF245" i="6"/>
  <c r="AF246" i="6"/>
  <c r="AF33" i="6"/>
  <c r="AF79" i="6"/>
  <c r="AF113" i="6"/>
  <c r="AF247" i="6"/>
  <c r="AF248" i="6"/>
  <c r="AF288" i="6"/>
  <c r="AF289" i="6"/>
  <c r="AF34" i="6"/>
  <c r="AF179" i="6"/>
  <c r="AF155" i="6"/>
  <c r="AF249" i="6"/>
  <c r="AF278" i="6"/>
  <c r="AF250" i="6"/>
  <c r="AF80" i="6"/>
  <c r="AF251" i="6"/>
  <c r="AF81" i="6"/>
  <c r="AF266" i="6"/>
  <c r="AF163" i="6"/>
  <c r="AF290" i="6"/>
  <c r="AF146" i="6"/>
  <c r="AF59" i="6"/>
  <c r="AF217" i="6"/>
  <c r="AF218" i="6"/>
  <c r="AF219" i="6"/>
  <c r="AF202" i="6"/>
  <c r="AF220" i="6"/>
  <c r="AF129" i="6"/>
  <c r="AF147" i="6"/>
  <c r="AF148" i="6"/>
  <c r="AF180" i="6"/>
  <c r="AF156" i="6"/>
  <c r="AF221" i="6"/>
  <c r="AF203" i="6"/>
  <c r="AF222" i="6"/>
  <c r="AF223" i="6"/>
  <c r="AF204" i="6"/>
  <c r="AF224" i="6"/>
  <c r="AF225" i="6"/>
  <c r="AF226" i="6"/>
  <c r="AF149" i="6"/>
  <c r="AF150" i="6"/>
  <c r="AF151" i="6"/>
  <c r="AF82" i="6"/>
  <c r="AF187" i="6"/>
  <c r="AF188" i="6"/>
  <c r="AF189" i="6"/>
  <c r="AF153" i="6"/>
  <c r="AF157" i="6"/>
  <c r="AF164" i="6"/>
  <c r="AF170" i="6"/>
  <c r="AF171" i="6"/>
  <c r="AF181" i="6"/>
  <c r="AF192" i="6"/>
  <c r="AF190" i="6"/>
  <c r="AF193" i="6"/>
  <c r="AF196" i="6"/>
  <c r="AF194" i="6"/>
  <c r="AF195" i="6"/>
  <c r="AF205" i="6"/>
  <c r="AF227" i="6"/>
  <c r="AF165" i="6"/>
  <c r="AF252" i="6"/>
  <c r="AF206" i="6"/>
  <c r="AF253" i="6"/>
  <c r="AF254" i="6"/>
  <c r="AF255" i="6"/>
  <c r="AF256" i="6"/>
  <c r="AF279" i="6"/>
  <c r="AF257" i="6"/>
  <c r="AF258" i="6"/>
  <c r="AF267" i="6"/>
  <c r="AF268" i="6"/>
  <c r="AF269" i="6"/>
  <c r="AF280" i="6"/>
  <c r="AF281" i="6"/>
  <c r="AF282" i="6"/>
  <c r="AF283" i="6"/>
  <c r="AF228" i="6"/>
  <c r="AF158" i="6"/>
  <c r="AF35" i="6"/>
  <c r="AF152" i="6"/>
  <c r="AF291" i="6"/>
  <c r="AF270" i="6"/>
  <c r="AF271" i="6"/>
  <c r="AF123" i="6"/>
  <c r="AF229" i="6"/>
  <c r="AF230" i="6"/>
  <c r="AF231" i="6"/>
  <c r="AF259" i="6"/>
  <c r="AF272" i="6"/>
  <c r="AF232" i="6"/>
  <c r="AF83" i="6"/>
  <c r="AF84" i="6"/>
  <c r="AF63" i="6"/>
  <c r="AF60" i="6"/>
  <c r="AF292" i="6"/>
  <c r="AF293" i="6"/>
  <c r="AF294" i="6"/>
  <c r="AF295" i="6"/>
  <c r="AF296" i="6"/>
  <c r="AF172" i="6"/>
  <c r="AF173" i="6"/>
  <c r="AF182" i="6"/>
  <c r="AF159" i="6"/>
  <c r="AF174" i="6"/>
  <c r="AF260" i="6"/>
  <c r="AF297" i="6"/>
  <c r="AF61" i="6"/>
  <c r="AF15" i="6"/>
  <c r="AF16" i="6"/>
  <c r="AF17" i="6"/>
  <c r="AF18" i="6"/>
  <c r="AF19" i="6"/>
  <c r="AF20" i="6"/>
  <c r="AF183" i="6"/>
  <c r="AF36" i="6"/>
  <c r="AF184" i="6"/>
  <c r="AF299" i="6"/>
  <c r="AF175" i="6"/>
  <c r="AF185" i="6"/>
  <c r="AF186" i="6"/>
  <c r="AF102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51" i="6"/>
  <c r="AF347" i="6"/>
  <c r="AF348" i="6"/>
  <c r="AF352" i="6"/>
  <c r="AF349" i="6"/>
  <c r="AF350" i="6"/>
  <c r="AF366" i="6"/>
  <c r="AF353" i="6"/>
  <c r="AF367" i="6"/>
  <c r="AF354" i="6"/>
  <c r="AF355" i="6"/>
  <c r="AF356" i="6"/>
  <c r="AF357" i="6"/>
  <c r="AF358" i="6"/>
  <c r="AF359" i="6"/>
  <c r="AF360" i="6"/>
  <c r="AF361" i="6"/>
  <c r="AF368" i="6"/>
  <c r="AF369" i="6"/>
  <c r="AF370" i="6"/>
  <c r="AF371" i="6"/>
  <c r="AF372" i="6"/>
  <c r="AF373" i="6"/>
  <c r="AF374" i="6"/>
  <c r="AF362" i="6"/>
  <c r="AF363" i="6"/>
  <c r="AF364" i="6"/>
  <c r="AF365" i="6"/>
  <c r="AF375" i="6"/>
  <c r="AF376" i="6"/>
  <c r="AF377" i="6"/>
  <c r="AF378" i="6"/>
  <c r="AF379" i="6"/>
  <c r="AF380" i="6"/>
  <c r="AF381" i="6"/>
  <c r="AF382" i="6"/>
  <c r="AF383" i="6"/>
  <c r="AF384" i="6"/>
  <c r="AF385" i="6"/>
  <c r="AF389" i="6"/>
  <c r="AF392" i="6"/>
  <c r="AF388" i="6"/>
  <c r="AF391" i="6"/>
  <c r="AF390" i="6"/>
  <c r="AF416" i="6"/>
  <c r="AF394" i="6"/>
  <c r="AF415" i="6"/>
  <c r="AF414" i="6"/>
  <c r="AF397" i="6"/>
  <c r="AF398" i="6"/>
  <c r="AF399" i="6"/>
  <c r="AF400" i="6"/>
  <c r="AF401" i="6"/>
  <c r="AF396" i="6"/>
  <c r="AF412" i="6"/>
  <c r="AF402" i="6"/>
  <c r="AF403" i="6"/>
  <c r="AF404" i="6"/>
  <c r="AF405" i="6"/>
  <c r="AF406" i="6"/>
  <c r="AF407" i="6"/>
  <c r="AF393" i="6"/>
  <c r="AF413" i="6"/>
  <c r="AF408" i="6"/>
  <c r="AF395" i="6"/>
  <c r="AF417" i="6"/>
  <c r="AF409" i="6"/>
  <c r="AF410" i="6"/>
  <c r="AF411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4" i="6"/>
  <c r="AC284" i="6"/>
  <c r="AD284" i="6"/>
  <c r="AE284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7" i="6"/>
  <c r="AC207" i="6"/>
  <c r="AD207" i="6"/>
  <c r="AE207" i="6"/>
  <c r="AB160" i="6"/>
  <c r="AC160" i="6"/>
  <c r="AD160" i="6"/>
  <c r="AE160" i="6"/>
  <c r="AB70" i="6"/>
  <c r="AC70" i="6"/>
  <c r="AD70" i="6"/>
  <c r="AE70" i="6"/>
  <c r="AB106" i="6"/>
  <c r="AC106" i="6"/>
  <c r="AD106" i="6"/>
  <c r="AE106" i="6"/>
  <c r="AB208" i="6"/>
  <c r="AC208" i="6"/>
  <c r="AD208" i="6"/>
  <c r="AE208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3" i="6"/>
  <c r="AC233" i="6"/>
  <c r="AD233" i="6"/>
  <c r="AE233" i="6"/>
  <c r="AB234" i="6"/>
  <c r="AC234" i="6"/>
  <c r="AD234" i="6"/>
  <c r="AE234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4" i="6"/>
  <c r="AC124" i="6"/>
  <c r="AD124" i="6"/>
  <c r="AE124" i="6"/>
  <c r="AB125" i="6"/>
  <c r="AC125" i="6"/>
  <c r="AD125" i="6"/>
  <c r="AE125" i="6"/>
  <c r="AB126" i="6"/>
  <c r="AC126" i="6"/>
  <c r="AD126" i="6"/>
  <c r="AE126" i="6"/>
  <c r="AB130" i="6"/>
  <c r="AC130" i="6"/>
  <c r="AD130" i="6"/>
  <c r="AE130" i="6"/>
  <c r="AB131" i="6"/>
  <c r="AC131" i="6"/>
  <c r="AD131" i="6"/>
  <c r="AE131" i="6"/>
  <c r="AB273" i="6"/>
  <c r="AC273" i="6"/>
  <c r="AD273" i="6"/>
  <c r="AE273" i="6"/>
  <c r="AB161" i="6"/>
  <c r="AC161" i="6"/>
  <c r="AD161" i="6"/>
  <c r="AE161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6" i="6"/>
  <c r="AC166" i="6"/>
  <c r="AD166" i="6"/>
  <c r="AE166" i="6"/>
  <c r="AB167" i="6"/>
  <c r="AC167" i="6"/>
  <c r="AD167" i="6"/>
  <c r="AE167" i="6"/>
  <c r="AB168" i="6"/>
  <c r="AC168" i="6"/>
  <c r="AD168" i="6"/>
  <c r="AE168" i="6"/>
  <c r="AB209" i="6"/>
  <c r="AC209" i="6"/>
  <c r="AD209" i="6"/>
  <c r="AE209" i="6"/>
  <c r="AB142" i="6"/>
  <c r="AC142" i="6"/>
  <c r="AD142" i="6"/>
  <c r="AE142" i="6"/>
  <c r="AB169" i="6"/>
  <c r="AC169" i="6"/>
  <c r="AD169" i="6"/>
  <c r="AE169" i="6"/>
  <c r="AB56" i="6"/>
  <c r="AC56" i="6"/>
  <c r="AD56" i="6"/>
  <c r="AE56" i="6"/>
  <c r="AB285" i="6"/>
  <c r="AC285" i="6"/>
  <c r="AD285" i="6"/>
  <c r="AE285" i="6"/>
  <c r="AB235" i="6"/>
  <c r="AC235" i="6"/>
  <c r="AD235" i="6"/>
  <c r="AE235" i="6"/>
  <c r="AB197" i="6"/>
  <c r="AC197" i="6"/>
  <c r="AD197" i="6"/>
  <c r="AE197" i="6"/>
  <c r="AB143" i="6"/>
  <c r="AC143" i="6"/>
  <c r="AD143" i="6"/>
  <c r="AE143" i="6"/>
  <c r="AB176" i="6"/>
  <c r="AC176" i="6"/>
  <c r="AD176" i="6"/>
  <c r="AE176" i="6"/>
  <c r="AB177" i="6"/>
  <c r="AC177" i="6"/>
  <c r="AD177" i="6"/>
  <c r="AE177" i="6"/>
  <c r="AB132" i="6"/>
  <c r="AC132" i="6"/>
  <c r="AD132" i="6"/>
  <c r="AE132" i="6"/>
  <c r="AB12" i="6"/>
  <c r="AC12" i="6"/>
  <c r="AD12" i="6"/>
  <c r="AE12" i="6"/>
  <c r="AB298" i="6"/>
  <c r="AC298" i="6"/>
  <c r="AD298" i="6"/>
  <c r="AE298" i="6"/>
  <c r="AB198" i="6"/>
  <c r="AC198" i="6"/>
  <c r="AD198" i="6"/>
  <c r="AE198" i="6"/>
  <c r="AB210" i="6"/>
  <c r="AC210" i="6"/>
  <c r="AD210" i="6"/>
  <c r="AE210" i="6"/>
  <c r="AB144" i="6"/>
  <c r="AC144" i="6"/>
  <c r="AD144" i="6"/>
  <c r="AE144" i="6"/>
  <c r="AB211" i="6"/>
  <c r="AC211" i="6"/>
  <c r="AD211" i="6"/>
  <c r="AE211" i="6"/>
  <c r="AB133" i="6"/>
  <c r="AC133" i="6"/>
  <c r="AD133" i="6"/>
  <c r="AE133" i="6"/>
  <c r="AB13" i="6"/>
  <c r="AC13" i="6"/>
  <c r="AD13" i="6"/>
  <c r="AE13" i="6"/>
  <c r="AB46" i="6"/>
  <c r="AC46" i="6"/>
  <c r="AD46" i="6"/>
  <c r="AE46" i="6"/>
  <c r="AB262" i="6"/>
  <c r="AC262" i="6"/>
  <c r="AD262" i="6"/>
  <c r="AE262" i="6"/>
  <c r="AB24" i="6"/>
  <c r="AC24" i="6"/>
  <c r="AD24" i="6"/>
  <c r="AE24" i="6"/>
  <c r="AB236" i="6"/>
  <c r="AC236" i="6"/>
  <c r="AD236" i="6"/>
  <c r="AE236" i="6"/>
  <c r="AB199" i="6"/>
  <c r="AC199" i="6"/>
  <c r="AD199" i="6"/>
  <c r="AE199" i="6"/>
  <c r="AB72" i="6"/>
  <c r="AC72" i="6"/>
  <c r="AD72" i="6"/>
  <c r="AE72" i="6"/>
  <c r="AB263" i="6"/>
  <c r="AC263" i="6"/>
  <c r="AD263" i="6"/>
  <c r="AE263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6" i="6"/>
  <c r="AC286" i="6"/>
  <c r="AD286" i="6"/>
  <c r="AE286" i="6"/>
  <c r="AB75" i="6"/>
  <c r="AC75" i="6"/>
  <c r="AD75" i="6"/>
  <c r="AE75" i="6"/>
  <c r="AB237" i="6"/>
  <c r="AC237" i="6"/>
  <c r="AD237" i="6"/>
  <c r="AE237" i="6"/>
  <c r="AB238" i="6"/>
  <c r="AC238" i="6"/>
  <c r="AD238" i="6"/>
  <c r="AE238" i="6"/>
  <c r="AB212" i="6"/>
  <c r="AC212" i="6"/>
  <c r="AD212" i="6"/>
  <c r="AE212" i="6"/>
  <c r="AB274" i="6"/>
  <c r="AC274" i="6"/>
  <c r="AD274" i="6"/>
  <c r="AE274" i="6"/>
  <c r="AB213" i="6"/>
  <c r="AC213" i="6"/>
  <c r="AD213" i="6"/>
  <c r="AE213" i="6"/>
  <c r="AB134" i="6"/>
  <c r="AC134" i="6"/>
  <c r="AD134" i="6"/>
  <c r="AE134" i="6"/>
  <c r="AB76" i="6"/>
  <c r="AC76" i="6"/>
  <c r="AD76" i="6"/>
  <c r="AE76" i="6"/>
  <c r="AB214" i="6"/>
  <c r="AC214" i="6"/>
  <c r="AD214" i="6"/>
  <c r="AE214" i="6"/>
  <c r="AB25" i="6"/>
  <c r="AC25" i="6"/>
  <c r="AD25" i="6"/>
  <c r="AE25" i="6"/>
  <c r="AB136" i="6"/>
  <c r="AC136" i="6"/>
  <c r="AD136" i="6"/>
  <c r="AE136" i="6"/>
  <c r="AB239" i="6"/>
  <c r="AC239" i="6"/>
  <c r="AD239" i="6"/>
  <c r="AE239" i="6"/>
  <c r="AB162" i="6"/>
  <c r="AC162" i="6"/>
  <c r="AD162" i="6"/>
  <c r="AE162" i="6"/>
  <c r="AB77" i="6"/>
  <c r="AC77" i="6"/>
  <c r="AD77" i="6"/>
  <c r="AE77" i="6"/>
  <c r="AB264" i="6"/>
  <c r="AC264" i="6"/>
  <c r="AD264" i="6"/>
  <c r="AE264" i="6"/>
  <c r="AB275" i="6"/>
  <c r="AC275" i="6"/>
  <c r="AD275" i="6"/>
  <c r="AE275" i="6"/>
  <c r="AB127" i="6"/>
  <c r="AC127" i="6"/>
  <c r="AD127" i="6"/>
  <c r="AE127" i="6"/>
  <c r="AB145" i="6"/>
  <c r="AC145" i="6"/>
  <c r="AD145" i="6"/>
  <c r="AE145" i="6"/>
  <c r="AB240" i="6"/>
  <c r="AC240" i="6"/>
  <c r="AD240" i="6"/>
  <c r="AE240" i="6"/>
  <c r="AB276" i="6"/>
  <c r="AC276" i="6"/>
  <c r="AD276" i="6"/>
  <c r="AE276" i="6"/>
  <c r="AB57" i="6"/>
  <c r="AC57" i="6"/>
  <c r="AD57" i="6"/>
  <c r="AE57" i="6"/>
  <c r="AB215" i="6"/>
  <c r="AC215" i="6"/>
  <c r="AD215" i="6"/>
  <c r="AE215" i="6"/>
  <c r="AB277" i="6"/>
  <c r="AC277" i="6"/>
  <c r="AD277" i="6"/>
  <c r="AE277" i="6"/>
  <c r="AB287" i="6"/>
  <c r="AC287" i="6"/>
  <c r="AD287" i="6"/>
  <c r="AE287" i="6"/>
  <c r="AB119" i="6"/>
  <c r="AC119" i="6"/>
  <c r="AD119" i="6"/>
  <c r="AE119" i="6"/>
  <c r="AB120" i="6"/>
  <c r="AC120" i="6"/>
  <c r="AD120" i="6"/>
  <c r="AE120" i="6"/>
  <c r="AB14" i="6"/>
  <c r="AC14" i="6"/>
  <c r="AD14" i="6"/>
  <c r="AE14" i="6"/>
  <c r="AB121" i="6"/>
  <c r="AC121" i="6"/>
  <c r="AD121" i="6"/>
  <c r="AE121" i="6"/>
  <c r="AB200" i="6"/>
  <c r="AC200" i="6"/>
  <c r="AD200" i="6"/>
  <c r="AE200" i="6"/>
  <c r="AB154" i="6"/>
  <c r="AC154" i="6"/>
  <c r="AD154" i="6"/>
  <c r="AE154" i="6"/>
  <c r="AB216" i="6"/>
  <c r="AC216" i="6"/>
  <c r="AD216" i="6"/>
  <c r="AE216" i="6"/>
  <c r="AB201" i="6"/>
  <c r="AC201" i="6"/>
  <c r="AD201" i="6"/>
  <c r="AE201" i="6"/>
  <c r="AB26" i="6"/>
  <c r="AC26" i="6"/>
  <c r="AD26" i="6"/>
  <c r="AE26" i="6"/>
  <c r="AB265" i="6"/>
  <c r="AC265" i="6"/>
  <c r="AD265" i="6"/>
  <c r="AE265" i="6"/>
  <c r="AB122" i="6"/>
  <c r="AC122" i="6"/>
  <c r="AD122" i="6"/>
  <c r="AE122" i="6"/>
  <c r="AB128" i="6"/>
  <c r="AC128" i="6"/>
  <c r="AD128" i="6"/>
  <c r="AE128" i="6"/>
  <c r="AB241" i="6"/>
  <c r="AC241" i="6"/>
  <c r="AD241" i="6"/>
  <c r="AE241" i="6"/>
  <c r="AB242" i="6"/>
  <c r="AC242" i="6"/>
  <c r="AD242" i="6"/>
  <c r="AE242" i="6"/>
  <c r="AB243" i="6"/>
  <c r="AC243" i="6"/>
  <c r="AD243" i="6"/>
  <c r="AE243" i="6"/>
  <c r="AB135" i="6"/>
  <c r="AC135" i="6"/>
  <c r="AD135" i="6"/>
  <c r="AE135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8" i="6"/>
  <c r="AC178" i="6"/>
  <c r="AD178" i="6"/>
  <c r="AE178" i="6"/>
  <c r="AB78" i="6"/>
  <c r="AC78" i="6"/>
  <c r="AD78" i="6"/>
  <c r="AE78" i="6"/>
  <c r="AB32" i="6"/>
  <c r="AC32" i="6"/>
  <c r="AD32" i="6"/>
  <c r="AE32" i="6"/>
  <c r="AB191" i="6"/>
  <c r="AC191" i="6"/>
  <c r="AD191" i="6"/>
  <c r="AE191" i="6"/>
  <c r="AB137" i="6"/>
  <c r="AC137" i="6"/>
  <c r="AD137" i="6"/>
  <c r="AE137" i="6"/>
  <c r="AB138" i="6"/>
  <c r="AC138" i="6"/>
  <c r="AD138" i="6"/>
  <c r="AE138" i="6"/>
  <c r="AB139" i="6"/>
  <c r="AC139" i="6"/>
  <c r="AD139" i="6"/>
  <c r="AE139" i="6"/>
  <c r="AB244" i="6"/>
  <c r="AC244" i="6"/>
  <c r="AD244" i="6"/>
  <c r="AE244" i="6"/>
  <c r="AB245" i="6"/>
  <c r="AC245" i="6"/>
  <c r="AD245" i="6"/>
  <c r="AE245" i="6"/>
  <c r="AB246" i="6"/>
  <c r="AC246" i="6"/>
  <c r="AD246" i="6"/>
  <c r="AE246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7" i="6"/>
  <c r="AC247" i="6"/>
  <c r="AD247" i="6"/>
  <c r="AE247" i="6"/>
  <c r="AB248" i="6"/>
  <c r="AC248" i="6"/>
  <c r="AD248" i="6"/>
  <c r="AE248" i="6"/>
  <c r="AB288" i="6"/>
  <c r="AC288" i="6"/>
  <c r="AD288" i="6"/>
  <c r="AE288" i="6"/>
  <c r="AB289" i="6"/>
  <c r="AC289" i="6"/>
  <c r="AD289" i="6"/>
  <c r="AE289" i="6"/>
  <c r="AB34" i="6"/>
  <c r="AC34" i="6"/>
  <c r="AD34" i="6"/>
  <c r="AE34" i="6"/>
  <c r="AB179" i="6"/>
  <c r="AC179" i="6"/>
  <c r="AD179" i="6"/>
  <c r="AE179" i="6"/>
  <c r="AB155" i="6"/>
  <c r="AC155" i="6"/>
  <c r="AD155" i="6"/>
  <c r="AE155" i="6"/>
  <c r="AB249" i="6"/>
  <c r="AC249" i="6"/>
  <c r="AD249" i="6"/>
  <c r="AE249" i="6"/>
  <c r="AB278" i="6"/>
  <c r="AC278" i="6"/>
  <c r="AD278" i="6"/>
  <c r="AE278" i="6"/>
  <c r="AB250" i="6"/>
  <c r="AC250" i="6"/>
  <c r="AD250" i="6"/>
  <c r="AE250" i="6"/>
  <c r="AB80" i="6"/>
  <c r="AC80" i="6"/>
  <c r="AD80" i="6"/>
  <c r="AE80" i="6"/>
  <c r="AB251" i="6"/>
  <c r="AC251" i="6"/>
  <c r="AD251" i="6"/>
  <c r="AE251" i="6"/>
  <c r="AB81" i="6"/>
  <c r="AC81" i="6"/>
  <c r="AD81" i="6"/>
  <c r="AE81" i="6"/>
  <c r="AB266" i="6"/>
  <c r="AC266" i="6"/>
  <c r="AD266" i="6"/>
  <c r="AE266" i="6"/>
  <c r="AB163" i="6"/>
  <c r="AC163" i="6"/>
  <c r="AD163" i="6"/>
  <c r="AE163" i="6"/>
  <c r="AB290" i="6"/>
  <c r="AC290" i="6"/>
  <c r="AD290" i="6"/>
  <c r="AE290" i="6"/>
  <c r="AB146" i="6"/>
  <c r="AC146" i="6"/>
  <c r="AD146" i="6"/>
  <c r="AE146" i="6"/>
  <c r="AB59" i="6"/>
  <c r="AC59" i="6"/>
  <c r="AD59" i="6"/>
  <c r="AE59" i="6"/>
  <c r="AB217" i="6"/>
  <c r="AC217" i="6"/>
  <c r="AD217" i="6"/>
  <c r="AE217" i="6"/>
  <c r="AB218" i="6"/>
  <c r="AC218" i="6"/>
  <c r="AD218" i="6"/>
  <c r="AE218" i="6"/>
  <c r="AB219" i="6"/>
  <c r="AC219" i="6"/>
  <c r="AD219" i="6"/>
  <c r="AE219" i="6"/>
  <c r="AB202" i="6"/>
  <c r="AC202" i="6"/>
  <c r="AD202" i="6"/>
  <c r="AE202" i="6"/>
  <c r="AB220" i="6"/>
  <c r="AC220" i="6"/>
  <c r="AD220" i="6"/>
  <c r="AE220" i="6"/>
  <c r="AB129" i="6"/>
  <c r="AC129" i="6"/>
  <c r="AD129" i="6"/>
  <c r="AE129" i="6"/>
  <c r="AB147" i="6"/>
  <c r="AC147" i="6"/>
  <c r="AD147" i="6"/>
  <c r="AE147" i="6"/>
  <c r="AB148" i="6"/>
  <c r="AC148" i="6"/>
  <c r="AD148" i="6"/>
  <c r="AE148" i="6"/>
  <c r="AB180" i="6"/>
  <c r="AC180" i="6"/>
  <c r="AD180" i="6"/>
  <c r="AE180" i="6"/>
  <c r="AB156" i="6"/>
  <c r="AC156" i="6"/>
  <c r="AD156" i="6"/>
  <c r="AE156" i="6"/>
  <c r="AB221" i="6"/>
  <c r="AC221" i="6"/>
  <c r="AD221" i="6"/>
  <c r="AE221" i="6"/>
  <c r="AB203" i="6"/>
  <c r="AC203" i="6"/>
  <c r="AD203" i="6"/>
  <c r="AE203" i="6"/>
  <c r="AB222" i="6"/>
  <c r="AC222" i="6"/>
  <c r="AD222" i="6"/>
  <c r="AE222" i="6"/>
  <c r="AB223" i="6"/>
  <c r="AC223" i="6"/>
  <c r="AD223" i="6"/>
  <c r="AE223" i="6"/>
  <c r="AB204" i="6"/>
  <c r="AC204" i="6"/>
  <c r="AD204" i="6"/>
  <c r="AE204" i="6"/>
  <c r="AB224" i="6"/>
  <c r="AC224" i="6"/>
  <c r="AD224" i="6"/>
  <c r="AE224" i="6"/>
  <c r="AB225" i="6"/>
  <c r="AC225" i="6"/>
  <c r="AD225" i="6"/>
  <c r="AE225" i="6"/>
  <c r="AB226" i="6"/>
  <c r="AC226" i="6"/>
  <c r="AD226" i="6"/>
  <c r="AE226" i="6"/>
  <c r="AB149" i="6"/>
  <c r="AC149" i="6"/>
  <c r="AD149" i="6"/>
  <c r="AE149" i="6"/>
  <c r="AB150" i="6"/>
  <c r="AC150" i="6"/>
  <c r="AD150" i="6"/>
  <c r="AE150" i="6"/>
  <c r="AB151" i="6"/>
  <c r="AC151" i="6"/>
  <c r="AD151" i="6"/>
  <c r="AE151" i="6"/>
  <c r="AB82" i="6"/>
  <c r="AC82" i="6"/>
  <c r="AD82" i="6"/>
  <c r="AE82" i="6"/>
  <c r="AB187" i="6"/>
  <c r="AC187" i="6"/>
  <c r="AD187" i="6"/>
  <c r="AE187" i="6"/>
  <c r="AB188" i="6"/>
  <c r="AC188" i="6"/>
  <c r="AD188" i="6"/>
  <c r="AE188" i="6"/>
  <c r="AB189" i="6"/>
  <c r="AC189" i="6"/>
  <c r="AD189" i="6"/>
  <c r="AE189" i="6"/>
  <c r="AB153" i="6"/>
  <c r="AC153" i="6"/>
  <c r="AD153" i="6"/>
  <c r="AE153" i="6"/>
  <c r="AB157" i="6"/>
  <c r="AC157" i="6"/>
  <c r="AD157" i="6"/>
  <c r="AE157" i="6"/>
  <c r="AB164" i="6"/>
  <c r="AC164" i="6"/>
  <c r="AD164" i="6"/>
  <c r="AE164" i="6"/>
  <c r="AB170" i="6"/>
  <c r="AC170" i="6"/>
  <c r="AD170" i="6"/>
  <c r="AE170" i="6"/>
  <c r="AB171" i="6"/>
  <c r="AC171" i="6"/>
  <c r="AD171" i="6"/>
  <c r="AE171" i="6"/>
  <c r="AB181" i="6"/>
  <c r="AC181" i="6"/>
  <c r="AD181" i="6"/>
  <c r="AE181" i="6"/>
  <c r="AB192" i="6"/>
  <c r="AC192" i="6"/>
  <c r="AD192" i="6"/>
  <c r="AE192" i="6"/>
  <c r="AB190" i="6"/>
  <c r="AC190" i="6"/>
  <c r="AD190" i="6"/>
  <c r="AE190" i="6"/>
  <c r="AB193" i="6"/>
  <c r="AC193" i="6"/>
  <c r="AD193" i="6"/>
  <c r="AE193" i="6"/>
  <c r="AB196" i="6"/>
  <c r="AC196" i="6"/>
  <c r="AD196" i="6"/>
  <c r="AE196" i="6"/>
  <c r="AB194" i="6"/>
  <c r="AC194" i="6"/>
  <c r="AD194" i="6"/>
  <c r="AE194" i="6"/>
  <c r="AB195" i="6"/>
  <c r="AC195" i="6"/>
  <c r="AD195" i="6"/>
  <c r="AE195" i="6"/>
  <c r="AB205" i="6"/>
  <c r="AC205" i="6"/>
  <c r="AD205" i="6"/>
  <c r="AE205" i="6"/>
  <c r="AB227" i="6"/>
  <c r="AC227" i="6"/>
  <c r="AD227" i="6"/>
  <c r="AE227" i="6"/>
  <c r="AB165" i="6"/>
  <c r="AC165" i="6"/>
  <c r="AD165" i="6"/>
  <c r="AE165" i="6"/>
  <c r="AB252" i="6"/>
  <c r="AC252" i="6"/>
  <c r="AD252" i="6"/>
  <c r="AE252" i="6"/>
  <c r="AB206" i="6"/>
  <c r="AC206" i="6"/>
  <c r="AD206" i="6"/>
  <c r="AE206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56" i="6"/>
  <c r="AC256" i="6"/>
  <c r="AD256" i="6"/>
  <c r="AE256" i="6"/>
  <c r="AB279" i="6"/>
  <c r="AC279" i="6"/>
  <c r="AD279" i="6"/>
  <c r="AE279" i="6"/>
  <c r="AB257" i="6"/>
  <c r="AC257" i="6"/>
  <c r="AD257" i="6"/>
  <c r="AE257" i="6"/>
  <c r="AB258" i="6"/>
  <c r="AC258" i="6"/>
  <c r="AD258" i="6"/>
  <c r="AE258" i="6"/>
  <c r="AB267" i="6"/>
  <c r="AC267" i="6"/>
  <c r="AD267" i="6"/>
  <c r="AE267" i="6"/>
  <c r="AB268" i="6"/>
  <c r="AC268" i="6"/>
  <c r="AD268" i="6"/>
  <c r="AE268" i="6"/>
  <c r="AB269" i="6"/>
  <c r="AC269" i="6"/>
  <c r="AD269" i="6"/>
  <c r="AE26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83" i="6"/>
  <c r="AC283" i="6"/>
  <c r="AD283" i="6"/>
  <c r="AE283" i="6"/>
  <c r="AB228" i="6"/>
  <c r="AC228" i="6"/>
  <c r="AD228" i="6"/>
  <c r="AE228" i="6"/>
  <c r="AB158" i="6"/>
  <c r="AC158" i="6"/>
  <c r="AD158" i="6"/>
  <c r="AE158" i="6"/>
  <c r="AB35" i="6"/>
  <c r="AC35" i="6"/>
  <c r="AD35" i="6"/>
  <c r="AE35" i="6"/>
  <c r="AB152" i="6"/>
  <c r="AC152" i="6"/>
  <c r="AD152" i="6"/>
  <c r="AE152" i="6"/>
  <c r="AB291" i="6"/>
  <c r="AC291" i="6"/>
  <c r="AD291" i="6"/>
  <c r="AE291" i="6"/>
  <c r="AB270" i="6"/>
  <c r="AC270" i="6"/>
  <c r="AD270" i="6"/>
  <c r="AE270" i="6"/>
  <c r="AB271" i="6"/>
  <c r="AC271" i="6"/>
  <c r="AD271" i="6"/>
  <c r="AE271" i="6"/>
  <c r="AB123" i="6"/>
  <c r="AC123" i="6"/>
  <c r="AD123" i="6"/>
  <c r="AE123" i="6"/>
  <c r="AB229" i="6"/>
  <c r="AC229" i="6"/>
  <c r="AD229" i="6"/>
  <c r="AE229" i="6"/>
  <c r="AB230" i="6"/>
  <c r="AC230" i="6"/>
  <c r="AD230" i="6"/>
  <c r="AE230" i="6"/>
  <c r="AB231" i="6"/>
  <c r="AC231" i="6"/>
  <c r="AD231" i="6"/>
  <c r="AE231" i="6"/>
  <c r="AB259" i="6"/>
  <c r="AC259" i="6"/>
  <c r="AD259" i="6"/>
  <c r="AE259" i="6"/>
  <c r="AB272" i="6"/>
  <c r="AC272" i="6"/>
  <c r="AD272" i="6"/>
  <c r="AE272" i="6"/>
  <c r="AB232" i="6"/>
  <c r="AC232" i="6"/>
  <c r="AD232" i="6"/>
  <c r="AE232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296" i="6"/>
  <c r="AC296" i="6"/>
  <c r="AD296" i="6"/>
  <c r="AE296" i="6"/>
  <c r="AB172" i="6"/>
  <c r="AC172" i="6"/>
  <c r="AD172" i="6"/>
  <c r="AE172" i="6"/>
  <c r="AB173" i="6"/>
  <c r="AC173" i="6"/>
  <c r="AD173" i="6"/>
  <c r="AE173" i="6"/>
  <c r="AB182" i="6"/>
  <c r="AC182" i="6"/>
  <c r="AD182" i="6"/>
  <c r="AE182" i="6"/>
  <c r="AB159" i="6"/>
  <c r="AC159" i="6"/>
  <c r="AD159" i="6"/>
  <c r="AE159" i="6"/>
  <c r="AB174" i="6"/>
  <c r="AC174" i="6"/>
  <c r="AD174" i="6"/>
  <c r="AE174" i="6"/>
  <c r="AB260" i="6"/>
  <c r="AC260" i="6"/>
  <c r="AD260" i="6"/>
  <c r="AE260" i="6"/>
  <c r="AB297" i="6"/>
  <c r="AC297" i="6"/>
  <c r="AD297" i="6"/>
  <c r="AE297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3" i="6"/>
  <c r="AC183" i="6"/>
  <c r="AD183" i="6"/>
  <c r="AE183" i="6"/>
  <c r="AB36" i="6"/>
  <c r="AC36" i="6"/>
  <c r="AD36" i="6"/>
  <c r="AE36" i="6"/>
  <c r="AB184" i="6"/>
  <c r="AC184" i="6"/>
  <c r="AD184" i="6"/>
  <c r="AE184" i="6"/>
  <c r="AB299" i="6"/>
  <c r="AC299" i="6"/>
  <c r="AD299" i="6"/>
  <c r="AE299" i="6"/>
  <c r="AB175" i="6"/>
  <c r="AC175" i="6"/>
  <c r="AD175" i="6"/>
  <c r="AE175" i="6"/>
  <c r="AB185" i="6"/>
  <c r="AC185" i="6"/>
  <c r="AD185" i="6"/>
  <c r="AE185" i="6"/>
  <c r="AB186" i="6"/>
  <c r="AC186" i="6"/>
  <c r="AD186" i="6"/>
  <c r="AE186" i="6"/>
  <c r="AB102" i="6"/>
  <c r="AC102" i="6"/>
  <c r="AD102" i="6"/>
  <c r="AE102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46" i="6"/>
  <c r="AC346" i="6"/>
  <c r="AD346" i="6"/>
  <c r="AE346" i="6"/>
  <c r="AB351" i="6"/>
  <c r="AC351" i="6"/>
  <c r="AD351" i="6"/>
  <c r="AE351" i="6"/>
  <c r="AB347" i="6"/>
  <c r="AC347" i="6"/>
  <c r="AD347" i="6"/>
  <c r="AE347" i="6"/>
  <c r="AB348" i="6"/>
  <c r="AC348" i="6"/>
  <c r="AD348" i="6"/>
  <c r="AE348" i="6"/>
  <c r="AB352" i="6"/>
  <c r="AC352" i="6"/>
  <c r="AD352" i="6"/>
  <c r="AE352" i="6"/>
  <c r="AB349" i="6"/>
  <c r="AC349" i="6"/>
  <c r="AD349" i="6"/>
  <c r="AE349" i="6"/>
  <c r="AB350" i="6"/>
  <c r="AC350" i="6"/>
  <c r="AD350" i="6"/>
  <c r="AE350" i="6"/>
  <c r="AB366" i="6"/>
  <c r="AC366" i="6"/>
  <c r="AD366" i="6"/>
  <c r="AE366" i="6"/>
  <c r="AB353" i="6"/>
  <c r="AC353" i="6"/>
  <c r="AD353" i="6"/>
  <c r="AE353" i="6"/>
  <c r="AB367" i="6"/>
  <c r="AC367" i="6"/>
  <c r="AD367" i="6"/>
  <c r="AE367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1" i="6"/>
  <c r="AC361" i="6"/>
  <c r="AD361" i="6"/>
  <c r="AE361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5" i="6"/>
  <c r="AC385" i="6"/>
  <c r="AD385" i="6"/>
  <c r="AE385" i="6"/>
  <c r="AB389" i="6"/>
  <c r="AC389" i="6"/>
  <c r="AD389" i="6"/>
  <c r="AE389" i="6"/>
  <c r="AB392" i="6"/>
  <c r="AC392" i="6"/>
  <c r="AD392" i="6"/>
  <c r="AE392" i="6"/>
  <c r="AB388" i="6"/>
  <c r="AC388" i="6"/>
  <c r="AD388" i="6"/>
  <c r="AE388" i="6"/>
  <c r="AB391" i="6"/>
  <c r="AC391" i="6"/>
  <c r="AD391" i="6"/>
  <c r="AE391" i="6"/>
  <c r="AB390" i="6"/>
  <c r="AC390" i="6"/>
  <c r="AD390" i="6"/>
  <c r="AE390" i="6"/>
  <c r="AB416" i="6"/>
  <c r="AC416" i="6"/>
  <c r="AD416" i="6"/>
  <c r="AE416" i="6"/>
  <c r="AB394" i="6"/>
  <c r="AC394" i="6"/>
  <c r="AD394" i="6"/>
  <c r="AE394" i="6"/>
  <c r="AB415" i="6"/>
  <c r="AC415" i="6"/>
  <c r="AD415" i="6"/>
  <c r="AE415" i="6"/>
  <c r="AB414" i="6"/>
  <c r="AC414" i="6"/>
  <c r="AD414" i="6"/>
  <c r="AE414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96" i="6"/>
  <c r="AC396" i="6"/>
  <c r="AD396" i="6"/>
  <c r="AE396" i="6"/>
  <c r="AB412" i="6"/>
  <c r="AC412" i="6"/>
  <c r="AD412" i="6"/>
  <c r="AE412" i="6"/>
  <c r="AB402" i="6"/>
  <c r="AC402" i="6"/>
  <c r="AD402" i="6"/>
  <c r="AE402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407" i="6"/>
  <c r="AC407" i="6"/>
  <c r="AD407" i="6"/>
  <c r="AE407" i="6"/>
  <c r="AB393" i="6"/>
  <c r="AC393" i="6"/>
  <c r="AD393" i="6"/>
  <c r="AE393" i="6"/>
  <c r="AB413" i="6"/>
  <c r="AC413" i="6"/>
  <c r="AD413" i="6"/>
  <c r="AE413" i="6"/>
  <c r="AB408" i="6"/>
  <c r="AC408" i="6"/>
  <c r="AD408" i="6"/>
  <c r="AE408" i="6"/>
  <c r="AB395" i="6"/>
  <c r="AC395" i="6"/>
  <c r="AD395" i="6"/>
  <c r="AE395" i="6"/>
  <c r="AB417" i="6"/>
  <c r="AC417" i="6"/>
  <c r="AD417" i="6"/>
  <c r="AE417" i="6"/>
  <c r="AB409" i="6"/>
  <c r="AC409" i="6"/>
  <c r="AD409" i="6"/>
  <c r="AE409" i="6"/>
  <c r="AB410" i="6"/>
  <c r="AC410" i="6"/>
  <c r="AD410" i="6"/>
  <c r="AE410" i="6"/>
  <c r="AB411" i="6"/>
  <c r="AC411" i="6"/>
  <c r="AD411" i="6"/>
  <c r="AE411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4" i="6"/>
  <c r="W284" i="6"/>
  <c r="X284" i="6"/>
  <c r="Y284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7" i="6"/>
  <c r="W207" i="6"/>
  <c r="X207" i="6"/>
  <c r="Y207" i="6"/>
  <c r="V160" i="6"/>
  <c r="W160" i="6"/>
  <c r="X160" i="6"/>
  <c r="Y160" i="6"/>
  <c r="V70" i="6"/>
  <c r="W70" i="6"/>
  <c r="X70" i="6"/>
  <c r="Y70" i="6"/>
  <c r="V106" i="6"/>
  <c r="W106" i="6"/>
  <c r="X106" i="6"/>
  <c r="Y106" i="6"/>
  <c r="V208" i="6"/>
  <c r="W208" i="6"/>
  <c r="X208" i="6"/>
  <c r="Y208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3" i="6"/>
  <c r="W233" i="6"/>
  <c r="X233" i="6"/>
  <c r="Y233" i="6"/>
  <c r="V234" i="6"/>
  <c r="W234" i="6"/>
  <c r="X234" i="6"/>
  <c r="Y234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4" i="6"/>
  <c r="W124" i="6"/>
  <c r="X124" i="6"/>
  <c r="Y124" i="6"/>
  <c r="V125" i="6"/>
  <c r="W125" i="6"/>
  <c r="X125" i="6"/>
  <c r="Y125" i="6"/>
  <c r="V126" i="6"/>
  <c r="W126" i="6"/>
  <c r="X126" i="6"/>
  <c r="Y126" i="6"/>
  <c r="V130" i="6"/>
  <c r="W130" i="6"/>
  <c r="X130" i="6"/>
  <c r="Y130" i="6"/>
  <c r="V131" i="6"/>
  <c r="W131" i="6"/>
  <c r="X131" i="6"/>
  <c r="Y131" i="6"/>
  <c r="V273" i="6"/>
  <c r="W273" i="6"/>
  <c r="X273" i="6"/>
  <c r="Y273" i="6"/>
  <c r="V161" i="6"/>
  <c r="W161" i="6"/>
  <c r="X161" i="6"/>
  <c r="Y161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6" i="6"/>
  <c r="W166" i="6"/>
  <c r="X166" i="6"/>
  <c r="Y166" i="6"/>
  <c r="V167" i="6"/>
  <c r="W167" i="6"/>
  <c r="X167" i="6"/>
  <c r="Y167" i="6"/>
  <c r="V168" i="6"/>
  <c r="W168" i="6"/>
  <c r="X168" i="6"/>
  <c r="Y168" i="6"/>
  <c r="V209" i="6"/>
  <c r="W209" i="6"/>
  <c r="X209" i="6"/>
  <c r="Y209" i="6"/>
  <c r="V142" i="6"/>
  <c r="W142" i="6"/>
  <c r="X142" i="6"/>
  <c r="Y142" i="6"/>
  <c r="V169" i="6"/>
  <c r="W169" i="6"/>
  <c r="X169" i="6"/>
  <c r="Y169" i="6"/>
  <c r="V56" i="6"/>
  <c r="W56" i="6"/>
  <c r="X56" i="6"/>
  <c r="Y56" i="6"/>
  <c r="V285" i="6"/>
  <c r="W285" i="6"/>
  <c r="X285" i="6"/>
  <c r="Y285" i="6"/>
  <c r="V235" i="6"/>
  <c r="W235" i="6"/>
  <c r="X235" i="6"/>
  <c r="Y235" i="6"/>
  <c r="V197" i="6"/>
  <c r="W197" i="6"/>
  <c r="X197" i="6"/>
  <c r="Y197" i="6"/>
  <c r="V143" i="6"/>
  <c r="W143" i="6"/>
  <c r="X143" i="6"/>
  <c r="Y143" i="6"/>
  <c r="V176" i="6"/>
  <c r="W176" i="6"/>
  <c r="X176" i="6"/>
  <c r="Y176" i="6"/>
  <c r="V177" i="6"/>
  <c r="W177" i="6"/>
  <c r="X177" i="6"/>
  <c r="Y177" i="6"/>
  <c r="V132" i="6"/>
  <c r="W132" i="6"/>
  <c r="X132" i="6"/>
  <c r="Y132" i="6"/>
  <c r="V12" i="6"/>
  <c r="W12" i="6"/>
  <c r="X12" i="6"/>
  <c r="Y12" i="6"/>
  <c r="V298" i="6"/>
  <c r="W298" i="6"/>
  <c r="X298" i="6"/>
  <c r="Y298" i="6"/>
  <c r="V198" i="6"/>
  <c r="W198" i="6"/>
  <c r="X198" i="6"/>
  <c r="Y198" i="6"/>
  <c r="V210" i="6"/>
  <c r="W210" i="6"/>
  <c r="X210" i="6"/>
  <c r="Y210" i="6"/>
  <c r="V144" i="6"/>
  <c r="W144" i="6"/>
  <c r="X144" i="6"/>
  <c r="Y144" i="6"/>
  <c r="V211" i="6"/>
  <c r="W211" i="6"/>
  <c r="X211" i="6"/>
  <c r="Y211" i="6"/>
  <c r="V133" i="6"/>
  <c r="W133" i="6"/>
  <c r="X133" i="6"/>
  <c r="Y133" i="6"/>
  <c r="V13" i="6"/>
  <c r="W13" i="6"/>
  <c r="X13" i="6"/>
  <c r="Y13" i="6"/>
  <c r="V46" i="6"/>
  <c r="W46" i="6"/>
  <c r="X46" i="6"/>
  <c r="Y46" i="6"/>
  <c r="V262" i="6"/>
  <c r="W262" i="6"/>
  <c r="X262" i="6"/>
  <c r="Y262" i="6"/>
  <c r="V24" i="6"/>
  <c r="W24" i="6"/>
  <c r="X24" i="6"/>
  <c r="Y24" i="6"/>
  <c r="V236" i="6"/>
  <c r="W236" i="6"/>
  <c r="X236" i="6"/>
  <c r="Y236" i="6"/>
  <c r="V199" i="6"/>
  <c r="W199" i="6"/>
  <c r="X199" i="6"/>
  <c r="Y199" i="6"/>
  <c r="V72" i="6"/>
  <c r="W72" i="6"/>
  <c r="X72" i="6"/>
  <c r="Y72" i="6"/>
  <c r="V263" i="6"/>
  <c r="W263" i="6"/>
  <c r="X263" i="6"/>
  <c r="Y263" i="6"/>
  <c r="V38" i="6"/>
  <c r="W38" i="6"/>
  <c r="X38" i="6"/>
  <c r="Y38" i="6"/>
  <c r="V73" i="6"/>
  <c r="W73" i="6"/>
  <c r="X73" i="6"/>
  <c r="Y73" i="6"/>
  <c r="V74" i="6"/>
  <c r="W74" i="6"/>
  <c r="X74" i="6"/>
  <c r="Y74" i="6"/>
  <c r="V286" i="6"/>
  <c r="W286" i="6"/>
  <c r="X286" i="6"/>
  <c r="Y286" i="6"/>
  <c r="V75" i="6"/>
  <c r="W75" i="6"/>
  <c r="X75" i="6"/>
  <c r="Y75" i="6"/>
  <c r="V237" i="6"/>
  <c r="W237" i="6"/>
  <c r="X237" i="6"/>
  <c r="Y237" i="6"/>
  <c r="V238" i="6"/>
  <c r="W238" i="6"/>
  <c r="X238" i="6"/>
  <c r="Y238" i="6"/>
  <c r="V212" i="6"/>
  <c r="W212" i="6"/>
  <c r="X212" i="6"/>
  <c r="Y212" i="6"/>
  <c r="V274" i="6"/>
  <c r="W274" i="6"/>
  <c r="X274" i="6"/>
  <c r="Y274" i="6"/>
  <c r="V213" i="6"/>
  <c r="W213" i="6"/>
  <c r="X213" i="6"/>
  <c r="Y213" i="6"/>
  <c r="V134" i="6"/>
  <c r="W134" i="6"/>
  <c r="X134" i="6"/>
  <c r="Y134" i="6"/>
  <c r="V76" i="6"/>
  <c r="W76" i="6"/>
  <c r="X76" i="6"/>
  <c r="Y76" i="6"/>
  <c r="V214" i="6"/>
  <c r="W214" i="6"/>
  <c r="X214" i="6"/>
  <c r="Y214" i="6"/>
  <c r="V25" i="6"/>
  <c r="W25" i="6"/>
  <c r="X25" i="6"/>
  <c r="Y25" i="6"/>
  <c r="V136" i="6"/>
  <c r="W136" i="6"/>
  <c r="X136" i="6"/>
  <c r="Y136" i="6"/>
  <c r="V239" i="6"/>
  <c r="W239" i="6"/>
  <c r="X239" i="6"/>
  <c r="Y239" i="6"/>
  <c r="V162" i="6"/>
  <c r="W162" i="6"/>
  <c r="X162" i="6"/>
  <c r="Y162" i="6"/>
  <c r="V77" i="6"/>
  <c r="W77" i="6"/>
  <c r="X77" i="6"/>
  <c r="Y77" i="6"/>
  <c r="V264" i="6"/>
  <c r="W264" i="6"/>
  <c r="X264" i="6"/>
  <c r="Y264" i="6"/>
  <c r="V275" i="6"/>
  <c r="W275" i="6"/>
  <c r="X275" i="6"/>
  <c r="Y275" i="6"/>
  <c r="V127" i="6"/>
  <c r="W127" i="6"/>
  <c r="X127" i="6"/>
  <c r="Y127" i="6"/>
  <c r="V145" i="6"/>
  <c r="W145" i="6"/>
  <c r="X145" i="6"/>
  <c r="Y145" i="6"/>
  <c r="V240" i="6"/>
  <c r="W240" i="6"/>
  <c r="X240" i="6"/>
  <c r="Y240" i="6"/>
  <c r="V276" i="6"/>
  <c r="W276" i="6"/>
  <c r="X276" i="6"/>
  <c r="Y276" i="6"/>
  <c r="V57" i="6"/>
  <c r="W57" i="6"/>
  <c r="X57" i="6"/>
  <c r="Y57" i="6"/>
  <c r="V215" i="6"/>
  <c r="W215" i="6"/>
  <c r="X215" i="6"/>
  <c r="Y215" i="6"/>
  <c r="V277" i="6"/>
  <c r="W277" i="6"/>
  <c r="X277" i="6"/>
  <c r="Y277" i="6"/>
  <c r="V287" i="6"/>
  <c r="W287" i="6"/>
  <c r="X287" i="6"/>
  <c r="Y287" i="6"/>
  <c r="V119" i="6"/>
  <c r="W119" i="6"/>
  <c r="X119" i="6"/>
  <c r="Y119" i="6"/>
  <c r="V120" i="6"/>
  <c r="W120" i="6"/>
  <c r="X120" i="6"/>
  <c r="Y120" i="6"/>
  <c r="V14" i="6"/>
  <c r="W14" i="6"/>
  <c r="X14" i="6"/>
  <c r="Y14" i="6"/>
  <c r="V121" i="6"/>
  <c r="W121" i="6"/>
  <c r="X121" i="6"/>
  <c r="Y121" i="6"/>
  <c r="V200" i="6"/>
  <c r="W200" i="6"/>
  <c r="X200" i="6"/>
  <c r="Y200" i="6"/>
  <c r="V154" i="6"/>
  <c r="W154" i="6"/>
  <c r="X154" i="6"/>
  <c r="Y154" i="6"/>
  <c r="V216" i="6"/>
  <c r="W216" i="6"/>
  <c r="X216" i="6"/>
  <c r="Y216" i="6"/>
  <c r="V201" i="6"/>
  <c r="W201" i="6"/>
  <c r="X201" i="6"/>
  <c r="Y201" i="6"/>
  <c r="V26" i="6"/>
  <c r="W26" i="6"/>
  <c r="X26" i="6"/>
  <c r="Y26" i="6"/>
  <c r="V265" i="6"/>
  <c r="W265" i="6"/>
  <c r="X265" i="6"/>
  <c r="Y265" i="6"/>
  <c r="V122" i="6"/>
  <c r="W122" i="6"/>
  <c r="X122" i="6"/>
  <c r="Y122" i="6"/>
  <c r="V128" i="6"/>
  <c r="W128" i="6"/>
  <c r="X128" i="6"/>
  <c r="Y128" i="6"/>
  <c r="V241" i="6"/>
  <c r="W241" i="6"/>
  <c r="X241" i="6"/>
  <c r="Y241" i="6"/>
  <c r="V242" i="6"/>
  <c r="W242" i="6"/>
  <c r="X242" i="6"/>
  <c r="Y242" i="6"/>
  <c r="V243" i="6"/>
  <c r="W243" i="6"/>
  <c r="X243" i="6"/>
  <c r="Y243" i="6"/>
  <c r="V135" i="6"/>
  <c r="W135" i="6"/>
  <c r="X135" i="6"/>
  <c r="Y135" i="6"/>
  <c r="V58" i="6"/>
  <c r="W58" i="6"/>
  <c r="X58" i="6"/>
  <c r="Y58" i="6"/>
  <c r="V39" i="6"/>
  <c r="W39" i="6"/>
  <c r="X39" i="6"/>
  <c r="Y39" i="6"/>
  <c r="V44" i="6"/>
  <c r="W44" i="6"/>
  <c r="X44" i="6"/>
  <c r="Y44" i="6"/>
  <c r="V178" i="6"/>
  <c r="W178" i="6"/>
  <c r="X178" i="6"/>
  <c r="Y178" i="6"/>
  <c r="V78" i="6"/>
  <c r="W78" i="6"/>
  <c r="X78" i="6"/>
  <c r="Y78" i="6"/>
  <c r="V32" i="6"/>
  <c r="W32" i="6"/>
  <c r="X32" i="6"/>
  <c r="Y32" i="6"/>
  <c r="V191" i="6"/>
  <c r="W191" i="6"/>
  <c r="X191" i="6"/>
  <c r="Y191" i="6"/>
  <c r="V137" i="6"/>
  <c r="W137" i="6"/>
  <c r="X137" i="6"/>
  <c r="Y137" i="6"/>
  <c r="V138" i="6"/>
  <c r="W138" i="6"/>
  <c r="X138" i="6"/>
  <c r="Y138" i="6"/>
  <c r="V139" i="6"/>
  <c r="W139" i="6"/>
  <c r="X139" i="6"/>
  <c r="Y139" i="6"/>
  <c r="V244" i="6"/>
  <c r="W244" i="6"/>
  <c r="X244" i="6"/>
  <c r="Y244" i="6"/>
  <c r="V245" i="6"/>
  <c r="W245" i="6"/>
  <c r="X245" i="6"/>
  <c r="Y245" i="6"/>
  <c r="V246" i="6"/>
  <c r="W246" i="6"/>
  <c r="X246" i="6"/>
  <c r="Y246" i="6"/>
  <c r="V33" i="6"/>
  <c r="W33" i="6"/>
  <c r="X33" i="6"/>
  <c r="Y33" i="6"/>
  <c r="V79" i="6"/>
  <c r="W79" i="6"/>
  <c r="X79" i="6"/>
  <c r="Y79" i="6"/>
  <c r="V113" i="6"/>
  <c r="W113" i="6"/>
  <c r="X113" i="6"/>
  <c r="Y113" i="6"/>
  <c r="V247" i="6"/>
  <c r="W247" i="6"/>
  <c r="X247" i="6"/>
  <c r="Y247" i="6"/>
  <c r="V248" i="6"/>
  <c r="W248" i="6"/>
  <c r="X248" i="6"/>
  <c r="Y248" i="6"/>
  <c r="V288" i="6"/>
  <c r="W288" i="6"/>
  <c r="X288" i="6"/>
  <c r="Y288" i="6"/>
  <c r="V289" i="6"/>
  <c r="W289" i="6"/>
  <c r="X289" i="6"/>
  <c r="Y289" i="6"/>
  <c r="V34" i="6"/>
  <c r="W34" i="6"/>
  <c r="X34" i="6"/>
  <c r="Y34" i="6"/>
  <c r="V179" i="6"/>
  <c r="W179" i="6"/>
  <c r="X179" i="6"/>
  <c r="Y179" i="6"/>
  <c r="V155" i="6"/>
  <c r="W155" i="6"/>
  <c r="X155" i="6"/>
  <c r="Y155" i="6"/>
  <c r="V249" i="6"/>
  <c r="W249" i="6"/>
  <c r="X249" i="6"/>
  <c r="Y249" i="6"/>
  <c r="V278" i="6"/>
  <c r="W278" i="6"/>
  <c r="X278" i="6"/>
  <c r="Y278" i="6"/>
  <c r="V250" i="6"/>
  <c r="W250" i="6"/>
  <c r="X250" i="6"/>
  <c r="Y250" i="6"/>
  <c r="V80" i="6"/>
  <c r="W80" i="6"/>
  <c r="X80" i="6"/>
  <c r="Y80" i="6"/>
  <c r="V251" i="6"/>
  <c r="W251" i="6"/>
  <c r="X251" i="6"/>
  <c r="Y251" i="6"/>
  <c r="V81" i="6"/>
  <c r="W81" i="6"/>
  <c r="X81" i="6"/>
  <c r="Y81" i="6"/>
  <c r="V266" i="6"/>
  <c r="W266" i="6"/>
  <c r="X266" i="6"/>
  <c r="Y266" i="6"/>
  <c r="V163" i="6"/>
  <c r="W163" i="6"/>
  <c r="X163" i="6"/>
  <c r="Y163" i="6"/>
  <c r="V290" i="6"/>
  <c r="W290" i="6"/>
  <c r="X290" i="6"/>
  <c r="Y290" i="6"/>
  <c r="V146" i="6"/>
  <c r="W146" i="6"/>
  <c r="X146" i="6"/>
  <c r="Y146" i="6"/>
  <c r="V59" i="6"/>
  <c r="W59" i="6"/>
  <c r="X59" i="6"/>
  <c r="Y59" i="6"/>
  <c r="V217" i="6"/>
  <c r="W217" i="6"/>
  <c r="X217" i="6"/>
  <c r="Y217" i="6"/>
  <c r="V218" i="6"/>
  <c r="W218" i="6"/>
  <c r="X218" i="6"/>
  <c r="Y218" i="6"/>
  <c r="V219" i="6"/>
  <c r="W219" i="6"/>
  <c r="X219" i="6"/>
  <c r="Y219" i="6"/>
  <c r="V202" i="6"/>
  <c r="W202" i="6"/>
  <c r="X202" i="6"/>
  <c r="Y202" i="6"/>
  <c r="V220" i="6"/>
  <c r="W220" i="6"/>
  <c r="X220" i="6"/>
  <c r="Y220" i="6"/>
  <c r="V129" i="6"/>
  <c r="W129" i="6"/>
  <c r="X129" i="6"/>
  <c r="Y129" i="6"/>
  <c r="V147" i="6"/>
  <c r="W147" i="6"/>
  <c r="X147" i="6"/>
  <c r="Y147" i="6"/>
  <c r="V148" i="6"/>
  <c r="W148" i="6"/>
  <c r="X148" i="6"/>
  <c r="Y148" i="6"/>
  <c r="V180" i="6"/>
  <c r="W180" i="6"/>
  <c r="X180" i="6"/>
  <c r="Y180" i="6"/>
  <c r="V156" i="6"/>
  <c r="W156" i="6"/>
  <c r="X156" i="6"/>
  <c r="Y156" i="6"/>
  <c r="V221" i="6"/>
  <c r="W221" i="6"/>
  <c r="X221" i="6"/>
  <c r="Y221" i="6"/>
  <c r="V203" i="6"/>
  <c r="W203" i="6"/>
  <c r="X203" i="6"/>
  <c r="Y203" i="6"/>
  <c r="V222" i="6"/>
  <c r="W222" i="6"/>
  <c r="X222" i="6"/>
  <c r="Y222" i="6"/>
  <c r="V223" i="6"/>
  <c r="W223" i="6"/>
  <c r="X223" i="6"/>
  <c r="Y223" i="6"/>
  <c r="V204" i="6"/>
  <c r="W204" i="6"/>
  <c r="X204" i="6"/>
  <c r="Y204" i="6"/>
  <c r="V224" i="6"/>
  <c r="W224" i="6"/>
  <c r="X224" i="6"/>
  <c r="Y224" i="6"/>
  <c r="V225" i="6"/>
  <c r="W225" i="6"/>
  <c r="X225" i="6"/>
  <c r="Y225" i="6"/>
  <c r="V226" i="6"/>
  <c r="W226" i="6"/>
  <c r="X226" i="6"/>
  <c r="Y226" i="6"/>
  <c r="V149" i="6"/>
  <c r="W149" i="6"/>
  <c r="X149" i="6"/>
  <c r="Y149" i="6"/>
  <c r="V150" i="6"/>
  <c r="W150" i="6"/>
  <c r="X150" i="6"/>
  <c r="Y150" i="6"/>
  <c r="V151" i="6"/>
  <c r="W151" i="6"/>
  <c r="X151" i="6"/>
  <c r="Y151" i="6"/>
  <c r="V82" i="6"/>
  <c r="W82" i="6"/>
  <c r="X82" i="6"/>
  <c r="Y82" i="6"/>
  <c r="V187" i="6"/>
  <c r="W187" i="6"/>
  <c r="X187" i="6"/>
  <c r="Y187" i="6"/>
  <c r="V188" i="6"/>
  <c r="W188" i="6"/>
  <c r="X188" i="6"/>
  <c r="Y188" i="6"/>
  <c r="V189" i="6"/>
  <c r="W189" i="6"/>
  <c r="X189" i="6"/>
  <c r="Y189" i="6"/>
  <c r="V153" i="6"/>
  <c r="W153" i="6"/>
  <c r="X153" i="6"/>
  <c r="Y153" i="6"/>
  <c r="V157" i="6"/>
  <c r="W157" i="6"/>
  <c r="X157" i="6"/>
  <c r="Y157" i="6"/>
  <c r="V164" i="6"/>
  <c r="W164" i="6"/>
  <c r="X164" i="6"/>
  <c r="Y164" i="6"/>
  <c r="V170" i="6"/>
  <c r="W170" i="6"/>
  <c r="X170" i="6"/>
  <c r="Y170" i="6"/>
  <c r="V171" i="6"/>
  <c r="W171" i="6"/>
  <c r="X171" i="6"/>
  <c r="Y171" i="6"/>
  <c r="V181" i="6"/>
  <c r="W181" i="6"/>
  <c r="X181" i="6"/>
  <c r="Y181" i="6"/>
  <c r="V192" i="6"/>
  <c r="W192" i="6"/>
  <c r="X192" i="6"/>
  <c r="Y192" i="6"/>
  <c r="V190" i="6"/>
  <c r="W190" i="6"/>
  <c r="X190" i="6"/>
  <c r="Y190" i="6"/>
  <c r="V193" i="6"/>
  <c r="W193" i="6"/>
  <c r="X193" i="6"/>
  <c r="Y193" i="6"/>
  <c r="V196" i="6"/>
  <c r="W196" i="6"/>
  <c r="X196" i="6"/>
  <c r="Y196" i="6"/>
  <c r="V194" i="6"/>
  <c r="W194" i="6"/>
  <c r="X194" i="6"/>
  <c r="Y194" i="6"/>
  <c r="V195" i="6"/>
  <c r="W195" i="6"/>
  <c r="X195" i="6"/>
  <c r="Y195" i="6"/>
  <c r="V205" i="6"/>
  <c r="W205" i="6"/>
  <c r="X205" i="6"/>
  <c r="Y205" i="6"/>
  <c r="V227" i="6"/>
  <c r="W227" i="6"/>
  <c r="X227" i="6"/>
  <c r="Y227" i="6"/>
  <c r="V165" i="6"/>
  <c r="W165" i="6"/>
  <c r="X165" i="6"/>
  <c r="Y165" i="6"/>
  <c r="V252" i="6"/>
  <c r="W252" i="6"/>
  <c r="X252" i="6"/>
  <c r="Y252" i="6"/>
  <c r="V206" i="6"/>
  <c r="W206" i="6"/>
  <c r="X206" i="6"/>
  <c r="Y206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56" i="6"/>
  <c r="W256" i="6"/>
  <c r="X256" i="6"/>
  <c r="Y256" i="6"/>
  <c r="V279" i="6"/>
  <c r="W279" i="6"/>
  <c r="X279" i="6"/>
  <c r="Y279" i="6"/>
  <c r="V257" i="6"/>
  <c r="W257" i="6"/>
  <c r="X257" i="6"/>
  <c r="Y257" i="6"/>
  <c r="V258" i="6"/>
  <c r="W258" i="6"/>
  <c r="X258" i="6"/>
  <c r="Y258" i="6"/>
  <c r="V267" i="6"/>
  <c r="W267" i="6"/>
  <c r="X267" i="6"/>
  <c r="Y267" i="6"/>
  <c r="V268" i="6"/>
  <c r="W268" i="6"/>
  <c r="X268" i="6"/>
  <c r="Y268" i="6"/>
  <c r="V269" i="6"/>
  <c r="W269" i="6"/>
  <c r="X269" i="6"/>
  <c r="Y26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83" i="6"/>
  <c r="W283" i="6"/>
  <c r="X283" i="6"/>
  <c r="Y283" i="6"/>
  <c r="V228" i="6"/>
  <c r="W228" i="6"/>
  <c r="X228" i="6"/>
  <c r="Y228" i="6"/>
  <c r="V158" i="6"/>
  <c r="W158" i="6"/>
  <c r="X158" i="6"/>
  <c r="Y158" i="6"/>
  <c r="V35" i="6"/>
  <c r="W35" i="6"/>
  <c r="X35" i="6"/>
  <c r="Y35" i="6"/>
  <c r="V152" i="6"/>
  <c r="W152" i="6"/>
  <c r="X152" i="6"/>
  <c r="Y152" i="6"/>
  <c r="V291" i="6"/>
  <c r="W291" i="6"/>
  <c r="X291" i="6"/>
  <c r="Y291" i="6"/>
  <c r="V270" i="6"/>
  <c r="W270" i="6"/>
  <c r="X270" i="6"/>
  <c r="Y270" i="6"/>
  <c r="V271" i="6"/>
  <c r="W271" i="6"/>
  <c r="X271" i="6"/>
  <c r="Y271" i="6"/>
  <c r="V123" i="6"/>
  <c r="W123" i="6"/>
  <c r="X123" i="6"/>
  <c r="Y123" i="6"/>
  <c r="V229" i="6"/>
  <c r="W229" i="6"/>
  <c r="X229" i="6"/>
  <c r="Y229" i="6"/>
  <c r="V230" i="6"/>
  <c r="W230" i="6"/>
  <c r="X230" i="6"/>
  <c r="Y230" i="6"/>
  <c r="V231" i="6"/>
  <c r="W231" i="6"/>
  <c r="X231" i="6"/>
  <c r="Y231" i="6"/>
  <c r="V259" i="6"/>
  <c r="W259" i="6"/>
  <c r="X259" i="6"/>
  <c r="Y259" i="6"/>
  <c r="V272" i="6"/>
  <c r="W272" i="6"/>
  <c r="X272" i="6"/>
  <c r="Y272" i="6"/>
  <c r="V232" i="6"/>
  <c r="W232" i="6"/>
  <c r="X232" i="6"/>
  <c r="Y232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296" i="6"/>
  <c r="W296" i="6"/>
  <c r="X296" i="6"/>
  <c r="Y296" i="6"/>
  <c r="V172" i="6"/>
  <c r="W172" i="6"/>
  <c r="X172" i="6"/>
  <c r="Y172" i="6"/>
  <c r="V173" i="6"/>
  <c r="W173" i="6"/>
  <c r="X173" i="6"/>
  <c r="Y173" i="6"/>
  <c r="V182" i="6"/>
  <c r="W182" i="6"/>
  <c r="X182" i="6"/>
  <c r="Y182" i="6"/>
  <c r="V159" i="6"/>
  <c r="W159" i="6"/>
  <c r="X159" i="6"/>
  <c r="Y159" i="6"/>
  <c r="V174" i="6"/>
  <c r="W174" i="6"/>
  <c r="X174" i="6"/>
  <c r="Y174" i="6"/>
  <c r="V260" i="6"/>
  <c r="W260" i="6"/>
  <c r="X260" i="6"/>
  <c r="Y260" i="6"/>
  <c r="V297" i="6"/>
  <c r="W297" i="6"/>
  <c r="X297" i="6"/>
  <c r="Y297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3" i="6"/>
  <c r="W183" i="6"/>
  <c r="X183" i="6"/>
  <c r="Y183" i="6"/>
  <c r="V36" i="6"/>
  <c r="W36" i="6"/>
  <c r="X36" i="6"/>
  <c r="Y36" i="6"/>
  <c r="V184" i="6"/>
  <c r="W184" i="6"/>
  <c r="X184" i="6"/>
  <c r="Y184" i="6"/>
  <c r="V299" i="6"/>
  <c r="W299" i="6"/>
  <c r="X299" i="6"/>
  <c r="Y299" i="6"/>
  <c r="V175" i="6"/>
  <c r="W175" i="6"/>
  <c r="X175" i="6"/>
  <c r="Y175" i="6"/>
  <c r="V185" i="6"/>
  <c r="W185" i="6"/>
  <c r="X185" i="6"/>
  <c r="Y185" i="6"/>
  <c r="V186" i="6"/>
  <c r="W186" i="6"/>
  <c r="X186" i="6"/>
  <c r="Y186" i="6"/>
  <c r="V102" i="6"/>
  <c r="W102" i="6"/>
  <c r="X102" i="6"/>
  <c r="Y102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46" i="6"/>
  <c r="W346" i="6"/>
  <c r="X346" i="6"/>
  <c r="Y346" i="6"/>
  <c r="V351" i="6"/>
  <c r="W351" i="6"/>
  <c r="X351" i="6"/>
  <c r="Y351" i="6"/>
  <c r="V347" i="6"/>
  <c r="W347" i="6"/>
  <c r="X347" i="6"/>
  <c r="Y347" i="6"/>
  <c r="V348" i="6"/>
  <c r="W348" i="6"/>
  <c r="X348" i="6"/>
  <c r="Y348" i="6"/>
  <c r="V352" i="6"/>
  <c r="W352" i="6"/>
  <c r="X352" i="6"/>
  <c r="Y352" i="6"/>
  <c r="V349" i="6"/>
  <c r="W349" i="6"/>
  <c r="X349" i="6"/>
  <c r="Y349" i="6"/>
  <c r="V350" i="6"/>
  <c r="W350" i="6"/>
  <c r="X350" i="6"/>
  <c r="Y350" i="6"/>
  <c r="V366" i="6"/>
  <c r="W366" i="6"/>
  <c r="X366" i="6"/>
  <c r="Y366" i="6"/>
  <c r="V353" i="6"/>
  <c r="W353" i="6"/>
  <c r="X353" i="6"/>
  <c r="Y353" i="6"/>
  <c r="V367" i="6"/>
  <c r="W367" i="6"/>
  <c r="X367" i="6"/>
  <c r="Y367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1" i="6"/>
  <c r="W361" i="6"/>
  <c r="X361" i="6"/>
  <c r="Y361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5" i="6"/>
  <c r="W385" i="6"/>
  <c r="X385" i="6"/>
  <c r="Y385" i="6"/>
  <c r="V389" i="6"/>
  <c r="W389" i="6"/>
  <c r="X389" i="6"/>
  <c r="Y389" i="6"/>
  <c r="V392" i="6"/>
  <c r="W392" i="6"/>
  <c r="X392" i="6"/>
  <c r="Y392" i="6"/>
  <c r="V388" i="6"/>
  <c r="W388" i="6"/>
  <c r="X388" i="6"/>
  <c r="Y388" i="6"/>
  <c r="V391" i="6"/>
  <c r="W391" i="6"/>
  <c r="X391" i="6"/>
  <c r="Y391" i="6"/>
  <c r="V390" i="6"/>
  <c r="W390" i="6"/>
  <c r="X390" i="6"/>
  <c r="Y390" i="6"/>
  <c r="V416" i="6"/>
  <c r="W416" i="6"/>
  <c r="X416" i="6"/>
  <c r="Y416" i="6"/>
  <c r="V394" i="6"/>
  <c r="W394" i="6"/>
  <c r="X394" i="6"/>
  <c r="Y394" i="6"/>
  <c r="V415" i="6"/>
  <c r="W415" i="6"/>
  <c r="X415" i="6"/>
  <c r="Y415" i="6"/>
  <c r="V414" i="6"/>
  <c r="W414" i="6"/>
  <c r="X414" i="6"/>
  <c r="Y414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96" i="6"/>
  <c r="W396" i="6"/>
  <c r="X396" i="6"/>
  <c r="Y396" i="6"/>
  <c r="V412" i="6"/>
  <c r="W412" i="6"/>
  <c r="X412" i="6"/>
  <c r="Y412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407" i="6"/>
  <c r="W407" i="6"/>
  <c r="X407" i="6"/>
  <c r="Y407" i="6"/>
  <c r="V393" i="6"/>
  <c r="W393" i="6"/>
  <c r="X393" i="6"/>
  <c r="Y393" i="6"/>
  <c r="V413" i="6"/>
  <c r="W413" i="6"/>
  <c r="X413" i="6"/>
  <c r="Y413" i="6"/>
  <c r="V408" i="6"/>
  <c r="W408" i="6"/>
  <c r="X408" i="6"/>
  <c r="Y408" i="6"/>
  <c r="V395" i="6"/>
  <c r="W395" i="6"/>
  <c r="X395" i="6"/>
  <c r="Y395" i="6"/>
  <c r="V417" i="6"/>
  <c r="W417" i="6"/>
  <c r="X417" i="6"/>
  <c r="Y417" i="6"/>
  <c r="V409" i="6"/>
  <c r="W409" i="6"/>
  <c r="X409" i="6"/>
  <c r="Y409" i="6"/>
  <c r="V410" i="6"/>
  <c r="W410" i="6"/>
  <c r="X410" i="6"/>
  <c r="Y410" i="6"/>
  <c r="V411" i="6"/>
  <c r="W411" i="6"/>
  <c r="X411" i="6"/>
  <c r="Y411" i="6"/>
  <c r="C414" i="6"/>
  <c r="C156" i="6"/>
  <c r="C116" i="6"/>
  <c r="C115" i="6"/>
  <c r="C395" i="6"/>
  <c r="C330" i="6"/>
  <c r="C397" i="6"/>
  <c r="C405" i="6"/>
  <c r="C407" i="6"/>
  <c r="C135" i="6"/>
  <c r="C117" i="6"/>
  <c r="C290" i="6"/>
  <c r="C6" i="6"/>
  <c r="C34" i="6"/>
  <c r="C7" i="6"/>
  <c r="C394" i="6"/>
  <c r="C413" i="6"/>
  <c r="C176" i="6"/>
  <c r="C393" i="6"/>
  <c r="C284" i="6"/>
  <c r="C180" i="6"/>
  <c r="C225" i="6"/>
  <c r="C340" i="6"/>
  <c r="C130" i="6"/>
  <c r="C5" i="6"/>
  <c r="C4" i="6"/>
  <c r="C3" i="6"/>
  <c r="C345" i="6"/>
  <c r="C402" i="6"/>
  <c r="C410" i="6"/>
  <c r="C2" i="6"/>
  <c r="C114" i="6"/>
  <c r="C288" i="6"/>
  <c r="C338" i="6"/>
  <c r="C10" i="6"/>
  <c r="C377" i="6"/>
  <c r="C382" i="6"/>
  <c r="C375" i="6"/>
  <c r="C364" i="6"/>
  <c r="C417" i="6"/>
  <c r="C30" i="6"/>
  <c r="C154" i="6"/>
  <c r="C412" i="6"/>
  <c r="C40" i="6"/>
  <c r="C45" i="6"/>
  <c r="C396" i="6"/>
  <c r="C11" i="6"/>
  <c r="C201" i="6"/>
  <c r="C256" i="6"/>
  <c r="C363" i="6"/>
  <c r="C27" i="6"/>
  <c r="C416" i="6"/>
  <c r="C398" i="6"/>
  <c r="C400" i="6"/>
  <c r="C403" i="6"/>
  <c r="C404" i="6"/>
  <c r="C406" i="6"/>
  <c r="C411" i="6"/>
  <c r="C277" i="6"/>
  <c r="C289" i="6"/>
  <c r="C408" i="6"/>
  <c r="C275" i="6"/>
  <c r="C336" i="6"/>
  <c r="C29" i="6"/>
  <c r="C409" i="6"/>
  <c r="C26" i="6"/>
  <c r="C77" i="6"/>
  <c r="C86" i="6"/>
  <c r="C44" i="6"/>
  <c r="C19" i="6"/>
  <c r="C155" i="6"/>
  <c r="C39" i="6"/>
  <c r="C17" i="6"/>
  <c r="C136" i="6"/>
  <c r="C286" i="6"/>
  <c r="C287" i="6"/>
  <c r="C24" i="6"/>
  <c r="C257" i="6"/>
  <c r="C308" i="6"/>
  <c r="C401" i="6"/>
  <c r="C61" i="6"/>
  <c r="C297" i="6"/>
  <c r="C16" i="6"/>
  <c r="C18" i="6"/>
  <c r="C252" i="6"/>
  <c r="C12" i="6"/>
  <c r="C372" i="6"/>
  <c r="C415" i="6"/>
  <c r="C262" i="6"/>
  <c r="C389" i="6"/>
  <c r="C231" i="6"/>
  <c r="C365" i="6"/>
  <c r="C80" i="6"/>
  <c r="C239" i="6"/>
  <c r="C228" i="6"/>
  <c r="C132" i="6"/>
  <c r="C15" i="6"/>
  <c r="C25" i="6"/>
  <c r="C43" i="6"/>
  <c r="C20" i="6"/>
  <c r="C327" i="6"/>
  <c r="C399" i="6"/>
  <c r="C260" i="6"/>
  <c r="C68" i="6"/>
  <c r="C268" i="6"/>
  <c r="C307" i="6"/>
  <c r="C316" i="6"/>
  <c r="C306" i="6"/>
  <c r="C334" i="6"/>
  <c r="C161" i="6"/>
  <c r="C162" i="6"/>
  <c r="C236" i="6"/>
  <c r="C278" i="6"/>
  <c r="C35" i="6"/>
  <c r="C234" i="6"/>
  <c r="C379" i="6"/>
  <c r="C328" i="6"/>
  <c r="C233" i="6"/>
  <c r="C37" i="6"/>
  <c r="C190" i="6"/>
  <c r="C193" i="6"/>
  <c r="C222" i="6"/>
  <c r="C194" i="6"/>
  <c r="C195" i="6"/>
  <c r="C237" i="6"/>
  <c r="C179" i="6"/>
  <c r="C66" i="6"/>
  <c r="C283" i="6"/>
  <c r="C214" i="6"/>
  <c r="C152" i="6"/>
  <c r="C97" i="6"/>
  <c r="C142" i="6"/>
  <c r="C291" i="6"/>
  <c r="C269" i="6"/>
  <c r="C238" i="6"/>
  <c r="C249" i="6"/>
  <c r="C247" i="6"/>
  <c r="C192" i="6"/>
  <c r="C99" i="6"/>
  <c r="C215" i="6"/>
  <c r="C64" i="6"/>
  <c r="C392" i="6"/>
  <c r="C351" i="6"/>
  <c r="C133" i="6"/>
  <c r="C267" i="6"/>
  <c r="C213" i="6"/>
  <c r="C102" i="6"/>
  <c r="C106" i="6"/>
  <c r="C166" i="6"/>
  <c r="C186" i="6"/>
  <c r="C265" i="6"/>
  <c r="C100" i="6"/>
  <c r="C259" i="6"/>
  <c r="C160" i="6"/>
  <c r="C88" i="6"/>
  <c r="C42" i="6"/>
  <c r="C41" i="6"/>
  <c r="C122" i="6"/>
  <c r="C57" i="6"/>
  <c r="C70" i="6"/>
  <c r="C310" i="6"/>
  <c r="C177" i="6"/>
  <c r="C110" i="6"/>
  <c r="C111" i="6"/>
  <c r="C81" i="6"/>
  <c r="C189" i="6"/>
  <c r="C74" i="6"/>
  <c r="C253" i="6"/>
  <c r="C390" i="6"/>
  <c r="C73" i="6"/>
  <c r="C14" i="6"/>
  <c r="C391" i="6"/>
  <c r="C38" i="6"/>
  <c r="C251" i="6"/>
  <c r="C163" i="6"/>
  <c r="C108" i="6"/>
  <c r="C109" i="6"/>
  <c r="C107" i="6"/>
  <c r="C164" i="6"/>
  <c r="C318" i="6"/>
  <c r="C329" i="6"/>
  <c r="C272" i="6"/>
  <c r="C112" i="6"/>
  <c r="C181" i="6"/>
  <c r="C230" i="6"/>
  <c r="C229" i="6"/>
  <c r="C281" i="6"/>
  <c r="C266" i="6"/>
  <c r="C76" i="6"/>
  <c r="C90" i="6"/>
  <c r="C250" i="6"/>
  <c r="C103" i="6"/>
  <c r="C95" i="6"/>
  <c r="C280" i="6"/>
  <c r="C246" i="6"/>
  <c r="C258" i="6"/>
  <c r="C151" i="6"/>
  <c r="C137" i="6"/>
  <c r="C153" i="6"/>
  <c r="C157" i="6"/>
  <c r="C101" i="6"/>
  <c r="C56" i="6"/>
  <c r="C89" i="6"/>
  <c r="C91" i="6"/>
  <c r="C224" i="6"/>
  <c r="C369" i="6"/>
  <c r="C131" i="6"/>
  <c r="C59" i="6"/>
  <c r="C65" i="6"/>
  <c r="C93" i="6"/>
  <c r="C263" i="6"/>
  <c r="C96" i="6"/>
  <c r="C71" i="6"/>
  <c r="C217" i="6"/>
  <c r="C149" i="6"/>
  <c r="C313" i="6"/>
  <c r="C333" i="6"/>
  <c r="C285" i="6"/>
  <c r="C138" i="6"/>
  <c r="C75" i="6"/>
  <c r="C92" i="6"/>
  <c r="C264" i="6"/>
  <c r="C150" i="6"/>
  <c r="C317" i="6"/>
  <c r="C368" i="6"/>
  <c r="C271" i="6"/>
  <c r="C173" i="6"/>
  <c r="C204" i="6"/>
  <c r="C69" i="6"/>
  <c r="C125" i="6"/>
  <c r="C146" i="6"/>
  <c r="C94" i="6"/>
  <c r="C209" i="6"/>
  <c r="C124" i="6"/>
  <c r="C376" i="6"/>
  <c r="C326" i="6"/>
  <c r="C255" i="6"/>
  <c r="C244" i="6"/>
  <c r="C208" i="6"/>
  <c r="C274" i="6"/>
  <c r="C31" i="6"/>
  <c r="C139" i="6"/>
  <c r="C299" i="6"/>
  <c r="C174" i="6"/>
  <c r="C105" i="6"/>
  <c r="C206" i="6"/>
  <c r="C309" i="6"/>
  <c r="C98" i="6"/>
  <c r="C171" i="6"/>
  <c r="C170" i="6"/>
  <c r="C384" i="6"/>
  <c r="C53" i="6"/>
  <c r="C128" i="6"/>
  <c r="C84" i="6"/>
  <c r="C380" i="6"/>
  <c r="C60" i="6"/>
  <c r="C279" i="6"/>
  <c r="C248" i="6"/>
  <c r="C305" i="6"/>
  <c r="C312" i="6"/>
  <c r="C325" i="6"/>
  <c r="C79" i="6"/>
  <c r="C293" i="6"/>
  <c r="C223" i="6"/>
  <c r="C127" i="6"/>
  <c r="C134" i="6"/>
  <c r="C126" i="6"/>
  <c r="C33" i="6"/>
  <c r="C129" i="6"/>
  <c r="C273" i="6"/>
  <c r="C276" i="6"/>
  <c r="C241" i="6"/>
  <c r="C205" i="6"/>
  <c r="C172" i="6"/>
  <c r="C165" i="6"/>
  <c r="C331" i="6"/>
  <c r="C374" i="6"/>
  <c r="C370" i="6"/>
  <c r="C373" i="6"/>
  <c r="C143" i="6"/>
  <c r="C242" i="6"/>
  <c r="C67" i="6"/>
  <c r="C85" i="6"/>
  <c r="C200" i="6"/>
  <c r="C207" i="6"/>
  <c r="C113" i="6"/>
  <c r="C175" i="6"/>
  <c r="C304" i="6"/>
  <c r="C58" i="6"/>
  <c r="C254" i="6"/>
  <c r="C292" i="6"/>
  <c r="C147" i="6"/>
  <c r="C235" i="6"/>
  <c r="C87" i="6"/>
  <c r="C341" i="6"/>
  <c r="C184" i="6"/>
  <c r="C245" i="6"/>
  <c r="C178" i="6"/>
  <c r="C104" i="6"/>
  <c r="C240" i="6"/>
  <c r="C47" i="6"/>
  <c r="C159" i="6"/>
  <c r="C63" i="6"/>
  <c r="C36" i="6"/>
  <c r="C335" i="6"/>
  <c r="C168" i="6"/>
  <c r="C82" i="6"/>
  <c r="C295" i="6"/>
  <c r="C32" i="6"/>
  <c r="C120" i="6"/>
  <c r="C183" i="6"/>
  <c r="C83" i="6"/>
  <c r="C216" i="6"/>
  <c r="C359" i="6"/>
  <c r="C294" i="6"/>
  <c r="C227" i="6"/>
  <c r="C72" i="6"/>
  <c r="C198" i="6"/>
  <c r="C185" i="6"/>
  <c r="C212" i="6"/>
  <c r="C362" i="6"/>
  <c r="C62" i="6"/>
  <c r="C203" i="6"/>
  <c r="C148" i="6"/>
  <c r="C383" i="6"/>
  <c r="C158" i="6"/>
  <c r="C360" i="6"/>
  <c r="C339" i="6"/>
  <c r="C23" i="6"/>
  <c r="C202" i="6"/>
  <c r="C296" i="6"/>
  <c r="C21" i="6"/>
  <c r="C243" i="6"/>
  <c r="C187" i="6"/>
  <c r="C123" i="6"/>
  <c r="C167" i="6"/>
  <c r="C388" i="6"/>
  <c r="C8" i="6"/>
  <c r="C232" i="6"/>
  <c r="C51" i="6"/>
  <c r="C221" i="6"/>
  <c r="C22" i="6"/>
  <c r="C353" i="6"/>
  <c r="C219" i="6"/>
  <c r="C349" i="6"/>
  <c r="C311" i="6"/>
  <c r="C182" i="6"/>
  <c r="C197" i="6"/>
  <c r="C145" i="6"/>
  <c r="C119" i="6"/>
  <c r="C357" i="6"/>
  <c r="C220" i="6"/>
  <c r="C28" i="6"/>
  <c r="C210" i="6"/>
  <c r="C54" i="6"/>
  <c r="C55" i="6"/>
  <c r="C48" i="6"/>
  <c r="C314" i="6"/>
  <c r="C315" i="6"/>
  <c r="C188" i="6"/>
  <c r="C196" i="6"/>
  <c r="C337" i="6"/>
  <c r="C358" i="6"/>
  <c r="C191" i="6"/>
  <c r="C9" i="6"/>
  <c r="C52" i="6"/>
  <c r="C78" i="6"/>
  <c r="C350" i="6"/>
  <c r="C270" i="6"/>
  <c r="C121" i="6"/>
  <c r="C378" i="6"/>
  <c r="C50" i="6"/>
  <c r="C49" i="6"/>
  <c r="C144" i="6"/>
  <c r="C367" i="6"/>
  <c r="C199" i="6"/>
  <c r="C13" i="6"/>
  <c r="C381" i="6"/>
  <c r="C366" i="6"/>
  <c r="C320" i="6"/>
  <c r="C385" i="6"/>
  <c r="C46" i="6"/>
  <c r="C321" i="6"/>
  <c r="C322" i="6"/>
  <c r="C347" i="6"/>
  <c r="C348" i="6"/>
  <c r="C211" i="6"/>
  <c r="C218" i="6"/>
  <c r="C344" i="6"/>
  <c r="C361" i="6"/>
  <c r="C298" i="6"/>
  <c r="C343" i="6"/>
  <c r="C324" i="6"/>
  <c r="C342" i="6"/>
  <c r="C323" i="6"/>
  <c r="C371" i="6"/>
  <c r="C346" i="6"/>
  <c r="C354" i="6"/>
  <c r="C352" i="6"/>
  <c r="C355" i="6"/>
  <c r="C356" i="6"/>
  <c r="C169" i="6"/>
  <c r="C282" i="6"/>
  <c r="C332" i="6"/>
  <c r="C226" i="6"/>
  <c r="B332" i="6"/>
  <c r="B282" i="6"/>
  <c r="B169" i="6"/>
  <c r="B356" i="6"/>
  <c r="B355" i="6"/>
  <c r="B352" i="6"/>
  <c r="B354" i="6"/>
  <c r="B346" i="6"/>
  <c r="B371" i="6"/>
  <c r="B323" i="6"/>
  <c r="B342" i="6"/>
  <c r="B324" i="6"/>
  <c r="B343" i="6"/>
  <c r="B298" i="6"/>
  <c r="B361" i="6"/>
  <c r="B344" i="6"/>
  <c r="B218" i="6"/>
  <c r="B211" i="6"/>
  <c r="B348" i="6"/>
  <c r="B347" i="6"/>
  <c r="B322" i="6"/>
  <c r="B321" i="6"/>
  <c r="B46" i="6"/>
  <c r="B385" i="6"/>
  <c r="B320" i="6"/>
  <c r="B366" i="6"/>
  <c r="B381" i="6"/>
  <c r="B13" i="6"/>
  <c r="B199" i="6"/>
  <c r="B367" i="6"/>
  <c r="B144" i="6"/>
  <c r="B49" i="6"/>
  <c r="B50" i="6"/>
  <c r="B378" i="6"/>
  <c r="B121" i="6"/>
  <c r="B270" i="6"/>
  <c r="B350" i="6"/>
  <c r="B78" i="6"/>
  <c r="B52" i="6"/>
  <c r="B9" i="6"/>
  <c r="B191" i="6"/>
  <c r="B358" i="6"/>
  <c r="B337" i="6"/>
  <c r="B196" i="6"/>
  <c r="B315" i="6"/>
  <c r="B314" i="6"/>
  <c r="B48" i="6"/>
  <c r="B55" i="6"/>
  <c r="B54" i="6"/>
  <c r="B210" i="6"/>
  <c r="B28" i="6"/>
  <c r="B220" i="6"/>
  <c r="B357" i="6"/>
  <c r="B119" i="6"/>
  <c r="B145" i="6"/>
  <c r="B197" i="6"/>
  <c r="B182" i="6"/>
  <c r="B311" i="6"/>
  <c r="B349" i="6"/>
  <c r="B219" i="6"/>
  <c r="B353" i="6"/>
  <c r="B22" i="6"/>
  <c r="B221" i="6"/>
  <c r="B51" i="6"/>
  <c r="B232" i="6"/>
  <c r="B8" i="6"/>
  <c r="B388" i="6"/>
  <c r="B167" i="6"/>
  <c r="B123" i="6"/>
  <c r="B187" i="6"/>
  <c r="B243" i="6"/>
  <c r="B21" i="6"/>
  <c r="B296" i="6"/>
  <c r="B202" i="6"/>
  <c r="B23" i="6"/>
  <c r="B339" i="6"/>
  <c r="B360" i="6"/>
  <c r="B158" i="6"/>
  <c r="B383" i="6"/>
  <c r="B148" i="6"/>
  <c r="B203" i="6"/>
  <c r="B62" i="6"/>
  <c r="B362" i="6"/>
  <c r="B212" i="6"/>
  <c r="B185" i="6"/>
  <c r="B198" i="6"/>
  <c r="B72" i="6"/>
  <c r="B227" i="6"/>
  <c r="B294" i="6"/>
  <c r="B359" i="6"/>
  <c r="B216" i="6"/>
  <c r="B83" i="6"/>
  <c r="B183" i="6"/>
  <c r="B120" i="6"/>
  <c r="B32" i="6"/>
  <c r="B295" i="6"/>
  <c r="B82" i="6"/>
  <c r="B168" i="6"/>
  <c r="B335" i="6"/>
  <c r="B36" i="6"/>
  <c r="B63" i="6"/>
  <c r="B159" i="6"/>
  <c r="B47" i="6"/>
  <c r="B240" i="6"/>
  <c r="B104" i="6"/>
  <c r="B178" i="6"/>
  <c r="B245" i="6"/>
  <c r="B184" i="6"/>
  <c r="B341" i="6"/>
  <c r="B87" i="6"/>
  <c r="B235" i="6"/>
  <c r="B147" i="6"/>
  <c r="B292" i="6"/>
  <c r="B254" i="6"/>
  <c r="B58" i="6"/>
  <c r="B304" i="6"/>
  <c r="B175" i="6"/>
  <c r="B113" i="6"/>
  <c r="B207" i="6"/>
  <c r="B200" i="6"/>
  <c r="B85" i="6"/>
  <c r="B67" i="6"/>
  <c r="B242" i="6"/>
  <c r="B143" i="6"/>
  <c r="B373" i="6"/>
  <c r="B370" i="6"/>
  <c r="B374" i="6"/>
  <c r="B331" i="6"/>
  <c r="B165" i="6"/>
  <c r="B172" i="6"/>
  <c r="B205" i="6"/>
  <c r="B241" i="6"/>
  <c r="B276" i="6"/>
  <c r="B273" i="6"/>
  <c r="B129" i="6"/>
  <c r="B33" i="6"/>
  <c r="B126" i="6"/>
  <c r="B134" i="6"/>
  <c r="B127" i="6"/>
  <c r="B223" i="6"/>
  <c r="B293" i="6"/>
  <c r="B79" i="6"/>
  <c r="B325" i="6"/>
  <c r="B312" i="6"/>
  <c r="B305" i="6"/>
  <c r="B248" i="6"/>
  <c r="B279" i="6"/>
  <c r="B60" i="6"/>
  <c r="B380" i="6"/>
  <c r="B84" i="6"/>
  <c r="B128" i="6"/>
  <c r="B53" i="6"/>
  <c r="B384" i="6"/>
  <c r="B170" i="6"/>
  <c r="B171" i="6"/>
  <c r="B98" i="6"/>
  <c r="B309" i="6"/>
  <c r="B206" i="6"/>
  <c r="B105" i="6"/>
  <c r="B174" i="6"/>
  <c r="B299" i="6"/>
  <c r="B139" i="6"/>
  <c r="B31" i="6"/>
  <c r="B274" i="6"/>
  <c r="B208" i="6"/>
  <c r="B244" i="6"/>
  <c r="B255" i="6"/>
  <c r="B326" i="6"/>
  <c r="B376" i="6"/>
  <c r="B124" i="6"/>
  <c r="B209" i="6"/>
  <c r="B94" i="6"/>
  <c r="B146" i="6"/>
  <c r="B125" i="6"/>
  <c r="B69" i="6"/>
  <c r="B204" i="6"/>
  <c r="B173" i="6"/>
  <c r="B271" i="6"/>
  <c r="B368" i="6"/>
  <c r="B317" i="6"/>
  <c r="B150" i="6"/>
  <c r="B264" i="6"/>
  <c r="B92" i="6"/>
  <c r="B75" i="6"/>
  <c r="B138" i="6"/>
  <c r="B285" i="6"/>
  <c r="B333" i="6"/>
  <c r="B313" i="6"/>
  <c r="B149" i="6"/>
  <c r="B217" i="6"/>
  <c r="B71" i="6"/>
  <c r="B96" i="6"/>
  <c r="B263" i="6"/>
  <c r="B93" i="6"/>
  <c r="B65" i="6"/>
  <c r="B59" i="6"/>
  <c r="B131" i="6"/>
  <c r="B369" i="6"/>
  <c r="B224" i="6"/>
  <c r="B91" i="6"/>
  <c r="B89" i="6"/>
  <c r="B56" i="6"/>
  <c r="B101" i="6"/>
  <c r="B157" i="6"/>
  <c r="B153" i="6"/>
  <c r="B137" i="6"/>
  <c r="B151" i="6"/>
  <c r="B258" i="6"/>
  <c r="B246" i="6"/>
  <c r="B280" i="6"/>
  <c r="B95" i="6"/>
  <c r="B103" i="6"/>
  <c r="B250" i="6"/>
  <c r="B90" i="6"/>
  <c r="B76" i="6"/>
  <c r="B266" i="6"/>
  <c r="B281" i="6"/>
  <c r="B229" i="6"/>
  <c r="B230" i="6"/>
  <c r="B181" i="6"/>
  <c r="B112" i="6"/>
  <c r="B329" i="6"/>
  <c r="B318" i="6"/>
  <c r="B164" i="6"/>
  <c r="B107" i="6"/>
  <c r="B109" i="6"/>
  <c r="B108" i="6"/>
  <c r="B163" i="6"/>
  <c r="B251" i="6"/>
  <c r="B38" i="6"/>
  <c r="B391" i="6"/>
  <c r="B14" i="6"/>
  <c r="B73" i="6"/>
  <c r="B390" i="6"/>
  <c r="B253" i="6"/>
  <c r="B74" i="6"/>
  <c r="B81" i="6"/>
  <c r="B111" i="6"/>
  <c r="B110" i="6"/>
  <c r="B177" i="6"/>
  <c r="B310" i="6"/>
  <c r="B70" i="6"/>
  <c r="B57" i="6"/>
  <c r="B122" i="6"/>
  <c r="B41" i="6"/>
  <c r="B42" i="6"/>
  <c r="B88" i="6"/>
  <c r="B160" i="6"/>
  <c r="B259" i="6"/>
  <c r="B100" i="6"/>
  <c r="B265" i="6"/>
  <c r="B186" i="6"/>
  <c r="B166" i="6"/>
  <c r="B106" i="6"/>
  <c r="B102" i="6"/>
  <c r="B213" i="6"/>
  <c r="B267" i="6"/>
  <c r="B133" i="6"/>
  <c r="B351" i="6"/>
  <c r="B392" i="6"/>
  <c r="B64" i="6"/>
  <c r="B215" i="6"/>
  <c r="B99" i="6"/>
  <c r="B192" i="6"/>
  <c r="B247" i="6"/>
  <c r="B249" i="6"/>
  <c r="B238" i="6"/>
  <c r="B269" i="6"/>
  <c r="B291" i="6"/>
  <c r="B142" i="6"/>
  <c r="B97" i="6"/>
  <c r="B152" i="6"/>
  <c r="B214" i="6"/>
  <c r="B283" i="6"/>
  <c r="B179" i="6"/>
  <c r="B237" i="6"/>
  <c r="B195" i="6"/>
  <c r="B194" i="6"/>
  <c r="B222" i="6"/>
  <c r="B193" i="6"/>
  <c r="B190" i="6"/>
  <c r="B37" i="6"/>
  <c r="B233" i="6"/>
  <c r="B328" i="6"/>
  <c r="B379" i="6"/>
  <c r="B234" i="6"/>
  <c r="B35" i="6"/>
  <c r="B278" i="6"/>
  <c r="B236" i="6"/>
  <c r="B162" i="6"/>
  <c r="B161" i="6"/>
  <c r="B334" i="6"/>
  <c r="B306" i="6"/>
  <c r="B316" i="6"/>
  <c r="B307" i="6"/>
  <c r="B268" i="6"/>
  <c r="B68" i="6"/>
  <c r="B260" i="6"/>
  <c r="B399" i="6"/>
  <c r="B327" i="6"/>
  <c r="B20" i="6"/>
  <c r="B43" i="6"/>
  <c r="B25" i="6"/>
  <c r="B15" i="6"/>
  <c r="B132" i="6"/>
  <c r="B228" i="6"/>
  <c r="B239" i="6"/>
  <c r="B80" i="6"/>
  <c r="B365" i="6"/>
  <c r="B231" i="6"/>
  <c r="B389" i="6"/>
  <c r="B262" i="6"/>
  <c r="B415" i="6"/>
  <c r="B372" i="6"/>
  <c r="B12" i="6"/>
  <c r="B252" i="6"/>
  <c r="B18" i="6"/>
  <c r="B16" i="6"/>
  <c r="B297" i="6"/>
  <c r="B61" i="6"/>
  <c r="B401" i="6"/>
  <c r="B308" i="6"/>
  <c r="B257" i="6"/>
  <c r="B24" i="6"/>
  <c r="B287" i="6"/>
  <c r="B286" i="6"/>
  <c r="B136" i="6"/>
  <c r="B17" i="6"/>
  <c r="B39" i="6"/>
  <c r="B155" i="6"/>
  <c r="B19" i="6"/>
  <c r="B44" i="6"/>
  <c r="B86" i="6"/>
  <c r="B77" i="6"/>
  <c r="B26" i="6"/>
  <c r="B409" i="6"/>
  <c r="B29" i="6"/>
  <c r="B336" i="6"/>
  <c r="B275" i="6"/>
  <c r="B408" i="6"/>
  <c r="B289" i="6"/>
  <c r="B277" i="6"/>
  <c r="B411" i="6"/>
  <c r="B406" i="6"/>
  <c r="B404" i="6"/>
  <c r="B403" i="6"/>
  <c r="B400" i="6"/>
  <c r="B398" i="6"/>
  <c r="B416" i="6"/>
  <c r="B27" i="6"/>
  <c r="B363" i="6"/>
  <c r="B256" i="6"/>
  <c r="B201" i="6"/>
  <c r="B11" i="6"/>
  <c r="B396" i="6"/>
  <c r="B45" i="6"/>
  <c r="B40" i="6"/>
  <c r="B412" i="6"/>
  <c r="B154" i="6"/>
  <c r="B30" i="6"/>
  <c r="B417" i="6"/>
  <c r="B364" i="6"/>
  <c r="B375" i="6"/>
  <c r="B382" i="6"/>
  <c r="B377" i="6"/>
  <c r="B10" i="6"/>
  <c r="B338" i="6"/>
  <c r="B288" i="6"/>
  <c r="B114" i="6"/>
  <c r="B2" i="6"/>
  <c r="B410" i="6"/>
  <c r="B402" i="6"/>
  <c r="B345" i="6"/>
  <c r="B3" i="6"/>
  <c r="B4" i="6"/>
  <c r="B5" i="6"/>
  <c r="B130" i="6"/>
  <c r="B340" i="6"/>
  <c r="B225" i="6"/>
  <c r="B180" i="6"/>
  <c r="B284" i="6"/>
  <c r="B393" i="6"/>
  <c r="B176" i="6"/>
  <c r="B413" i="6"/>
  <c r="B394" i="6"/>
  <c r="B7" i="6"/>
  <c r="B34" i="6"/>
  <c r="B6" i="6"/>
  <c r="B290" i="6"/>
  <c r="B117" i="6"/>
  <c r="B135" i="6"/>
  <c r="B407" i="6"/>
  <c r="B405" i="6"/>
  <c r="B397" i="6"/>
  <c r="B330" i="6"/>
  <c r="B395" i="6"/>
  <c r="B115" i="6"/>
  <c r="B116" i="6"/>
  <c r="B156" i="6"/>
  <c r="B414" i="6"/>
  <c r="B226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20" i="5"/>
  <c r="BA330" i="5"/>
  <c r="BA118" i="5"/>
  <c r="BA340" i="5"/>
  <c r="BA346" i="5"/>
  <c r="BA338" i="5"/>
  <c r="BA377" i="5"/>
  <c r="BA382" i="5"/>
  <c r="BA375" i="5"/>
  <c r="BA373" i="5"/>
  <c r="BA372" i="5"/>
  <c r="BA336" i="5"/>
  <c r="BA309" i="5"/>
  <c r="BA368" i="5"/>
  <c r="BA388" i="5"/>
  <c r="BA374" i="5"/>
  <c r="BA327" i="5"/>
  <c r="BA307" i="5"/>
  <c r="BA317" i="5"/>
  <c r="BA306" i="5"/>
  <c r="BA334" i="5"/>
  <c r="BA379" i="5"/>
  <c r="BA328" i="5"/>
  <c r="BA389" i="5"/>
  <c r="BA348" i="5"/>
  <c r="BA311" i="5"/>
  <c r="BA392" i="5"/>
  <c r="BA391" i="5"/>
  <c r="BA319" i="5"/>
  <c r="BA329" i="5"/>
  <c r="BA297" i="5"/>
  <c r="BA296" i="5"/>
  <c r="BA365" i="5"/>
  <c r="BA314" i="5"/>
  <c r="BA333" i="5"/>
  <c r="BA318" i="5"/>
  <c r="BA364" i="5"/>
  <c r="BA376" i="5"/>
  <c r="BA326" i="5"/>
  <c r="BA310" i="5"/>
  <c r="BA384" i="5"/>
  <c r="BA380" i="5"/>
  <c r="BA305" i="5"/>
  <c r="BA313" i="5"/>
  <c r="BA325" i="5"/>
  <c r="BA331" i="5"/>
  <c r="BA370" i="5"/>
  <c r="BA366" i="5"/>
  <c r="BA369" i="5"/>
  <c r="BA304" i="5"/>
  <c r="BA342" i="5"/>
  <c r="BA29" i="5"/>
  <c r="BA335" i="5"/>
  <c r="BA361" i="5"/>
  <c r="BA371" i="5"/>
  <c r="BA70" i="5"/>
  <c r="BA383" i="5"/>
  <c r="BA362" i="5"/>
  <c r="BA339" i="5"/>
  <c r="BA390" i="5"/>
  <c r="BA354" i="5"/>
  <c r="BA341" i="5"/>
  <c r="BA312" i="5"/>
  <c r="BA359" i="5"/>
  <c r="BA315" i="5"/>
  <c r="BA316" i="5"/>
  <c r="BA337" i="5"/>
  <c r="BA360" i="5"/>
  <c r="BA352" i="5"/>
  <c r="BA378" i="5"/>
  <c r="BA355" i="5"/>
  <c r="BA381" i="5"/>
  <c r="BA353" i="5"/>
  <c r="BA320" i="5"/>
  <c r="BA385" i="5"/>
  <c r="BA321" i="5"/>
  <c r="BA322" i="5"/>
  <c r="BA349" i="5"/>
  <c r="BA350" i="5"/>
  <c r="BA345" i="5"/>
  <c r="BA363" i="5"/>
  <c r="BA344" i="5"/>
  <c r="BA324" i="5"/>
  <c r="BA343" i="5"/>
  <c r="BA323" i="5"/>
  <c r="BA367" i="5"/>
  <c r="BA347" i="5"/>
  <c r="BA356" i="5"/>
  <c r="BA351" i="5"/>
  <c r="BA357" i="5"/>
  <c r="BA358" i="5"/>
  <c r="BA332" i="5"/>
  <c r="BA396" i="5"/>
  <c r="BF220" i="5"/>
  <c r="BF330" i="5"/>
  <c r="BF332" i="5"/>
  <c r="BF338" i="5"/>
  <c r="BF340" i="5"/>
  <c r="BF346" i="5"/>
  <c r="BF396" i="5"/>
  <c r="BF255" i="5"/>
  <c r="BF264" i="5"/>
  <c r="BF413" i="5"/>
  <c r="BF397" i="5"/>
  <c r="BF407" i="5"/>
  <c r="BF409" i="5"/>
  <c r="BF97" i="5"/>
  <c r="BF162" i="5"/>
  <c r="BF189" i="5"/>
  <c r="BF42" i="5"/>
  <c r="BF47" i="5"/>
  <c r="BF178" i="5"/>
  <c r="BF394" i="5"/>
  <c r="BF410" i="5"/>
  <c r="BF411" i="5"/>
  <c r="BF61" i="5"/>
  <c r="BF118" i="5"/>
  <c r="BF285" i="5"/>
  <c r="BF292" i="5"/>
  <c r="BF39" i="5"/>
  <c r="BF40" i="5"/>
  <c r="BF41" i="5"/>
  <c r="BF103" i="5"/>
  <c r="BF336" i="5"/>
  <c r="BF404" i="5"/>
  <c r="BF416" i="5"/>
  <c r="BF38" i="5"/>
  <c r="BF66" i="5"/>
  <c r="BF176" i="5"/>
  <c r="BF65" i="5"/>
  <c r="BF67" i="5"/>
  <c r="BF373" i="5"/>
  <c r="BF375" i="5"/>
  <c r="BF377" i="5"/>
  <c r="BF382" i="5"/>
  <c r="BF402" i="5"/>
  <c r="BF403" i="5"/>
  <c r="BF414" i="5"/>
  <c r="BF53" i="5"/>
  <c r="BF56" i="5"/>
  <c r="BF59" i="5"/>
  <c r="BF154" i="5"/>
  <c r="BF259" i="5"/>
  <c r="BF372" i="5"/>
  <c r="BF50" i="5"/>
  <c r="BF393" i="5"/>
  <c r="BF398" i="5"/>
  <c r="BF400" i="5"/>
  <c r="BF405" i="5"/>
  <c r="BF406" i="5"/>
  <c r="BF408" i="5"/>
  <c r="BF417" i="5"/>
  <c r="BF149" i="5"/>
  <c r="BF153" i="5"/>
  <c r="BF327" i="5"/>
  <c r="BF177" i="5"/>
  <c r="BF334" i="5"/>
  <c r="BF412" i="5"/>
  <c r="BF143" i="5"/>
  <c r="BF415" i="5"/>
  <c r="BF52" i="5"/>
  <c r="BF265" i="5"/>
  <c r="BF141" i="5"/>
  <c r="BF155" i="5"/>
  <c r="BF328" i="5"/>
  <c r="BF130" i="5"/>
  <c r="BF138" i="5"/>
  <c r="BF150" i="5"/>
  <c r="BF258" i="5"/>
  <c r="BF180" i="5"/>
  <c r="BF246" i="5"/>
  <c r="BF248" i="5"/>
  <c r="BF125" i="5"/>
  <c r="BF257" i="5"/>
  <c r="BF27" i="5"/>
  <c r="BF226" i="5"/>
  <c r="BF309" i="5"/>
  <c r="BF401" i="5"/>
  <c r="BF119" i="5"/>
  <c r="BF210" i="5"/>
  <c r="BF243" i="5"/>
  <c r="BF245" i="5"/>
  <c r="BF247" i="5"/>
  <c r="BF368" i="5"/>
  <c r="BF395" i="5"/>
  <c r="BF124" i="5"/>
  <c r="BF8" i="5"/>
  <c r="BF348" i="5"/>
  <c r="BF374" i="5"/>
  <c r="BF388" i="5"/>
  <c r="BF271" i="5"/>
  <c r="BF139" i="5"/>
  <c r="BF184" i="5"/>
  <c r="BF222" i="5"/>
  <c r="BF242" i="5"/>
  <c r="BF244" i="5"/>
  <c r="BF60" i="5"/>
  <c r="BF256" i="5"/>
  <c r="BF249" i="5"/>
  <c r="BF399" i="5"/>
  <c r="BF74" i="5"/>
  <c r="BF217" i="5"/>
  <c r="BF240" i="5"/>
  <c r="BF306" i="5"/>
  <c r="BF307" i="5"/>
  <c r="BF317" i="5"/>
  <c r="BF106" i="5"/>
  <c r="BF140" i="5"/>
  <c r="BF88" i="5"/>
  <c r="BF15" i="5"/>
  <c r="BF182" i="5"/>
  <c r="BF329" i="5"/>
  <c r="BF379" i="5"/>
  <c r="BF55" i="5"/>
  <c r="BF87" i="5"/>
  <c r="BF132" i="5"/>
  <c r="BF179" i="5"/>
  <c r="BF5" i="5"/>
  <c r="BF23" i="5"/>
  <c r="BF24" i="5"/>
  <c r="BF25" i="5"/>
  <c r="BF26" i="5"/>
  <c r="BF9" i="5"/>
  <c r="BF137" i="5"/>
  <c r="BF181" i="5"/>
  <c r="BF221" i="5"/>
  <c r="BF254" i="5"/>
  <c r="BF115" i="5"/>
  <c r="BF225" i="5"/>
  <c r="BF266" i="5"/>
  <c r="BF10" i="5"/>
  <c r="BF133" i="5"/>
  <c r="BF148" i="5"/>
  <c r="BF174" i="5"/>
  <c r="BF22" i="5"/>
  <c r="BF218" i="5"/>
  <c r="BF389" i="5"/>
  <c r="BF286" i="5"/>
  <c r="BE286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3" i="5"/>
  <c r="BE392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5" i="5"/>
  <c r="BE54" i="5"/>
  <c r="BE266" i="5"/>
  <c r="BE267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8" i="5"/>
  <c r="BE82" i="5"/>
  <c r="BE83" i="5"/>
  <c r="BE84" i="5"/>
  <c r="BE85" i="5"/>
  <c r="BE260" i="5"/>
  <c r="BE261" i="5"/>
  <c r="BE86" i="5"/>
  <c r="BE262" i="5"/>
  <c r="BE254" i="5"/>
  <c r="BE87" i="5"/>
  <c r="BE88" i="5"/>
  <c r="BE89" i="5"/>
  <c r="BE90" i="5"/>
  <c r="BE91" i="5"/>
  <c r="BE92" i="5"/>
  <c r="BE10" i="5"/>
  <c r="BE11" i="5"/>
  <c r="BE93" i="5"/>
  <c r="BE94" i="5"/>
  <c r="BE95" i="5"/>
  <c r="BE263" i="5"/>
  <c r="BE96" i="5"/>
  <c r="BE255" i="5"/>
  <c r="BE264" i="5"/>
  <c r="BE97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2" i="5"/>
  <c r="BE116" i="5"/>
  <c r="BE117" i="5"/>
  <c r="BE269" i="5"/>
  <c r="BE270" i="5"/>
  <c r="BE12" i="5"/>
  <c r="BE118" i="5"/>
  <c r="BE13" i="5"/>
  <c r="BE271" i="5"/>
  <c r="BE119" i="5"/>
  <c r="BE272" i="5"/>
  <c r="BE273" i="5"/>
  <c r="BE14" i="5"/>
  <c r="BE120" i="5"/>
  <c r="BE121" i="5"/>
  <c r="BE274" i="5"/>
  <c r="BE122" i="5"/>
  <c r="BE123" i="5"/>
  <c r="BE124" i="5"/>
  <c r="BE125" i="5"/>
  <c r="BE15" i="5"/>
  <c r="BE275" i="5"/>
  <c r="BE126" i="5"/>
  <c r="BE127" i="5"/>
  <c r="BE276" i="5"/>
  <c r="BE128" i="5"/>
  <c r="BE129" i="5"/>
  <c r="BE130" i="5"/>
  <c r="BE131" i="5"/>
  <c r="BE132" i="5"/>
  <c r="BE133" i="5"/>
  <c r="BE3" i="5"/>
  <c r="BE134" i="5"/>
  <c r="BE135" i="5"/>
  <c r="BE4" i="5"/>
  <c r="BE136" i="5"/>
  <c r="BE137" i="5"/>
  <c r="BE256" i="5"/>
  <c r="BE138" i="5"/>
  <c r="BE139" i="5"/>
  <c r="BE140" i="5"/>
  <c r="BE141" i="5"/>
  <c r="BE142" i="5"/>
  <c r="BE143" i="5"/>
  <c r="BE144" i="5"/>
  <c r="BE145" i="5"/>
  <c r="BE146" i="5"/>
  <c r="BE147" i="5"/>
  <c r="BE277" i="5"/>
  <c r="BE148" i="5"/>
  <c r="BE149" i="5"/>
  <c r="BE150" i="5"/>
  <c r="BE151" i="5"/>
  <c r="BE278" i="5"/>
  <c r="BE279" i="5"/>
  <c r="BE280" i="5"/>
  <c r="BE152" i="5"/>
  <c r="BE153" i="5"/>
  <c r="BE281" i="5"/>
  <c r="BE154" i="5"/>
  <c r="BE155" i="5"/>
  <c r="BE156" i="5"/>
  <c r="BE157" i="5"/>
  <c r="BE158" i="5"/>
  <c r="BE159" i="5"/>
  <c r="BE160" i="5"/>
  <c r="BE161" i="5"/>
  <c r="BE162" i="5"/>
  <c r="BE163" i="5"/>
  <c r="BE257" i="5"/>
  <c r="BE258" i="5"/>
  <c r="BE164" i="5"/>
  <c r="BE165" i="5"/>
  <c r="BE166" i="5"/>
  <c r="BE167" i="5"/>
  <c r="BE16" i="5"/>
  <c r="BE17" i="5"/>
  <c r="BE18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282" i="5"/>
  <c r="BE283" i="5"/>
  <c r="BE284" i="5"/>
  <c r="BE194" i="5"/>
  <c r="BE195" i="5"/>
  <c r="BE196" i="5"/>
  <c r="BE285" i="5"/>
  <c r="BE287" i="5"/>
  <c r="BE288" i="5"/>
  <c r="BE5" i="5"/>
  <c r="BE289" i="5"/>
  <c r="BE290" i="5"/>
  <c r="BE291" i="5"/>
  <c r="BE292" i="5"/>
  <c r="BE197" i="5"/>
  <c r="BE198" i="5"/>
  <c r="BE199" i="5"/>
  <c r="BE200" i="5"/>
  <c r="BE294" i="5"/>
  <c r="BE201" i="5"/>
  <c r="BE21" i="5"/>
  <c r="BE202" i="5"/>
  <c r="BE203" i="5"/>
  <c r="BE204" i="5"/>
  <c r="BE205" i="5"/>
  <c r="BE206" i="5"/>
  <c r="BE207" i="5"/>
  <c r="BE22" i="5"/>
  <c r="BE23" i="5"/>
  <c r="BE24" i="5"/>
  <c r="BE208" i="5"/>
  <c r="BE25" i="5"/>
  <c r="BE26" i="5"/>
  <c r="BE6" i="5"/>
  <c r="BE7" i="5"/>
  <c r="BE209" i="5"/>
  <c r="BE210" i="5"/>
  <c r="BE295" i="5"/>
  <c r="BE211" i="5"/>
  <c r="BE212" i="5"/>
  <c r="BE213" i="5"/>
  <c r="BE259" i="5"/>
  <c r="BE214" i="5"/>
  <c r="BE27" i="5"/>
  <c r="BE215" i="5"/>
  <c r="BE216" i="5"/>
  <c r="BE217" i="5"/>
  <c r="BE218" i="5"/>
  <c r="BE219" i="5"/>
  <c r="BE28" i="5"/>
  <c r="BE220" i="5"/>
  <c r="BE221" i="5"/>
  <c r="BE222" i="5"/>
  <c r="BE223" i="5"/>
  <c r="BE224" i="5"/>
  <c r="BE225" i="5"/>
  <c r="BE226" i="5"/>
  <c r="BE227" i="5"/>
  <c r="BE228" i="5"/>
  <c r="BE229" i="5"/>
  <c r="BE296" i="5"/>
  <c r="BE297" i="5"/>
  <c r="BE8" i="5"/>
  <c r="BE230" i="5"/>
  <c r="BE231" i="5"/>
  <c r="BE232" i="5"/>
  <c r="BE298" i="5"/>
  <c r="BE233" i="5"/>
  <c r="BE29" i="5"/>
  <c r="BE30" i="5"/>
  <c r="BE31" i="5"/>
  <c r="BE32" i="5"/>
  <c r="BE33" i="5"/>
  <c r="BE234" i="5"/>
  <c r="BE34" i="5"/>
  <c r="BE235" i="5"/>
  <c r="BE236" i="5"/>
  <c r="BE237" i="5"/>
  <c r="BE238" i="5"/>
  <c r="BE239" i="5"/>
  <c r="BE240" i="5"/>
  <c r="BE242" i="5"/>
  <c r="BE243" i="5"/>
  <c r="BE244" i="5"/>
  <c r="BE245" i="5"/>
  <c r="BE246" i="5"/>
  <c r="BE247" i="5"/>
  <c r="BE248" i="5"/>
  <c r="BE249" i="5"/>
  <c r="BE250" i="5"/>
  <c r="BE251" i="5"/>
  <c r="BE35" i="5"/>
  <c r="BE299" i="5"/>
  <c r="BE36" i="5"/>
  <c r="BE37" i="5"/>
  <c r="BE252" i="5"/>
  <c r="BE253" i="5"/>
  <c r="BE304" i="5"/>
  <c r="BE305" i="5"/>
  <c r="BE306" i="5"/>
  <c r="BE307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2" i="5"/>
  <c r="BE343" i="5"/>
  <c r="BE344" i="5"/>
  <c r="BE345" i="5"/>
  <c r="BE346" i="5"/>
  <c r="BE347" i="5"/>
  <c r="BE348" i="5"/>
  <c r="BE349" i="5"/>
  <c r="BE350" i="5"/>
  <c r="BE351" i="5"/>
  <c r="BE34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8" i="5"/>
  <c r="BE389" i="5"/>
  <c r="BE390" i="5"/>
  <c r="BE391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293" i="5"/>
  <c r="BC293" i="5"/>
  <c r="BC392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5" i="5"/>
  <c r="BC54" i="5"/>
  <c r="BC266" i="5"/>
  <c r="BC267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8" i="5"/>
  <c r="BC82" i="5"/>
  <c r="BC83" i="5"/>
  <c r="BC84" i="5"/>
  <c r="BC85" i="5"/>
  <c r="BC260" i="5"/>
  <c r="BC261" i="5"/>
  <c r="BC86" i="5"/>
  <c r="BC262" i="5"/>
  <c r="BC254" i="5"/>
  <c r="BC87" i="5"/>
  <c r="BC88" i="5"/>
  <c r="BC89" i="5"/>
  <c r="BC90" i="5"/>
  <c r="BC91" i="5"/>
  <c r="BC92" i="5"/>
  <c r="BC10" i="5"/>
  <c r="BC11" i="5"/>
  <c r="BC93" i="5"/>
  <c r="BC94" i="5"/>
  <c r="BC95" i="5"/>
  <c r="BC263" i="5"/>
  <c r="BC96" i="5"/>
  <c r="BC255" i="5"/>
  <c r="BC264" i="5"/>
  <c r="BC97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2" i="5"/>
  <c r="BC116" i="5"/>
  <c r="BC117" i="5"/>
  <c r="BC269" i="5"/>
  <c r="BC270" i="5"/>
  <c r="BC12" i="5"/>
  <c r="BC118" i="5"/>
  <c r="BC13" i="5"/>
  <c r="BC271" i="5"/>
  <c r="BC272" i="5"/>
  <c r="BC273" i="5"/>
  <c r="BC14" i="5"/>
  <c r="BC120" i="5"/>
  <c r="BC121" i="5"/>
  <c r="BC274" i="5"/>
  <c r="BC122" i="5"/>
  <c r="BC123" i="5"/>
  <c r="BC124" i="5"/>
  <c r="BC125" i="5"/>
  <c r="BC15" i="5"/>
  <c r="BC275" i="5"/>
  <c r="BC126" i="5"/>
  <c r="BC127" i="5"/>
  <c r="BC276" i="5"/>
  <c r="BC128" i="5"/>
  <c r="BC129" i="5"/>
  <c r="BC130" i="5"/>
  <c r="BC131" i="5"/>
  <c r="BC132" i="5"/>
  <c r="BC133" i="5"/>
  <c r="BC3" i="5"/>
  <c r="BC134" i="5"/>
  <c r="BC135" i="5"/>
  <c r="BC4" i="5"/>
  <c r="BC136" i="5"/>
  <c r="BC137" i="5"/>
  <c r="BC256" i="5"/>
  <c r="BC138" i="5"/>
  <c r="BC139" i="5"/>
  <c r="BC140" i="5"/>
  <c r="BC141" i="5"/>
  <c r="BC142" i="5"/>
  <c r="BC143" i="5"/>
  <c r="BC144" i="5"/>
  <c r="BC145" i="5"/>
  <c r="BC146" i="5"/>
  <c r="BC147" i="5"/>
  <c r="BC277" i="5"/>
  <c r="BC148" i="5"/>
  <c r="BC149" i="5"/>
  <c r="BC150" i="5"/>
  <c r="BC151" i="5"/>
  <c r="BC278" i="5"/>
  <c r="BC279" i="5"/>
  <c r="BC280" i="5"/>
  <c r="BC152" i="5"/>
  <c r="BC153" i="5"/>
  <c r="BC281" i="5"/>
  <c r="BC154" i="5"/>
  <c r="BC155" i="5"/>
  <c r="BC156" i="5"/>
  <c r="BC157" i="5"/>
  <c r="BC158" i="5"/>
  <c r="BC159" i="5"/>
  <c r="BC160" i="5"/>
  <c r="BC161" i="5"/>
  <c r="BC162" i="5"/>
  <c r="BC163" i="5"/>
  <c r="BC257" i="5"/>
  <c r="BC258" i="5"/>
  <c r="BC164" i="5"/>
  <c r="BC165" i="5"/>
  <c r="BC166" i="5"/>
  <c r="BC167" i="5"/>
  <c r="BC16" i="5"/>
  <c r="BC17" i="5"/>
  <c r="BC18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282" i="5"/>
  <c r="BC283" i="5"/>
  <c r="BC284" i="5"/>
  <c r="BC194" i="5"/>
  <c r="BC195" i="5"/>
  <c r="BC196" i="5"/>
  <c r="BC285" i="5"/>
  <c r="BC286" i="5"/>
  <c r="BC287" i="5"/>
  <c r="BC288" i="5"/>
  <c r="BC5" i="5"/>
  <c r="BC289" i="5"/>
  <c r="BC290" i="5"/>
  <c r="BC291" i="5"/>
  <c r="BC292" i="5"/>
  <c r="BC197" i="5"/>
  <c r="BC198" i="5"/>
  <c r="BC199" i="5"/>
  <c r="BC200" i="5"/>
  <c r="BC294" i="5"/>
  <c r="BC201" i="5"/>
  <c r="BC21" i="5"/>
  <c r="BC202" i="5"/>
  <c r="BC203" i="5"/>
  <c r="BC204" i="5"/>
  <c r="BC205" i="5"/>
  <c r="BC206" i="5"/>
  <c r="BC207" i="5"/>
  <c r="BC22" i="5"/>
  <c r="BC23" i="5"/>
  <c r="BC24" i="5"/>
  <c r="BC208" i="5"/>
  <c r="BC25" i="5"/>
  <c r="BC26" i="5"/>
  <c r="BC6" i="5"/>
  <c r="BC7" i="5"/>
  <c r="BC209" i="5"/>
  <c r="BC210" i="5"/>
  <c r="BC295" i="5"/>
  <c r="BC211" i="5"/>
  <c r="BC212" i="5"/>
  <c r="BC213" i="5"/>
  <c r="BC259" i="5"/>
  <c r="BC214" i="5"/>
  <c r="BC27" i="5"/>
  <c r="BC215" i="5"/>
  <c r="BC216" i="5"/>
  <c r="BC217" i="5"/>
  <c r="BC218" i="5"/>
  <c r="BC219" i="5"/>
  <c r="BC28" i="5"/>
  <c r="BC220" i="5"/>
  <c r="BC221" i="5"/>
  <c r="BC222" i="5"/>
  <c r="BC223" i="5"/>
  <c r="BC224" i="5"/>
  <c r="BC225" i="5"/>
  <c r="BC226" i="5"/>
  <c r="BC227" i="5"/>
  <c r="BC228" i="5"/>
  <c r="BC229" i="5"/>
  <c r="BC296" i="5"/>
  <c r="BC297" i="5"/>
  <c r="BC8" i="5"/>
  <c r="BC230" i="5"/>
  <c r="BC231" i="5"/>
  <c r="BC232" i="5"/>
  <c r="BC298" i="5"/>
  <c r="BC233" i="5"/>
  <c r="BC29" i="5"/>
  <c r="BC30" i="5"/>
  <c r="BC31" i="5"/>
  <c r="BC32" i="5"/>
  <c r="BC33" i="5"/>
  <c r="BC234" i="5"/>
  <c r="BC34" i="5"/>
  <c r="BC235" i="5"/>
  <c r="BC236" i="5"/>
  <c r="BC237" i="5"/>
  <c r="BC238" i="5"/>
  <c r="BC239" i="5"/>
  <c r="BC240" i="5"/>
  <c r="BC242" i="5"/>
  <c r="BC243" i="5"/>
  <c r="BC244" i="5"/>
  <c r="BC245" i="5"/>
  <c r="BC246" i="5"/>
  <c r="BC247" i="5"/>
  <c r="BC248" i="5"/>
  <c r="BC249" i="5"/>
  <c r="BC250" i="5"/>
  <c r="BC251" i="5"/>
  <c r="BC35" i="5"/>
  <c r="BC299" i="5"/>
  <c r="BC36" i="5"/>
  <c r="BC37" i="5"/>
  <c r="BC252" i="5"/>
  <c r="BC253" i="5"/>
  <c r="BC304" i="5"/>
  <c r="BC305" i="5"/>
  <c r="BC306" i="5"/>
  <c r="BC307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2" i="5"/>
  <c r="BC343" i="5"/>
  <c r="BC344" i="5"/>
  <c r="BC345" i="5"/>
  <c r="BC346" i="5"/>
  <c r="BC347" i="5"/>
  <c r="BC348" i="5"/>
  <c r="BC349" i="5"/>
  <c r="BC350" i="5"/>
  <c r="BC351" i="5"/>
  <c r="BC34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8" i="5"/>
  <c r="BC389" i="5"/>
  <c r="BC390" i="5"/>
  <c r="BC391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B392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5" i="5"/>
  <c r="BB54" i="5"/>
  <c r="BB266" i="5"/>
  <c r="BB267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8" i="5"/>
  <c r="BB82" i="5"/>
  <c r="BB83" i="5"/>
  <c r="BB84" i="5"/>
  <c r="BB85" i="5"/>
  <c r="BB260" i="5"/>
  <c r="BB261" i="5"/>
  <c r="BB86" i="5"/>
  <c r="BB262" i="5"/>
  <c r="BB254" i="5"/>
  <c r="BB87" i="5"/>
  <c r="BB88" i="5"/>
  <c r="BB89" i="5"/>
  <c r="BB90" i="5"/>
  <c r="BB91" i="5"/>
  <c r="BB92" i="5"/>
  <c r="BB10" i="5"/>
  <c r="BB11" i="5"/>
  <c r="BB93" i="5"/>
  <c r="BB94" i="5"/>
  <c r="BB95" i="5"/>
  <c r="BB263" i="5"/>
  <c r="BB96" i="5"/>
  <c r="BB255" i="5"/>
  <c r="BB264" i="5"/>
  <c r="BB97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2" i="5"/>
  <c r="BB116" i="5"/>
  <c r="BB117" i="5"/>
  <c r="BB269" i="5"/>
  <c r="BB270" i="5"/>
  <c r="BB12" i="5"/>
  <c r="BB118" i="5"/>
  <c r="BB13" i="5"/>
  <c r="BB271" i="5"/>
  <c r="BB119" i="5"/>
  <c r="BB272" i="5"/>
  <c r="BB273" i="5"/>
  <c r="BB14" i="5"/>
  <c r="BB120" i="5"/>
  <c r="BB121" i="5"/>
  <c r="BB274" i="5"/>
  <c r="BB122" i="5"/>
  <c r="BB123" i="5"/>
  <c r="BB124" i="5"/>
  <c r="BB125" i="5"/>
  <c r="BB15" i="5"/>
  <c r="BB275" i="5"/>
  <c r="BB126" i="5"/>
  <c r="BB127" i="5"/>
  <c r="BB276" i="5"/>
  <c r="BB128" i="5"/>
  <c r="BB129" i="5"/>
  <c r="BB130" i="5"/>
  <c r="BB131" i="5"/>
  <c r="BB132" i="5"/>
  <c r="BB133" i="5"/>
  <c r="BB3" i="5"/>
  <c r="BB134" i="5"/>
  <c r="BB135" i="5"/>
  <c r="BB4" i="5"/>
  <c r="BB136" i="5"/>
  <c r="BB137" i="5"/>
  <c r="BB256" i="5"/>
  <c r="BB138" i="5"/>
  <c r="BB139" i="5"/>
  <c r="BB140" i="5"/>
  <c r="BB141" i="5"/>
  <c r="BB142" i="5"/>
  <c r="BB143" i="5"/>
  <c r="BB144" i="5"/>
  <c r="BB145" i="5"/>
  <c r="BB146" i="5"/>
  <c r="BB147" i="5"/>
  <c r="BB277" i="5"/>
  <c r="BB148" i="5"/>
  <c r="BB149" i="5"/>
  <c r="BB150" i="5"/>
  <c r="BB151" i="5"/>
  <c r="BB278" i="5"/>
  <c r="BB279" i="5"/>
  <c r="BB280" i="5"/>
  <c r="BB152" i="5"/>
  <c r="BB153" i="5"/>
  <c r="BB281" i="5"/>
  <c r="BB154" i="5"/>
  <c r="BB155" i="5"/>
  <c r="BB156" i="5"/>
  <c r="BB157" i="5"/>
  <c r="BB158" i="5"/>
  <c r="BB159" i="5"/>
  <c r="BB160" i="5"/>
  <c r="BB161" i="5"/>
  <c r="BB162" i="5"/>
  <c r="BB163" i="5"/>
  <c r="BB257" i="5"/>
  <c r="BB258" i="5"/>
  <c r="BB164" i="5"/>
  <c r="BB165" i="5"/>
  <c r="BB166" i="5"/>
  <c r="BB167" i="5"/>
  <c r="BB16" i="5"/>
  <c r="BB17" i="5"/>
  <c r="BB18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282" i="5"/>
  <c r="BB283" i="5"/>
  <c r="BB284" i="5"/>
  <c r="BB194" i="5"/>
  <c r="BB195" i="5"/>
  <c r="BB196" i="5"/>
  <c r="BB285" i="5"/>
  <c r="BB286" i="5"/>
  <c r="BB287" i="5"/>
  <c r="BB288" i="5"/>
  <c r="BB5" i="5"/>
  <c r="BB289" i="5"/>
  <c r="BB290" i="5"/>
  <c r="BB291" i="5"/>
  <c r="BB292" i="5"/>
  <c r="BB197" i="5"/>
  <c r="BB198" i="5"/>
  <c r="BB199" i="5"/>
  <c r="BB200" i="5"/>
  <c r="BB294" i="5"/>
  <c r="BB201" i="5"/>
  <c r="BB21" i="5"/>
  <c r="BB202" i="5"/>
  <c r="BB203" i="5"/>
  <c r="BB204" i="5"/>
  <c r="BB205" i="5"/>
  <c r="BB206" i="5"/>
  <c r="BB207" i="5"/>
  <c r="BB22" i="5"/>
  <c r="BB23" i="5"/>
  <c r="BB24" i="5"/>
  <c r="BB208" i="5"/>
  <c r="BB25" i="5"/>
  <c r="BB26" i="5"/>
  <c r="BB6" i="5"/>
  <c r="BB7" i="5"/>
  <c r="BB209" i="5"/>
  <c r="BB210" i="5"/>
  <c r="BB295" i="5"/>
  <c r="BB211" i="5"/>
  <c r="BB212" i="5"/>
  <c r="BB213" i="5"/>
  <c r="BB259" i="5"/>
  <c r="BB214" i="5"/>
  <c r="BB27" i="5"/>
  <c r="BB215" i="5"/>
  <c r="BB216" i="5"/>
  <c r="BB217" i="5"/>
  <c r="BB218" i="5"/>
  <c r="BB219" i="5"/>
  <c r="BB28" i="5"/>
  <c r="BB220" i="5"/>
  <c r="BB221" i="5"/>
  <c r="BB222" i="5"/>
  <c r="BB223" i="5"/>
  <c r="BB224" i="5"/>
  <c r="BB225" i="5"/>
  <c r="BB226" i="5"/>
  <c r="BB227" i="5"/>
  <c r="BB228" i="5"/>
  <c r="BB229" i="5"/>
  <c r="BB296" i="5"/>
  <c r="BB297" i="5"/>
  <c r="BB8" i="5"/>
  <c r="BB230" i="5"/>
  <c r="BB231" i="5"/>
  <c r="BB232" i="5"/>
  <c r="BB298" i="5"/>
  <c r="BB233" i="5"/>
  <c r="BB29" i="5"/>
  <c r="BB30" i="5"/>
  <c r="BB31" i="5"/>
  <c r="BB32" i="5"/>
  <c r="BB33" i="5"/>
  <c r="BB234" i="5"/>
  <c r="BB34" i="5"/>
  <c r="BB235" i="5"/>
  <c r="BB236" i="5"/>
  <c r="BB237" i="5"/>
  <c r="BB238" i="5"/>
  <c r="BB239" i="5"/>
  <c r="BB240" i="5"/>
  <c r="BB242" i="5"/>
  <c r="BB243" i="5"/>
  <c r="BB244" i="5"/>
  <c r="BB245" i="5"/>
  <c r="BB246" i="5"/>
  <c r="BB247" i="5"/>
  <c r="BB248" i="5"/>
  <c r="BB249" i="5"/>
  <c r="BB250" i="5"/>
  <c r="BB251" i="5"/>
  <c r="BB35" i="5"/>
  <c r="BB299" i="5"/>
  <c r="BB36" i="5"/>
  <c r="BB37" i="5"/>
  <c r="BB252" i="5"/>
  <c r="BB253" i="5"/>
  <c r="BB304" i="5"/>
  <c r="BB305" i="5"/>
  <c r="BB306" i="5"/>
  <c r="BB307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0" i="5"/>
  <c r="BB342" i="5"/>
  <c r="BB343" i="5"/>
  <c r="BB344" i="5"/>
  <c r="BB345" i="5"/>
  <c r="BB346" i="5"/>
  <c r="BB347" i="5"/>
  <c r="BB348" i="5"/>
  <c r="BB349" i="5"/>
  <c r="BB350" i="5"/>
  <c r="BB351" i="5"/>
  <c r="BB34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5" i="5"/>
  <c r="BB388" i="5"/>
  <c r="BB389" i="5"/>
  <c r="BB390" i="5"/>
  <c r="BB391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417" i="5"/>
  <c r="BB293" i="5"/>
  <c r="AJ310" i="4"/>
  <c r="AJ311" i="4"/>
  <c r="AJ312" i="4"/>
  <c r="AJ316" i="4"/>
  <c r="AJ317" i="4"/>
  <c r="AJ318" i="4"/>
  <c r="AJ306" i="4"/>
  <c r="AJ304" i="4"/>
  <c r="AJ307" i="4"/>
  <c r="AJ308" i="4"/>
  <c r="AJ319" i="4"/>
  <c r="AJ313" i="4"/>
  <c r="AJ347" i="4"/>
  <c r="AJ339" i="4"/>
  <c r="AJ337" i="4"/>
  <c r="AJ338" i="4"/>
  <c r="AJ330" i="4"/>
  <c r="AJ336" i="4"/>
  <c r="AJ329" i="4"/>
  <c r="AJ340" i="4"/>
  <c r="AJ321" i="4"/>
  <c r="AJ345" i="4"/>
  <c r="AJ328" i="4"/>
  <c r="AJ351" i="4"/>
  <c r="AJ331" i="4"/>
  <c r="AJ323" i="4"/>
  <c r="AJ324" i="4"/>
  <c r="AJ325" i="4"/>
  <c r="AJ326" i="4"/>
  <c r="AJ352" i="4"/>
  <c r="AJ343" i="4"/>
  <c r="AJ344" i="4"/>
  <c r="AJ346" i="4"/>
  <c r="AJ332" i="4"/>
  <c r="AJ333" i="4"/>
  <c r="AJ334" i="4"/>
  <c r="AJ335" i="4"/>
  <c r="AJ327" i="4"/>
  <c r="AJ322" i="4"/>
  <c r="AJ320" i="4"/>
  <c r="AJ341" i="4"/>
  <c r="AJ342" i="4"/>
  <c r="AJ350" i="4"/>
  <c r="AJ348" i="4"/>
  <c r="AJ349" i="4"/>
  <c r="AJ356" i="4"/>
  <c r="AJ355" i="4"/>
  <c r="AJ366" i="4"/>
  <c r="AJ367" i="4"/>
  <c r="AJ353" i="4"/>
  <c r="AJ363" i="4"/>
  <c r="AJ364" i="4"/>
  <c r="AJ369" i="4"/>
  <c r="AJ354" i="4"/>
  <c r="AJ370" i="4"/>
  <c r="AJ371" i="4"/>
  <c r="AJ372" i="4"/>
  <c r="AJ357" i="4"/>
  <c r="AJ358" i="4"/>
  <c r="AJ359" i="4"/>
  <c r="AJ361" i="4"/>
  <c r="AJ362" i="4"/>
  <c r="AJ360" i="4"/>
  <c r="AJ373" i="4"/>
  <c r="AJ368" i="4"/>
  <c r="AJ374" i="4"/>
  <c r="AJ365" i="4"/>
  <c r="AJ384" i="4"/>
  <c r="AJ382" i="4"/>
  <c r="AJ378" i="4"/>
  <c r="AJ379" i="4"/>
  <c r="AJ375" i="4"/>
  <c r="AJ376" i="4"/>
  <c r="AJ380" i="4"/>
  <c r="AJ381" i="4"/>
  <c r="AJ383" i="4"/>
  <c r="AJ377" i="4"/>
  <c r="AJ386" i="4"/>
  <c r="AJ390" i="4"/>
  <c r="AJ392" i="4"/>
  <c r="AJ391" i="4"/>
  <c r="AJ389" i="4"/>
  <c r="AJ388" i="4"/>
  <c r="AJ396" i="4"/>
  <c r="AJ395" i="4"/>
  <c r="AJ402" i="4"/>
  <c r="AJ394" i="4"/>
  <c r="AJ403" i="4"/>
  <c r="AJ404" i="4"/>
  <c r="AJ405" i="4"/>
  <c r="AJ406" i="4"/>
  <c r="AJ407" i="4"/>
  <c r="AJ397" i="4"/>
  <c r="AJ398" i="4"/>
  <c r="AJ399" i="4"/>
  <c r="AJ408" i="4"/>
  <c r="AJ409" i="4"/>
  <c r="AJ410" i="4"/>
  <c r="AJ411" i="4"/>
  <c r="AJ400" i="4"/>
  <c r="AJ401" i="4"/>
  <c r="AJ412" i="4"/>
  <c r="AJ413" i="4"/>
  <c r="AJ414" i="4"/>
  <c r="AJ415" i="4"/>
  <c r="AJ416" i="4"/>
  <c r="AJ417" i="4"/>
  <c r="AJ393" i="4"/>
  <c r="BF79" i="5"/>
  <c r="I45" i="3"/>
  <c r="E12" i="3"/>
  <c r="E13" i="3"/>
  <c r="E14" i="3"/>
  <c r="E15" i="3"/>
  <c r="E17" i="3"/>
  <c r="E18" i="3"/>
  <c r="E19" i="3"/>
  <c r="E20" i="3"/>
  <c r="E21" i="3"/>
  <c r="E22" i="3"/>
  <c r="E23" i="3"/>
  <c r="E24" i="3"/>
  <c r="E25" i="3"/>
  <c r="E27" i="3"/>
  <c r="E28" i="3"/>
  <c r="E29" i="3"/>
  <c r="E42" i="3"/>
  <c r="E32" i="3"/>
  <c r="E33" i="3"/>
  <c r="E43" i="3"/>
  <c r="E44" i="3"/>
  <c r="E45" i="3"/>
  <c r="E34" i="3"/>
  <c r="E35" i="3"/>
  <c r="E36" i="3"/>
  <c r="E37" i="3"/>
  <c r="E38" i="3"/>
  <c r="E39" i="3"/>
  <c r="E40" i="3"/>
  <c r="E41" i="3"/>
  <c r="E6" i="3"/>
  <c r="I38" i="3"/>
  <c r="I33" i="3"/>
  <c r="I22" i="3"/>
  <c r="I29" i="3"/>
  <c r="AM265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6" i="5"/>
  <c r="AQ166" i="5"/>
  <c r="AR166" i="5"/>
  <c r="AS166" i="5"/>
  <c r="AT166" i="5"/>
  <c r="AU166" i="5"/>
  <c r="AV166" i="5"/>
  <c r="AW166" i="5"/>
  <c r="AP110" i="5"/>
  <c r="AR110" i="5"/>
  <c r="AT110" i="5"/>
  <c r="AU110" i="5"/>
  <c r="AV110" i="5"/>
  <c r="AW110" i="5"/>
  <c r="AP167" i="5"/>
  <c r="AQ167" i="5"/>
  <c r="AR167" i="5"/>
  <c r="AS167" i="5"/>
  <c r="AT167" i="5"/>
  <c r="AU167" i="5"/>
  <c r="AV167" i="5"/>
  <c r="AW167" i="5"/>
  <c r="AP171" i="5"/>
  <c r="AR171" i="5"/>
  <c r="AT171" i="5"/>
  <c r="AU171" i="5"/>
  <c r="AV171" i="5"/>
  <c r="AW171" i="5"/>
  <c r="AP251" i="5"/>
  <c r="AR251" i="5"/>
  <c r="AT251" i="5"/>
  <c r="AU251" i="5"/>
  <c r="AV251" i="5"/>
  <c r="AW251" i="5"/>
  <c r="AP174" i="5"/>
  <c r="AQ174" i="5"/>
  <c r="AR174" i="5"/>
  <c r="AS174" i="5"/>
  <c r="AT174" i="5"/>
  <c r="AU174" i="5"/>
  <c r="AV174" i="5"/>
  <c r="AW174" i="5"/>
  <c r="AP185" i="5"/>
  <c r="AQ185" i="5"/>
  <c r="AR185" i="5"/>
  <c r="AS185" i="5"/>
  <c r="AT185" i="5"/>
  <c r="AU185" i="5"/>
  <c r="AV185" i="5"/>
  <c r="AW185" i="5"/>
  <c r="AP187" i="5"/>
  <c r="AQ187" i="5"/>
  <c r="AR187" i="5"/>
  <c r="AS187" i="5"/>
  <c r="AT187" i="5"/>
  <c r="AU187" i="5"/>
  <c r="AV187" i="5"/>
  <c r="AW187" i="5"/>
  <c r="AP188" i="5"/>
  <c r="AQ188" i="5"/>
  <c r="AR188" i="5"/>
  <c r="AS188" i="5"/>
  <c r="AT188" i="5"/>
  <c r="AU188" i="5"/>
  <c r="AV188" i="5"/>
  <c r="AW188" i="5"/>
  <c r="AP140" i="5"/>
  <c r="AQ140" i="5"/>
  <c r="AR140" i="5"/>
  <c r="AT140" i="5"/>
  <c r="AU140" i="5"/>
  <c r="AV140" i="5"/>
  <c r="AW140" i="5"/>
  <c r="AP172" i="5"/>
  <c r="AR172" i="5"/>
  <c r="AT172" i="5"/>
  <c r="AU172" i="5"/>
  <c r="AV172" i="5"/>
  <c r="AW172" i="5"/>
  <c r="AP223" i="5"/>
  <c r="AQ223" i="5"/>
  <c r="AR223" i="5"/>
  <c r="AT223" i="5"/>
  <c r="AU223" i="5"/>
  <c r="AV223" i="5"/>
  <c r="AW223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8" i="5"/>
  <c r="AR118" i="5"/>
  <c r="AT118" i="5"/>
  <c r="AU118" i="5"/>
  <c r="AV118" i="5"/>
  <c r="AW118" i="5"/>
  <c r="AP242" i="5"/>
  <c r="AQ242" i="5"/>
  <c r="AR242" i="5"/>
  <c r="AT242" i="5"/>
  <c r="AU242" i="5"/>
  <c r="AV242" i="5"/>
  <c r="AW242" i="5"/>
  <c r="AP265" i="5"/>
  <c r="AQ265" i="5"/>
  <c r="AR265" i="5"/>
  <c r="AS265" i="5"/>
  <c r="AT265" i="5"/>
  <c r="AU265" i="5"/>
  <c r="AV265" i="5"/>
  <c r="AW265" i="5"/>
  <c r="AP228" i="5"/>
  <c r="AR228" i="5"/>
  <c r="AT228" i="5"/>
  <c r="AU228" i="5"/>
  <c r="AV228" i="5"/>
  <c r="AW228" i="5"/>
  <c r="AP184" i="5"/>
  <c r="AQ184" i="5"/>
  <c r="AR184" i="5"/>
  <c r="AS184" i="5"/>
  <c r="AT184" i="5"/>
  <c r="AU184" i="5"/>
  <c r="AV184" i="5"/>
  <c r="AW184" i="5"/>
  <c r="AP209" i="5"/>
  <c r="AR209" i="5"/>
  <c r="AT209" i="5"/>
  <c r="AU209" i="5"/>
  <c r="AV209" i="5"/>
  <c r="AW209" i="5"/>
  <c r="AP226" i="5"/>
  <c r="AQ226" i="5"/>
  <c r="AR226" i="5"/>
  <c r="AT226" i="5"/>
  <c r="AU226" i="5"/>
  <c r="AV226" i="5"/>
  <c r="AW226" i="5"/>
  <c r="AP52" i="5"/>
  <c r="AR52" i="5"/>
  <c r="AT52" i="5"/>
  <c r="AU52" i="5"/>
  <c r="AV52" i="5"/>
  <c r="AW52" i="5"/>
  <c r="AP120" i="5"/>
  <c r="AQ120" i="5"/>
  <c r="AR120" i="5"/>
  <c r="AT120" i="5"/>
  <c r="AU120" i="5"/>
  <c r="AV120" i="5"/>
  <c r="AW120" i="5"/>
  <c r="AP175" i="5"/>
  <c r="AQ175" i="5"/>
  <c r="AR175" i="5"/>
  <c r="AS175" i="5"/>
  <c r="AT175" i="5"/>
  <c r="AU175" i="5"/>
  <c r="AV175" i="5"/>
  <c r="AW175" i="5"/>
  <c r="AP182" i="5"/>
  <c r="AQ182" i="5"/>
  <c r="AR182" i="5"/>
  <c r="AS182" i="5"/>
  <c r="AT182" i="5"/>
  <c r="AU182" i="5"/>
  <c r="AV182" i="5"/>
  <c r="AW182" i="5"/>
  <c r="AP186" i="5"/>
  <c r="AQ186" i="5"/>
  <c r="AR186" i="5"/>
  <c r="AS186" i="5"/>
  <c r="AT186" i="5"/>
  <c r="AU186" i="5"/>
  <c r="AV186" i="5"/>
  <c r="AW186" i="5"/>
  <c r="AP220" i="5"/>
  <c r="AQ220" i="5"/>
  <c r="AR220" i="5"/>
  <c r="AT220" i="5"/>
  <c r="AU220" i="5"/>
  <c r="AV220" i="5"/>
  <c r="AW220" i="5"/>
  <c r="AP221" i="5"/>
  <c r="AQ221" i="5"/>
  <c r="AR221" i="5"/>
  <c r="AT221" i="5"/>
  <c r="AU221" i="5"/>
  <c r="AV221" i="5"/>
  <c r="AW221" i="5"/>
  <c r="AP53" i="5"/>
  <c r="AR53" i="5"/>
  <c r="AT53" i="5"/>
  <c r="AU53" i="5"/>
  <c r="AV53" i="5"/>
  <c r="AW53" i="5"/>
  <c r="AP266" i="5"/>
  <c r="AR266" i="5"/>
  <c r="AS266" i="5"/>
  <c r="AT266" i="5"/>
  <c r="AU266" i="5"/>
  <c r="AV266" i="5"/>
  <c r="AW266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4" i="5"/>
  <c r="AQ274" i="5"/>
  <c r="AR274" i="5"/>
  <c r="AS274" i="5"/>
  <c r="AT274" i="5"/>
  <c r="AU274" i="5"/>
  <c r="AV274" i="5"/>
  <c r="AW274" i="5"/>
  <c r="AP126" i="5"/>
  <c r="AR126" i="5"/>
  <c r="AT126" i="5"/>
  <c r="AU126" i="5"/>
  <c r="AV126" i="5"/>
  <c r="AW126" i="5"/>
  <c r="AP129" i="5"/>
  <c r="AQ129" i="5"/>
  <c r="AR129" i="5"/>
  <c r="AT129" i="5"/>
  <c r="AU129" i="5"/>
  <c r="AV129" i="5"/>
  <c r="AW129" i="5"/>
  <c r="AP141" i="5"/>
  <c r="AQ141" i="5"/>
  <c r="AR141" i="5"/>
  <c r="AT141" i="5"/>
  <c r="AU141" i="5"/>
  <c r="AV141" i="5"/>
  <c r="AW141" i="5"/>
  <c r="AP178" i="5"/>
  <c r="AR178" i="5"/>
  <c r="AS178" i="5"/>
  <c r="AT178" i="5"/>
  <c r="AU178" i="5"/>
  <c r="AV178" i="5"/>
  <c r="AW178" i="5"/>
  <c r="AP183" i="5"/>
  <c r="AQ183" i="5"/>
  <c r="AR183" i="5"/>
  <c r="AS183" i="5"/>
  <c r="AT183" i="5"/>
  <c r="AU183" i="5"/>
  <c r="AV183" i="5"/>
  <c r="AW183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4" i="5"/>
  <c r="AR254" i="5"/>
  <c r="AS254" i="5"/>
  <c r="AT254" i="5"/>
  <c r="AU254" i="5"/>
  <c r="AV254" i="5"/>
  <c r="AW254" i="5"/>
  <c r="AP105" i="5"/>
  <c r="AQ105" i="5"/>
  <c r="AR105" i="5"/>
  <c r="AT105" i="5"/>
  <c r="AU105" i="5"/>
  <c r="AV105" i="5"/>
  <c r="AW105" i="5"/>
  <c r="AP271" i="5"/>
  <c r="AQ271" i="5"/>
  <c r="AR271" i="5"/>
  <c r="AT271" i="5"/>
  <c r="AU271" i="5"/>
  <c r="AV271" i="5"/>
  <c r="AW271" i="5"/>
  <c r="AP124" i="5"/>
  <c r="AQ124" i="5"/>
  <c r="AR124" i="5"/>
  <c r="AS124" i="5"/>
  <c r="AT124" i="5"/>
  <c r="AU124" i="5"/>
  <c r="AV124" i="5"/>
  <c r="AW124" i="5"/>
  <c r="AP147" i="5"/>
  <c r="AQ147" i="5"/>
  <c r="AR147" i="5"/>
  <c r="AT147" i="5"/>
  <c r="AU147" i="5"/>
  <c r="AV147" i="5"/>
  <c r="AW147" i="5"/>
  <c r="AP181" i="5"/>
  <c r="AQ181" i="5"/>
  <c r="AR181" i="5"/>
  <c r="AS181" i="5"/>
  <c r="AT181" i="5"/>
  <c r="AU181" i="5"/>
  <c r="AV181" i="5"/>
  <c r="AW181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9" i="5"/>
  <c r="AR299" i="5"/>
  <c r="AS299" i="5"/>
  <c r="AT299" i="5"/>
  <c r="AU299" i="5"/>
  <c r="AV299" i="5"/>
  <c r="AW299" i="5"/>
  <c r="AP61" i="5"/>
  <c r="AR61" i="5"/>
  <c r="AS61" i="5"/>
  <c r="AU61" i="5"/>
  <c r="AP111" i="5"/>
  <c r="AQ111" i="5"/>
  <c r="AR111" i="5"/>
  <c r="AT111" i="5"/>
  <c r="AU111" i="5"/>
  <c r="AV111" i="5"/>
  <c r="AW111" i="5"/>
  <c r="AP14" i="5"/>
  <c r="AQ14" i="5"/>
  <c r="AR14" i="5"/>
  <c r="AT14" i="5"/>
  <c r="AU14" i="5"/>
  <c r="AV14" i="5"/>
  <c r="AW14" i="5"/>
  <c r="AP136" i="5"/>
  <c r="AR136" i="5"/>
  <c r="AT136" i="5"/>
  <c r="AU136" i="5"/>
  <c r="AV136" i="5"/>
  <c r="AW136" i="5"/>
  <c r="AP165" i="5"/>
  <c r="AQ165" i="5"/>
  <c r="AR165" i="5"/>
  <c r="AS165" i="5"/>
  <c r="AT165" i="5"/>
  <c r="AU165" i="5"/>
  <c r="AV165" i="5"/>
  <c r="AW165" i="5"/>
  <c r="AP233" i="5"/>
  <c r="AR233" i="5"/>
  <c r="AT233" i="5"/>
  <c r="AU233" i="5"/>
  <c r="AV233" i="5"/>
  <c r="AW233" i="5"/>
  <c r="AP239" i="5"/>
  <c r="AR239" i="5"/>
  <c r="AT239" i="5"/>
  <c r="AU239" i="5"/>
  <c r="AV239" i="5"/>
  <c r="AW239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7" i="5"/>
  <c r="AR267" i="5"/>
  <c r="AS267" i="5"/>
  <c r="AT267" i="5"/>
  <c r="AU267" i="5"/>
  <c r="AV267" i="5"/>
  <c r="AW267" i="5"/>
  <c r="AP81" i="5"/>
  <c r="AR81" i="5"/>
  <c r="AT81" i="5"/>
  <c r="AU81" i="5"/>
  <c r="AV81" i="5"/>
  <c r="AW81" i="5"/>
  <c r="AP268" i="5"/>
  <c r="AR268" i="5"/>
  <c r="AT268" i="5"/>
  <c r="AU268" i="5"/>
  <c r="AV268" i="5"/>
  <c r="AW268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60" i="5"/>
  <c r="AR260" i="5"/>
  <c r="AT260" i="5"/>
  <c r="AU260" i="5"/>
  <c r="AV260" i="5"/>
  <c r="AW260" i="5"/>
  <c r="AP261" i="5"/>
  <c r="AR261" i="5"/>
  <c r="AT261" i="5"/>
  <c r="AU261" i="5"/>
  <c r="AV261" i="5"/>
  <c r="AW261" i="5"/>
  <c r="AP86" i="5"/>
  <c r="AR86" i="5"/>
  <c r="AT86" i="5"/>
  <c r="AU86" i="5"/>
  <c r="AV86" i="5"/>
  <c r="AW86" i="5"/>
  <c r="AP262" i="5"/>
  <c r="AR262" i="5"/>
  <c r="AT262" i="5"/>
  <c r="AU262" i="5"/>
  <c r="AV262" i="5"/>
  <c r="AW262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3" i="5"/>
  <c r="AR263" i="5"/>
  <c r="AT263" i="5"/>
  <c r="AU263" i="5"/>
  <c r="AV263" i="5"/>
  <c r="AW263" i="5"/>
  <c r="AP103" i="5"/>
  <c r="AQ103" i="5"/>
  <c r="AR103" i="5"/>
  <c r="AT103" i="5"/>
  <c r="AU103" i="5"/>
  <c r="AV103" i="5"/>
  <c r="AW103" i="5"/>
  <c r="AP104" i="5"/>
  <c r="AQ104" i="5"/>
  <c r="AR104" i="5"/>
  <c r="AT104" i="5"/>
  <c r="AU104" i="5"/>
  <c r="AV104" i="5"/>
  <c r="AW104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109" i="5"/>
  <c r="AQ109" i="5"/>
  <c r="AR109" i="5"/>
  <c r="AT109" i="5"/>
  <c r="AU109" i="5"/>
  <c r="AV109" i="5"/>
  <c r="AW109" i="5"/>
  <c r="AP269" i="5"/>
  <c r="AQ269" i="5"/>
  <c r="AR269" i="5"/>
  <c r="AT269" i="5"/>
  <c r="AU269" i="5"/>
  <c r="AV269" i="5"/>
  <c r="AW269" i="5"/>
  <c r="AP132" i="5"/>
  <c r="AQ132" i="5"/>
  <c r="AR132" i="5"/>
  <c r="AT132" i="5"/>
  <c r="AU132" i="5"/>
  <c r="AV132" i="5"/>
  <c r="AW132" i="5"/>
  <c r="AP146" i="5"/>
  <c r="AQ146" i="5"/>
  <c r="AR146" i="5"/>
  <c r="AT146" i="5"/>
  <c r="AU146" i="5"/>
  <c r="AV146" i="5"/>
  <c r="AW146" i="5"/>
  <c r="AP156" i="5"/>
  <c r="AQ156" i="5"/>
  <c r="AR156" i="5"/>
  <c r="AT156" i="5"/>
  <c r="AU156" i="5"/>
  <c r="AV156" i="5"/>
  <c r="AW156" i="5"/>
  <c r="AP160" i="5"/>
  <c r="AQ160" i="5"/>
  <c r="AR160" i="5"/>
  <c r="AT160" i="5"/>
  <c r="AU160" i="5"/>
  <c r="AV160" i="5"/>
  <c r="AW160" i="5"/>
  <c r="AP161" i="5"/>
  <c r="AQ161" i="5"/>
  <c r="AR161" i="5"/>
  <c r="AT161" i="5"/>
  <c r="AU161" i="5"/>
  <c r="AV161" i="5"/>
  <c r="AW161" i="5"/>
  <c r="AP163" i="5"/>
  <c r="AR163" i="5"/>
  <c r="AT163" i="5"/>
  <c r="AU163" i="5"/>
  <c r="AV163" i="5"/>
  <c r="AW163" i="5"/>
  <c r="AP169" i="5"/>
  <c r="AR169" i="5"/>
  <c r="AT169" i="5"/>
  <c r="AU169" i="5"/>
  <c r="AV169" i="5"/>
  <c r="AW169" i="5"/>
  <c r="AP179" i="5"/>
  <c r="AR179" i="5"/>
  <c r="AT179" i="5"/>
  <c r="AU179" i="5"/>
  <c r="AV179" i="5"/>
  <c r="AW179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286" i="5"/>
  <c r="AR286" i="5"/>
  <c r="AT286" i="5"/>
  <c r="AU286" i="5"/>
  <c r="AV286" i="5"/>
  <c r="AW286" i="5"/>
  <c r="AP290" i="5"/>
  <c r="AR290" i="5"/>
  <c r="AT290" i="5"/>
  <c r="AU290" i="5"/>
  <c r="AV290" i="5"/>
  <c r="AW290" i="5"/>
  <c r="AP200" i="5"/>
  <c r="AQ200" i="5"/>
  <c r="AR200" i="5"/>
  <c r="AT200" i="5"/>
  <c r="AU200" i="5"/>
  <c r="AV200" i="5"/>
  <c r="AW200" i="5"/>
  <c r="AP202" i="5"/>
  <c r="AR202" i="5"/>
  <c r="AT202" i="5"/>
  <c r="AU202" i="5"/>
  <c r="AV202" i="5"/>
  <c r="AW202" i="5"/>
  <c r="AP203" i="5"/>
  <c r="AR203" i="5"/>
  <c r="AS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T205" i="5"/>
  <c r="AU205" i="5"/>
  <c r="AV205" i="5"/>
  <c r="AW205" i="5"/>
  <c r="AP206" i="5"/>
  <c r="AR206" i="5"/>
  <c r="AS206" i="5"/>
  <c r="AT206" i="5"/>
  <c r="AU206" i="5"/>
  <c r="AV206" i="5"/>
  <c r="AW206" i="5"/>
  <c r="AP207" i="5"/>
  <c r="AR207" i="5"/>
  <c r="AT207" i="5"/>
  <c r="AU207" i="5"/>
  <c r="AV207" i="5"/>
  <c r="AW207" i="5"/>
  <c r="AP210" i="5"/>
  <c r="AQ210" i="5"/>
  <c r="AR210" i="5"/>
  <c r="AT210" i="5"/>
  <c r="AU210" i="5"/>
  <c r="AV210" i="5"/>
  <c r="AW210" i="5"/>
  <c r="AP211" i="5"/>
  <c r="AQ211" i="5"/>
  <c r="AR211" i="5"/>
  <c r="AT211" i="5"/>
  <c r="AU211" i="5"/>
  <c r="AV211" i="5"/>
  <c r="AW211" i="5"/>
  <c r="AP215" i="5"/>
  <c r="AQ215" i="5"/>
  <c r="AR215" i="5"/>
  <c r="AT215" i="5"/>
  <c r="AU215" i="5"/>
  <c r="AV215" i="5"/>
  <c r="AW215" i="5"/>
  <c r="AP219" i="5"/>
  <c r="AR219" i="5"/>
  <c r="AT219" i="5"/>
  <c r="AU219" i="5"/>
  <c r="AV219" i="5"/>
  <c r="AW219" i="5"/>
  <c r="AP230" i="5"/>
  <c r="AQ230" i="5"/>
  <c r="AR230" i="5"/>
  <c r="AT230" i="5"/>
  <c r="AU230" i="5"/>
  <c r="AV230" i="5"/>
  <c r="AW230" i="5"/>
  <c r="AP231" i="5"/>
  <c r="AQ231" i="5"/>
  <c r="AR231" i="5"/>
  <c r="AT231" i="5"/>
  <c r="AU231" i="5"/>
  <c r="AV231" i="5"/>
  <c r="AW231" i="5"/>
  <c r="AP235" i="5"/>
  <c r="AR235" i="5"/>
  <c r="AT235" i="5"/>
  <c r="AU235" i="5"/>
  <c r="AV235" i="5"/>
  <c r="AW235" i="5"/>
  <c r="AP236" i="5"/>
  <c r="AR236" i="5"/>
  <c r="AT236" i="5"/>
  <c r="AU236" i="5"/>
  <c r="AV236" i="5"/>
  <c r="AW236" i="5"/>
  <c r="AP238" i="5"/>
  <c r="AR238" i="5"/>
  <c r="AT238" i="5"/>
  <c r="AU238" i="5"/>
  <c r="AV238" i="5"/>
  <c r="AW238" i="5"/>
  <c r="AP244" i="5"/>
  <c r="AR244" i="5"/>
  <c r="AT244" i="5"/>
  <c r="AU244" i="5"/>
  <c r="AV244" i="5"/>
  <c r="AW244" i="5"/>
  <c r="AP246" i="5"/>
  <c r="AR246" i="5"/>
  <c r="AT246" i="5"/>
  <c r="AU246" i="5"/>
  <c r="AV246" i="5"/>
  <c r="AW246" i="5"/>
  <c r="AP253" i="5"/>
  <c r="AR253" i="5"/>
  <c r="AT253" i="5"/>
  <c r="AU253" i="5"/>
  <c r="AV253" i="5"/>
  <c r="AW253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2" i="5"/>
  <c r="AR102" i="5"/>
  <c r="AS102" i="5"/>
  <c r="AT102" i="5"/>
  <c r="AU102" i="5"/>
  <c r="AV102" i="5"/>
  <c r="AW102" i="5"/>
  <c r="AP112" i="5"/>
  <c r="AR112" i="5"/>
  <c r="AT112" i="5"/>
  <c r="AU112" i="5"/>
  <c r="AV112" i="5"/>
  <c r="AW112" i="5"/>
  <c r="AP144" i="5"/>
  <c r="AR144" i="5"/>
  <c r="AT144" i="5"/>
  <c r="AU144" i="5"/>
  <c r="AV144" i="5"/>
  <c r="AW144" i="5"/>
  <c r="AP159" i="5"/>
  <c r="AQ159" i="5"/>
  <c r="AR159" i="5"/>
  <c r="AT159" i="5"/>
  <c r="AU159" i="5"/>
  <c r="AV159" i="5"/>
  <c r="AW159" i="5"/>
  <c r="AP214" i="5"/>
  <c r="AQ214" i="5"/>
  <c r="AR214" i="5"/>
  <c r="AT214" i="5"/>
  <c r="AU214" i="5"/>
  <c r="AV214" i="5"/>
  <c r="AW214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18" i="5"/>
  <c r="AQ218" i="5"/>
  <c r="AR218" i="5"/>
  <c r="AS218" i="5"/>
  <c r="AT218" i="5"/>
  <c r="AU218" i="5"/>
  <c r="AV218" i="5"/>
  <c r="AW218" i="5"/>
  <c r="AP33" i="5"/>
  <c r="AR33" i="5"/>
  <c r="AU33" i="5"/>
  <c r="AP234" i="5"/>
  <c r="AR234" i="5"/>
  <c r="AU234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1" i="5"/>
  <c r="AR101" i="5"/>
  <c r="AT101" i="5"/>
  <c r="AU101" i="5"/>
  <c r="AV101" i="5"/>
  <c r="AW101" i="5"/>
  <c r="AP115" i="5"/>
  <c r="AR115" i="5"/>
  <c r="AT115" i="5"/>
  <c r="AU115" i="5"/>
  <c r="AV115" i="5"/>
  <c r="AW115" i="5"/>
  <c r="AP15" i="5"/>
  <c r="AQ15" i="5"/>
  <c r="AR15" i="5"/>
  <c r="AT15" i="5"/>
  <c r="AU15" i="5"/>
  <c r="AV15" i="5"/>
  <c r="AW15" i="5"/>
  <c r="AP133" i="5"/>
  <c r="AQ133" i="5"/>
  <c r="AR133" i="5"/>
  <c r="AT133" i="5"/>
  <c r="AU133" i="5"/>
  <c r="AV133" i="5"/>
  <c r="AW133" i="5"/>
  <c r="AP134" i="5"/>
  <c r="AR134" i="5"/>
  <c r="AS134" i="5"/>
  <c r="AT134" i="5"/>
  <c r="AU134" i="5"/>
  <c r="AV134" i="5"/>
  <c r="AW134" i="5"/>
  <c r="AP139" i="5"/>
  <c r="AR139" i="5"/>
  <c r="AT139" i="5"/>
  <c r="AU139" i="5"/>
  <c r="AV139" i="5"/>
  <c r="AW139" i="5"/>
  <c r="AP142" i="5"/>
  <c r="AQ142" i="5"/>
  <c r="AR142" i="5"/>
  <c r="AT142" i="5"/>
  <c r="AU142" i="5"/>
  <c r="AV142" i="5"/>
  <c r="AW142" i="5"/>
  <c r="AP149" i="5"/>
  <c r="AQ149" i="5"/>
  <c r="AR149" i="5"/>
  <c r="AS149" i="5"/>
  <c r="AT149" i="5"/>
  <c r="AU149" i="5"/>
  <c r="AV149" i="5"/>
  <c r="AW149" i="5"/>
  <c r="AP153" i="5"/>
  <c r="AQ153" i="5"/>
  <c r="AR153" i="5"/>
  <c r="AT153" i="5"/>
  <c r="AU153" i="5"/>
  <c r="AV153" i="5"/>
  <c r="AW153" i="5"/>
  <c r="AP168" i="5"/>
  <c r="AR168" i="5"/>
  <c r="AT168" i="5"/>
  <c r="AU168" i="5"/>
  <c r="AV168" i="5"/>
  <c r="AW168" i="5"/>
  <c r="AP170" i="5"/>
  <c r="AR170" i="5"/>
  <c r="AT170" i="5"/>
  <c r="AU170" i="5"/>
  <c r="AV170" i="5"/>
  <c r="AW170" i="5"/>
  <c r="AP190" i="5"/>
  <c r="AR190" i="5"/>
  <c r="AT190" i="5"/>
  <c r="AU190" i="5"/>
  <c r="AV190" i="5"/>
  <c r="AW190" i="5"/>
  <c r="AP192" i="5"/>
  <c r="AR192" i="5"/>
  <c r="AT192" i="5"/>
  <c r="AU192" i="5"/>
  <c r="AV192" i="5"/>
  <c r="AW192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1" i="5"/>
  <c r="AR21" i="5"/>
  <c r="AT21" i="5"/>
  <c r="AU21" i="5"/>
  <c r="AV21" i="5"/>
  <c r="AW21" i="5"/>
  <c r="AP213" i="5"/>
  <c r="AQ213" i="5"/>
  <c r="AR213" i="5"/>
  <c r="AT213" i="5"/>
  <c r="AU213" i="5"/>
  <c r="AV213" i="5"/>
  <c r="AW213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40" i="5"/>
  <c r="AQ240" i="5"/>
  <c r="AR240" i="5"/>
  <c r="AT240" i="5"/>
  <c r="AU240" i="5"/>
  <c r="AV240" i="5"/>
  <c r="AW240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100" i="5"/>
  <c r="AR100" i="5"/>
  <c r="AT100" i="5"/>
  <c r="AU100" i="5"/>
  <c r="AV100" i="5"/>
  <c r="AW100" i="5"/>
  <c r="AP113" i="5"/>
  <c r="AR113" i="5"/>
  <c r="AT113" i="5"/>
  <c r="AU113" i="5"/>
  <c r="AV113" i="5"/>
  <c r="AW113" i="5"/>
  <c r="AP131" i="5"/>
  <c r="AQ131" i="5"/>
  <c r="AR131" i="5"/>
  <c r="AT131" i="5"/>
  <c r="AU131" i="5"/>
  <c r="AV131" i="5"/>
  <c r="AW131" i="5"/>
  <c r="AP143" i="5"/>
  <c r="AR143" i="5"/>
  <c r="AS143" i="5"/>
  <c r="AT143" i="5"/>
  <c r="AU143" i="5"/>
  <c r="AV143" i="5"/>
  <c r="AW143" i="5"/>
  <c r="AP157" i="5"/>
  <c r="AR157" i="5"/>
  <c r="AS157" i="5"/>
  <c r="AT157" i="5"/>
  <c r="AU157" i="5"/>
  <c r="AV157" i="5"/>
  <c r="AW157" i="5"/>
  <c r="AP173" i="5"/>
  <c r="AR173" i="5"/>
  <c r="AT173" i="5"/>
  <c r="AU173" i="5"/>
  <c r="AV173" i="5"/>
  <c r="AW173" i="5"/>
  <c r="AP191" i="5"/>
  <c r="AR191" i="5"/>
  <c r="AT191" i="5"/>
  <c r="AU191" i="5"/>
  <c r="AV191" i="5"/>
  <c r="AW191" i="5"/>
  <c r="AP282" i="5"/>
  <c r="AR282" i="5"/>
  <c r="AT282" i="5"/>
  <c r="AU282" i="5"/>
  <c r="AV282" i="5"/>
  <c r="AW282" i="5"/>
  <c r="AP284" i="5"/>
  <c r="AR284" i="5"/>
  <c r="AT284" i="5"/>
  <c r="AU284" i="5"/>
  <c r="AV284" i="5"/>
  <c r="AW284" i="5"/>
  <c r="AP196" i="5"/>
  <c r="AR196" i="5"/>
  <c r="AT196" i="5"/>
  <c r="AU196" i="5"/>
  <c r="AV196" i="5"/>
  <c r="AW196" i="5"/>
  <c r="AP289" i="5"/>
  <c r="AR289" i="5"/>
  <c r="AT289" i="5"/>
  <c r="AU289" i="5"/>
  <c r="AV289" i="5"/>
  <c r="AW289" i="5"/>
  <c r="AP293" i="5"/>
  <c r="AR293" i="5"/>
  <c r="AT293" i="5"/>
  <c r="AU293" i="5"/>
  <c r="AV293" i="5"/>
  <c r="AW293" i="5"/>
  <c r="AP296" i="5"/>
  <c r="AR296" i="5"/>
  <c r="AT296" i="5"/>
  <c r="AU296" i="5"/>
  <c r="AV296" i="5"/>
  <c r="AW296" i="5"/>
  <c r="AP297" i="5"/>
  <c r="AR297" i="5"/>
  <c r="AT297" i="5"/>
  <c r="AU297" i="5"/>
  <c r="AV297" i="5"/>
  <c r="AW297" i="5"/>
  <c r="AP237" i="5"/>
  <c r="AR237" i="5"/>
  <c r="AT237" i="5"/>
  <c r="AU237" i="5"/>
  <c r="AV237" i="5"/>
  <c r="AW237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1" i="5"/>
  <c r="AR281" i="5"/>
  <c r="AT281" i="5"/>
  <c r="AU281" i="5"/>
  <c r="AV281" i="5"/>
  <c r="AW281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3" i="5"/>
  <c r="AR283" i="5"/>
  <c r="AT283" i="5"/>
  <c r="AU283" i="5"/>
  <c r="AV283" i="5"/>
  <c r="AW283" i="5"/>
  <c r="AP212" i="5"/>
  <c r="AQ212" i="5"/>
  <c r="AR212" i="5"/>
  <c r="AT212" i="5"/>
  <c r="AU212" i="5"/>
  <c r="AV212" i="5"/>
  <c r="AW212" i="5"/>
  <c r="AP259" i="5"/>
  <c r="AR259" i="5"/>
  <c r="AT259" i="5"/>
  <c r="AU259" i="5"/>
  <c r="AV259" i="5"/>
  <c r="AW259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70" i="5"/>
  <c r="AR270" i="5"/>
  <c r="AS270" i="5"/>
  <c r="AT270" i="5"/>
  <c r="AU270" i="5"/>
  <c r="AV270" i="5"/>
  <c r="AW270" i="5"/>
  <c r="AP127" i="5"/>
  <c r="AR127" i="5"/>
  <c r="AT127" i="5"/>
  <c r="AU127" i="5"/>
  <c r="AV127" i="5"/>
  <c r="AW127" i="5"/>
  <c r="AP128" i="5"/>
  <c r="AR128" i="5"/>
  <c r="AT128" i="5"/>
  <c r="AU128" i="5"/>
  <c r="AV128" i="5"/>
  <c r="AW128" i="5"/>
  <c r="AP138" i="5"/>
  <c r="AR138" i="5"/>
  <c r="AT138" i="5"/>
  <c r="AU138" i="5"/>
  <c r="AV138" i="5"/>
  <c r="AW138" i="5"/>
  <c r="AP158" i="5"/>
  <c r="AR158" i="5"/>
  <c r="AT158" i="5"/>
  <c r="AU158" i="5"/>
  <c r="AV158" i="5"/>
  <c r="AW158" i="5"/>
  <c r="AP194" i="5"/>
  <c r="AR194" i="5"/>
  <c r="AT194" i="5"/>
  <c r="AU194" i="5"/>
  <c r="AV194" i="5"/>
  <c r="AW194" i="5"/>
  <c r="AP287" i="5"/>
  <c r="AR287" i="5"/>
  <c r="AT287" i="5"/>
  <c r="AU287" i="5"/>
  <c r="AV287" i="5"/>
  <c r="AW287" i="5"/>
  <c r="AP177" i="5"/>
  <c r="AR177" i="5"/>
  <c r="AS177" i="5"/>
  <c r="AU177" i="5"/>
  <c r="AP180" i="5"/>
  <c r="AQ180" i="5"/>
  <c r="AR180" i="5"/>
  <c r="AT180" i="5"/>
  <c r="AU180" i="5"/>
  <c r="AV180" i="5"/>
  <c r="AW180" i="5"/>
  <c r="AP288" i="5"/>
  <c r="AR288" i="5"/>
  <c r="AT288" i="5"/>
  <c r="AU288" i="5"/>
  <c r="AV288" i="5"/>
  <c r="AW288" i="5"/>
  <c r="AP245" i="5"/>
  <c r="AR245" i="5"/>
  <c r="AT245" i="5"/>
  <c r="AU245" i="5"/>
  <c r="AV245" i="5"/>
  <c r="AW245" i="5"/>
  <c r="AP91" i="5"/>
  <c r="AR91" i="5"/>
  <c r="AS91" i="5"/>
  <c r="AT91" i="5"/>
  <c r="AU91" i="5"/>
  <c r="AV91" i="5"/>
  <c r="AW91" i="5"/>
  <c r="AP130" i="5"/>
  <c r="AQ130" i="5"/>
  <c r="AR130" i="5"/>
  <c r="AU130" i="5"/>
  <c r="AP150" i="5"/>
  <c r="AR150" i="5"/>
  <c r="AU150" i="5"/>
  <c r="AP189" i="5"/>
  <c r="AR189" i="5"/>
  <c r="AS189" i="5"/>
  <c r="AU189" i="5"/>
  <c r="AP2" i="5"/>
  <c r="AR2" i="5"/>
  <c r="AT2" i="5"/>
  <c r="AU2" i="5"/>
  <c r="AV2" i="5"/>
  <c r="AW2" i="5"/>
  <c r="AP125" i="5"/>
  <c r="AR125" i="5"/>
  <c r="AT125" i="5"/>
  <c r="AU125" i="5"/>
  <c r="AV125" i="5"/>
  <c r="AW125" i="5"/>
  <c r="AP176" i="5"/>
  <c r="AR176" i="5"/>
  <c r="AS176" i="5"/>
  <c r="AU176" i="5"/>
  <c r="AP31" i="5"/>
  <c r="AR31" i="5"/>
  <c r="AU31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249" i="5"/>
  <c r="AR249" i="5"/>
  <c r="AT249" i="5"/>
  <c r="AU249" i="5"/>
  <c r="AV249" i="5"/>
  <c r="AW249" i="5"/>
  <c r="AP117" i="5"/>
  <c r="AQ117" i="5"/>
  <c r="AR117" i="5"/>
  <c r="AS117" i="5"/>
  <c r="AT117" i="5"/>
  <c r="AU117" i="5"/>
  <c r="AV117" i="5"/>
  <c r="AW117" i="5"/>
  <c r="AP155" i="5"/>
  <c r="AR155" i="5"/>
  <c r="AT155" i="5"/>
  <c r="AU155" i="5"/>
  <c r="AV155" i="5"/>
  <c r="AW155" i="5"/>
  <c r="AP243" i="5"/>
  <c r="AR243" i="5"/>
  <c r="AT243" i="5"/>
  <c r="AU243" i="5"/>
  <c r="AV243" i="5"/>
  <c r="AW243" i="5"/>
  <c r="AP201" i="5"/>
  <c r="AR201" i="5"/>
  <c r="AT201" i="5"/>
  <c r="AU201" i="5"/>
  <c r="AV201" i="5"/>
  <c r="AW201" i="5"/>
  <c r="AP208" i="5"/>
  <c r="AR208" i="5"/>
  <c r="AS208" i="5"/>
  <c r="AT208" i="5"/>
  <c r="AU208" i="5"/>
  <c r="AV208" i="5"/>
  <c r="AW208" i="5"/>
  <c r="AP232" i="5"/>
  <c r="AR232" i="5"/>
  <c r="AT232" i="5"/>
  <c r="AU232" i="5"/>
  <c r="AV232" i="5"/>
  <c r="AW232" i="5"/>
  <c r="AP276" i="5"/>
  <c r="AR276" i="5"/>
  <c r="AS276" i="5"/>
  <c r="AT276" i="5"/>
  <c r="AU276" i="5"/>
  <c r="AV276" i="5"/>
  <c r="AW276" i="5"/>
  <c r="AP164" i="5"/>
  <c r="AR164" i="5"/>
  <c r="AT164" i="5"/>
  <c r="AU164" i="5"/>
  <c r="AV164" i="5"/>
  <c r="AW164" i="5"/>
  <c r="AP229" i="5"/>
  <c r="AQ229" i="5"/>
  <c r="AR229" i="5"/>
  <c r="AS229" i="5"/>
  <c r="AT229" i="5"/>
  <c r="AU229" i="5"/>
  <c r="AV229" i="5"/>
  <c r="AW229" i="5"/>
  <c r="AP119" i="5"/>
  <c r="AR119" i="5"/>
  <c r="AT119" i="5"/>
  <c r="AU119" i="5"/>
  <c r="AV119" i="5"/>
  <c r="AW119" i="5"/>
  <c r="AP275" i="5"/>
  <c r="AR275" i="5"/>
  <c r="AT275" i="5"/>
  <c r="AU275" i="5"/>
  <c r="AV275" i="5"/>
  <c r="AW275" i="5"/>
  <c r="AP34" i="5"/>
  <c r="AR34" i="5"/>
  <c r="AU34" i="5"/>
  <c r="AP135" i="5"/>
  <c r="AR135" i="5"/>
  <c r="AS135" i="5"/>
  <c r="AT135" i="5"/>
  <c r="AU135" i="5"/>
  <c r="AV135" i="5"/>
  <c r="AW135" i="5"/>
  <c r="AP273" i="5"/>
  <c r="AQ273" i="5"/>
  <c r="AR273" i="5"/>
  <c r="AS273" i="5"/>
  <c r="AT273" i="5"/>
  <c r="AU273" i="5"/>
  <c r="AV273" i="5"/>
  <c r="AW273" i="5"/>
  <c r="AP137" i="5"/>
  <c r="AR137" i="5"/>
  <c r="AS137" i="5"/>
  <c r="AT137" i="5"/>
  <c r="AU137" i="5"/>
  <c r="AV137" i="5"/>
  <c r="AW137" i="5"/>
  <c r="AP148" i="5"/>
  <c r="AR148" i="5"/>
  <c r="AS148" i="5"/>
  <c r="AT148" i="5"/>
  <c r="AU148" i="5"/>
  <c r="AV148" i="5"/>
  <c r="AW148" i="5"/>
  <c r="AP278" i="5"/>
  <c r="AQ278" i="5"/>
  <c r="AR278" i="5"/>
  <c r="AS278" i="5"/>
  <c r="AT278" i="5"/>
  <c r="AU278" i="5"/>
  <c r="AV278" i="5"/>
  <c r="AW278" i="5"/>
  <c r="AP46" i="5"/>
  <c r="AR46" i="5"/>
  <c r="AT46" i="5"/>
  <c r="AU46" i="5"/>
  <c r="AV46" i="5"/>
  <c r="AW46" i="5"/>
  <c r="AP145" i="5"/>
  <c r="AQ145" i="5"/>
  <c r="AR145" i="5"/>
  <c r="AS145" i="5"/>
  <c r="AT145" i="5"/>
  <c r="AU145" i="5"/>
  <c r="AV145" i="5"/>
  <c r="AW145" i="5"/>
  <c r="AP5" i="5"/>
  <c r="AQ5" i="5"/>
  <c r="AR5" i="5"/>
  <c r="AT5" i="5"/>
  <c r="AU5" i="5"/>
  <c r="AV5" i="5"/>
  <c r="AW5" i="5"/>
  <c r="AP222" i="5"/>
  <c r="AQ222" i="5"/>
  <c r="AR222" i="5"/>
  <c r="AS222" i="5"/>
  <c r="AT222" i="5"/>
  <c r="AU222" i="5"/>
  <c r="AV222" i="5"/>
  <c r="AW222" i="5"/>
  <c r="AP298" i="5"/>
  <c r="AR298" i="5"/>
  <c r="AT298" i="5"/>
  <c r="AU298" i="5"/>
  <c r="AV298" i="5"/>
  <c r="AW298" i="5"/>
  <c r="AP279" i="5"/>
  <c r="AR279" i="5"/>
  <c r="AT279" i="5"/>
  <c r="AU279" i="5"/>
  <c r="AV279" i="5"/>
  <c r="AW279" i="5"/>
  <c r="AP195" i="5"/>
  <c r="AR195" i="5"/>
  <c r="AT195" i="5"/>
  <c r="AU195" i="5"/>
  <c r="AV195" i="5"/>
  <c r="AW195" i="5"/>
  <c r="AP197" i="5"/>
  <c r="AR197" i="5"/>
  <c r="AT197" i="5"/>
  <c r="AU197" i="5"/>
  <c r="AV197" i="5"/>
  <c r="AW197" i="5"/>
  <c r="AP225" i="5"/>
  <c r="AR225" i="5"/>
  <c r="AS225" i="5"/>
  <c r="AT225" i="5"/>
  <c r="AU225" i="5"/>
  <c r="AV225" i="5"/>
  <c r="AW225" i="5"/>
  <c r="AP252" i="5"/>
  <c r="AR252" i="5"/>
  <c r="AT252" i="5"/>
  <c r="AU252" i="5"/>
  <c r="AV252" i="5"/>
  <c r="AW252" i="5"/>
  <c r="AP99" i="5"/>
  <c r="AR99" i="5"/>
  <c r="AT99" i="5"/>
  <c r="AU99" i="5"/>
  <c r="AV99" i="5"/>
  <c r="AW99" i="5"/>
  <c r="AP121" i="5"/>
  <c r="AR121" i="5"/>
  <c r="AT121" i="5"/>
  <c r="AU121" i="5"/>
  <c r="AV121" i="5"/>
  <c r="AW121" i="5"/>
  <c r="AP90" i="5"/>
  <c r="AR90" i="5"/>
  <c r="AS90" i="5"/>
  <c r="AT90" i="5"/>
  <c r="AU90" i="5"/>
  <c r="AV90" i="5"/>
  <c r="AW90" i="5"/>
  <c r="AP277" i="5"/>
  <c r="AR277" i="5"/>
  <c r="AT277" i="5"/>
  <c r="AU277" i="5"/>
  <c r="AV277" i="5"/>
  <c r="AW277" i="5"/>
  <c r="AP152" i="5"/>
  <c r="AR152" i="5"/>
  <c r="AS152" i="5"/>
  <c r="AT152" i="5"/>
  <c r="AU152" i="5"/>
  <c r="AV152" i="5"/>
  <c r="AW152" i="5"/>
  <c r="AP70" i="5"/>
  <c r="AR70" i="5"/>
  <c r="AT70" i="5"/>
  <c r="AU70" i="5"/>
  <c r="AV70" i="5"/>
  <c r="AW70" i="5"/>
  <c r="AZ70" i="5"/>
  <c r="AP198" i="5"/>
  <c r="AR198" i="5"/>
  <c r="AS198" i="5"/>
  <c r="AT198" i="5"/>
  <c r="AU198" i="5"/>
  <c r="AV198" i="5"/>
  <c r="AW198" i="5"/>
  <c r="AP151" i="5"/>
  <c r="AQ151" i="5"/>
  <c r="AR151" i="5"/>
  <c r="AT151" i="5"/>
  <c r="AU151" i="5"/>
  <c r="AV151" i="5"/>
  <c r="AW151" i="5"/>
  <c r="AP106" i="5"/>
  <c r="AQ106" i="5"/>
  <c r="AR106" i="5"/>
  <c r="AT106" i="5"/>
  <c r="AU106" i="5"/>
  <c r="AV106" i="5"/>
  <c r="AW106" i="5"/>
  <c r="AP96" i="5"/>
  <c r="AR96" i="5"/>
  <c r="AT96" i="5"/>
  <c r="AU96" i="5"/>
  <c r="AV96" i="5"/>
  <c r="AW96" i="5"/>
  <c r="AP295" i="5"/>
  <c r="AR295" i="5"/>
  <c r="AT295" i="5"/>
  <c r="AU295" i="5"/>
  <c r="AV295" i="5"/>
  <c r="AW295" i="5"/>
  <c r="AP48" i="5"/>
  <c r="AR48" i="5"/>
  <c r="AT48" i="5"/>
  <c r="AU48" i="5"/>
  <c r="AV48" i="5"/>
  <c r="AW48" i="5"/>
  <c r="AP250" i="5"/>
  <c r="AR250" i="5"/>
  <c r="AT250" i="5"/>
  <c r="AU250" i="5"/>
  <c r="AV250" i="5"/>
  <c r="AW250" i="5"/>
  <c r="AP36" i="5"/>
  <c r="AR36" i="5"/>
  <c r="AT36" i="5"/>
  <c r="AU36" i="5"/>
  <c r="AV36" i="5"/>
  <c r="AW36" i="5"/>
  <c r="AP122" i="5"/>
  <c r="AR122" i="5"/>
  <c r="AT122" i="5"/>
  <c r="AU122" i="5"/>
  <c r="AV122" i="5"/>
  <c r="AW122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3" i="5"/>
  <c r="AR123" i="5"/>
  <c r="AT123" i="5"/>
  <c r="AU123" i="5"/>
  <c r="AV123" i="5"/>
  <c r="AW123" i="5"/>
  <c r="AP227" i="5"/>
  <c r="AQ227" i="5"/>
  <c r="AR227" i="5"/>
  <c r="AS227" i="5"/>
  <c r="AT227" i="5"/>
  <c r="AU227" i="5"/>
  <c r="AV227" i="5"/>
  <c r="AW227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9" i="5"/>
  <c r="AQ199" i="5"/>
  <c r="AR199" i="5"/>
  <c r="AT199" i="5"/>
  <c r="AU199" i="5"/>
  <c r="AV199" i="5"/>
  <c r="AW199" i="5"/>
  <c r="AP4" i="5"/>
  <c r="AR4" i="5"/>
  <c r="AS4" i="5"/>
  <c r="AT4" i="5"/>
  <c r="AU4" i="5"/>
  <c r="AV4" i="5"/>
  <c r="AW4" i="5"/>
  <c r="AP224" i="5"/>
  <c r="AR224" i="5"/>
  <c r="AT224" i="5"/>
  <c r="AU224" i="5"/>
  <c r="AV224" i="5"/>
  <c r="AW224" i="5"/>
  <c r="AP154" i="5"/>
  <c r="AR154" i="5"/>
  <c r="AS154" i="5"/>
  <c r="AT154" i="5"/>
  <c r="AU154" i="5"/>
  <c r="AV154" i="5"/>
  <c r="AW154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6" i="5"/>
  <c r="AR256" i="5"/>
  <c r="AS256" i="5"/>
  <c r="AT256" i="5"/>
  <c r="AU256" i="5"/>
  <c r="AV256" i="5"/>
  <c r="AW256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4" i="5"/>
  <c r="AR114" i="5"/>
  <c r="AT114" i="5"/>
  <c r="AU114" i="5"/>
  <c r="AV114" i="5"/>
  <c r="AW114" i="5"/>
  <c r="AP272" i="5"/>
  <c r="AQ272" i="5"/>
  <c r="AR272" i="5"/>
  <c r="AT272" i="5"/>
  <c r="AU272" i="5"/>
  <c r="AV272" i="5"/>
  <c r="AW272" i="5"/>
  <c r="AP258" i="5"/>
  <c r="AR258" i="5"/>
  <c r="AT258" i="5"/>
  <c r="AU258" i="5"/>
  <c r="AV258" i="5"/>
  <c r="AW258" i="5"/>
  <c r="AP280" i="5"/>
  <c r="AR280" i="5"/>
  <c r="AS280" i="5"/>
  <c r="AT280" i="5"/>
  <c r="AU280" i="5"/>
  <c r="AV280" i="5"/>
  <c r="AW280" i="5"/>
  <c r="AP264" i="5"/>
  <c r="AR264" i="5"/>
  <c r="AT264" i="5"/>
  <c r="AU264" i="5"/>
  <c r="AV264" i="5"/>
  <c r="AW264" i="5"/>
  <c r="AP38" i="5"/>
  <c r="AR38" i="5"/>
  <c r="AT38" i="5"/>
  <c r="AU38" i="5"/>
  <c r="AV38" i="5"/>
  <c r="AW38" i="5"/>
  <c r="AP257" i="5"/>
  <c r="AR257" i="5"/>
  <c r="AT257" i="5"/>
  <c r="AU257" i="5"/>
  <c r="AV257" i="5"/>
  <c r="AW257" i="5"/>
  <c r="AP292" i="5"/>
  <c r="AR292" i="5"/>
  <c r="AT292" i="5"/>
  <c r="AU292" i="5"/>
  <c r="AV292" i="5"/>
  <c r="AW292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5" i="5"/>
  <c r="AR255" i="5"/>
  <c r="AT255" i="5"/>
  <c r="AU255" i="5"/>
  <c r="AV255" i="5"/>
  <c r="AW255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6" i="5"/>
  <c r="AR116" i="5"/>
  <c r="AT116" i="5"/>
  <c r="AU116" i="5"/>
  <c r="AV116" i="5"/>
  <c r="AW116" i="5"/>
  <c r="AP162" i="5"/>
  <c r="AR162" i="5"/>
  <c r="AT162" i="5"/>
  <c r="AU162" i="5"/>
  <c r="AV162" i="5"/>
  <c r="AW162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4" i="5"/>
  <c r="AR314" i="5"/>
  <c r="AS314" i="5"/>
  <c r="AT314" i="5"/>
  <c r="AU314" i="5"/>
  <c r="AV314" i="5"/>
  <c r="AW314" i="5"/>
  <c r="AX314" i="5"/>
  <c r="AY314" i="5"/>
  <c r="AZ314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1" i="5"/>
  <c r="AR351" i="5"/>
  <c r="AS351" i="5"/>
  <c r="AT351" i="5"/>
  <c r="AU351" i="5"/>
  <c r="AV351" i="5"/>
  <c r="AW351" i="5"/>
  <c r="AX351" i="5"/>
  <c r="AY351" i="5"/>
  <c r="AZ351" i="5"/>
  <c r="AP336" i="5"/>
  <c r="AR336" i="5"/>
  <c r="AS336" i="5"/>
  <c r="AT336" i="5"/>
  <c r="AU336" i="5"/>
  <c r="AV336" i="5"/>
  <c r="AW336" i="5"/>
  <c r="AX336" i="5"/>
  <c r="AY336" i="5"/>
  <c r="AZ336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2" i="5"/>
  <c r="AR352" i="5"/>
  <c r="AS352" i="5"/>
  <c r="AT352" i="5"/>
  <c r="AU352" i="5"/>
  <c r="AV352" i="5"/>
  <c r="AW352" i="5"/>
  <c r="AX352" i="5"/>
  <c r="AY352" i="5"/>
  <c r="AZ352" i="5"/>
  <c r="AP339" i="5"/>
  <c r="AR339" i="5"/>
  <c r="AS339" i="5"/>
  <c r="AT339" i="5"/>
  <c r="AU339" i="5"/>
  <c r="AV339" i="5"/>
  <c r="AW339" i="5"/>
  <c r="AX339" i="5"/>
  <c r="AY339" i="5"/>
  <c r="AZ339" i="5"/>
  <c r="AP347" i="5"/>
  <c r="AR347" i="5"/>
  <c r="AS347" i="5"/>
  <c r="AT347" i="5"/>
  <c r="AU347" i="5"/>
  <c r="AV347" i="5"/>
  <c r="AW347" i="5"/>
  <c r="AX347" i="5"/>
  <c r="AY347" i="5"/>
  <c r="AZ347" i="5"/>
  <c r="AP332" i="5"/>
  <c r="AR332" i="5"/>
  <c r="AS332" i="5"/>
  <c r="AT332" i="5"/>
  <c r="AU332" i="5"/>
  <c r="AV332" i="5"/>
  <c r="AW332" i="5"/>
  <c r="AX332" i="5"/>
  <c r="AY332" i="5"/>
  <c r="AZ332" i="5"/>
  <c r="AP334" i="5"/>
  <c r="AR334" i="5"/>
  <c r="AS334" i="5"/>
  <c r="AT334" i="5"/>
  <c r="AU334" i="5"/>
  <c r="AV334" i="5"/>
  <c r="AW334" i="5"/>
  <c r="AX334" i="5"/>
  <c r="AY334" i="5"/>
  <c r="AZ334" i="5"/>
  <c r="AP337" i="5"/>
  <c r="AR337" i="5"/>
  <c r="AS337" i="5"/>
  <c r="AT337" i="5"/>
  <c r="AU337" i="5"/>
  <c r="AV337" i="5"/>
  <c r="AW337" i="5"/>
  <c r="AX337" i="5"/>
  <c r="AY337" i="5"/>
  <c r="AZ337" i="5"/>
  <c r="AP340" i="5"/>
  <c r="AR340" i="5"/>
  <c r="AS340" i="5"/>
  <c r="AT340" i="5"/>
  <c r="AU340" i="5"/>
  <c r="AV340" i="5"/>
  <c r="AW340" i="5"/>
  <c r="AX340" i="5"/>
  <c r="AY340" i="5"/>
  <c r="AZ340" i="5"/>
  <c r="AP342" i="5"/>
  <c r="AR342" i="5"/>
  <c r="AS342" i="5"/>
  <c r="AT342" i="5"/>
  <c r="AU342" i="5"/>
  <c r="AV342" i="5"/>
  <c r="AW342" i="5"/>
  <c r="AX342" i="5"/>
  <c r="AY342" i="5"/>
  <c r="AZ342" i="5"/>
  <c r="AP341" i="5"/>
  <c r="AR341" i="5"/>
  <c r="AS341" i="5"/>
  <c r="AT341" i="5"/>
  <c r="AU341" i="5"/>
  <c r="AV341" i="5"/>
  <c r="AW341" i="5"/>
  <c r="AX341" i="5"/>
  <c r="AY341" i="5"/>
  <c r="AZ341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3" i="5"/>
  <c r="AR333" i="5"/>
  <c r="AS333" i="5"/>
  <c r="AT333" i="5"/>
  <c r="AU333" i="5"/>
  <c r="AV333" i="5"/>
  <c r="AW333" i="5"/>
  <c r="AX333" i="5"/>
  <c r="AY333" i="5"/>
  <c r="AZ333" i="5"/>
  <c r="AP335" i="5"/>
  <c r="AR335" i="5"/>
  <c r="AS335" i="5"/>
  <c r="AT335" i="5"/>
  <c r="AU335" i="5"/>
  <c r="AV335" i="5"/>
  <c r="AW335" i="5"/>
  <c r="AX335" i="5"/>
  <c r="AY335" i="5"/>
  <c r="AZ335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6" i="5"/>
  <c r="AR346" i="5"/>
  <c r="AS346" i="5"/>
  <c r="AT346" i="5"/>
  <c r="AU346" i="5"/>
  <c r="AV346" i="5"/>
  <c r="AW346" i="5"/>
  <c r="AX346" i="5"/>
  <c r="AY346" i="5"/>
  <c r="AZ346" i="5"/>
  <c r="AP338" i="5"/>
  <c r="AR338" i="5"/>
  <c r="AS338" i="5"/>
  <c r="AT338" i="5"/>
  <c r="AU338" i="5"/>
  <c r="AV338" i="5"/>
  <c r="AW338" i="5"/>
  <c r="AX338" i="5"/>
  <c r="AY338" i="5"/>
  <c r="AZ338" i="5"/>
  <c r="AP348" i="5"/>
  <c r="AR348" i="5"/>
  <c r="AS348" i="5"/>
  <c r="AT348" i="5"/>
  <c r="AU348" i="5"/>
  <c r="AV348" i="5"/>
  <c r="AW348" i="5"/>
  <c r="AX348" i="5"/>
  <c r="AY348" i="5"/>
  <c r="AZ348" i="5"/>
  <c r="AP326" i="5"/>
  <c r="AR326" i="5"/>
  <c r="AS326" i="5"/>
  <c r="AT326" i="5"/>
  <c r="AU326" i="5"/>
  <c r="AV326" i="5"/>
  <c r="AW326" i="5"/>
  <c r="AX326" i="5"/>
  <c r="AY326" i="5"/>
  <c r="AZ326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2" i="5"/>
  <c r="AR322" i="5"/>
  <c r="AS322" i="5"/>
  <c r="AT322" i="5"/>
  <c r="AU322" i="5"/>
  <c r="AV322" i="5"/>
  <c r="AW322" i="5"/>
  <c r="AX322" i="5"/>
  <c r="AY322" i="5"/>
  <c r="AZ322" i="5"/>
  <c r="AP320" i="5"/>
  <c r="AR320" i="5"/>
  <c r="AS320" i="5"/>
  <c r="AT320" i="5"/>
  <c r="AU320" i="5"/>
  <c r="AV320" i="5"/>
  <c r="AW320" i="5"/>
  <c r="AX320" i="5"/>
  <c r="AY320" i="5"/>
  <c r="AZ320" i="5"/>
  <c r="AP321" i="5"/>
  <c r="AR321" i="5"/>
  <c r="AS321" i="5"/>
  <c r="AT321" i="5"/>
  <c r="AU321" i="5"/>
  <c r="AV321" i="5"/>
  <c r="AW321" i="5"/>
  <c r="AX321" i="5"/>
  <c r="AY321" i="5"/>
  <c r="AZ321" i="5"/>
  <c r="AP362" i="5"/>
  <c r="AR362" i="5"/>
  <c r="AS362" i="5"/>
  <c r="AT362" i="5"/>
  <c r="AU362" i="5"/>
  <c r="AV362" i="5"/>
  <c r="AW362" i="5"/>
  <c r="AX362" i="5"/>
  <c r="AY362" i="5"/>
  <c r="AZ362" i="5"/>
  <c r="AP353" i="5"/>
  <c r="AR353" i="5"/>
  <c r="AS353" i="5"/>
  <c r="AT353" i="5"/>
  <c r="AU353" i="5"/>
  <c r="AV353" i="5"/>
  <c r="AW353" i="5"/>
  <c r="AX353" i="5"/>
  <c r="AY353" i="5"/>
  <c r="AZ353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71" i="5"/>
  <c r="AR371" i="5"/>
  <c r="AS371" i="5"/>
  <c r="AT371" i="5"/>
  <c r="AU371" i="5"/>
  <c r="AV371" i="5"/>
  <c r="AW371" i="5"/>
  <c r="AX371" i="5"/>
  <c r="AY371" i="5"/>
  <c r="AZ371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79" i="5"/>
  <c r="AR379" i="5"/>
  <c r="AS379" i="5"/>
  <c r="AT379" i="5"/>
  <c r="AU379" i="5"/>
  <c r="AV379" i="5"/>
  <c r="AW379" i="5"/>
  <c r="AX379" i="5"/>
  <c r="AY379" i="5"/>
  <c r="AZ379" i="5"/>
  <c r="AP380" i="5"/>
  <c r="AR380" i="5"/>
  <c r="AS380" i="5"/>
  <c r="AT380" i="5"/>
  <c r="AU380" i="5"/>
  <c r="AV380" i="5"/>
  <c r="AW380" i="5"/>
  <c r="AX380" i="5"/>
  <c r="AY380" i="5"/>
  <c r="AZ380" i="5"/>
  <c r="AP381" i="5"/>
  <c r="AR381" i="5"/>
  <c r="AS381" i="5"/>
  <c r="AT381" i="5"/>
  <c r="AU381" i="5"/>
  <c r="AV381" i="5"/>
  <c r="AW381" i="5"/>
  <c r="AX381" i="5"/>
  <c r="AY381" i="5"/>
  <c r="AZ381" i="5"/>
  <c r="AP382" i="5"/>
  <c r="AR382" i="5"/>
  <c r="AS382" i="5"/>
  <c r="AT382" i="5"/>
  <c r="AU382" i="5"/>
  <c r="AV382" i="5"/>
  <c r="AW382" i="5"/>
  <c r="AX382" i="5"/>
  <c r="AY382" i="5"/>
  <c r="AZ382" i="5"/>
  <c r="AP384" i="5"/>
  <c r="AR384" i="5"/>
  <c r="AS384" i="5"/>
  <c r="AT384" i="5"/>
  <c r="AU384" i="5"/>
  <c r="AV384" i="5"/>
  <c r="AW384" i="5"/>
  <c r="AX384" i="5"/>
  <c r="AY384" i="5"/>
  <c r="AZ384" i="5"/>
  <c r="AP383" i="5"/>
  <c r="AR383" i="5"/>
  <c r="AS383" i="5"/>
  <c r="AT383" i="5"/>
  <c r="AU383" i="5"/>
  <c r="AV383" i="5"/>
  <c r="AW383" i="5"/>
  <c r="AX383" i="5"/>
  <c r="AY383" i="5"/>
  <c r="AZ383" i="5"/>
  <c r="AP385" i="5"/>
  <c r="AR385" i="5"/>
  <c r="AS385" i="5"/>
  <c r="AT385" i="5"/>
  <c r="AU385" i="5"/>
  <c r="AV385" i="5"/>
  <c r="AW385" i="5"/>
  <c r="AX385" i="5"/>
  <c r="AY385" i="5"/>
  <c r="AZ385" i="5"/>
  <c r="AP389" i="5"/>
  <c r="AQ389" i="5"/>
  <c r="AR389" i="5"/>
  <c r="AS389" i="5"/>
  <c r="AT389" i="5"/>
  <c r="AU389" i="5"/>
  <c r="AV389" i="5"/>
  <c r="AW389" i="5"/>
  <c r="AX389" i="5"/>
  <c r="AY389" i="5"/>
  <c r="AZ389" i="5"/>
  <c r="AP390" i="5"/>
  <c r="AQ390" i="5"/>
  <c r="AR390" i="5"/>
  <c r="AS390" i="5"/>
  <c r="AT390" i="5"/>
  <c r="AU390" i="5"/>
  <c r="AV390" i="5"/>
  <c r="AW390" i="5"/>
  <c r="AX390" i="5"/>
  <c r="AY390" i="5"/>
  <c r="AZ390" i="5"/>
  <c r="AP391" i="5"/>
  <c r="AQ391" i="5"/>
  <c r="AR391" i="5"/>
  <c r="AS391" i="5"/>
  <c r="AT391" i="5"/>
  <c r="AU391" i="5"/>
  <c r="AV391" i="5"/>
  <c r="AW391" i="5"/>
  <c r="AX391" i="5"/>
  <c r="AY391" i="5"/>
  <c r="AZ391" i="5"/>
  <c r="AP388" i="5"/>
  <c r="AQ388" i="5"/>
  <c r="AR388" i="5"/>
  <c r="AS388" i="5"/>
  <c r="AT388" i="5"/>
  <c r="AU388" i="5"/>
  <c r="AV388" i="5"/>
  <c r="AW388" i="5"/>
  <c r="AX388" i="5"/>
  <c r="AY388" i="5"/>
  <c r="AZ388" i="5"/>
  <c r="AP392" i="5"/>
  <c r="AQ392" i="5"/>
  <c r="AR392" i="5"/>
  <c r="AS392" i="5"/>
  <c r="AT392" i="5"/>
  <c r="AU392" i="5"/>
  <c r="AV392" i="5"/>
  <c r="AW392" i="5"/>
  <c r="AX392" i="5"/>
  <c r="AY392" i="5"/>
  <c r="AZ392" i="5"/>
  <c r="AR396" i="5"/>
  <c r="AS396" i="5"/>
  <c r="AT396" i="5"/>
  <c r="AU396" i="5"/>
  <c r="AV396" i="5"/>
  <c r="AW396" i="5"/>
  <c r="AX396" i="5"/>
  <c r="AY396" i="5"/>
  <c r="AR395" i="5"/>
  <c r="AS395" i="5"/>
  <c r="AT395" i="5"/>
  <c r="AU395" i="5"/>
  <c r="AV395" i="5"/>
  <c r="AW395" i="5"/>
  <c r="AX395" i="5"/>
  <c r="AY395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14" i="5"/>
  <c r="AS414" i="5"/>
  <c r="AT414" i="5"/>
  <c r="AU414" i="5"/>
  <c r="AV414" i="5"/>
  <c r="AW414" i="5"/>
  <c r="AX414" i="5"/>
  <c r="AY414" i="5"/>
  <c r="AR415" i="5"/>
  <c r="AS415" i="5"/>
  <c r="AT415" i="5"/>
  <c r="AU415" i="5"/>
  <c r="AV415" i="5"/>
  <c r="AW415" i="5"/>
  <c r="AX415" i="5"/>
  <c r="AY415" i="5"/>
  <c r="AR416" i="5"/>
  <c r="AS416" i="5"/>
  <c r="AT416" i="5"/>
  <c r="AU416" i="5"/>
  <c r="AV416" i="5"/>
  <c r="AW416" i="5"/>
  <c r="AX416" i="5"/>
  <c r="AY416" i="5"/>
  <c r="AR417" i="5"/>
  <c r="AS417" i="5"/>
  <c r="AT417" i="5"/>
  <c r="AU417" i="5"/>
  <c r="AV417" i="5"/>
  <c r="AW417" i="5"/>
  <c r="AX417" i="5"/>
  <c r="AY417" i="5"/>
  <c r="AR407" i="5"/>
  <c r="AS407" i="5"/>
  <c r="AT407" i="5"/>
  <c r="AU407" i="5"/>
  <c r="AV407" i="5"/>
  <c r="AW407" i="5"/>
  <c r="AX407" i="5"/>
  <c r="AY407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9" i="4"/>
  <c r="AC293" i="4"/>
  <c r="AC7" i="4"/>
  <c r="AC8" i="4"/>
  <c r="AC208" i="4"/>
  <c r="AC9" i="4"/>
  <c r="AC134" i="4"/>
  <c r="AC136" i="4"/>
  <c r="AC137" i="4"/>
  <c r="AC282" i="4"/>
  <c r="AC132" i="4"/>
  <c r="AC133" i="4"/>
  <c r="AC257" i="4"/>
  <c r="AC62" i="4"/>
  <c r="AC109" i="4"/>
  <c r="AC124" i="4"/>
  <c r="AC17" i="4"/>
  <c r="AC237" i="4"/>
  <c r="AC270" i="4"/>
  <c r="AC271" i="4"/>
  <c r="AC243" i="4"/>
  <c r="AC245" i="4"/>
  <c r="AC246" i="4"/>
  <c r="AC272" i="4"/>
  <c r="AC248" i="4"/>
  <c r="AC273" i="4"/>
  <c r="AC251" i="4"/>
  <c r="AC274" i="4"/>
  <c r="AC275" i="4"/>
  <c r="AC276" i="4"/>
  <c r="AC277" i="4"/>
  <c r="AC278" i="4"/>
  <c r="AC155" i="4"/>
  <c r="AC5" i="4"/>
  <c r="AC300" i="4"/>
  <c r="AC292" i="4"/>
  <c r="AC268" i="4"/>
  <c r="AC242" i="4"/>
  <c r="AC244" i="4"/>
  <c r="AC247" i="4"/>
  <c r="AC67" i="4"/>
  <c r="AC68" i="4"/>
  <c r="AC207" i="4"/>
  <c r="AC279" i="4"/>
  <c r="AC156" i="4"/>
  <c r="AC129" i="4"/>
  <c r="AC194" i="4"/>
  <c r="AC253" i="4"/>
  <c r="AC77" i="4"/>
  <c r="AC217" i="4"/>
  <c r="AC114" i="4"/>
  <c r="AC50" i="4"/>
  <c r="AC89" i="4"/>
  <c r="AC90" i="4"/>
  <c r="AC259" i="4"/>
  <c r="AC286" i="4"/>
  <c r="AC260" i="4"/>
  <c r="AC295" i="4"/>
  <c r="AC296" i="4"/>
  <c r="AC117" i="4"/>
  <c r="AC138" i="4"/>
  <c r="AC139" i="4"/>
  <c r="AC180" i="4"/>
  <c r="AC181" i="4"/>
  <c r="AC141" i="4"/>
  <c r="AC142" i="4"/>
  <c r="AC143" i="4"/>
  <c r="AC144" i="4"/>
  <c r="AC262" i="4"/>
  <c r="AC102" i="4"/>
  <c r="AC119" i="4"/>
  <c r="AC120" i="4"/>
  <c r="AC121" i="4"/>
  <c r="AC146" i="4"/>
  <c r="AC122" i="4"/>
  <c r="AC30" i="4"/>
  <c r="AC147" i="4"/>
  <c r="AC148" i="4"/>
  <c r="AC31" i="4"/>
  <c r="AC149" i="4"/>
  <c r="AC290" i="4"/>
  <c r="AC187" i="4"/>
  <c r="AC106" i="4"/>
  <c r="AC107" i="4"/>
  <c r="AC108" i="4"/>
  <c r="AC32" i="4"/>
  <c r="AC61" i="4"/>
  <c r="AC33" i="4"/>
  <c r="AC16" i="4"/>
  <c r="AC269" i="4"/>
  <c r="AC35" i="4"/>
  <c r="AC36" i="4"/>
  <c r="AC37" i="4"/>
  <c r="AC38" i="4"/>
  <c r="AC39" i="4"/>
  <c r="AC40" i="4"/>
  <c r="AC63" i="4"/>
  <c r="AC64" i="4"/>
  <c r="AC65" i="4"/>
  <c r="AC18" i="4"/>
  <c r="AC110" i="4"/>
  <c r="AC111" i="4"/>
  <c r="AC41" i="4"/>
  <c r="AC42" i="4"/>
  <c r="AC43" i="4"/>
  <c r="AC66" i="4"/>
  <c r="AC238" i="4"/>
  <c r="AC239" i="4"/>
  <c r="AC223" i="4"/>
  <c r="AC240" i="4"/>
  <c r="AC241" i="4"/>
  <c r="AC206" i="4"/>
  <c r="AC190" i="4"/>
  <c r="AC191" i="4"/>
  <c r="AC192" i="4"/>
  <c r="AC154" i="4"/>
  <c r="AC250" i="4"/>
  <c r="AC193" i="4"/>
  <c r="AC125" i="4"/>
  <c r="AC44" i="4"/>
  <c r="AC281" i="4"/>
  <c r="AC157" i="4"/>
  <c r="AC19" i="4"/>
  <c r="AC11" i="4"/>
  <c r="AC12" i="4"/>
  <c r="AC214" i="4"/>
  <c r="AC224" i="4"/>
  <c r="AC225" i="4"/>
  <c r="AC126" i="4"/>
  <c r="AC127" i="4"/>
  <c r="AC128" i="4"/>
  <c r="AC158" i="4"/>
  <c r="AC215" i="4"/>
  <c r="AC112" i="4"/>
  <c r="AC73" i="4"/>
  <c r="AC301" i="4"/>
  <c r="AC131" i="4"/>
  <c r="AC195" i="4"/>
  <c r="AC74" i="4"/>
  <c r="AC252" i="4"/>
  <c r="AC254" i="4"/>
  <c r="AC294" i="4"/>
  <c r="AC196" i="4"/>
  <c r="AC226" i="4"/>
  <c r="AC255" i="4"/>
  <c r="AC78" i="4"/>
  <c r="AC23" i="4"/>
  <c r="AC79" i="4"/>
  <c r="AC283" i="4"/>
  <c r="AC46" i="4"/>
  <c r="AC216" i="4"/>
  <c r="AC81" i="4"/>
  <c r="AC227" i="4"/>
  <c r="AC162" i="4"/>
  <c r="AC256" i="4"/>
  <c r="AC13" i="4"/>
  <c r="AC163" i="4"/>
  <c r="AC24" i="4"/>
  <c r="AC164" i="4"/>
  <c r="AC47" i="4"/>
  <c r="AC48" i="4"/>
  <c r="AC14" i="4"/>
  <c r="AC258" i="4"/>
  <c r="AC197" i="4"/>
  <c r="AC198" i="4"/>
  <c r="AC284" i="4"/>
  <c r="AC285" i="4"/>
  <c r="AC49" i="4"/>
  <c r="AC84" i="4"/>
  <c r="AC85" i="4"/>
  <c r="AC219" i="4"/>
  <c r="AC10" i="4"/>
  <c r="AC115" i="4"/>
  <c r="AC116" i="4"/>
  <c r="AC27" i="4"/>
  <c r="AC28" i="4"/>
  <c r="AC135" i="4"/>
  <c r="AC169" i="4"/>
  <c r="AC170" i="4"/>
  <c r="AC171" i="4"/>
  <c r="AC172" i="4"/>
  <c r="AC173" i="4"/>
  <c r="AC174" i="4"/>
  <c r="AC175" i="4"/>
  <c r="AC199" i="4"/>
  <c r="AC211" i="4"/>
  <c r="AC212" i="4"/>
  <c r="AC140" i="4"/>
  <c r="AC176" i="4"/>
  <c r="AC177" i="4"/>
  <c r="AC178" i="4"/>
  <c r="AC179" i="4"/>
  <c r="AC303" i="4"/>
  <c r="AC200" i="4"/>
  <c r="AC92" i="4"/>
  <c r="AC93" i="4"/>
  <c r="AC94" i="4"/>
  <c r="AC95" i="4"/>
  <c r="AC96" i="4"/>
  <c r="AC97" i="4"/>
  <c r="AC99" i="4"/>
  <c r="AC100" i="4"/>
  <c r="AC220" i="4"/>
  <c r="AC221" i="4"/>
  <c r="AC222" i="4"/>
  <c r="AC232" i="4"/>
  <c r="AC101" i="4"/>
  <c r="AC297" i="4"/>
  <c r="AC233" i="4"/>
  <c r="AC234" i="4"/>
  <c r="AC261" i="4"/>
  <c r="AC145" i="4"/>
  <c r="AC302" i="4"/>
  <c r="AC263" i="4"/>
  <c r="AC264" i="4"/>
  <c r="AC265" i="4"/>
  <c r="AC201" i="4"/>
  <c r="AC182" i="4"/>
  <c r="AC183" i="4"/>
  <c r="AC184" i="4"/>
  <c r="AC203" i="4"/>
  <c r="AC185" i="4"/>
  <c r="AC299" i="4"/>
  <c r="AC235" i="4"/>
  <c r="AC213" i="4"/>
  <c r="AC288" i="4"/>
  <c r="AC289" i="4"/>
  <c r="AC54" i="4"/>
  <c r="AC55" i="4"/>
  <c r="AC56" i="4"/>
  <c r="AC57" i="4"/>
  <c r="AC58" i="4"/>
  <c r="AC59" i="4"/>
  <c r="AC60" i="4"/>
  <c r="AC103" i="4"/>
  <c r="AC188" i="4"/>
  <c r="AC189" i="4"/>
  <c r="AC105" i="4"/>
  <c r="AC150" i="4"/>
  <c r="AC123" i="4"/>
  <c r="AC151" i="4"/>
  <c r="AC34" i="4"/>
  <c r="AC152" i="4"/>
  <c r="AC69" i="4"/>
  <c r="AC159" i="4"/>
  <c r="AC160" i="4"/>
  <c r="AC75" i="4"/>
  <c r="AC113" i="4"/>
  <c r="AC83" i="4"/>
  <c r="AC26" i="4"/>
  <c r="AC209" i="4"/>
  <c r="AC210" i="4"/>
  <c r="AC98" i="4"/>
  <c r="AC186" i="4"/>
  <c r="AC161" i="4"/>
  <c r="AC45" i="4"/>
  <c r="AC228" i="4"/>
  <c r="AC82" i="4"/>
  <c r="AC229" i="4"/>
  <c r="AC230" i="4"/>
  <c r="AC231" i="4"/>
  <c r="AC204" i="4"/>
  <c r="AC205" i="4"/>
  <c r="AC21" i="4"/>
  <c r="AC76" i="4"/>
  <c r="AC6" i="4"/>
  <c r="AC22" i="4"/>
  <c r="AC80" i="4"/>
  <c r="AC218" i="4"/>
  <c r="AC15" i="4"/>
  <c r="AC298" i="4"/>
  <c r="AC118" i="4"/>
  <c r="AC291" i="4"/>
  <c r="AC280" i="4"/>
  <c r="AC166" i="4"/>
  <c r="AC51" i="4"/>
  <c r="AC153" i="4"/>
  <c r="AC165" i="4"/>
  <c r="AC167" i="4"/>
  <c r="AC168" i="4"/>
  <c r="AC202" i="4"/>
  <c r="AC72" i="4"/>
  <c r="AC86" i="4"/>
  <c r="AC87" i="4"/>
  <c r="AC88" i="4"/>
  <c r="AC91" i="4"/>
  <c r="AC52" i="4"/>
  <c r="AC53" i="4"/>
  <c r="AC104" i="4"/>
  <c r="AC130" i="4"/>
  <c r="AC25" i="4"/>
  <c r="AC20" i="4"/>
  <c r="AC312" i="4"/>
  <c r="AC311" i="4"/>
  <c r="AC309" i="4"/>
  <c r="AC310" i="4"/>
  <c r="AC305" i="4"/>
  <c r="AC306" i="4"/>
  <c r="AC304" i="4"/>
  <c r="AC307" i="4"/>
  <c r="AC308" i="4"/>
  <c r="AC315" i="4"/>
  <c r="AC316" i="4"/>
  <c r="AC317" i="4"/>
  <c r="AC318" i="4"/>
  <c r="AC313" i="4"/>
  <c r="AC319" i="4"/>
  <c r="AC341" i="4"/>
  <c r="AC342" i="4"/>
  <c r="AC323" i="4"/>
  <c r="AC320" i="4"/>
  <c r="AC324" i="4"/>
  <c r="AC325" i="4"/>
  <c r="AC326" i="4"/>
  <c r="AC352" i="4"/>
  <c r="AC332" i="4"/>
  <c r="AC333" i="4"/>
  <c r="AC334" i="4"/>
  <c r="AC335" i="4"/>
  <c r="AC340" i="4"/>
  <c r="AC337" i="4"/>
  <c r="AC338" i="4"/>
  <c r="AC339" i="4"/>
  <c r="AC348" i="4"/>
  <c r="AC349" i="4"/>
  <c r="AC350" i="4"/>
  <c r="AC347" i="4"/>
  <c r="AC328" i="4"/>
  <c r="AC322" i="4"/>
  <c r="AC329" i="4"/>
  <c r="AC327" i="4"/>
  <c r="AC331" i="4"/>
  <c r="AC336" i="4"/>
  <c r="AC330" i="4"/>
  <c r="AC344" i="4"/>
  <c r="AC343" i="4"/>
  <c r="AC321" i="4"/>
  <c r="AC345" i="4"/>
  <c r="AC346" i="4"/>
  <c r="AC351" i="4"/>
  <c r="AC355" i="4"/>
  <c r="AC366" i="4"/>
  <c r="AC367" i="4"/>
  <c r="AC373" i="4"/>
  <c r="AC368" i="4"/>
  <c r="AC374" i="4"/>
  <c r="AC356" i="4"/>
  <c r="AC353" i="4"/>
  <c r="AC363" i="4"/>
  <c r="AC364" i="4"/>
  <c r="AC369" i="4"/>
  <c r="AC354" i="4"/>
  <c r="AC370" i="4"/>
  <c r="AC371" i="4"/>
  <c r="AC372" i="4"/>
  <c r="AC365" i="4"/>
  <c r="AC357" i="4"/>
  <c r="AC358" i="4"/>
  <c r="AC359" i="4"/>
  <c r="AC360" i="4"/>
  <c r="AC361" i="4"/>
  <c r="AC362" i="4"/>
  <c r="AC376" i="4"/>
  <c r="AC382" i="4"/>
  <c r="AC383" i="4"/>
  <c r="AC384" i="4"/>
  <c r="AC378" i="4"/>
  <c r="AC375" i="4"/>
  <c r="AC381" i="4"/>
  <c r="AC386" i="4"/>
  <c r="AC379" i="4"/>
  <c r="AC380" i="4"/>
  <c r="AC377" i="4"/>
  <c r="AC389" i="4"/>
  <c r="AC391" i="4"/>
  <c r="AC392" i="4"/>
  <c r="AC390" i="4"/>
  <c r="AC388" i="4"/>
  <c r="AC396" i="4"/>
  <c r="AC401" i="4"/>
  <c r="AC414" i="4"/>
  <c r="AC403" i="4"/>
  <c r="AC404" i="4"/>
  <c r="AC405" i="4"/>
  <c r="AC406" i="4"/>
  <c r="AC409" i="4"/>
  <c r="AC393" i="4"/>
  <c r="AC410" i="4"/>
  <c r="AC411" i="4"/>
  <c r="AC413" i="4"/>
  <c r="AC402" i="4"/>
  <c r="AC394" i="4"/>
  <c r="AC395" i="4"/>
  <c r="AC397" i="4"/>
  <c r="AC398" i="4"/>
  <c r="AC399" i="4"/>
  <c r="AC408" i="4"/>
  <c r="AC400" i="4"/>
  <c r="AC412" i="4"/>
  <c r="AC415" i="4"/>
  <c r="AC416" i="4"/>
  <c r="AC417" i="4"/>
  <c r="AC407" i="4"/>
  <c r="AC249" i="4"/>
  <c r="AD249" i="4"/>
  <c r="BD115" i="5"/>
  <c r="BD196" i="5"/>
  <c r="BD195" i="5"/>
  <c r="BD21" i="5"/>
  <c r="BD171" i="5"/>
  <c r="BD110" i="5"/>
  <c r="BD251" i="5"/>
  <c r="BD118" i="5"/>
  <c r="BD172" i="5"/>
  <c r="BD293" i="5"/>
  <c r="BD228" i="5"/>
  <c r="BD140" i="5"/>
  <c r="BD77" i="5"/>
  <c r="BD242" i="5"/>
  <c r="BD223" i="5"/>
  <c r="BD79" i="5"/>
  <c r="BD174" i="5"/>
  <c r="BD265" i="5"/>
  <c r="BD166" i="5"/>
  <c r="BD167" i="5"/>
  <c r="BD185" i="5"/>
  <c r="BD187" i="5"/>
  <c r="BD188" i="5"/>
  <c r="BD336" i="5"/>
  <c r="BD392" i="5"/>
  <c r="BD388" i="5"/>
  <c r="BD389" i="5"/>
  <c r="BD397" i="5"/>
  <c r="BD413" i="5"/>
  <c r="BD414" i="5"/>
  <c r="BD394" i="5"/>
  <c r="BD51" i="5"/>
  <c r="BD52" i="5"/>
  <c r="BD121" i="5"/>
  <c r="BD50" i="5"/>
  <c r="BD53" i="5"/>
  <c r="BD66" i="5"/>
  <c r="BD123" i="5"/>
  <c r="BD139" i="5"/>
  <c r="BD258" i="5"/>
  <c r="BD170" i="5"/>
  <c r="BD163" i="5"/>
  <c r="BD155" i="5"/>
  <c r="BD169" i="5"/>
  <c r="BD41" i="5"/>
  <c r="BD125" i="5"/>
  <c r="BD42" i="5"/>
  <c r="BD56" i="5"/>
  <c r="BD243" i="5"/>
  <c r="BD55" i="5"/>
  <c r="BD112" i="5"/>
  <c r="BD250" i="5"/>
  <c r="BD48" i="5"/>
  <c r="BD62" i="5"/>
  <c r="BD259" i="5"/>
  <c r="BD122" i="5"/>
  <c r="BD162" i="5"/>
  <c r="BD191" i="5"/>
  <c r="BD193" i="5"/>
  <c r="BD72" i="5"/>
  <c r="BD264" i="5"/>
  <c r="BD85" i="5"/>
  <c r="BD18" i="5"/>
  <c r="BD60" i="5"/>
  <c r="BD263" i="5"/>
  <c r="BD253" i="5"/>
  <c r="BD245" i="5"/>
  <c r="BD248" i="5"/>
  <c r="BD116" i="5"/>
  <c r="BD127" i="5"/>
  <c r="BD17" i="5"/>
  <c r="BD59" i="5"/>
  <c r="BD282" i="5"/>
  <c r="BD247" i="5"/>
  <c r="BD249" i="5"/>
  <c r="BD32" i="5"/>
  <c r="BD65" i="5"/>
  <c r="BD70" i="5"/>
  <c r="BD283" i="5"/>
  <c r="BD37" i="5"/>
  <c r="BD81" i="5"/>
  <c r="BD83" i="5"/>
  <c r="BD255" i="5"/>
  <c r="BD277" i="5"/>
  <c r="BD257" i="5"/>
  <c r="BD22" i="5"/>
  <c r="BD246" i="5"/>
  <c r="BD97" i="5"/>
  <c r="BD208" i="5"/>
  <c r="BD86" i="5"/>
  <c r="BD34" i="5"/>
  <c r="BD38" i="5"/>
  <c r="BD285" i="5"/>
  <c r="BD71" i="5"/>
  <c r="BD23" i="5"/>
  <c r="BD24" i="5"/>
  <c r="BD74" i="5"/>
  <c r="BD94" i="5"/>
  <c r="BD40" i="5"/>
  <c r="BD84" i="5"/>
  <c r="BD10" i="5"/>
  <c r="BD295" i="5"/>
  <c r="BD33" i="5"/>
  <c r="BD168" i="5"/>
  <c r="BD136" i="5"/>
  <c r="BD138" i="5"/>
  <c r="BD239" i="5"/>
  <c r="BD158" i="5"/>
  <c r="BD192" i="5"/>
  <c r="BD289" i="5"/>
  <c r="BD47" i="5"/>
  <c r="BD69" i="5"/>
  <c r="BD80" i="5"/>
  <c r="BD291" i="5"/>
  <c r="BD292" i="5"/>
  <c r="BD294" i="5"/>
  <c r="BD275" i="5"/>
  <c r="BD82" i="5"/>
  <c r="BD2" i="5"/>
  <c r="BD164" i="5"/>
  <c r="BD236" i="5"/>
  <c r="BD194" i="5"/>
  <c r="BD287" i="5"/>
  <c r="BD244" i="5"/>
  <c r="BD237" i="5"/>
  <c r="BD31" i="5"/>
  <c r="BD286" i="5"/>
  <c r="BD63" i="5"/>
  <c r="BD232" i="5"/>
  <c r="BD234" i="5"/>
  <c r="BD260" i="5"/>
  <c r="BD6" i="5"/>
  <c r="BD238" i="5"/>
  <c r="BD76" i="5"/>
  <c r="BD262" i="5"/>
  <c r="BD11" i="5"/>
  <c r="BD16" i="5"/>
  <c r="BD202" i="5"/>
  <c r="BD203" i="5"/>
  <c r="BD39" i="5"/>
  <c r="BD290" i="5"/>
  <c r="BD95" i="5"/>
  <c r="BD36" i="5"/>
  <c r="BD207" i="5"/>
  <c r="BD35" i="5"/>
  <c r="BD67" i="5"/>
  <c r="BD93" i="5"/>
  <c r="BD26" i="5"/>
  <c r="BD25" i="5"/>
  <c r="BD126" i="5"/>
  <c r="BD45" i="5"/>
  <c r="BD297" i="5"/>
  <c r="BD114" i="5"/>
  <c r="BD7" i="5"/>
  <c r="BD44" i="5"/>
  <c r="BD75" i="5"/>
  <c r="BD261" i="5"/>
  <c r="BD235" i="5"/>
  <c r="BD68" i="5"/>
  <c r="BD128" i="5"/>
  <c r="BD204" i="5"/>
  <c r="BD8" i="5"/>
  <c r="BD296" i="5"/>
  <c r="BD197" i="5"/>
  <c r="BD198" i="5"/>
  <c r="BD3" i="5"/>
  <c r="BD58" i="5"/>
  <c r="BD206" i="5"/>
  <c r="BD57" i="5"/>
  <c r="BD205" i="5"/>
  <c r="BD201" i="5"/>
  <c r="BD281" i="5"/>
  <c r="BD150" i="5"/>
  <c r="BD43" i="5"/>
  <c r="BD28" i="5"/>
  <c r="BD100" i="5"/>
  <c r="BD279" i="5"/>
  <c r="BD49" i="5"/>
  <c r="BD284" i="5"/>
  <c r="BD209" i="5"/>
  <c r="BD64" i="5"/>
  <c r="BD101" i="5"/>
  <c r="BD219" i="5"/>
  <c r="BD288" i="5"/>
  <c r="BD144" i="5"/>
  <c r="BD30" i="5"/>
  <c r="BD256" i="5"/>
  <c r="BD143" i="5"/>
  <c r="BD154" i="5"/>
  <c r="BD61" i="5"/>
  <c r="BD92" i="5"/>
  <c r="BD157" i="5"/>
  <c r="BD299" i="5"/>
  <c r="BD178" i="5"/>
  <c r="BD254" i="5"/>
  <c r="BD176" i="5"/>
  <c r="BD189" i="5"/>
  <c r="BD267" i="5"/>
  <c r="BD266" i="5"/>
  <c r="BD280" i="5"/>
  <c r="BD177" i="5"/>
  <c r="BD54" i="5"/>
  <c r="BD134" i="5"/>
  <c r="BD270" i="5"/>
  <c r="BD102" i="5"/>
  <c r="BD29" i="5"/>
  <c r="BD46" i="5"/>
  <c r="BD96" i="5"/>
  <c r="BD252" i="5"/>
  <c r="BD99" i="5"/>
  <c r="BD233" i="5"/>
  <c r="BD268" i="5"/>
  <c r="BD119" i="5"/>
  <c r="BD173" i="5"/>
  <c r="BD298" i="5"/>
  <c r="BD152" i="5"/>
  <c r="BD276" i="5"/>
  <c r="BD135" i="5"/>
  <c r="BD91" i="5"/>
  <c r="BD148" i="5"/>
  <c r="BD4" i="5"/>
  <c r="BD90" i="5"/>
  <c r="BD137" i="5"/>
  <c r="BD224" i="5"/>
  <c r="BD179" i="5"/>
  <c r="BD225" i="5"/>
  <c r="BD113" i="5"/>
  <c r="BD160" i="5"/>
  <c r="BD153" i="5"/>
  <c r="BD15" i="5"/>
  <c r="BD133" i="5"/>
  <c r="BD240" i="5"/>
  <c r="BD120" i="5"/>
  <c r="BD27" i="5"/>
  <c r="BD106" i="5"/>
  <c r="BD14" i="5"/>
  <c r="BD130" i="5"/>
  <c r="BD5" i="5"/>
  <c r="BD103" i="5"/>
  <c r="BD104" i="5"/>
  <c r="BD230" i="5"/>
  <c r="BD105" i="5"/>
  <c r="BD147" i="5"/>
  <c r="BD159" i="5"/>
  <c r="BD231" i="5"/>
  <c r="BD146" i="5"/>
  <c r="BD200" i="5"/>
  <c r="BD87" i="5"/>
  <c r="BD214" i="5"/>
  <c r="BD107" i="5"/>
  <c r="BD108" i="5"/>
  <c r="BD109" i="5"/>
  <c r="BD161" i="5"/>
  <c r="BD141" i="5"/>
  <c r="BD271" i="5"/>
  <c r="BD73" i="5"/>
  <c r="BD215" i="5"/>
  <c r="BD131" i="5"/>
  <c r="BD180" i="5"/>
  <c r="BD210" i="5"/>
  <c r="BD212" i="5"/>
  <c r="BD111" i="5"/>
  <c r="BD199" i="5"/>
  <c r="BD213" i="5"/>
  <c r="BD78" i="5"/>
  <c r="BD129" i="5"/>
  <c r="BD88" i="5"/>
  <c r="BD89" i="5"/>
  <c r="BD156" i="5"/>
  <c r="BD151" i="5"/>
  <c r="BD269" i="5"/>
  <c r="BD9" i="5"/>
  <c r="BD211" i="5"/>
  <c r="BD142" i="5"/>
  <c r="BD226" i="5"/>
  <c r="BD132" i="5"/>
  <c r="BD221" i="5"/>
  <c r="BD220" i="5"/>
  <c r="BD272" i="5"/>
  <c r="BD12" i="5"/>
  <c r="BD217" i="5"/>
  <c r="BD117" i="5"/>
  <c r="BD13" i="5"/>
  <c r="BD273" i="5"/>
  <c r="BD274" i="5"/>
  <c r="BD124" i="5"/>
  <c r="BD145" i="5"/>
  <c r="BD149" i="5"/>
  <c r="BD278" i="5"/>
  <c r="BD165" i="5"/>
  <c r="BD175" i="5"/>
  <c r="BD181" i="5"/>
  <c r="BD182" i="5"/>
  <c r="BD183" i="5"/>
  <c r="BD184" i="5"/>
  <c r="BD186" i="5"/>
  <c r="BD216" i="5"/>
  <c r="BD218" i="5"/>
  <c r="BD222" i="5"/>
  <c r="BD227" i="5"/>
  <c r="BD229" i="5"/>
  <c r="BD307" i="5"/>
  <c r="BD319" i="5"/>
  <c r="BD309" i="5"/>
  <c r="BD310" i="5"/>
  <c r="BD305" i="5"/>
  <c r="BD313" i="5"/>
  <c r="BD317" i="5"/>
  <c r="BD318" i="5"/>
  <c r="BD311" i="5"/>
  <c r="BD316" i="5"/>
  <c r="BD306" i="5"/>
  <c r="BD314" i="5"/>
  <c r="BD312" i="5"/>
  <c r="BD304" i="5"/>
  <c r="BD315" i="5"/>
  <c r="BD330" i="5"/>
  <c r="BD329" i="5"/>
  <c r="BD328" i="5"/>
  <c r="BD343" i="5"/>
  <c r="BD345" i="5"/>
  <c r="BD350" i="5"/>
  <c r="BD349" i="5"/>
  <c r="BD351" i="5"/>
  <c r="BD341" i="5"/>
  <c r="BD335" i="5"/>
  <c r="BD325" i="5"/>
  <c r="BD320" i="5"/>
  <c r="BD321" i="5"/>
  <c r="BD322" i="5"/>
  <c r="BD323" i="5"/>
  <c r="BD324" i="5"/>
  <c r="BD326" i="5"/>
  <c r="BD327" i="5"/>
  <c r="BD331" i="5"/>
  <c r="BD332" i="5"/>
  <c r="BD333" i="5"/>
  <c r="BD334" i="5"/>
  <c r="BD337" i="5"/>
  <c r="BD338" i="5"/>
  <c r="BD339" i="5"/>
  <c r="BD340" i="5"/>
  <c r="BD342" i="5"/>
  <c r="BD344" i="5"/>
  <c r="BD346" i="5"/>
  <c r="BD347" i="5"/>
  <c r="BD348" i="5"/>
  <c r="BD352" i="5"/>
  <c r="BD356" i="5"/>
  <c r="BD358" i="5"/>
  <c r="BD357" i="5"/>
  <c r="BD355" i="5"/>
  <c r="BD373" i="5"/>
  <c r="BD372" i="5"/>
  <c r="BD364" i="5"/>
  <c r="BD374" i="5"/>
  <c r="BD365" i="5"/>
  <c r="BD367" i="5"/>
  <c r="BD370" i="5"/>
  <c r="BD368" i="5"/>
  <c r="BD366" i="5"/>
  <c r="BD369" i="5"/>
  <c r="BD354" i="5"/>
  <c r="BD363" i="5"/>
  <c r="BD353" i="5"/>
  <c r="BD362" i="5"/>
  <c r="BD361" i="5"/>
  <c r="BD371" i="5"/>
  <c r="BD360" i="5"/>
  <c r="BD359" i="5"/>
  <c r="BD381" i="5"/>
  <c r="BD378" i="5"/>
  <c r="BD379" i="5"/>
  <c r="BD376" i="5"/>
  <c r="BD385" i="5"/>
  <c r="BD384" i="5"/>
  <c r="BD380" i="5"/>
  <c r="BD377" i="5"/>
  <c r="BD382" i="5"/>
  <c r="BD383" i="5"/>
  <c r="BD375" i="5"/>
  <c r="BD390" i="5"/>
  <c r="BD391" i="5"/>
  <c r="BD393" i="5"/>
  <c r="BD395" i="5"/>
  <c r="BD398" i="5"/>
  <c r="BD399" i="5"/>
  <c r="BD400" i="5"/>
  <c r="BD404" i="5"/>
  <c r="BD405" i="5"/>
  <c r="BD406" i="5"/>
  <c r="BD407" i="5"/>
  <c r="BD408" i="5"/>
  <c r="BD409" i="5"/>
  <c r="BD411" i="5"/>
  <c r="BD412" i="5"/>
  <c r="BD415" i="5"/>
  <c r="BD416" i="5"/>
  <c r="BD417" i="5"/>
  <c r="BD396" i="5"/>
  <c r="BD401" i="5"/>
  <c r="BD410" i="5"/>
  <c r="BD403" i="5"/>
  <c r="BD402" i="5"/>
  <c r="BD190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9" i="4"/>
  <c r="AD293" i="4"/>
  <c r="AD7" i="4"/>
  <c r="AD8" i="4"/>
  <c r="AD208" i="4"/>
  <c r="AD9" i="4"/>
  <c r="AD134" i="4"/>
  <c r="AD136" i="4"/>
  <c r="AD137" i="4"/>
  <c r="AD282" i="4"/>
  <c r="AD132" i="4"/>
  <c r="AD133" i="4"/>
  <c r="AD257" i="4"/>
  <c r="AD62" i="4"/>
  <c r="AD109" i="4"/>
  <c r="AD124" i="4"/>
  <c r="AD17" i="4"/>
  <c r="AD237" i="4"/>
  <c r="AD270" i="4"/>
  <c r="AD271" i="4"/>
  <c r="AD243" i="4"/>
  <c r="AD245" i="4"/>
  <c r="AD246" i="4"/>
  <c r="AD272" i="4"/>
  <c r="AD248" i="4"/>
  <c r="AD273" i="4"/>
  <c r="AD251" i="4"/>
  <c r="AD274" i="4"/>
  <c r="AD275" i="4"/>
  <c r="AD276" i="4"/>
  <c r="AD277" i="4"/>
  <c r="AD278" i="4"/>
  <c r="AD155" i="4"/>
  <c r="AD5" i="4"/>
  <c r="AD300" i="4"/>
  <c r="AD292" i="4"/>
  <c r="AD268" i="4"/>
  <c r="AD242" i="4"/>
  <c r="AD244" i="4"/>
  <c r="AD247" i="4"/>
  <c r="AD67" i="4"/>
  <c r="AD68" i="4"/>
  <c r="AD207" i="4"/>
  <c r="AD279" i="4"/>
  <c r="AD156" i="4"/>
  <c r="AD129" i="4"/>
  <c r="AD194" i="4"/>
  <c r="AD253" i="4"/>
  <c r="AD77" i="4"/>
  <c r="AD217" i="4"/>
  <c r="AD114" i="4"/>
  <c r="AD50" i="4"/>
  <c r="AD89" i="4"/>
  <c r="AD90" i="4"/>
  <c r="AD259" i="4"/>
  <c r="AD286" i="4"/>
  <c r="AD260" i="4"/>
  <c r="AD295" i="4"/>
  <c r="AD296" i="4"/>
  <c r="AD117" i="4"/>
  <c r="AD138" i="4"/>
  <c r="AD139" i="4"/>
  <c r="AD180" i="4"/>
  <c r="AD181" i="4"/>
  <c r="AD141" i="4"/>
  <c r="AD142" i="4"/>
  <c r="AD143" i="4"/>
  <c r="AD144" i="4"/>
  <c r="AD262" i="4"/>
  <c r="AD102" i="4"/>
  <c r="AD119" i="4"/>
  <c r="AD120" i="4"/>
  <c r="AD121" i="4"/>
  <c r="AD146" i="4"/>
  <c r="AD122" i="4"/>
  <c r="AD30" i="4"/>
  <c r="AD147" i="4"/>
  <c r="AD148" i="4"/>
  <c r="AD31" i="4"/>
  <c r="AD149" i="4"/>
  <c r="AD290" i="4"/>
  <c r="AD187" i="4"/>
  <c r="AD106" i="4"/>
  <c r="AD107" i="4"/>
  <c r="AD108" i="4"/>
  <c r="AD32" i="4"/>
  <c r="AD61" i="4"/>
  <c r="AD33" i="4"/>
  <c r="AD16" i="4"/>
  <c r="AD269" i="4"/>
  <c r="AD35" i="4"/>
  <c r="AD36" i="4"/>
  <c r="AD37" i="4"/>
  <c r="AD38" i="4"/>
  <c r="AD39" i="4"/>
  <c r="AD40" i="4"/>
  <c r="AD63" i="4"/>
  <c r="AD64" i="4"/>
  <c r="AD65" i="4"/>
  <c r="AD18" i="4"/>
  <c r="AD110" i="4"/>
  <c r="AD111" i="4"/>
  <c r="AD41" i="4"/>
  <c r="AD42" i="4"/>
  <c r="AD43" i="4"/>
  <c r="AD66" i="4"/>
  <c r="AD238" i="4"/>
  <c r="AD239" i="4"/>
  <c r="AD223" i="4"/>
  <c r="AD240" i="4"/>
  <c r="AD241" i="4"/>
  <c r="AD206" i="4"/>
  <c r="AD190" i="4"/>
  <c r="AD191" i="4"/>
  <c r="AD192" i="4"/>
  <c r="AD154" i="4"/>
  <c r="AD250" i="4"/>
  <c r="AD193" i="4"/>
  <c r="AD125" i="4"/>
  <c r="AD44" i="4"/>
  <c r="AD281" i="4"/>
  <c r="AD157" i="4"/>
  <c r="AD19" i="4"/>
  <c r="AD11" i="4"/>
  <c r="AD12" i="4"/>
  <c r="AD214" i="4"/>
  <c r="AD224" i="4"/>
  <c r="AD225" i="4"/>
  <c r="AD126" i="4"/>
  <c r="AD127" i="4"/>
  <c r="AD128" i="4"/>
  <c r="AD158" i="4"/>
  <c r="AD215" i="4"/>
  <c r="AD112" i="4"/>
  <c r="AD73" i="4"/>
  <c r="AD301" i="4"/>
  <c r="AD131" i="4"/>
  <c r="AD195" i="4"/>
  <c r="AD74" i="4"/>
  <c r="AD252" i="4"/>
  <c r="AD254" i="4"/>
  <c r="AD294" i="4"/>
  <c r="AD196" i="4"/>
  <c r="AD226" i="4"/>
  <c r="AD255" i="4"/>
  <c r="AD78" i="4"/>
  <c r="AD23" i="4"/>
  <c r="AD79" i="4"/>
  <c r="AD283" i="4"/>
  <c r="AD46" i="4"/>
  <c r="AD216" i="4"/>
  <c r="AD81" i="4"/>
  <c r="AD227" i="4"/>
  <c r="AD162" i="4"/>
  <c r="AD256" i="4"/>
  <c r="AD13" i="4"/>
  <c r="AD163" i="4"/>
  <c r="AD24" i="4"/>
  <c r="AD164" i="4"/>
  <c r="AD47" i="4"/>
  <c r="AD48" i="4"/>
  <c r="AD14" i="4"/>
  <c r="AD258" i="4"/>
  <c r="AD197" i="4"/>
  <c r="AD198" i="4"/>
  <c r="AD284" i="4"/>
  <c r="AD285" i="4"/>
  <c r="AD49" i="4"/>
  <c r="AD84" i="4"/>
  <c r="AD85" i="4"/>
  <c r="AD219" i="4"/>
  <c r="AD10" i="4"/>
  <c r="AD115" i="4"/>
  <c r="AD116" i="4"/>
  <c r="AD27" i="4"/>
  <c r="AD28" i="4"/>
  <c r="AD135" i="4"/>
  <c r="AD169" i="4"/>
  <c r="AD170" i="4"/>
  <c r="AD171" i="4"/>
  <c r="AD172" i="4"/>
  <c r="AD173" i="4"/>
  <c r="AD174" i="4"/>
  <c r="AD175" i="4"/>
  <c r="AD199" i="4"/>
  <c r="AD211" i="4"/>
  <c r="AD212" i="4"/>
  <c r="AD140" i="4"/>
  <c r="AD176" i="4"/>
  <c r="AD177" i="4"/>
  <c r="AD178" i="4"/>
  <c r="AD179" i="4"/>
  <c r="AD303" i="4"/>
  <c r="AD200" i="4"/>
  <c r="AD92" i="4"/>
  <c r="AD93" i="4"/>
  <c r="AD94" i="4"/>
  <c r="AD95" i="4"/>
  <c r="AD96" i="4"/>
  <c r="AD97" i="4"/>
  <c r="AD99" i="4"/>
  <c r="AD100" i="4"/>
  <c r="AD220" i="4"/>
  <c r="AD221" i="4"/>
  <c r="AD222" i="4"/>
  <c r="AD232" i="4"/>
  <c r="AD101" i="4"/>
  <c r="AD297" i="4"/>
  <c r="AD233" i="4"/>
  <c r="AD234" i="4"/>
  <c r="AD261" i="4"/>
  <c r="AD145" i="4"/>
  <c r="AD302" i="4"/>
  <c r="AD263" i="4"/>
  <c r="AD264" i="4"/>
  <c r="AD265" i="4"/>
  <c r="AD201" i="4"/>
  <c r="AD182" i="4"/>
  <c r="AD183" i="4"/>
  <c r="AD184" i="4"/>
  <c r="AD203" i="4"/>
  <c r="AD185" i="4"/>
  <c r="AD299" i="4"/>
  <c r="AD235" i="4"/>
  <c r="AD213" i="4"/>
  <c r="AD288" i="4"/>
  <c r="AD289" i="4"/>
  <c r="AD54" i="4"/>
  <c r="AD55" i="4"/>
  <c r="AD56" i="4"/>
  <c r="AD57" i="4"/>
  <c r="AD58" i="4"/>
  <c r="AD59" i="4"/>
  <c r="AD60" i="4"/>
  <c r="AD103" i="4"/>
  <c r="AD188" i="4"/>
  <c r="AD189" i="4"/>
  <c r="AD105" i="4"/>
  <c r="AD150" i="4"/>
  <c r="AD123" i="4"/>
  <c r="AD151" i="4"/>
  <c r="AD34" i="4"/>
  <c r="AD152" i="4"/>
  <c r="AD69" i="4"/>
  <c r="AD159" i="4"/>
  <c r="AD160" i="4"/>
  <c r="AD75" i="4"/>
  <c r="AD113" i="4"/>
  <c r="AD83" i="4"/>
  <c r="AD26" i="4"/>
  <c r="AD209" i="4"/>
  <c r="AD210" i="4"/>
  <c r="AD98" i="4"/>
  <c r="AD186" i="4"/>
  <c r="AD161" i="4"/>
  <c r="AD45" i="4"/>
  <c r="AD228" i="4"/>
  <c r="AD82" i="4"/>
  <c r="AD229" i="4"/>
  <c r="AD230" i="4"/>
  <c r="AD231" i="4"/>
  <c r="AD204" i="4"/>
  <c r="AD205" i="4"/>
  <c r="AD21" i="4"/>
  <c r="AD76" i="4"/>
  <c r="AD6" i="4"/>
  <c r="AD22" i="4"/>
  <c r="AD80" i="4"/>
  <c r="AD218" i="4"/>
  <c r="AD15" i="4"/>
  <c r="AD298" i="4"/>
  <c r="AD118" i="4"/>
  <c r="AD291" i="4"/>
  <c r="AD280" i="4"/>
  <c r="AD166" i="4"/>
  <c r="AD51" i="4"/>
  <c r="AD153" i="4"/>
  <c r="AD165" i="4"/>
  <c r="AD167" i="4"/>
  <c r="AD168" i="4"/>
  <c r="AD202" i="4"/>
  <c r="AD72" i="4"/>
  <c r="AD86" i="4"/>
  <c r="AD87" i="4"/>
  <c r="AD88" i="4"/>
  <c r="AD91" i="4"/>
  <c r="AD52" i="4"/>
  <c r="AD53" i="4"/>
  <c r="AD104" i="4"/>
  <c r="AD130" i="4"/>
  <c r="AD25" i="4"/>
  <c r="AD20" i="4"/>
  <c r="AD312" i="4"/>
  <c r="AD311" i="4"/>
  <c r="AD309" i="4"/>
  <c r="AD310" i="4"/>
  <c r="AD305" i="4"/>
  <c r="AD306" i="4"/>
  <c r="AD304" i="4"/>
  <c r="AD307" i="4"/>
  <c r="AD308" i="4"/>
  <c r="AD315" i="4"/>
  <c r="AD316" i="4"/>
  <c r="AD317" i="4"/>
  <c r="AD318" i="4"/>
  <c r="AD313" i="4"/>
  <c r="AD319" i="4"/>
  <c r="AD341" i="4"/>
  <c r="AD342" i="4"/>
  <c r="AD323" i="4"/>
  <c r="AD320" i="4"/>
  <c r="AD324" i="4"/>
  <c r="AD325" i="4"/>
  <c r="AD326" i="4"/>
  <c r="AD352" i="4"/>
  <c r="AD332" i="4"/>
  <c r="AD333" i="4"/>
  <c r="AD334" i="4"/>
  <c r="AD335" i="4"/>
  <c r="AD340" i="4"/>
  <c r="AD337" i="4"/>
  <c r="AD338" i="4"/>
  <c r="AD339" i="4"/>
  <c r="AD348" i="4"/>
  <c r="AD349" i="4"/>
  <c r="AD350" i="4"/>
  <c r="AD347" i="4"/>
  <c r="AD328" i="4"/>
  <c r="AD322" i="4"/>
  <c r="AD329" i="4"/>
  <c r="AD327" i="4"/>
  <c r="AD331" i="4"/>
  <c r="AD336" i="4"/>
  <c r="AD330" i="4"/>
  <c r="AD344" i="4"/>
  <c r="AD343" i="4"/>
  <c r="AD321" i="4"/>
  <c r="AD345" i="4"/>
  <c r="AD346" i="4"/>
  <c r="AD351" i="4"/>
  <c r="AD355" i="4"/>
  <c r="AD366" i="4"/>
  <c r="AD367" i="4"/>
  <c r="AD373" i="4"/>
  <c r="AD368" i="4"/>
  <c r="AD374" i="4"/>
  <c r="AD356" i="4"/>
  <c r="AD353" i="4"/>
  <c r="AD363" i="4"/>
  <c r="AD364" i="4"/>
  <c r="AD369" i="4"/>
  <c r="AD354" i="4"/>
  <c r="AD370" i="4"/>
  <c r="AD371" i="4"/>
  <c r="AD372" i="4"/>
  <c r="AD365" i="4"/>
  <c r="AD357" i="4"/>
  <c r="AD358" i="4"/>
  <c r="AD359" i="4"/>
  <c r="AD360" i="4"/>
  <c r="AD361" i="4"/>
  <c r="AD362" i="4"/>
  <c r="AD376" i="4"/>
  <c r="AD382" i="4"/>
  <c r="AD383" i="4"/>
  <c r="AD384" i="4"/>
  <c r="AD378" i="4"/>
  <c r="AD375" i="4"/>
  <c r="AD381" i="4"/>
  <c r="AD386" i="4"/>
  <c r="AD379" i="4"/>
  <c r="AD380" i="4"/>
  <c r="AD377" i="4"/>
  <c r="AD389" i="4"/>
  <c r="AD391" i="4"/>
  <c r="AD392" i="4"/>
  <c r="AD390" i="4"/>
  <c r="AD388" i="4"/>
  <c r="AD396" i="4"/>
  <c r="AD401" i="4"/>
  <c r="AD414" i="4"/>
  <c r="AD403" i="4"/>
  <c r="AD404" i="4"/>
  <c r="AD405" i="4"/>
  <c r="AD406" i="4"/>
  <c r="AD409" i="4"/>
  <c r="AD393" i="4"/>
  <c r="AD410" i="4"/>
  <c r="AD411" i="4"/>
  <c r="AD413" i="4"/>
  <c r="AD402" i="4"/>
  <c r="AD394" i="4"/>
  <c r="AD395" i="4"/>
  <c r="AD397" i="4"/>
  <c r="AD398" i="4"/>
  <c r="AD399" i="4"/>
  <c r="AD408" i="4"/>
  <c r="AD400" i="4"/>
  <c r="AD412" i="4"/>
  <c r="AD415" i="4"/>
  <c r="AD416" i="4"/>
  <c r="AD417" i="4"/>
  <c r="AD407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9" i="4"/>
  <c r="AE61" i="4"/>
  <c r="AE62" i="4"/>
  <c r="AE63" i="4"/>
  <c r="AE64" i="4"/>
  <c r="AE65" i="4"/>
  <c r="AE66" i="4"/>
  <c r="AE67" i="4"/>
  <c r="AE68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7" i="4"/>
  <c r="AE156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5" i="4"/>
  <c r="AE186" i="4"/>
  <c r="AE187" i="4"/>
  <c r="AE188" i="4"/>
  <c r="AE189" i="4"/>
  <c r="AE182" i="4"/>
  <c r="AE183" i="4"/>
  <c r="AE184" i="4"/>
  <c r="AE190" i="4"/>
  <c r="AE191" i="4"/>
  <c r="AE192" i="4"/>
  <c r="AE193" i="4"/>
  <c r="AE194" i="4"/>
  <c r="AE195" i="4"/>
  <c r="AE196" i="4"/>
  <c r="AE197" i="4"/>
  <c r="AE198" i="4"/>
  <c r="AE199" i="4"/>
  <c r="AE200" i="4"/>
  <c r="AE202" i="4"/>
  <c r="AE203" i="4"/>
  <c r="AE204" i="4"/>
  <c r="AE205" i="4"/>
  <c r="AE201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7" i="4"/>
  <c r="AE238" i="4"/>
  <c r="AE239" i="4"/>
  <c r="AE240" i="4"/>
  <c r="AE241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8" i="4"/>
  <c r="AE242" i="4"/>
  <c r="AE243" i="4"/>
  <c r="AE244" i="4"/>
  <c r="AE245" i="4"/>
  <c r="AE246" i="4"/>
  <c r="AE247" i="4"/>
  <c r="AE248" i="4"/>
  <c r="AE269" i="4"/>
  <c r="AE270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8" i="4"/>
  <c r="AE289" i="4"/>
  <c r="AE290" i="4"/>
  <c r="AE291" i="4"/>
  <c r="AE292" i="4"/>
  <c r="AE271" i="4"/>
  <c r="AE272" i="4"/>
  <c r="AE273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5" i="4"/>
  <c r="AE316" i="4"/>
  <c r="AE317" i="4"/>
  <c r="AE318" i="4"/>
  <c r="AE319" i="4"/>
  <c r="AE320" i="4"/>
  <c r="AE322" i="4"/>
  <c r="AE323" i="4"/>
  <c r="AE324" i="4"/>
  <c r="AE325" i="4"/>
  <c r="AE326" i="4"/>
  <c r="AE328" i="4"/>
  <c r="AE329" i="4"/>
  <c r="AE330" i="4"/>
  <c r="AE332" i="4"/>
  <c r="AE333" i="4"/>
  <c r="AE334" i="4"/>
  <c r="AE335" i="4"/>
  <c r="AE327" i="4"/>
  <c r="AE337" i="4"/>
  <c r="AE338" i="4"/>
  <c r="AE339" i="4"/>
  <c r="AE331" i="4"/>
  <c r="AE336" i="4"/>
  <c r="AE341" i="4"/>
  <c r="AE342" i="4"/>
  <c r="AE343" i="4"/>
  <c r="AE321" i="4"/>
  <c r="AE344" i="4"/>
  <c r="AE345" i="4"/>
  <c r="AE346" i="4"/>
  <c r="AE340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5" i="4"/>
  <c r="AE361" i="4"/>
  <c r="AE362" i="4"/>
  <c r="AE363" i="4"/>
  <c r="AE364" i="4"/>
  <c r="AE366" i="4"/>
  <c r="AE367" i="4"/>
  <c r="AE368" i="4"/>
  <c r="AE373" i="4"/>
  <c r="AE374" i="4"/>
  <c r="AE369" i="4"/>
  <c r="AE370" i="4"/>
  <c r="AE371" i="4"/>
  <c r="AE372" i="4"/>
  <c r="AE375" i="4"/>
  <c r="AE376" i="4"/>
  <c r="AE377" i="4"/>
  <c r="AE378" i="4"/>
  <c r="AE379" i="4"/>
  <c r="AE380" i="4"/>
  <c r="AE381" i="4"/>
  <c r="AE382" i="4"/>
  <c r="AE383" i="4"/>
  <c r="AE384" i="4"/>
  <c r="AE386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5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H391" i="4"/>
  <c r="AH392" i="4"/>
  <c r="AH388" i="4"/>
  <c r="AH390" i="4"/>
  <c r="AH389" i="4"/>
  <c r="AH402" i="4"/>
  <c r="AH394" i="4"/>
  <c r="AH395" i="4"/>
  <c r="AH396" i="4"/>
  <c r="AH403" i="4"/>
  <c r="AH404" i="4"/>
  <c r="AH405" i="4"/>
  <c r="AH406" i="4"/>
  <c r="AH407" i="4"/>
  <c r="AH397" i="4"/>
  <c r="AH398" i="4"/>
  <c r="AH399" i="4"/>
  <c r="AH408" i="4"/>
  <c r="AH409" i="4"/>
  <c r="AH393" i="4"/>
  <c r="AH410" i="4"/>
  <c r="AH411" i="4"/>
  <c r="AH400" i="4"/>
  <c r="AH401" i="4"/>
  <c r="AH412" i="4"/>
  <c r="AH413" i="4"/>
  <c r="AH414" i="4"/>
  <c r="AH415" i="4"/>
  <c r="AH416" i="4"/>
  <c r="AH417" i="4"/>
  <c r="AK309" i="4"/>
  <c r="AK310" i="4"/>
  <c r="AK311" i="4"/>
  <c r="AK312" i="4"/>
  <c r="AK305" i="4"/>
  <c r="AK315" i="4"/>
  <c r="AK316" i="4"/>
  <c r="AK317" i="4"/>
  <c r="AK318" i="4"/>
  <c r="AK306" i="4"/>
  <c r="AK319" i="4"/>
  <c r="AK313" i="4"/>
  <c r="AK304" i="4"/>
  <c r="AK307" i="4"/>
  <c r="AK308" i="4"/>
  <c r="AK348" i="4"/>
  <c r="AK349" i="4"/>
  <c r="AK350" i="4"/>
  <c r="AK341" i="4"/>
  <c r="AK342" i="4"/>
  <c r="AK323" i="4"/>
  <c r="AK320" i="4"/>
  <c r="AK324" i="4"/>
  <c r="AK325" i="4"/>
  <c r="AK326" i="4"/>
  <c r="AK352" i="4"/>
  <c r="AK343" i="4"/>
  <c r="AK321" i="4"/>
  <c r="AK344" i="4"/>
  <c r="AK345" i="4"/>
  <c r="AK346" i="4"/>
  <c r="AK347" i="4"/>
  <c r="AK328" i="4"/>
  <c r="AK322" i="4"/>
  <c r="AK329" i="4"/>
  <c r="AK351" i="4"/>
  <c r="AK332" i="4"/>
  <c r="AK333" i="4"/>
  <c r="AK334" i="4"/>
  <c r="AK335" i="4"/>
  <c r="AK340" i="4"/>
  <c r="AK337" i="4"/>
  <c r="AK338" i="4"/>
  <c r="AK339" i="4"/>
  <c r="AK331" i="4"/>
  <c r="AK336" i="4"/>
  <c r="AK330" i="4"/>
  <c r="AK327" i="4"/>
  <c r="AK355" i="4"/>
  <c r="AK361" i="4"/>
  <c r="AK362" i="4"/>
  <c r="AK360" i="4"/>
  <c r="AK366" i="4"/>
  <c r="AK367" i="4"/>
  <c r="AK373" i="4"/>
  <c r="AK368" i="4"/>
  <c r="AK374" i="4"/>
  <c r="AK356" i="4"/>
  <c r="AK353" i="4"/>
  <c r="AK363" i="4"/>
  <c r="AK364" i="4"/>
  <c r="AK369" i="4"/>
  <c r="AK354" i="4"/>
  <c r="AK370" i="4"/>
  <c r="AK371" i="4"/>
  <c r="AK372" i="4"/>
  <c r="AK365" i="4"/>
  <c r="AK357" i="4"/>
  <c r="AK358" i="4"/>
  <c r="AK359" i="4"/>
  <c r="AK384" i="4"/>
  <c r="AK382" i="4"/>
  <c r="AK378" i="4"/>
  <c r="AK379" i="4"/>
  <c r="AK375" i="4"/>
  <c r="AK376" i="4"/>
  <c r="AK380" i="4"/>
  <c r="AK381" i="4"/>
  <c r="AK377" i="4"/>
  <c r="AK383" i="4"/>
  <c r="AK386" i="4"/>
  <c r="AK391" i="4"/>
  <c r="AK392" i="4"/>
  <c r="AK388" i="4"/>
  <c r="AK390" i="4"/>
  <c r="AK389" i="4"/>
  <c r="AK402" i="4"/>
  <c r="AK394" i="4"/>
  <c r="AK395" i="4"/>
  <c r="AK396" i="4"/>
  <c r="AK403" i="4"/>
  <c r="AK404" i="4"/>
  <c r="AK405" i="4"/>
  <c r="AK406" i="4"/>
  <c r="AK407" i="4"/>
  <c r="AK397" i="4"/>
  <c r="AK398" i="4"/>
  <c r="AK399" i="4"/>
  <c r="AK408" i="4"/>
  <c r="AK409" i="4"/>
  <c r="AK393" i="4"/>
  <c r="AK410" i="4"/>
  <c r="AK411" i="4"/>
  <c r="AK400" i="4"/>
  <c r="AK401" i="4"/>
  <c r="AK412" i="4"/>
  <c r="AK413" i="4"/>
  <c r="AK414" i="4"/>
  <c r="AK415" i="4"/>
  <c r="AK416" i="4"/>
  <c r="AK417" i="4"/>
  <c r="AH33" i="4"/>
  <c r="AH64" i="4"/>
  <c r="AH65" i="4"/>
  <c r="AH41" i="4"/>
  <c r="AH42" i="4"/>
  <c r="AH43" i="4"/>
  <c r="AH66" i="4"/>
  <c r="AH207" i="4"/>
  <c r="AH279" i="4"/>
  <c r="AH73" i="4"/>
  <c r="AH163" i="4"/>
  <c r="AH84" i="4"/>
  <c r="AH52" i="4"/>
  <c r="AH53" i="4"/>
  <c r="AH54" i="4"/>
  <c r="AH35" i="4"/>
  <c r="AH36" i="4"/>
  <c r="AH39" i="4"/>
  <c r="AH49" i="4"/>
  <c r="AH74" i="4"/>
  <c r="AH79" i="4"/>
  <c r="AH21" i="4"/>
  <c r="AH45" i="4"/>
  <c r="AH67" i="4"/>
  <c r="AH68" i="4"/>
  <c r="AH132" i="4"/>
  <c r="AH8" i="4"/>
  <c r="AH50" i="4"/>
  <c r="AH89" i="4"/>
  <c r="AH90" i="4"/>
  <c r="AH37" i="4"/>
  <c r="AH38" i="4"/>
  <c r="AH40" i="4"/>
  <c r="AH85" i="4"/>
  <c r="AH114" i="4"/>
  <c r="AH69" i="4"/>
  <c r="AH110" i="4"/>
  <c r="AH111" i="4"/>
  <c r="AH44" i="4"/>
  <c r="AH46" i="4"/>
  <c r="AH82" i="4"/>
  <c r="AH6" i="4"/>
  <c r="AH164" i="4"/>
  <c r="AH25" i="4"/>
  <c r="AH94" i="4"/>
  <c r="AH95" i="4"/>
  <c r="AH97" i="4"/>
  <c r="AH98" i="4"/>
  <c r="AH99" i="4"/>
  <c r="AH100" i="4"/>
  <c r="AH92" i="4"/>
  <c r="AH93" i="4"/>
  <c r="AH96" i="4"/>
  <c r="AH106" i="4"/>
  <c r="AH107" i="4"/>
  <c r="AH108" i="4"/>
  <c r="AH32" i="4"/>
  <c r="AH61" i="4"/>
  <c r="AH34" i="4"/>
  <c r="AH16" i="4"/>
  <c r="AH152" i="4"/>
  <c r="AH63" i="4"/>
  <c r="AH18" i="4"/>
  <c r="AH5" i="4"/>
  <c r="AH22" i="4"/>
  <c r="AH118" i="4"/>
  <c r="AH55" i="4"/>
  <c r="AH56" i="4"/>
  <c r="AH57" i="4"/>
  <c r="AH58" i="4"/>
  <c r="AH59" i="4"/>
  <c r="AH60" i="4"/>
  <c r="AH7" i="4"/>
  <c r="AH9" i="4"/>
  <c r="AH119" i="4"/>
  <c r="AH120" i="4"/>
  <c r="AH121" i="4"/>
  <c r="AH146" i="4"/>
  <c r="AH122" i="4"/>
  <c r="AH153" i="4"/>
  <c r="AH165" i="4"/>
  <c r="AH166" i="4"/>
  <c r="AH168" i="4"/>
  <c r="AH62" i="4"/>
  <c r="AH109" i="4"/>
  <c r="AH124" i="4"/>
  <c r="AH17" i="4"/>
  <c r="AH72" i="4"/>
  <c r="AH87" i="4"/>
  <c r="AH91" i="4"/>
  <c r="AH167" i="4"/>
  <c r="AH298" i="4"/>
  <c r="AH104" i="4"/>
  <c r="AH150" i="4"/>
  <c r="AH123" i="4"/>
  <c r="AH151" i="4"/>
  <c r="AH75" i="4"/>
  <c r="AH80" i="4"/>
  <c r="AH83" i="4"/>
  <c r="AH88" i="4"/>
  <c r="AH127" i="4"/>
  <c r="AH128" i="4"/>
  <c r="AH194" i="4"/>
  <c r="AH282" i="4"/>
  <c r="AH219" i="4"/>
  <c r="AH115" i="4"/>
  <c r="AH138" i="4"/>
  <c r="AH144" i="4"/>
  <c r="AH148" i="4"/>
  <c r="AH149" i="4"/>
  <c r="AH103" i="4"/>
  <c r="AH187" i="4"/>
  <c r="AH105" i="4"/>
  <c r="AH280" i="4"/>
  <c r="AH281" i="4"/>
  <c r="AH156" i="4"/>
  <c r="AH126" i="4"/>
  <c r="AH159" i="4"/>
  <c r="AH217" i="4"/>
  <c r="AH295" i="4"/>
  <c r="AH26" i="4"/>
  <c r="AH134" i="4"/>
  <c r="AH136" i="4"/>
  <c r="AH137" i="4"/>
  <c r="AH170" i="4"/>
  <c r="AH141" i="4"/>
  <c r="AH222" i="4"/>
  <c r="AH190" i="4"/>
  <c r="AH129" i="4"/>
  <c r="AH142" i="4"/>
  <c r="AH143" i="4"/>
  <c r="AH30" i="4"/>
  <c r="AH147" i="4"/>
  <c r="AH188" i="4"/>
  <c r="AH189" i="4"/>
  <c r="AH116" i="4"/>
  <c r="AH139" i="4"/>
  <c r="AH180" i="4"/>
  <c r="AH181" i="4"/>
  <c r="AH203" i="4"/>
  <c r="AH102" i="4"/>
  <c r="AH31" i="4"/>
  <c r="AH11" i="4"/>
  <c r="AH12" i="4"/>
  <c r="AH294" i="4"/>
  <c r="AH133" i="4"/>
  <c r="AH208" i="4"/>
  <c r="AH13" i="4"/>
  <c r="AH257" i="4"/>
  <c r="AH259" i="4"/>
  <c r="AH286" i="4"/>
  <c r="AH260" i="4"/>
  <c r="AH27" i="4"/>
  <c r="AH145" i="4"/>
  <c r="AH201" i="4"/>
  <c r="AH182" i="4"/>
  <c r="AH183" i="4"/>
  <c r="AH184" i="4"/>
  <c r="AH206" i="4"/>
  <c r="AH154" i="4"/>
  <c r="AH157" i="4"/>
  <c r="AH158" i="4"/>
  <c r="AH130" i="4"/>
  <c r="AH161" i="4"/>
  <c r="AH76" i="4"/>
  <c r="AH78" i="4"/>
  <c r="AH23" i="4"/>
  <c r="AH162" i="4"/>
  <c r="AH24" i="4"/>
  <c r="AH47" i="4"/>
  <c r="AH48" i="4"/>
  <c r="AH14" i="4"/>
  <c r="AH197" i="4"/>
  <c r="AH171" i="4"/>
  <c r="AH172" i="4"/>
  <c r="AH173" i="4"/>
  <c r="AH174" i="4"/>
  <c r="AH175" i="4"/>
  <c r="AH199" i="4"/>
  <c r="AH211" i="4"/>
  <c r="AH212" i="4"/>
  <c r="AH140" i="4"/>
  <c r="AH176" i="4"/>
  <c r="AH177" i="4"/>
  <c r="AH178" i="4"/>
  <c r="AH179" i="4"/>
  <c r="AH303" i="4"/>
  <c r="AH220" i="4"/>
  <c r="AH221" i="4"/>
  <c r="AH101" i="4"/>
  <c r="AH204" i="4"/>
  <c r="AH205" i="4"/>
  <c r="AH186" i="4"/>
  <c r="AH213" i="4"/>
  <c r="AH215" i="4"/>
  <c r="AH131" i="4"/>
  <c r="AH195" i="4"/>
  <c r="AH228" i="4"/>
  <c r="AH169" i="4"/>
  <c r="AH209" i="4"/>
  <c r="AH210" i="4"/>
  <c r="AH229" i="4"/>
  <c r="AH230" i="4"/>
  <c r="AH231" i="4"/>
  <c r="AH202" i="4"/>
  <c r="AH15" i="4"/>
  <c r="AH300" i="4"/>
  <c r="AH252" i="4"/>
  <c r="AH227" i="4"/>
  <c r="AH218" i="4"/>
  <c r="AH258" i="4"/>
  <c r="AH263" i="4"/>
  <c r="AH264" i="4"/>
  <c r="AH265" i="4"/>
  <c r="AH185" i="4"/>
  <c r="AH235" i="4"/>
  <c r="AH291" i="4"/>
  <c r="AH293" i="4"/>
  <c r="AH237" i="4"/>
  <c r="AH270" i="4"/>
  <c r="AH242" i="4"/>
  <c r="AH271" i="4"/>
  <c r="AH243" i="4"/>
  <c r="AH244" i="4"/>
  <c r="AH245" i="4"/>
  <c r="AH246" i="4"/>
  <c r="AH247" i="4"/>
  <c r="AH272" i="4"/>
  <c r="AH248" i="4"/>
  <c r="AH273" i="4"/>
  <c r="AH249" i="4"/>
  <c r="AH251" i="4"/>
  <c r="AH274" i="4"/>
  <c r="AH275" i="4"/>
  <c r="AH155" i="4"/>
  <c r="AH112" i="4"/>
  <c r="AH160" i="4"/>
  <c r="AH268" i="4"/>
  <c r="AH269" i="4"/>
  <c r="AH238" i="4"/>
  <c r="AH239" i="4"/>
  <c r="AH223" i="4"/>
  <c r="AH240" i="4"/>
  <c r="AH241" i="4"/>
  <c r="AH191" i="4"/>
  <c r="AH125" i="4"/>
  <c r="AH254" i="4"/>
  <c r="AH196" i="4"/>
  <c r="AH226" i="4"/>
  <c r="AH283" i="4"/>
  <c r="AH81" i="4"/>
  <c r="AH86" i="4"/>
  <c r="AH117" i="4"/>
  <c r="AH29" i="4"/>
  <c r="AH135" i="4"/>
  <c r="AH200" i="4"/>
  <c r="AH288" i="4"/>
  <c r="AH289" i="4"/>
  <c r="AH192" i="4"/>
  <c r="AH276" i="4"/>
  <c r="AH277" i="4"/>
  <c r="AH278" i="4"/>
  <c r="AH214" i="4"/>
  <c r="AH224" i="4"/>
  <c r="AH225" i="4"/>
  <c r="AH296" i="4"/>
  <c r="AH20" i="4"/>
  <c r="AH113" i="4"/>
  <c r="AH292" i="4"/>
  <c r="AH250" i="4"/>
  <c r="AH193" i="4"/>
  <c r="AH301" i="4"/>
  <c r="AH253" i="4"/>
  <c r="AH255" i="4"/>
  <c r="AH77" i="4"/>
  <c r="AH216" i="4"/>
  <c r="AH256" i="4"/>
  <c r="AH198" i="4"/>
  <c r="AH284" i="4"/>
  <c r="AH285" i="4"/>
  <c r="AH10" i="4"/>
  <c r="AH28" i="4"/>
  <c r="AH232" i="4"/>
  <c r="AH297" i="4"/>
  <c r="AH233" i="4"/>
  <c r="AH234" i="4"/>
  <c r="AH261" i="4"/>
  <c r="AH262" i="4"/>
  <c r="AH302" i="4"/>
  <c r="AH51" i="4"/>
  <c r="AH299" i="4"/>
  <c r="AH290" i="4"/>
  <c r="AH309" i="4"/>
  <c r="AH310" i="4"/>
  <c r="AH311" i="4"/>
  <c r="AH312" i="4"/>
  <c r="AH305" i="4"/>
  <c r="AH315" i="4"/>
  <c r="AH316" i="4"/>
  <c r="AH317" i="4"/>
  <c r="AH318" i="4"/>
  <c r="AH306" i="4"/>
  <c r="AH319" i="4"/>
  <c r="AH313" i="4"/>
  <c r="AH304" i="4"/>
  <c r="AH307" i="4"/>
  <c r="AH308" i="4"/>
  <c r="AH348" i="4"/>
  <c r="AH349" i="4"/>
  <c r="AH350" i="4"/>
  <c r="AH341" i="4"/>
  <c r="AH342" i="4"/>
  <c r="AH323" i="4"/>
  <c r="AH320" i="4"/>
  <c r="AH324" i="4"/>
  <c r="AH325" i="4"/>
  <c r="AH326" i="4"/>
  <c r="AH352" i="4"/>
  <c r="AH343" i="4"/>
  <c r="AH321" i="4"/>
  <c r="AH344" i="4"/>
  <c r="AH345" i="4"/>
  <c r="AH346" i="4"/>
  <c r="AH347" i="4"/>
  <c r="AH328" i="4"/>
  <c r="AH322" i="4"/>
  <c r="AH329" i="4"/>
  <c r="AH351" i="4"/>
  <c r="AH332" i="4"/>
  <c r="AH333" i="4"/>
  <c r="AH334" i="4"/>
  <c r="AH335" i="4"/>
  <c r="AH340" i="4"/>
  <c r="AH337" i="4"/>
  <c r="AH338" i="4"/>
  <c r="AH339" i="4"/>
  <c r="AH331" i="4"/>
  <c r="AH336" i="4"/>
  <c r="AH330" i="4"/>
  <c r="AH327" i="4"/>
  <c r="AH355" i="4"/>
  <c r="AH361" i="4"/>
  <c r="AH362" i="4"/>
  <c r="AH360" i="4"/>
  <c r="AH366" i="4"/>
  <c r="AH367" i="4"/>
  <c r="AH373" i="4"/>
  <c r="AH368" i="4"/>
  <c r="AH374" i="4"/>
  <c r="AH356" i="4"/>
  <c r="AH353" i="4"/>
  <c r="AH363" i="4"/>
  <c r="AH364" i="4"/>
  <c r="AH369" i="4"/>
  <c r="AH354" i="4"/>
  <c r="AH370" i="4"/>
  <c r="AH371" i="4"/>
  <c r="AH372" i="4"/>
  <c r="AH365" i="4"/>
  <c r="AH357" i="4"/>
  <c r="AH358" i="4"/>
  <c r="AH359" i="4"/>
  <c r="AH384" i="4"/>
  <c r="AH382" i="4"/>
  <c r="AH378" i="4"/>
  <c r="AH379" i="4"/>
  <c r="AH375" i="4"/>
  <c r="AH376" i="4"/>
  <c r="AH380" i="4"/>
  <c r="AH381" i="4"/>
  <c r="AH377" i="4"/>
  <c r="AH383" i="4"/>
  <c r="AH386" i="4"/>
  <c r="AH19" i="4"/>
  <c r="B299" i="5"/>
  <c r="AM299" i="5"/>
  <c r="AQ299" i="5"/>
  <c r="B203" i="5"/>
  <c r="AM203" i="5"/>
  <c r="AQ203" i="5"/>
  <c r="B206" i="5"/>
  <c r="AM206" i="5"/>
  <c r="AQ206" i="5"/>
  <c r="B198" i="5"/>
  <c r="AM198" i="5"/>
  <c r="AQ198" i="5"/>
  <c r="B208" i="5"/>
  <c r="AM208" i="5"/>
  <c r="AQ208" i="5"/>
  <c r="B23" i="5"/>
  <c r="AM23" i="5"/>
  <c r="AQ23" i="5"/>
  <c r="B69" i="5"/>
  <c r="AM69" i="5"/>
  <c r="AQ69" i="5"/>
  <c r="AM47" i="2"/>
  <c r="AM46" i="2"/>
  <c r="AM51" i="2"/>
  <c r="AM50" i="2"/>
  <c r="AM52" i="2"/>
  <c r="AP99" i="2"/>
  <c r="AP98" i="2"/>
  <c r="AP100" i="2"/>
  <c r="AP105" i="2"/>
  <c r="AP102" i="2"/>
  <c r="AP101" i="2"/>
  <c r="AP103" i="2"/>
  <c r="AP104" i="2"/>
  <c r="AP106" i="2"/>
  <c r="AP108" i="2"/>
  <c r="AP107" i="2"/>
  <c r="AP109" i="2"/>
  <c r="AP110" i="2"/>
  <c r="AQ99" i="2"/>
  <c r="AQ98" i="2"/>
  <c r="AQ100" i="2"/>
  <c r="AQ105" i="2"/>
  <c r="AQ102" i="2"/>
  <c r="AQ101" i="2"/>
  <c r="AQ103" i="2"/>
  <c r="AQ104" i="2"/>
  <c r="AQ106" i="2"/>
  <c r="AQ108" i="2"/>
  <c r="AQ107" i="2"/>
  <c r="AQ109" i="2"/>
  <c r="AQ110" i="2"/>
  <c r="AR99" i="2"/>
  <c r="AR98" i="2"/>
  <c r="AR100" i="2"/>
  <c r="AR105" i="2"/>
  <c r="AR102" i="2"/>
  <c r="AR101" i="2"/>
  <c r="AR103" i="2"/>
  <c r="AR104" i="2"/>
  <c r="AR106" i="2"/>
  <c r="AR108" i="2"/>
  <c r="AR107" i="2"/>
  <c r="AR109" i="2"/>
  <c r="AR110" i="2"/>
  <c r="AS99" i="2"/>
  <c r="AS98" i="2"/>
  <c r="AS100" i="2"/>
  <c r="AS105" i="2"/>
  <c r="AS102" i="2"/>
  <c r="AS101" i="2"/>
  <c r="AS103" i="2"/>
  <c r="AS104" i="2"/>
  <c r="AS106" i="2"/>
  <c r="AS108" i="2"/>
  <c r="AS107" i="2"/>
  <c r="AS109" i="2"/>
  <c r="AS110" i="2"/>
  <c r="AT99" i="2"/>
  <c r="AT98" i="2"/>
  <c r="AT100" i="2"/>
  <c r="AT105" i="2"/>
  <c r="AT102" i="2"/>
  <c r="AT101" i="2"/>
  <c r="AT103" i="2"/>
  <c r="AT104" i="2"/>
  <c r="AT106" i="2"/>
  <c r="AT108" i="2"/>
  <c r="AT107" i="2"/>
  <c r="AT109" i="2"/>
  <c r="AT110" i="2"/>
  <c r="AU99" i="2"/>
  <c r="AU98" i="2"/>
  <c r="AU100" i="2"/>
  <c r="AU105" i="2"/>
  <c r="AU102" i="2"/>
  <c r="AU101" i="2"/>
  <c r="AU103" i="2"/>
  <c r="AU104" i="2"/>
  <c r="AU106" i="2"/>
  <c r="AU108" i="2"/>
  <c r="AU107" i="2"/>
  <c r="AU109" i="2"/>
  <c r="AU110" i="2"/>
  <c r="AV99" i="2"/>
  <c r="AV98" i="2"/>
  <c r="AV100" i="2"/>
  <c r="AV105" i="2"/>
  <c r="AV102" i="2"/>
  <c r="AV101" i="2"/>
  <c r="AV103" i="2"/>
  <c r="AV104" i="2"/>
  <c r="AV106" i="2"/>
  <c r="AV108" i="2"/>
  <c r="AV107" i="2"/>
  <c r="AV109" i="2"/>
  <c r="AV110" i="2"/>
  <c r="AW99" i="2"/>
  <c r="AW98" i="2"/>
  <c r="AW100" i="2"/>
  <c r="AW105" i="2"/>
  <c r="AW102" i="2"/>
  <c r="AW101" i="2"/>
  <c r="AW103" i="2"/>
  <c r="AW104" i="2"/>
  <c r="AW106" i="2"/>
  <c r="AW108" i="2"/>
  <c r="AW107" i="2"/>
  <c r="AW109" i="2"/>
  <c r="AW110" i="2"/>
  <c r="AX99" i="2"/>
  <c r="AX98" i="2"/>
  <c r="AX100" i="2"/>
  <c r="AX105" i="2"/>
  <c r="AX102" i="2"/>
  <c r="AX101" i="2"/>
  <c r="AX103" i="2"/>
  <c r="AX104" i="2"/>
  <c r="AX106" i="2"/>
  <c r="AX108" i="2"/>
  <c r="AX107" i="2"/>
  <c r="AX109" i="2"/>
  <c r="AX110" i="2"/>
  <c r="AY99" i="2"/>
  <c r="AY98" i="2"/>
  <c r="AY100" i="2"/>
  <c r="AY105" i="2"/>
  <c r="AY102" i="2"/>
  <c r="AY101" i="2"/>
  <c r="AY103" i="2"/>
  <c r="AY104" i="2"/>
  <c r="AY106" i="2"/>
  <c r="AY108" i="2"/>
  <c r="AY107" i="2"/>
  <c r="AY109" i="2"/>
  <c r="AY110" i="2"/>
  <c r="AZ99" i="2"/>
  <c r="AZ98" i="2"/>
  <c r="AZ100" i="2"/>
  <c r="AZ105" i="2"/>
  <c r="AZ102" i="2"/>
  <c r="AZ101" i="2"/>
  <c r="AZ103" i="2"/>
  <c r="AZ104" i="2"/>
  <c r="AZ106" i="2"/>
  <c r="AZ108" i="2"/>
  <c r="AZ107" i="2"/>
  <c r="AZ109" i="2"/>
  <c r="AZ110" i="2"/>
  <c r="BA99" i="2"/>
  <c r="BA98" i="2"/>
  <c r="BA100" i="2"/>
  <c r="BA105" i="2"/>
  <c r="BA102" i="2"/>
  <c r="BA101" i="2"/>
  <c r="BA103" i="2"/>
  <c r="BA104" i="2"/>
  <c r="BA106" i="2"/>
  <c r="BA108" i="2"/>
  <c r="BA107" i="2"/>
  <c r="BA109" i="2"/>
  <c r="BA110" i="2"/>
  <c r="BB99" i="2"/>
  <c r="BB98" i="2"/>
  <c r="BB100" i="2"/>
  <c r="BB105" i="2"/>
  <c r="BB102" i="2"/>
  <c r="BB101" i="2"/>
  <c r="BB103" i="2"/>
  <c r="BB104" i="2"/>
  <c r="BB106" i="2"/>
  <c r="BB108" i="2"/>
  <c r="BB107" i="2"/>
  <c r="BB109" i="2"/>
  <c r="BB110" i="2"/>
  <c r="BC99" i="2"/>
  <c r="BC98" i="2"/>
  <c r="BC100" i="2"/>
  <c r="BC105" i="2"/>
  <c r="BC102" i="2"/>
  <c r="BC101" i="2"/>
  <c r="BC103" i="2"/>
  <c r="BC104" i="2"/>
  <c r="BC106" i="2"/>
  <c r="BC108" i="2"/>
  <c r="BC107" i="2"/>
  <c r="BC109" i="2"/>
  <c r="BC110" i="2"/>
  <c r="BD99" i="2"/>
  <c r="BD98" i="2"/>
  <c r="BD100" i="2"/>
  <c r="BD105" i="2"/>
  <c r="BD102" i="2"/>
  <c r="BD101" i="2"/>
  <c r="BD103" i="2"/>
  <c r="BD104" i="2"/>
  <c r="BD106" i="2"/>
  <c r="BD108" i="2"/>
  <c r="BD107" i="2"/>
  <c r="BD109" i="2"/>
  <c r="BD110" i="2"/>
  <c r="BE105" i="2"/>
  <c r="BE102" i="2"/>
  <c r="BE101" i="2"/>
  <c r="BE103" i="2"/>
  <c r="BE104" i="2"/>
  <c r="BE106" i="2"/>
  <c r="BE108" i="2"/>
  <c r="BE107" i="2"/>
  <c r="BE109" i="2"/>
  <c r="BF105" i="2"/>
  <c r="BF102" i="2"/>
  <c r="BF101" i="2"/>
  <c r="BF103" i="2"/>
  <c r="BF104" i="2"/>
  <c r="BF106" i="2"/>
  <c r="BF108" i="2"/>
  <c r="BF107" i="2"/>
  <c r="BF109" i="2"/>
  <c r="BG105" i="2"/>
  <c r="BG102" i="2"/>
  <c r="BG101" i="2"/>
  <c r="BG103" i="2"/>
  <c r="BG104" i="2"/>
  <c r="BG106" i="2"/>
  <c r="BG108" i="2"/>
  <c r="BG107" i="2"/>
  <c r="BG109" i="2"/>
  <c r="BH105" i="2"/>
  <c r="BH102" i="2"/>
  <c r="BH101" i="2"/>
  <c r="BH103" i="2"/>
  <c r="BH104" i="2"/>
  <c r="BH106" i="2"/>
  <c r="BH108" i="2"/>
  <c r="BH107" i="2"/>
  <c r="BH109" i="2"/>
  <c r="BI105" i="2"/>
  <c r="BI102" i="2"/>
  <c r="BI101" i="2"/>
  <c r="BI103" i="2"/>
  <c r="BI104" i="2"/>
  <c r="BI106" i="2"/>
  <c r="BI108" i="2"/>
  <c r="BI107" i="2"/>
  <c r="BI109" i="2"/>
  <c r="BJ105" i="2"/>
  <c r="BJ102" i="2"/>
  <c r="BJ101" i="2"/>
  <c r="BJ103" i="2"/>
  <c r="BJ104" i="2"/>
  <c r="BJ106" i="2"/>
  <c r="BJ108" i="2"/>
  <c r="BJ107" i="2"/>
  <c r="BJ109" i="2"/>
  <c r="BK105" i="2"/>
  <c r="BK102" i="2"/>
  <c r="BK101" i="2"/>
  <c r="BK103" i="2"/>
  <c r="BK104" i="2"/>
  <c r="BK106" i="2"/>
  <c r="BK108" i="2"/>
  <c r="BK107" i="2"/>
  <c r="BK109" i="2"/>
  <c r="BL105" i="2"/>
  <c r="BL102" i="2"/>
  <c r="BL101" i="2"/>
  <c r="BL103" i="2"/>
  <c r="BL104" i="2"/>
  <c r="BL106" i="2"/>
  <c r="BL108" i="2"/>
  <c r="BL107" i="2"/>
  <c r="BL109" i="2"/>
  <c r="AO99" i="2"/>
  <c r="AO98" i="2"/>
  <c r="AO100" i="2"/>
  <c r="AO105" i="2"/>
  <c r="AO102" i="2"/>
  <c r="AO101" i="2"/>
  <c r="AO103" i="2"/>
  <c r="AO104" i="2"/>
  <c r="AO106" i="2"/>
  <c r="AO108" i="2"/>
  <c r="AO107" i="2"/>
  <c r="AO109" i="2"/>
  <c r="AO110" i="2"/>
  <c r="B58" i="5"/>
  <c r="AM58" i="5"/>
  <c r="AQ58" i="5"/>
  <c r="B271" i="5"/>
  <c r="B295" i="5"/>
  <c r="B282" i="5"/>
  <c r="B2" i="5"/>
  <c r="B4" i="5"/>
  <c r="B29" i="5"/>
  <c r="B30" i="5"/>
  <c r="B32" i="5"/>
  <c r="B33" i="5"/>
  <c r="B31" i="5"/>
  <c r="B231" i="5"/>
  <c r="B12" i="5"/>
  <c r="B137" i="5"/>
  <c r="B66" i="5"/>
  <c r="B15" i="5"/>
  <c r="B27" i="5"/>
  <c r="B97" i="5"/>
  <c r="B10" i="5"/>
  <c r="B157" i="5"/>
  <c r="B151" i="5"/>
  <c r="B11" i="5"/>
  <c r="B67" i="5"/>
  <c r="B13" i="5"/>
  <c r="B230" i="5"/>
  <c r="B283" i="5"/>
  <c r="B37" i="5"/>
  <c r="B22" i="5"/>
  <c r="B24" i="5"/>
  <c r="B14" i="5"/>
  <c r="B289" i="5"/>
  <c r="B233" i="5"/>
  <c r="B291" i="5"/>
  <c r="B292" i="5"/>
  <c r="B287" i="5"/>
  <c r="B9" i="5"/>
  <c r="B275" i="5"/>
  <c r="B232" i="5"/>
  <c r="B6" i="5"/>
  <c r="B5" i="5"/>
  <c r="B35" i="5"/>
  <c r="B290" i="5"/>
  <c r="B36" i="5"/>
  <c r="B26" i="5"/>
  <c r="B25" i="5"/>
  <c r="B7" i="5"/>
  <c r="B297" i="5"/>
  <c r="B8" i="5"/>
  <c r="B296" i="5"/>
  <c r="B3" i="5"/>
  <c r="B281" i="5"/>
  <c r="B28" i="5"/>
  <c r="B284" i="5"/>
  <c r="B270" i="5"/>
  <c r="B288" i="5"/>
  <c r="B18" i="5"/>
  <c r="B17" i="5"/>
  <c r="B16" i="5"/>
  <c r="B184" i="5"/>
  <c r="B118" i="5"/>
  <c r="B159" i="5"/>
  <c r="B172" i="5"/>
  <c r="B229" i="5"/>
  <c r="B227" i="5"/>
  <c r="B154" i="5"/>
  <c r="B133" i="5"/>
  <c r="B185" i="5"/>
  <c r="B187" i="5"/>
  <c r="B188" i="5"/>
  <c r="B77" i="5"/>
  <c r="B96" i="5"/>
  <c r="B181" i="5"/>
  <c r="B141" i="5"/>
  <c r="B186" i="5"/>
  <c r="B223" i="5"/>
  <c r="B174" i="5"/>
  <c r="B242" i="5"/>
  <c r="B79" i="5"/>
  <c r="B228" i="5"/>
  <c r="B225" i="5"/>
  <c r="B224" i="5"/>
  <c r="B190" i="5"/>
  <c r="B88" i="5"/>
  <c r="B89" i="5"/>
  <c r="B99" i="5"/>
  <c r="B140" i="5"/>
  <c r="B156" i="5"/>
  <c r="B115" i="5"/>
  <c r="B183" i="5"/>
  <c r="B217" i="5"/>
  <c r="B196" i="5"/>
  <c r="B119" i="5"/>
  <c r="B142" i="5"/>
  <c r="B128" i="5"/>
  <c r="B195" i="5"/>
  <c r="B175" i="5"/>
  <c r="B171" i="5"/>
  <c r="B110" i="5"/>
  <c r="B251" i="5"/>
  <c r="B165" i="5"/>
  <c r="B166" i="5"/>
  <c r="B167" i="5"/>
  <c r="B272" i="5"/>
  <c r="B234" i="5"/>
  <c r="B91" i="5"/>
  <c r="B138" i="5"/>
  <c r="B90" i="5"/>
  <c r="B51" i="5"/>
  <c r="B52" i="5"/>
  <c r="B117" i="5"/>
  <c r="B103" i="5"/>
  <c r="B50" i="5"/>
  <c r="B104" i="5"/>
  <c r="B53" i="5"/>
  <c r="B121" i="5"/>
  <c r="B139" i="5"/>
  <c r="B124" i="5"/>
  <c r="B105" i="5"/>
  <c r="B147" i="5"/>
  <c r="B170" i="5"/>
  <c r="B143" i="5"/>
  <c r="B123" i="5"/>
  <c r="B146" i="5"/>
  <c r="B163" i="5"/>
  <c r="B155" i="5"/>
  <c r="B46" i="5"/>
  <c r="B200" i="5"/>
  <c r="B218" i="5"/>
  <c r="B169" i="5"/>
  <c r="B149" i="5"/>
  <c r="B41" i="5"/>
  <c r="B113" i="5"/>
  <c r="B240" i="5"/>
  <c r="B125" i="5"/>
  <c r="B56" i="5"/>
  <c r="B243" i="5"/>
  <c r="B87" i="5"/>
  <c r="B214" i="5"/>
  <c r="B182" i="5"/>
  <c r="B216" i="5"/>
  <c r="B55" i="5"/>
  <c r="B107" i="5"/>
  <c r="B108" i="5"/>
  <c r="B109" i="5"/>
  <c r="B112" i="5"/>
  <c r="B250" i="5"/>
  <c r="B48" i="5"/>
  <c r="B62" i="5"/>
  <c r="B122" i="5"/>
  <c r="B162" i="5"/>
  <c r="B191" i="5"/>
  <c r="B160" i="5"/>
  <c r="B161" i="5"/>
  <c r="B72" i="5"/>
  <c r="B85" i="5"/>
  <c r="B193" i="5"/>
  <c r="B73" i="5"/>
  <c r="B253" i="5"/>
  <c r="B92" i="5"/>
  <c r="B215" i="5"/>
  <c r="B60" i="5"/>
  <c r="B245" i="5"/>
  <c r="B248" i="5"/>
  <c r="B116" i="5"/>
  <c r="B120" i="5"/>
  <c r="B127" i="5"/>
  <c r="B247" i="5"/>
  <c r="B249" i="5"/>
  <c r="B59" i="5"/>
  <c r="B222" i="5"/>
  <c r="B65" i="5"/>
  <c r="B70" i="5"/>
  <c r="B131" i="5"/>
  <c r="B81" i="5"/>
  <c r="B83" i="5"/>
  <c r="B86" i="5"/>
  <c r="B180" i="5"/>
  <c r="B210" i="5"/>
  <c r="B212" i="5"/>
  <c r="B246" i="5"/>
  <c r="B255" i="5"/>
  <c r="B199" i="5"/>
  <c r="B145" i="5"/>
  <c r="B111" i="5"/>
  <c r="B213" i="5"/>
  <c r="B153" i="5"/>
  <c r="B38" i="5"/>
  <c r="B78" i="5"/>
  <c r="B94" i="5"/>
  <c r="B71" i="5"/>
  <c r="B74" i="5"/>
  <c r="B129" i="5"/>
  <c r="B84" i="5"/>
  <c r="B106" i="5"/>
  <c r="B168" i="5"/>
  <c r="B136" i="5"/>
  <c r="B239" i="5"/>
  <c r="B252" i="5"/>
  <c r="B82" i="5"/>
  <c r="B158" i="5"/>
  <c r="B192" i="5"/>
  <c r="B47" i="5"/>
  <c r="B178" i="5"/>
  <c r="B236" i="5"/>
  <c r="B164" i="5"/>
  <c r="B244" i="5"/>
  <c r="B237" i="5"/>
  <c r="B54" i="5"/>
  <c r="B63" i="5"/>
  <c r="B238" i="5"/>
  <c r="B202" i="5"/>
  <c r="B39" i="5"/>
  <c r="B95" i="5"/>
  <c r="B207" i="5"/>
  <c r="B134" i="5"/>
  <c r="B93" i="5"/>
  <c r="B211" i="5"/>
  <c r="B173" i="5"/>
  <c r="B126" i="5"/>
  <c r="B44" i="5"/>
  <c r="B226" i="5"/>
  <c r="B75" i="5"/>
  <c r="B235" i="5"/>
  <c r="B68" i="5"/>
  <c r="B204" i="5"/>
  <c r="B132" i="5"/>
  <c r="B57" i="5"/>
  <c r="B197" i="5"/>
  <c r="B205" i="5"/>
  <c r="B43" i="5"/>
  <c r="B221" i="5"/>
  <c r="B49" i="5"/>
  <c r="B100" i="5"/>
  <c r="B209" i="5"/>
  <c r="B220" i="5"/>
  <c r="B64" i="5"/>
  <c r="B101" i="5"/>
  <c r="B219" i="5"/>
  <c r="B179" i="5"/>
  <c r="B61" i="5"/>
  <c r="B130" i="5"/>
  <c r="B176" i="5"/>
  <c r="B189" i="5"/>
  <c r="B177" i="5"/>
  <c r="B150" i="5"/>
  <c r="B152" i="5"/>
  <c r="B258" i="5"/>
  <c r="B256" i="5"/>
  <c r="B42" i="5"/>
  <c r="B259" i="5"/>
  <c r="B135" i="5"/>
  <c r="B254" i="5"/>
  <c r="B264" i="5"/>
  <c r="B257" i="5"/>
  <c r="B40" i="5"/>
  <c r="B80" i="5"/>
  <c r="B148" i="5"/>
  <c r="B194" i="5"/>
  <c r="B76" i="5"/>
  <c r="B45" i="5"/>
  <c r="B114" i="5"/>
  <c r="B102" i="5"/>
  <c r="B144" i="5"/>
  <c r="B263" i="5"/>
  <c r="B260" i="5"/>
  <c r="B262" i="5"/>
  <c r="B261" i="5"/>
  <c r="B265" i="5"/>
  <c r="B293" i="5"/>
  <c r="B277" i="5"/>
  <c r="B298" i="5"/>
  <c r="B266" i="5"/>
  <c r="B268" i="5"/>
  <c r="B267" i="5"/>
  <c r="B279" i="5"/>
  <c r="B278" i="5"/>
  <c r="B274" i="5"/>
  <c r="B276" i="5"/>
  <c r="B286" i="5"/>
  <c r="B285" i="5"/>
  <c r="B294" i="5"/>
  <c r="B273" i="5"/>
  <c r="B269" i="5"/>
  <c r="B280" i="5"/>
  <c r="B304" i="5"/>
  <c r="B305" i="5"/>
  <c r="B306" i="5"/>
  <c r="B307" i="5"/>
  <c r="B309" i="5"/>
  <c r="B310" i="5"/>
  <c r="B311" i="5"/>
  <c r="B312" i="5"/>
  <c r="B313" i="5"/>
  <c r="B314" i="5"/>
  <c r="B315" i="5"/>
  <c r="B316" i="5"/>
  <c r="B317" i="5"/>
  <c r="B318" i="5"/>
  <c r="B319" i="5"/>
  <c r="B336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7" i="5"/>
  <c r="B338" i="5"/>
  <c r="B339" i="5"/>
  <c r="B340" i="5"/>
  <c r="B342" i="5"/>
  <c r="B343" i="5"/>
  <c r="B344" i="5"/>
  <c r="B345" i="5"/>
  <c r="B346" i="5"/>
  <c r="B347" i="5"/>
  <c r="B348" i="5"/>
  <c r="B349" i="5"/>
  <c r="B350" i="5"/>
  <c r="B351" i="5"/>
  <c r="B34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9" i="5"/>
  <c r="B375" i="5"/>
  <c r="B376" i="5"/>
  <c r="B377" i="5"/>
  <c r="B378" i="5"/>
  <c r="B380" i="5"/>
  <c r="B381" i="5"/>
  <c r="B382" i="5"/>
  <c r="B383" i="5"/>
  <c r="B384" i="5"/>
  <c r="B385" i="5"/>
  <c r="B388" i="5"/>
  <c r="B389" i="5"/>
  <c r="B392" i="5"/>
  <c r="B390" i="5"/>
  <c r="B391" i="5"/>
  <c r="B396" i="5"/>
  <c r="B411" i="5"/>
  <c r="B414" i="5"/>
  <c r="B393" i="5"/>
  <c r="B397" i="5"/>
  <c r="B398" i="5"/>
  <c r="B399" i="5"/>
  <c r="B400" i="5"/>
  <c r="B406" i="5"/>
  <c r="B407" i="5"/>
  <c r="B408" i="5"/>
  <c r="B409" i="5"/>
  <c r="B413" i="5"/>
  <c r="B394" i="5"/>
  <c r="B395" i="5"/>
  <c r="B404" i="5"/>
  <c r="B405" i="5"/>
  <c r="B412" i="5"/>
  <c r="B415" i="5"/>
  <c r="B416" i="5"/>
  <c r="B417" i="5"/>
  <c r="B401" i="5"/>
  <c r="B410" i="5"/>
  <c r="B403" i="5"/>
  <c r="B402" i="5"/>
  <c r="B34" i="5"/>
  <c r="AA107" i="4"/>
  <c r="AA108" i="4"/>
  <c r="AA33" i="4"/>
  <c r="AA32" i="4"/>
  <c r="AA61" i="4"/>
  <c r="AA150" i="4"/>
  <c r="AA34" i="4"/>
  <c r="AA123" i="4"/>
  <c r="AA151" i="4"/>
  <c r="AA16" i="4"/>
  <c r="AA152" i="4"/>
  <c r="AA62" i="4"/>
  <c r="AA109" i="4"/>
  <c r="AA124" i="4"/>
  <c r="AA17" i="4"/>
  <c r="AA293" i="4"/>
  <c r="AA237" i="4"/>
  <c r="AA269" i="4"/>
  <c r="AA270" i="4"/>
  <c r="AA35" i="4"/>
  <c r="AA36" i="4"/>
  <c r="AA37" i="4"/>
  <c r="AA38" i="4"/>
  <c r="AA39" i="4"/>
  <c r="AA40" i="4"/>
  <c r="AA153" i="4"/>
  <c r="AA63" i="4"/>
  <c r="AA64" i="4"/>
  <c r="AA65" i="4"/>
  <c r="AA18" i="4"/>
  <c r="AA110" i="4"/>
  <c r="AA111" i="4"/>
  <c r="AA41" i="4"/>
  <c r="AA42" i="4"/>
  <c r="AA43" i="4"/>
  <c r="AA66" i="4"/>
  <c r="AA238" i="4"/>
  <c r="AA239" i="4"/>
  <c r="AA223" i="4"/>
  <c r="AA240" i="4"/>
  <c r="AA241" i="4"/>
  <c r="AA206" i="4"/>
  <c r="AA190" i="4"/>
  <c r="AA191" i="4"/>
  <c r="AA192" i="4"/>
  <c r="AA154" i="4"/>
  <c r="AA242" i="4"/>
  <c r="AA271" i="4"/>
  <c r="AA243" i="4"/>
  <c r="AA244" i="4"/>
  <c r="AA245" i="4"/>
  <c r="AA246" i="4"/>
  <c r="AA247" i="4"/>
  <c r="AA272" i="4"/>
  <c r="AA248" i="4"/>
  <c r="AA273" i="4"/>
  <c r="AA249" i="4"/>
  <c r="AA250" i="4"/>
  <c r="AA193" i="4"/>
  <c r="AA125" i="4"/>
  <c r="AA67" i="4"/>
  <c r="AA68" i="4"/>
  <c r="AA251" i="4"/>
  <c r="AA274" i="4"/>
  <c r="AA275" i="4"/>
  <c r="AA276" i="4"/>
  <c r="AA277" i="4"/>
  <c r="AA278" i="4"/>
  <c r="AA155" i="4"/>
  <c r="AA207" i="4"/>
  <c r="AA44" i="4"/>
  <c r="AA69" i="4"/>
  <c r="AA279" i="4"/>
  <c r="AA280" i="4"/>
  <c r="AA281" i="4"/>
  <c r="AA157" i="4"/>
  <c r="AA19" i="4"/>
  <c r="AA11" i="4"/>
  <c r="AA12" i="4"/>
  <c r="AA156" i="4"/>
  <c r="AA214" i="4"/>
  <c r="AA224" i="4"/>
  <c r="AA225" i="4"/>
  <c r="AA72" i="4"/>
  <c r="AA126" i="4"/>
  <c r="AA127" i="4"/>
  <c r="AA128" i="4"/>
  <c r="AA158" i="4"/>
  <c r="AA215" i="4"/>
  <c r="AA129" i="4"/>
  <c r="AA112" i="4"/>
  <c r="AA73" i="4"/>
  <c r="AA301" i="4"/>
  <c r="AA130" i="4"/>
  <c r="AA159" i="4"/>
  <c r="AA194" i="4"/>
  <c r="AA160" i="4"/>
  <c r="AA282" i="4"/>
  <c r="AA5" i="4"/>
  <c r="AA20" i="4"/>
  <c r="AA161" i="4"/>
  <c r="AA131" i="4"/>
  <c r="AA195" i="4"/>
  <c r="AA21" i="4"/>
  <c r="AA74" i="4"/>
  <c r="AA22" i="4"/>
  <c r="AA45" i="4"/>
  <c r="AA252" i="4"/>
  <c r="AA75" i="4"/>
  <c r="AA253" i="4"/>
  <c r="AA76" i="4"/>
  <c r="AA254" i="4"/>
  <c r="AA294" i="4"/>
  <c r="AA132" i="4"/>
  <c r="AA300" i="4"/>
  <c r="AA196" i="4"/>
  <c r="AA7" i="4"/>
  <c r="AA226" i="4"/>
  <c r="AA255" i="4"/>
  <c r="AA77" i="4"/>
  <c r="AA78" i="4"/>
  <c r="AA133" i="4"/>
  <c r="AA23" i="4"/>
  <c r="AA79" i="4"/>
  <c r="AA283" i="4"/>
  <c r="AA46" i="4"/>
  <c r="AA80" i="4"/>
  <c r="AA8" i="4"/>
  <c r="AA216" i="4"/>
  <c r="AA217" i="4"/>
  <c r="AA81" i="4"/>
  <c r="AA227" i="4"/>
  <c r="AA208" i="4"/>
  <c r="AA162" i="4"/>
  <c r="AA228" i="4"/>
  <c r="AA256" i="4"/>
  <c r="AA13" i="4"/>
  <c r="AA163" i="4"/>
  <c r="AA24" i="4"/>
  <c r="AA257" i="4"/>
  <c r="AA9" i="4"/>
  <c r="AA82" i="4"/>
  <c r="AA6" i="4"/>
  <c r="AA164" i="4"/>
  <c r="AA113" i="4"/>
  <c r="AA47" i="4"/>
  <c r="AA218" i="4"/>
  <c r="AA48" i="4"/>
  <c r="AA14" i="4"/>
  <c r="AA83" i="4"/>
  <c r="AA258" i="4"/>
  <c r="AA25" i="4"/>
  <c r="AA197" i="4"/>
  <c r="AA198" i="4"/>
  <c r="AA284" i="4"/>
  <c r="AA285" i="4"/>
  <c r="AA49" i="4"/>
  <c r="AA84" i="4"/>
  <c r="AA85" i="4"/>
  <c r="AA114" i="4"/>
  <c r="AA219" i="4"/>
  <c r="AA86" i="4"/>
  <c r="AA87" i="4"/>
  <c r="AA88" i="4"/>
  <c r="AA50" i="4"/>
  <c r="AA89" i="4"/>
  <c r="AA90" i="4"/>
  <c r="AA259" i="4"/>
  <c r="AA286" i="4"/>
  <c r="AA260" i="4"/>
  <c r="AA91" i="4"/>
  <c r="AA295" i="4"/>
  <c r="AA296" i="4"/>
  <c r="AA26" i="4"/>
  <c r="AA10" i="4"/>
  <c r="AA165" i="4"/>
  <c r="AA166" i="4"/>
  <c r="AA167" i="4"/>
  <c r="AA115" i="4"/>
  <c r="AA116" i="4"/>
  <c r="AA117" i="4"/>
  <c r="AA27" i="4"/>
  <c r="AA28" i="4"/>
  <c r="AA29" i="4"/>
  <c r="AA134" i="4"/>
  <c r="AA135" i="4"/>
  <c r="AA136" i="4"/>
  <c r="AA137" i="4"/>
  <c r="AA168" i="4"/>
  <c r="AA169" i="4"/>
  <c r="AA170" i="4"/>
  <c r="AA171" i="4"/>
  <c r="AA172" i="4"/>
  <c r="AA173" i="4"/>
  <c r="AA174" i="4"/>
  <c r="AA175" i="4"/>
  <c r="AA199" i="4"/>
  <c r="AA209" i="4"/>
  <c r="AA210" i="4"/>
  <c r="AA138" i="4"/>
  <c r="AA139" i="4"/>
  <c r="AA211" i="4"/>
  <c r="AA212" i="4"/>
  <c r="AA140" i="4"/>
  <c r="AA176" i="4"/>
  <c r="AA177" i="4"/>
  <c r="AA178" i="4"/>
  <c r="AA179" i="4"/>
  <c r="AA303" i="4"/>
  <c r="AA229" i="4"/>
  <c r="AA230" i="4"/>
  <c r="AA231" i="4"/>
  <c r="AA200" i="4"/>
  <c r="AA92" i="4"/>
  <c r="AA93" i="4"/>
  <c r="AA94" i="4"/>
  <c r="AA180" i="4"/>
  <c r="AA181" i="4"/>
  <c r="AA141" i="4"/>
  <c r="AA142" i="4"/>
  <c r="AA143" i="4"/>
  <c r="AA144" i="4"/>
  <c r="AA95" i="4"/>
  <c r="AA96" i="4"/>
  <c r="AA97" i="4"/>
  <c r="AA98" i="4"/>
  <c r="AA99" i="4"/>
  <c r="AA100" i="4"/>
  <c r="AA220" i="4"/>
  <c r="AA221" i="4"/>
  <c r="AA222" i="4"/>
  <c r="AA232" i="4"/>
  <c r="AA101" i="4"/>
  <c r="AA297" i="4"/>
  <c r="AA233" i="4"/>
  <c r="AA234" i="4"/>
  <c r="AA261" i="4"/>
  <c r="AA145" i="4"/>
  <c r="AA265" i="4"/>
  <c r="AA201" i="4"/>
  <c r="AA182" i="4"/>
  <c r="AA183" i="4"/>
  <c r="AA184" i="4"/>
  <c r="AA202" i="4"/>
  <c r="AA203" i="4"/>
  <c r="AA102" i="4"/>
  <c r="AA15" i="4"/>
  <c r="AA262" i="4"/>
  <c r="AA298" i="4"/>
  <c r="AA185" i="4"/>
  <c r="AA118" i="4"/>
  <c r="AA51" i="4"/>
  <c r="AA204" i="4"/>
  <c r="AA205" i="4"/>
  <c r="AA186" i="4"/>
  <c r="AA52" i="4"/>
  <c r="AA235" i="4"/>
  <c r="AA213" i="4"/>
  <c r="AA288" i="4"/>
  <c r="AA289" i="4"/>
  <c r="AA302" i="4"/>
  <c r="AA53" i="4"/>
  <c r="AA119" i="4"/>
  <c r="AA120" i="4"/>
  <c r="AA121" i="4"/>
  <c r="AA146" i="4"/>
  <c r="AA122" i="4"/>
  <c r="AA30" i="4"/>
  <c r="AA147" i="4"/>
  <c r="AA148" i="4"/>
  <c r="AA31" i="4"/>
  <c r="AA263" i="4"/>
  <c r="AA264" i="4"/>
  <c r="AA149" i="4"/>
  <c r="AA290" i="4"/>
  <c r="AA291" i="4"/>
  <c r="AA54" i="4"/>
  <c r="AA299" i="4"/>
  <c r="AA55" i="4"/>
  <c r="AA56" i="4"/>
  <c r="AA57" i="4"/>
  <c r="AA58" i="4"/>
  <c r="AA59" i="4"/>
  <c r="AA60" i="4"/>
  <c r="AA103" i="4"/>
  <c r="AA104" i="4"/>
  <c r="AA187" i="4"/>
  <c r="AA292" i="4"/>
  <c r="AA188" i="4"/>
  <c r="AA189" i="4"/>
  <c r="AA105" i="4"/>
  <c r="AA268" i="4"/>
  <c r="AA309" i="4"/>
  <c r="AA310" i="4"/>
  <c r="AA311" i="4"/>
  <c r="AA312" i="4"/>
  <c r="AA305" i="4"/>
  <c r="AA315" i="4"/>
  <c r="AA316" i="4"/>
  <c r="AA317" i="4"/>
  <c r="AA318" i="4"/>
  <c r="AA306" i="4"/>
  <c r="AA319" i="4"/>
  <c r="AA313" i="4"/>
  <c r="AA304" i="4"/>
  <c r="AA307" i="4"/>
  <c r="AA308" i="4"/>
  <c r="AA348" i="4"/>
  <c r="AA349" i="4"/>
  <c r="AA350" i="4"/>
  <c r="AA341" i="4"/>
  <c r="AA342" i="4"/>
  <c r="AA323" i="4"/>
  <c r="AA320" i="4"/>
  <c r="AA324" i="4"/>
  <c r="AA325" i="4"/>
  <c r="AA326" i="4"/>
  <c r="AA352" i="4"/>
  <c r="AA343" i="4"/>
  <c r="AA321" i="4"/>
  <c r="AA344" i="4"/>
  <c r="AA345" i="4"/>
  <c r="AA346" i="4"/>
  <c r="AA347" i="4"/>
  <c r="AA328" i="4"/>
  <c r="AA322" i="4"/>
  <c r="AA329" i="4"/>
  <c r="AA330" i="4"/>
  <c r="AA351" i="4"/>
  <c r="AA332" i="4"/>
  <c r="AA333" i="4"/>
  <c r="AA334" i="4"/>
  <c r="AA335" i="4"/>
  <c r="AA340" i="4"/>
  <c r="AA327" i="4"/>
  <c r="AA337" i="4"/>
  <c r="AA338" i="4"/>
  <c r="AA339" i="4"/>
  <c r="AA331" i="4"/>
  <c r="AA336" i="4"/>
  <c r="AA355" i="4"/>
  <c r="AA361" i="4"/>
  <c r="AA365" i="4"/>
  <c r="AA362" i="4"/>
  <c r="AA360" i="4"/>
  <c r="AA366" i="4"/>
  <c r="AA367" i="4"/>
  <c r="AA373" i="4"/>
  <c r="AA368" i="4"/>
  <c r="AA374" i="4"/>
  <c r="AA356" i="4"/>
  <c r="AA353" i="4"/>
  <c r="AA363" i="4"/>
  <c r="AA364" i="4"/>
  <c r="AA369" i="4"/>
  <c r="AA354" i="4"/>
  <c r="AA370" i="4"/>
  <c r="AA371" i="4"/>
  <c r="AA357" i="4"/>
  <c r="AA358" i="4"/>
  <c r="AA372" i="4"/>
  <c r="AA359" i="4"/>
  <c r="AA384" i="4"/>
  <c r="AA382" i="4"/>
  <c r="AA378" i="4"/>
  <c r="AA379" i="4"/>
  <c r="AA375" i="4"/>
  <c r="AA376" i="4"/>
  <c r="AA380" i="4"/>
  <c r="AA381" i="4"/>
  <c r="AA377" i="4"/>
  <c r="AA383" i="4"/>
  <c r="AA386" i="4"/>
  <c r="AA388" i="4"/>
  <c r="AA390" i="4"/>
  <c r="AA392" i="4"/>
  <c r="AA391" i="4"/>
  <c r="AA389" i="4"/>
  <c r="AA402" i="4"/>
  <c r="AA394" i="4"/>
  <c r="AA395" i="4"/>
  <c r="AA396" i="4"/>
  <c r="AA403" i="4"/>
  <c r="AA404" i="4"/>
  <c r="AA405" i="4"/>
  <c r="AA406" i="4"/>
  <c r="AA407" i="4"/>
  <c r="AA397" i="4"/>
  <c r="AA398" i="4"/>
  <c r="AA399" i="4"/>
  <c r="AA408" i="4"/>
  <c r="AA409" i="4"/>
  <c r="AA393" i="4"/>
  <c r="AA410" i="4"/>
  <c r="AA411" i="4"/>
  <c r="AA400" i="4"/>
  <c r="AA401" i="4"/>
  <c r="AA412" i="4"/>
  <c r="AA413" i="4"/>
  <c r="AA414" i="4"/>
  <c r="AA415" i="4"/>
  <c r="AA416" i="4"/>
  <c r="AA417" i="4"/>
  <c r="AA106" i="4"/>
  <c r="AM119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2" i="3"/>
  <c r="B13" i="3"/>
  <c r="B14" i="3"/>
  <c r="B15" i="3"/>
  <c r="B17" i="3"/>
  <c r="B18" i="3"/>
  <c r="B19" i="3"/>
  <c r="B20" i="3"/>
  <c r="B21" i="3"/>
  <c r="B22" i="3"/>
  <c r="B23" i="3"/>
  <c r="B24" i="3"/>
  <c r="B25" i="3"/>
  <c r="B27" i="3"/>
  <c r="B28" i="3"/>
  <c r="B29" i="3"/>
  <c r="B42" i="3"/>
  <c r="B32" i="3"/>
  <c r="B33" i="3"/>
  <c r="B43" i="3"/>
  <c r="B44" i="3"/>
  <c r="B45" i="3"/>
  <c r="B34" i="3"/>
  <c r="B35" i="3"/>
  <c r="B36" i="3"/>
  <c r="B37" i="3"/>
  <c r="B38" i="3"/>
  <c r="B39" i="3"/>
  <c r="B40" i="3"/>
  <c r="B41" i="3"/>
  <c r="C6" i="3"/>
  <c r="C12" i="3"/>
  <c r="C13" i="3"/>
  <c r="C14" i="3"/>
  <c r="C15" i="3"/>
  <c r="C17" i="3"/>
  <c r="C18" i="3"/>
  <c r="C19" i="3"/>
  <c r="C20" i="3"/>
  <c r="C21" i="3"/>
  <c r="C22" i="3"/>
  <c r="C23" i="3"/>
  <c r="C24" i="3"/>
  <c r="C25" i="3"/>
  <c r="C27" i="3"/>
  <c r="C28" i="3"/>
  <c r="C29" i="3"/>
  <c r="C42" i="3"/>
  <c r="C32" i="3"/>
  <c r="C33" i="3"/>
  <c r="C43" i="3"/>
  <c r="C44" i="3"/>
  <c r="C45" i="3"/>
  <c r="C34" i="3"/>
  <c r="C35" i="3"/>
  <c r="C36" i="3"/>
  <c r="C37" i="3"/>
  <c r="C38" i="3"/>
  <c r="C39" i="3"/>
  <c r="C40" i="3"/>
  <c r="C41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5" i="5"/>
  <c r="AM326" i="5"/>
  <c r="AM336" i="5"/>
  <c r="AM338" i="5"/>
  <c r="AM340" i="5"/>
  <c r="AM346" i="5"/>
  <c r="AM79" i="5"/>
  <c r="AM349" i="5"/>
  <c r="AM350" i="5"/>
  <c r="AM351" i="5"/>
  <c r="AM88" i="5"/>
  <c r="AM89" i="5"/>
  <c r="AM10" i="5"/>
  <c r="AM11" i="5"/>
  <c r="AM96" i="5"/>
  <c r="AM97" i="5"/>
  <c r="AM99" i="5"/>
  <c r="AM104" i="5"/>
  <c r="AM110" i="5"/>
  <c r="AM379" i="5"/>
  <c r="AM388" i="5"/>
  <c r="AM113" i="5"/>
  <c r="AM2" i="5"/>
  <c r="AM389" i="5"/>
  <c r="AM12" i="5"/>
  <c r="AM118" i="5"/>
  <c r="AM13" i="5"/>
  <c r="AM271" i="5"/>
  <c r="AM14" i="5"/>
  <c r="AM356" i="5"/>
  <c r="AM357" i="5"/>
  <c r="AM274" i="5"/>
  <c r="AM15" i="5"/>
  <c r="AM276" i="5"/>
  <c r="AM359" i="5"/>
  <c r="AM128" i="5"/>
  <c r="AM130" i="5"/>
  <c r="AM131" i="5"/>
  <c r="AM133" i="5"/>
  <c r="AM134" i="5"/>
  <c r="AM4" i="5"/>
  <c r="AM137" i="5"/>
  <c r="AM256" i="5"/>
  <c r="AM138" i="5"/>
  <c r="AM140" i="5"/>
  <c r="AM141" i="5"/>
  <c r="AM277" i="5"/>
  <c r="AM150" i="5"/>
  <c r="AM151" i="5"/>
  <c r="AM278" i="5"/>
  <c r="AM279" i="5"/>
  <c r="AM280" i="5"/>
  <c r="AM152" i="5"/>
  <c r="AM154" i="5"/>
  <c r="AM159" i="5"/>
  <c r="AM165" i="5"/>
  <c r="AM166" i="5"/>
  <c r="AM167" i="5"/>
  <c r="AM171" i="5"/>
  <c r="AM174" i="5"/>
  <c r="AM175" i="5"/>
  <c r="AM181" i="5"/>
  <c r="AM182" i="5"/>
  <c r="AM183" i="5"/>
  <c r="AM184" i="5"/>
  <c r="AM185" i="5"/>
  <c r="AM186" i="5"/>
  <c r="AM187" i="5"/>
  <c r="AM188" i="5"/>
  <c r="AM195" i="5"/>
  <c r="AM196" i="5"/>
  <c r="AM197" i="5"/>
  <c r="AM199" i="5"/>
  <c r="AM295" i="5"/>
  <c r="AM27" i="5"/>
  <c r="AM224" i="5"/>
  <c r="AM228" i="5"/>
  <c r="AM229" i="5"/>
  <c r="AM395" i="5"/>
  <c r="AM396" i="5"/>
  <c r="AM397" i="5"/>
  <c r="AM398" i="5"/>
  <c r="AM399" i="5"/>
  <c r="AM400" i="5"/>
  <c r="AM401" i="5"/>
  <c r="AM403" i="5"/>
  <c r="AM404" i="5"/>
  <c r="AM405" i="5"/>
  <c r="AM406" i="5"/>
  <c r="AM407" i="5"/>
  <c r="AM408" i="5"/>
  <c r="AM409" i="5"/>
  <c r="AM410" i="5"/>
  <c r="AM242" i="5"/>
  <c r="AM412" i="5"/>
  <c r="AM413" i="5"/>
  <c r="AM415" i="5"/>
  <c r="AM416" i="5"/>
  <c r="AM417" i="5"/>
  <c r="AM251" i="5"/>
  <c r="AM36" i="5"/>
  <c r="AM37" i="5"/>
  <c r="AM252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6" i="5"/>
  <c r="AM267" i="5"/>
  <c r="AM55" i="5"/>
  <c r="AM56" i="5"/>
  <c r="AM57" i="5"/>
  <c r="AM59" i="5"/>
  <c r="AM60" i="5"/>
  <c r="AM62" i="5"/>
  <c r="AM63" i="5"/>
  <c r="AM64" i="5"/>
  <c r="AM68" i="5"/>
  <c r="AM70" i="5"/>
  <c r="AM71" i="5"/>
  <c r="AM320" i="5"/>
  <c r="AM321" i="5"/>
  <c r="AM322" i="5"/>
  <c r="AM323" i="5"/>
  <c r="AM324" i="5"/>
  <c r="AM327" i="5"/>
  <c r="AM328" i="5"/>
  <c r="AM329" i="5"/>
  <c r="AM330" i="5"/>
  <c r="AM331" i="5"/>
  <c r="AM332" i="5"/>
  <c r="AM333" i="5"/>
  <c r="AM334" i="5"/>
  <c r="AM335" i="5"/>
  <c r="AM337" i="5"/>
  <c r="AM339" i="5"/>
  <c r="AM342" i="5"/>
  <c r="AM343" i="5"/>
  <c r="AM344" i="5"/>
  <c r="AM345" i="5"/>
  <c r="AM72" i="5"/>
  <c r="AM9" i="5"/>
  <c r="AM73" i="5"/>
  <c r="AM347" i="5"/>
  <c r="AM74" i="5"/>
  <c r="AM75" i="5"/>
  <c r="AM76" i="5"/>
  <c r="AM77" i="5"/>
  <c r="AM78" i="5"/>
  <c r="AM304" i="5"/>
  <c r="AM305" i="5"/>
  <c r="AM353" i="5"/>
  <c r="AM80" i="5"/>
  <c r="AM81" i="5"/>
  <c r="AM268" i="5"/>
  <c r="AM82" i="5"/>
  <c r="AM83" i="5"/>
  <c r="AM84" i="5"/>
  <c r="AM85" i="5"/>
  <c r="AM260" i="5"/>
  <c r="AM261" i="5"/>
  <c r="AM86" i="5"/>
  <c r="AM262" i="5"/>
  <c r="AM254" i="5"/>
  <c r="AM348" i="5"/>
  <c r="AM87" i="5"/>
  <c r="AM90" i="5"/>
  <c r="AM91" i="5"/>
  <c r="AM306" i="5"/>
  <c r="AM307" i="5"/>
  <c r="AM92" i="5"/>
  <c r="AM93" i="5"/>
  <c r="AM94" i="5"/>
  <c r="AM95" i="5"/>
  <c r="AM263" i="5"/>
  <c r="AM255" i="5"/>
  <c r="AM264" i="5"/>
  <c r="AM100" i="5"/>
  <c r="AM101" i="5"/>
  <c r="AM102" i="5"/>
  <c r="AM103" i="5"/>
  <c r="AM105" i="5"/>
  <c r="AM106" i="5"/>
  <c r="AM107" i="5"/>
  <c r="AM108" i="5"/>
  <c r="AM109" i="5"/>
  <c r="AM375" i="5"/>
  <c r="AM376" i="5"/>
  <c r="AM377" i="5"/>
  <c r="AM378" i="5"/>
  <c r="AM380" i="5"/>
  <c r="AM381" i="5"/>
  <c r="AM382" i="5"/>
  <c r="AM383" i="5"/>
  <c r="AM384" i="5"/>
  <c r="AM354" i="5"/>
  <c r="AM355" i="5"/>
  <c r="AM111" i="5"/>
  <c r="AM112" i="5"/>
  <c r="AM114" i="5"/>
  <c r="AM309" i="5"/>
  <c r="AM115" i="5"/>
  <c r="AM310" i="5"/>
  <c r="AM311" i="5"/>
  <c r="AM312" i="5"/>
  <c r="AM313" i="5"/>
  <c r="AM116" i="5"/>
  <c r="AM117" i="5"/>
  <c r="AM341" i="5"/>
  <c r="AM269" i="5"/>
  <c r="AM270" i="5"/>
  <c r="AM390" i="5"/>
  <c r="AM272" i="5"/>
  <c r="AM273" i="5"/>
  <c r="AM120" i="5"/>
  <c r="AM121" i="5"/>
  <c r="AM391" i="5"/>
  <c r="AM122" i="5"/>
  <c r="AM123" i="5"/>
  <c r="AM124" i="5"/>
  <c r="AM125" i="5"/>
  <c r="AM275" i="5"/>
  <c r="AM358" i="5"/>
  <c r="AM126" i="5"/>
  <c r="AM127" i="5"/>
  <c r="AM360" i="5"/>
  <c r="AM361" i="5"/>
  <c r="AM362" i="5"/>
  <c r="AM129" i="5"/>
  <c r="AM132" i="5"/>
  <c r="AM3" i="5"/>
  <c r="AM135" i="5"/>
  <c r="AM136" i="5"/>
  <c r="AM139" i="5"/>
  <c r="AM142" i="5"/>
  <c r="AM143" i="5"/>
  <c r="AM144" i="5"/>
  <c r="AM145" i="5"/>
  <c r="AM146" i="5"/>
  <c r="AM147" i="5"/>
  <c r="AM148" i="5"/>
  <c r="AM149" i="5"/>
  <c r="AM153" i="5"/>
  <c r="AM281" i="5"/>
  <c r="AM155" i="5"/>
  <c r="AM156" i="5"/>
  <c r="AM157" i="5"/>
  <c r="AM352" i="5"/>
  <c r="AM363" i="5"/>
  <c r="AM364" i="5"/>
  <c r="AM365" i="5"/>
  <c r="AM366" i="5"/>
  <c r="AM367" i="5"/>
  <c r="AM368" i="5"/>
  <c r="AM369" i="5"/>
  <c r="AM370" i="5"/>
  <c r="AM158" i="5"/>
  <c r="AM160" i="5"/>
  <c r="AM161" i="5"/>
  <c r="AM162" i="5"/>
  <c r="AM163" i="5"/>
  <c r="AM257" i="5"/>
  <c r="AM258" i="5"/>
  <c r="AM164" i="5"/>
  <c r="AM16" i="5"/>
  <c r="AM17" i="5"/>
  <c r="AM18" i="5"/>
  <c r="AM168" i="5"/>
  <c r="AM169" i="5"/>
  <c r="AM170" i="5"/>
  <c r="AM172" i="5"/>
  <c r="AM173" i="5"/>
  <c r="AM176" i="5"/>
  <c r="AM177" i="5"/>
  <c r="AM178" i="5"/>
  <c r="AM179" i="5"/>
  <c r="AM180" i="5"/>
  <c r="AM189" i="5"/>
  <c r="AM190" i="5"/>
  <c r="AM191" i="5"/>
  <c r="AM192" i="5"/>
  <c r="AM193" i="5"/>
  <c r="AM282" i="5"/>
  <c r="AM283" i="5"/>
  <c r="AM284" i="5"/>
  <c r="AM194" i="5"/>
  <c r="AM285" i="5"/>
  <c r="AM286" i="5"/>
  <c r="AM287" i="5"/>
  <c r="AM288" i="5"/>
  <c r="AM5" i="5"/>
  <c r="AM289" i="5"/>
  <c r="AM290" i="5"/>
  <c r="AM291" i="5"/>
  <c r="AM292" i="5"/>
  <c r="AM200" i="5"/>
  <c r="AM294" i="5"/>
  <c r="AM201" i="5"/>
  <c r="AM21" i="5"/>
  <c r="AM202" i="5"/>
  <c r="AM204" i="5"/>
  <c r="AM205" i="5"/>
  <c r="AM207" i="5"/>
  <c r="AM22" i="5"/>
  <c r="AM24" i="5"/>
  <c r="AM25" i="5"/>
  <c r="AM26" i="5"/>
  <c r="AM6" i="5"/>
  <c r="AM7" i="5"/>
  <c r="AM209" i="5"/>
  <c r="AM210" i="5"/>
  <c r="AM211" i="5"/>
  <c r="AM212" i="5"/>
  <c r="AM213" i="5"/>
  <c r="AM259" i="5"/>
  <c r="AM214" i="5"/>
  <c r="AM215" i="5"/>
  <c r="AM216" i="5"/>
  <c r="AM217" i="5"/>
  <c r="AM218" i="5"/>
  <c r="AM314" i="5"/>
  <c r="AM219" i="5"/>
  <c r="AM28" i="5"/>
  <c r="AM220" i="5"/>
  <c r="AM221" i="5"/>
  <c r="AM222" i="5"/>
  <c r="AM223" i="5"/>
  <c r="AM225" i="5"/>
  <c r="AM226" i="5"/>
  <c r="AM227" i="5"/>
  <c r="AM296" i="5"/>
  <c r="AM297" i="5"/>
  <c r="AM8" i="5"/>
  <c r="AM230" i="5"/>
  <c r="AM231" i="5"/>
  <c r="AM315" i="5"/>
  <c r="AM316" i="5"/>
  <c r="AM232" i="5"/>
  <c r="AM371" i="5"/>
  <c r="AM298" i="5"/>
  <c r="AM233" i="5"/>
  <c r="AM29" i="5"/>
  <c r="AM30" i="5"/>
  <c r="AM31" i="5"/>
  <c r="AM32" i="5"/>
  <c r="AM33" i="5"/>
  <c r="AM234" i="5"/>
  <c r="AM34" i="5"/>
  <c r="AM317" i="5"/>
  <c r="AM385" i="5"/>
  <c r="AM235" i="5"/>
  <c r="AM236" i="5"/>
  <c r="AM237" i="5"/>
  <c r="AM238" i="5"/>
  <c r="AM239" i="5"/>
  <c r="AM240" i="5"/>
  <c r="AM393" i="5"/>
  <c r="AM394" i="5"/>
  <c r="AM402" i="5"/>
  <c r="AM411" i="5"/>
  <c r="AM414" i="5"/>
  <c r="AM243" i="5"/>
  <c r="AM244" i="5"/>
  <c r="AM245" i="5"/>
  <c r="AM246" i="5"/>
  <c r="AM247" i="5"/>
  <c r="AM248" i="5"/>
  <c r="AM249" i="5"/>
  <c r="AM392" i="5"/>
  <c r="AM250" i="5"/>
  <c r="AM372" i="5"/>
  <c r="AM373" i="5"/>
  <c r="AM374" i="5"/>
  <c r="AM35" i="5"/>
  <c r="AM318" i="5"/>
  <c r="AM319" i="5"/>
  <c r="AM253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9" i="5"/>
  <c r="AP409" i="5"/>
  <c r="AQ408" i="5"/>
  <c r="AP408" i="5"/>
  <c r="AQ393" i="5"/>
  <c r="AP393" i="5"/>
  <c r="AQ394" i="5"/>
  <c r="AP394" i="5"/>
  <c r="AQ385" i="5"/>
  <c r="AQ384" i="5"/>
  <c r="AQ383" i="5"/>
  <c r="AQ382" i="5"/>
  <c r="AQ381" i="5"/>
  <c r="AQ380" i="5"/>
  <c r="AQ378" i="5"/>
  <c r="AQ377" i="5"/>
  <c r="AQ376" i="5"/>
  <c r="AQ375" i="5"/>
  <c r="AQ370" i="5"/>
  <c r="AQ369" i="5"/>
  <c r="AQ368" i="5"/>
  <c r="AQ367" i="5"/>
  <c r="AQ366" i="5"/>
  <c r="AQ365" i="5"/>
  <c r="AQ364" i="5"/>
  <c r="AQ355" i="5"/>
  <c r="AQ353" i="5"/>
  <c r="AQ374" i="5"/>
  <c r="AQ373" i="5"/>
  <c r="AQ372" i="5"/>
  <c r="AQ371" i="5"/>
  <c r="AQ363" i="5"/>
  <c r="AQ362" i="5"/>
  <c r="AQ361" i="5"/>
  <c r="AQ360" i="5"/>
  <c r="AQ359" i="5"/>
  <c r="AQ358" i="5"/>
  <c r="AQ357" i="5"/>
  <c r="AQ356" i="5"/>
  <c r="AQ354" i="5"/>
  <c r="AQ352" i="5"/>
  <c r="AQ341" i="5"/>
  <c r="AQ351" i="5"/>
  <c r="AQ350" i="5"/>
  <c r="AQ349" i="5"/>
  <c r="AQ348" i="5"/>
  <c r="AQ347" i="5"/>
  <c r="AQ346" i="5"/>
  <c r="AQ345" i="5"/>
  <c r="AQ344" i="5"/>
  <c r="AQ343" i="5"/>
  <c r="AQ342" i="5"/>
  <c r="AQ340" i="5"/>
  <c r="AQ339" i="5"/>
  <c r="AQ338" i="5"/>
  <c r="AQ337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7" i="5"/>
  <c r="AQ306" i="5"/>
  <c r="AQ305" i="5"/>
  <c r="AQ304" i="5"/>
  <c r="AS34" i="5"/>
  <c r="AQ34" i="5"/>
  <c r="AS234" i="5"/>
  <c r="AQ234" i="5"/>
  <c r="AS33" i="5"/>
  <c r="AQ33" i="5"/>
  <c r="AS32" i="5"/>
  <c r="AQ32" i="5"/>
  <c r="AS31" i="5"/>
  <c r="AQ31" i="5"/>
  <c r="AQ176" i="5"/>
  <c r="AQ90" i="5"/>
  <c r="AS221" i="5"/>
  <c r="AS220" i="5"/>
  <c r="AS28" i="5"/>
  <c r="AQ28" i="5"/>
  <c r="AS219" i="5"/>
  <c r="AQ219" i="5"/>
  <c r="AS214" i="5"/>
  <c r="AS170" i="5"/>
  <c r="AQ170" i="5"/>
  <c r="AS169" i="5"/>
  <c r="AQ169" i="5"/>
  <c r="AQ134" i="5"/>
  <c r="AS127" i="5"/>
  <c r="AQ127" i="5"/>
  <c r="AS105" i="5"/>
  <c r="AS104" i="5"/>
  <c r="AS156" i="5"/>
  <c r="AS142" i="5"/>
  <c r="AS240" i="5"/>
  <c r="AS231" i="5"/>
  <c r="AS230" i="5"/>
  <c r="AS215" i="5"/>
  <c r="AS259" i="5"/>
  <c r="AQ259" i="5"/>
  <c r="AS213" i="5"/>
  <c r="AS212" i="5"/>
  <c r="AS211" i="5"/>
  <c r="AS210" i="5"/>
  <c r="AS209" i="5"/>
  <c r="AQ209" i="5"/>
  <c r="AS161" i="5"/>
  <c r="AS160" i="5"/>
  <c r="AS146" i="5"/>
  <c r="AQ143" i="5"/>
  <c r="AS139" i="5"/>
  <c r="AQ139" i="5"/>
  <c r="AS132" i="5"/>
  <c r="AS269" i="5"/>
  <c r="AS87" i="5"/>
  <c r="AS250" i="5"/>
  <c r="AQ250" i="5"/>
  <c r="AS232" i="5"/>
  <c r="AQ232" i="5"/>
  <c r="AS8" i="5"/>
  <c r="AQ8" i="5"/>
  <c r="AS297" i="5"/>
  <c r="AQ297" i="5"/>
  <c r="AS296" i="5"/>
  <c r="AQ296" i="5"/>
  <c r="AS7" i="5"/>
  <c r="AQ7" i="5"/>
  <c r="AS292" i="5"/>
  <c r="AQ292" i="5"/>
  <c r="AS291" i="5"/>
  <c r="AQ291" i="5"/>
  <c r="AS290" i="5"/>
  <c r="AQ290" i="5"/>
  <c r="AS289" i="5"/>
  <c r="AQ289" i="5"/>
  <c r="AS5" i="5"/>
  <c r="AS288" i="5"/>
  <c r="AQ288" i="5"/>
  <c r="AS287" i="5"/>
  <c r="AQ287" i="5"/>
  <c r="AS194" i="5"/>
  <c r="AQ194" i="5"/>
  <c r="AS284" i="5"/>
  <c r="AQ284" i="5"/>
  <c r="AS283" i="5"/>
  <c r="AQ283" i="5"/>
  <c r="AS282" i="5"/>
  <c r="AQ282" i="5"/>
  <c r="AS193" i="5"/>
  <c r="AQ193" i="5"/>
  <c r="AS158" i="5"/>
  <c r="AQ158" i="5"/>
  <c r="AS281" i="5"/>
  <c r="AQ281" i="5"/>
  <c r="AQ148" i="5"/>
  <c r="AS144" i="5"/>
  <c r="AQ144" i="5"/>
  <c r="AQ135" i="5"/>
  <c r="AS3" i="5"/>
  <c r="AQ3" i="5"/>
  <c r="AS275" i="5"/>
  <c r="AQ275" i="5"/>
  <c r="AQ270" i="5"/>
  <c r="AS2" i="5"/>
  <c r="AQ2" i="5"/>
  <c r="AS114" i="5"/>
  <c r="AQ114" i="5"/>
  <c r="AS112" i="5"/>
  <c r="AQ112" i="5"/>
  <c r="AS111" i="5"/>
  <c r="AS106" i="5"/>
  <c r="AQ102" i="5"/>
  <c r="AS101" i="5"/>
  <c r="AQ101" i="5"/>
  <c r="AS100" i="5"/>
  <c r="AQ100" i="5"/>
  <c r="AS80" i="5"/>
  <c r="AQ80" i="5"/>
  <c r="AS76" i="5"/>
  <c r="AQ76" i="5"/>
  <c r="AS6" i="5"/>
  <c r="AQ6" i="5"/>
  <c r="AS201" i="5"/>
  <c r="AQ201" i="5"/>
  <c r="AS24" i="5"/>
  <c r="AQ24" i="5"/>
  <c r="AS26" i="5"/>
  <c r="AQ26" i="5"/>
  <c r="AS25" i="5"/>
  <c r="AQ25" i="5"/>
  <c r="AS22" i="5"/>
  <c r="AQ22" i="5"/>
  <c r="AS294" i="5"/>
  <c r="AQ294" i="5"/>
  <c r="AS37" i="5"/>
  <c r="AQ37" i="5"/>
  <c r="AS35" i="5"/>
  <c r="AQ35" i="5"/>
  <c r="AS238" i="5"/>
  <c r="AQ238" i="5"/>
  <c r="AS207" i="5"/>
  <c r="AQ207" i="5"/>
  <c r="AS179" i="5"/>
  <c r="AQ179" i="5"/>
  <c r="AS164" i="5"/>
  <c r="AQ164" i="5"/>
  <c r="AS36" i="5"/>
  <c r="AQ36" i="5"/>
  <c r="AS239" i="5"/>
  <c r="AQ239" i="5"/>
  <c r="AS237" i="5"/>
  <c r="AQ237" i="5"/>
  <c r="AS236" i="5"/>
  <c r="AQ236" i="5"/>
  <c r="AS235" i="5"/>
  <c r="AQ235" i="5"/>
  <c r="AS205" i="5"/>
  <c r="AQ205" i="5"/>
  <c r="AS286" i="5"/>
  <c r="AQ286" i="5"/>
  <c r="AS285" i="5"/>
  <c r="AQ285" i="5"/>
  <c r="AS204" i="5"/>
  <c r="AQ204" i="5"/>
  <c r="AS180" i="5"/>
  <c r="AS202" i="5"/>
  <c r="AQ202" i="5"/>
  <c r="AS199" i="5"/>
  <c r="AS197" i="5"/>
  <c r="AQ197" i="5"/>
  <c r="AS18" i="5"/>
  <c r="AQ18" i="5"/>
  <c r="AS17" i="5"/>
  <c r="AQ17" i="5"/>
  <c r="AS16" i="5"/>
  <c r="AQ16" i="5"/>
  <c r="AS258" i="5"/>
  <c r="AQ258" i="5"/>
  <c r="AS162" i="5"/>
  <c r="AQ162" i="5"/>
  <c r="AS147" i="5"/>
  <c r="AS103" i="5"/>
  <c r="AS264" i="5"/>
  <c r="AQ264" i="5"/>
  <c r="AS255" i="5"/>
  <c r="AQ255" i="5"/>
  <c r="AS173" i="5"/>
  <c r="AQ173" i="5"/>
  <c r="AS120" i="5"/>
  <c r="AS109" i="5"/>
  <c r="AS108" i="5"/>
  <c r="AS107" i="5"/>
  <c r="AS95" i="5"/>
  <c r="AQ95" i="5"/>
  <c r="AS94" i="5"/>
  <c r="AQ94" i="5"/>
  <c r="AS93" i="5"/>
  <c r="AQ93" i="5"/>
  <c r="AS262" i="5"/>
  <c r="AQ262" i="5"/>
  <c r="AS261" i="5"/>
  <c r="AQ261" i="5"/>
  <c r="AS268" i="5"/>
  <c r="AQ268" i="5"/>
  <c r="AQ267" i="5"/>
  <c r="AS253" i="5"/>
  <c r="AQ253" i="5"/>
  <c r="AS263" i="5"/>
  <c r="AQ263" i="5"/>
  <c r="AQ92" i="5"/>
  <c r="AQ254" i="5"/>
  <c r="AS86" i="5"/>
  <c r="AQ86" i="5"/>
  <c r="AS260" i="5"/>
  <c r="AQ260" i="5"/>
  <c r="AS85" i="5"/>
  <c r="AQ85" i="5"/>
  <c r="AS84" i="5"/>
  <c r="AQ84" i="5"/>
  <c r="AS83" i="5"/>
  <c r="AQ83" i="5"/>
  <c r="AS82" i="5"/>
  <c r="AQ82" i="5"/>
  <c r="AS81" i="5"/>
  <c r="AQ81" i="5"/>
  <c r="AS233" i="5"/>
  <c r="AQ233" i="5"/>
  <c r="AS298" i="5"/>
  <c r="AQ298" i="5"/>
  <c r="AS223" i="5"/>
  <c r="AS200" i="5"/>
  <c r="AS172" i="5"/>
  <c r="AQ172" i="5"/>
  <c r="AS168" i="5"/>
  <c r="AQ168" i="5"/>
  <c r="AS153" i="5"/>
  <c r="AS136" i="5"/>
  <c r="AQ136" i="5"/>
  <c r="AS129" i="5"/>
  <c r="AS126" i="5"/>
  <c r="AQ126" i="5"/>
  <c r="AS78" i="5"/>
  <c r="AS75" i="5"/>
  <c r="AQ75" i="5"/>
  <c r="AS74" i="5"/>
  <c r="AQ74" i="5"/>
  <c r="AS73" i="5"/>
  <c r="AS9" i="5"/>
  <c r="AS72" i="5"/>
  <c r="AQ72" i="5"/>
  <c r="AQ266" i="5"/>
  <c r="AS245" i="5"/>
  <c r="AQ245" i="5"/>
  <c r="AQ29" i="5"/>
  <c r="AS116" i="5"/>
  <c r="AQ116" i="5"/>
  <c r="AS70" i="5"/>
  <c r="AQ70" i="5"/>
  <c r="AS243" i="5"/>
  <c r="AQ243" i="5"/>
  <c r="AQ225" i="5"/>
  <c r="AS272" i="5"/>
  <c r="AQ91" i="5"/>
  <c r="AS71" i="5"/>
  <c r="AQ71" i="5"/>
  <c r="AS68" i="5"/>
  <c r="AQ68" i="5"/>
  <c r="AS64" i="5"/>
  <c r="AQ64" i="5"/>
  <c r="AS48" i="5"/>
  <c r="AQ48" i="5"/>
  <c r="AS46" i="5"/>
  <c r="AQ46" i="5"/>
  <c r="AS123" i="5"/>
  <c r="AQ123" i="5"/>
  <c r="AS59" i="5"/>
  <c r="AQ59" i="5"/>
  <c r="AS57" i="5"/>
  <c r="AQ57" i="5"/>
  <c r="AS56" i="5"/>
  <c r="AQ56" i="5"/>
  <c r="AS257" i="5"/>
  <c r="AQ257" i="5"/>
  <c r="AS60" i="5"/>
  <c r="AQ60" i="5"/>
  <c r="AS55" i="5"/>
  <c r="AQ55" i="5"/>
  <c r="AS226" i="5"/>
  <c r="AQ178" i="5"/>
  <c r="AQ177" i="5"/>
  <c r="AS53" i="5"/>
  <c r="AQ53" i="5"/>
  <c r="AS52" i="5"/>
  <c r="AQ52" i="5"/>
  <c r="AS51" i="5"/>
  <c r="AQ51" i="5"/>
  <c r="AS50" i="5"/>
  <c r="AQ50" i="5"/>
  <c r="AS155" i="5"/>
  <c r="AQ155" i="5"/>
  <c r="AS45" i="5"/>
  <c r="AQ45" i="5"/>
  <c r="AS44" i="5"/>
  <c r="AQ44" i="5"/>
  <c r="AS43" i="5"/>
  <c r="AQ43" i="5"/>
  <c r="AS249" i="5"/>
  <c r="AQ249" i="5"/>
  <c r="AS248" i="5"/>
  <c r="AQ248" i="5"/>
  <c r="AS247" i="5"/>
  <c r="AQ247" i="5"/>
  <c r="AS244" i="5"/>
  <c r="AQ244" i="5"/>
  <c r="AS228" i="5"/>
  <c r="AQ228" i="5"/>
  <c r="AQ189" i="5"/>
  <c r="AQ157" i="5"/>
  <c r="AS122" i="5"/>
  <c r="AQ122" i="5"/>
  <c r="AS121" i="5"/>
  <c r="AQ121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7" i="5"/>
  <c r="AP397" i="5"/>
  <c r="AQ417" i="5"/>
  <c r="AP417" i="5"/>
  <c r="AQ412" i="5"/>
  <c r="AP412" i="5"/>
  <c r="AQ411" i="5"/>
  <c r="AP411" i="5"/>
  <c r="AQ410" i="5"/>
  <c r="AP410" i="5"/>
  <c r="AQ407" i="5"/>
  <c r="AP407" i="5"/>
  <c r="AQ406" i="5"/>
  <c r="AP406" i="5"/>
  <c r="AQ404" i="5"/>
  <c r="AP404" i="5"/>
  <c r="AQ403" i="5"/>
  <c r="AP403" i="5"/>
  <c r="AQ402" i="5"/>
  <c r="AP402" i="5"/>
  <c r="AQ400" i="5"/>
  <c r="AP400" i="5"/>
  <c r="AQ399" i="5"/>
  <c r="AP399" i="5"/>
  <c r="AQ396" i="5"/>
  <c r="AP396" i="5"/>
  <c r="AQ401" i="5"/>
  <c r="AP401" i="5"/>
  <c r="AQ395" i="5"/>
  <c r="AP395" i="5"/>
  <c r="AQ416" i="5"/>
  <c r="AP416" i="5"/>
  <c r="AQ415" i="5"/>
  <c r="AP415" i="5"/>
  <c r="AQ414" i="5"/>
  <c r="AP414" i="5"/>
  <c r="AQ413" i="5"/>
  <c r="AP413" i="5"/>
  <c r="AQ405" i="5"/>
  <c r="AP405" i="5"/>
  <c r="AQ398" i="5"/>
  <c r="AP398" i="5"/>
  <c r="AQ379" i="5"/>
  <c r="AQ336" i="5"/>
  <c r="AS150" i="5"/>
  <c r="AQ150" i="5"/>
  <c r="AS130" i="5"/>
  <c r="AS27" i="5"/>
  <c r="AS15" i="5"/>
  <c r="AS252" i="5"/>
  <c r="AQ252" i="5"/>
  <c r="AS293" i="5"/>
  <c r="AQ293" i="5"/>
  <c r="AS295" i="5"/>
  <c r="AQ295" i="5"/>
  <c r="AS21" i="5"/>
  <c r="AQ21" i="5"/>
  <c r="AS14" i="5"/>
  <c r="AS118" i="5"/>
  <c r="AQ118" i="5"/>
  <c r="AS140" i="5"/>
  <c r="AS77" i="5"/>
  <c r="AS196" i="5"/>
  <c r="AQ196" i="5"/>
  <c r="AS195" i="5"/>
  <c r="AQ195" i="5"/>
  <c r="AS190" i="5"/>
  <c r="AQ190" i="5"/>
  <c r="AS115" i="5"/>
  <c r="AQ115" i="5"/>
  <c r="AS138" i="5"/>
  <c r="AQ138" i="5"/>
  <c r="AQ4" i="5"/>
  <c r="AQ154" i="5"/>
  <c r="AQ152" i="5"/>
  <c r="AQ280" i="5"/>
  <c r="AS151" i="5"/>
  <c r="AQ137" i="5"/>
  <c r="AS125" i="5"/>
  <c r="AQ125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1" i="5"/>
  <c r="AS128" i="5"/>
  <c r="AQ128" i="5"/>
  <c r="AS271" i="5"/>
  <c r="AS277" i="5"/>
  <c r="AQ277" i="5"/>
  <c r="AQ276" i="5"/>
  <c r="AS246" i="5"/>
  <c r="AQ246" i="5"/>
  <c r="AS30" i="5"/>
  <c r="AQ30" i="5"/>
  <c r="AS192" i="5"/>
  <c r="AQ192" i="5"/>
  <c r="AS191" i="5"/>
  <c r="AQ191" i="5"/>
  <c r="AS163" i="5"/>
  <c r="AQ163" i="5"/>
  <c r="AS279" i="5"/>
  <c r="AQ279" i="5"/>
  <c r="AS99" i="5"/>
  <c r="AQ99" i="5"/>
  <c r="AS96" i="5"/>
  <c r="AQ96" i="5"/>
  <c r="AS251" i="5"/>
  <c r="AQ251" i="5"/>
  <c r="AS242" i="5"/>
  <c r="AS224" i="5"/>
  <c r="AQ224" i="5"/>
  <c r="AS171" i="5"/>
  <c r="AQ171" i="5"/>
  <c r="AS110" i="5"/>
  <c r="AQ110" i="5"/>
  <c r="AQ61" i="5"/>
  <c r="AQ256" i="5"/>
  <c r="AS119" i="5"/>
  <c r="AQ119" i="5"/>
  <c r="AS159" i="5"/>
  <c r="AS133" i="5"/>
  <c r="AS88" i="5"/>
  <c r="AS141" i="5"/>
  <c r="AS113" i="5"/>
  <c r="AQ113" i="5"/>
  <c r="AT32" i="5"/>
  <c r="AV32" i="5"/>
  <c r="AT61" i="5"/>
  <c r="AV61" i="5"/>
  <c r="AT33" i="5"/>
  <c r="AV33" i="5"/>
  <c r="AT234" i="5"/>
  <c r="AV234" i="5"/>
  <c r="AT177" i="5"/>
  <c r="AV177" i="5"/>
  <c r="AT130" i="5"/>
  <c r="AV130" i="5"/>
  <c r="AT150" i="5"/>
  <c r="AV150" i="5"/>
  <c r="AT189" i="5"/>
  <c r="AV189" i="5"/>
  <c r="AT176" i="5"/>
  <c r="AV176" i="5"/>
  <c r="AT31" i="5"/>
  <c r="AV31" i="5"/>
  <c r="AT34" i="5"/>
  <c r="AV34" i="5"/>
  <c r="AL29" i="2"/>
  <c r="BE98" i="2"/>
  <c r="BE99" i="2"/>
  <c r="BE100" i="2"/>
  <c r="BE110" i="2"/>
  <c r="BF98" i="2"/>
  <c r="BF99" i="2"/>
  <c r="BF100" i="2"/>
  <c r="BF110" i="2"/>
  <c r="AW34" i="5"/>
  <c r="AW31" i="5"/>
  <c r="AW176" i="5"/>
  <c r="AW189" i="5"/>
  <c r="AW150" i="5"/>
  <c r="AW130" i="5"/>
  <c r="AW177" i="5"/>
  <c r="AW234" i="5"/>
  <c r="AW33" i="5"/>
  <c r="AW61" i="5"/>
  <c r="AW32" i="5"/>
  <c r="AX32" i="5"/>
  <c r="AX61" i="5"/>
  <c r="AX33" i="5"/>
  <c r="AX234" i="5"/>
  <c r="AX177" i="5"/>
  <c r="AX130" i="5"/>
  <c r="AX150" i="5"/>
  <c r="AX189" i="5"/>
  <c r="AX176" i="5"/>
  <c r="AX31" i="5"/>
  <c r="AX34" i="5"/>
  <c r="AZ34" i="5"/>
  <c r="AZ31" i="5"/>
  <c r="AZ176" i="5"/>
  <c r="AZ189" i="5"/>
  <c r="AZ150" i="5"/>
  <c r="AZ130" i="5"/>
  <c r="AZ177" i="5"/>
  <c r="AZ234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98" i="2"/>
  <c r="BL99" i="2"/>
  <c r="BL100" i="2"/>
  <c r="BL110" i="2"/>
  <c r="BK98" i="2"/>
  <c r="BK99" i="2"/>
  <c r="BK100" i="2"/>
  <c r="BK110" i="2"/>
  <c r="BJ98" i="2"/>
  <c r="BJ99" i="2"/>
  <c r="BJ100" i="2"/>
  <c r="BJ110" i="2"/>
  <c r="BI98" i="2"/>
  <c r="BI99" i="2"/>
  <c r="BI100" i="2"/>
  <c r="BI110" i="2"/>
  <c r="BH98" i="2"/>
  <c r="BH99" i="2"/>
  <c r="BH100" i="2"/>
  <c r="BH110" i="2"/>
  <c r="BG98" i="2"/>
  <c r="BG99" i="2"/>
  <c r="BG100" i="2"/>
  <c r="BG110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K19" i="4"/>
  <c r="AK290" i="4"/>
  <c r="AK299" i="4"/>
  <c r="AK51" i="4"/>
  <c r="AK302" i="4"/>
  <c r="AK262" i="4"/>
  <c r="AK261" i="4"/>
  <c r="AK234" i="4"/>
  <c r="AK233" i="4"/>
  <c r="AK297" i="4"/>
  <c r="AK232" i="4"/>
  <c r="AK28" i="4"/>
  <c r="AK10" i="4"/>
  <c r="AK285" i="4"/>
  <c r="AK284" i="4"/>
  <c r="AK198" i="4"/>
  <c r="AK256" i="4"/>
  <c r="AK216" i="4"/>
  <c r="AK77" i="4"/>
  <c r="AK255" i="4"/>
  <c r="AK253" i="4"/>
  <c r="AK301" i="4"/>
  <c r="AK193" i="4"/>
  <c r="AK250" i="4"/>
  <c r="AK292" i="4"/>
  <c r="AK113" i="4"/>
  <c r="AK20" i="4"/>
  <c r="AK296" i="4"/>
  <c r="AK225" i="4"/>
  <c r="AK224" i="4"/>
  <c r="AK214" i="4"/>
  <c r="AK278" i="4"/>
  <c r="AK277" i="4"/>
  <c r="AK276" i="4"/>
  <c r="AK192" i="4"/>
  <c r="AK289" i="4"/>
  <c r="AK288" i="4"/>
  <c r="AK200" i="4"/>
  <c r="AK135" i="4"/>
  <c r="AK29" i="4"/>
  <c r="AK117" i="4"/>
  <c r="AK86" i="4"/>
  <c r="AK81" i="4"/>
  <c r="AK283" i="4"/>
  <c r="AK226" i="4"/>
  <c r="AK196" i="4"/>
  <c r="AK254" i="4"/>
  <c r="AK125" i="4"/>
  <c r="AK191" i="4"/>
  <c r="AK241" i="4"/>
  <c r="AK240" i="4"/>
  <c r="AK223" i="4"/>
  <c r="AK239" i="4"/>
  <c r="AK238" i="4"/>
  <c r="AK269" i="4"/>
  <c r="AK268" i="4"/>
  <c r="AK160" i="4"/>
  <c r="AK112" i="4"/>
  <c r="AK155" i="4"/>
  <c r="AK275" i="4"/>
  <c r="AK274" i="4"/>
  <c r="AK251" i="4"/>
  <c r="AK249" i="4"/>
  <c r="AK273" i="4"/>
  <c r="AK248" i="4"/>
  <c r="AK272" i="4"/>
  <c r="AK247" i="4"/>
  <c r="AK246" i="4"/>
  <c r="AK245" i="4"/>
  <c r="AK244" i="4"/>
  <c r="AK243" i="4"/>
  <c r="AK271" i="4"/>
  <c r="AK242" i="4"/>
  <c r="AK270" i="4"/>
  <c r="AK237" i="4"/>
  <c r="AK293" i="4"/>
  <c r="AK291" i="4"/>
  <c r="AK235" i="4"/>
  <c r="AK185" i="4"/>
  <c r="AK265" i="4"/>
  <c r="AK264" i="4"/>
  <c r="AK263" i="4"/>
  <c r="AK258" i="4"/>
  <c r="AK218" i="4"/>
  <c r="AK227" i="4"/>
  <c r="AK252" i="4"/>
  <c r="AK300" i="4"/>
  <c r="AK15" i="4"/>
  <c r="AK202" i="4"/>
  <c r="AK231" i="4"/>
  <c r="AK230" i="4"/>
  <c r="AK229" i="4"/>
  <c r="AK210" i="4"/>
  <c r="AK209" i="4"/>
  <c r="AK169" i="4"/>
  <c r="AK228" i="4"/>
  <c r="AK195" i="4"/>
  <c r="AK131" i="4"/>
  <c r="AK215" i="4"/>
  <c r="AK213" i="4"/>
  <c r="AK186" i="4"/>
  <c r="AK205" i="4"/>
  <c r="AK204" i="4"/>
  <c r="AK101" i="4"/>
  <c r="AK221" i="4"/>
  <c r="AK220" i="4"/>
  <c r="AK303" i="4"/>
  <c r="AK179" i="4"/>
  <c r="AK178" i="4"/>
  <c r="AK177" i="4"/>
  <c r="AK176" i="4"/>
  <c r="AK140" i="4"/>
  <c r="AK212" i="4"/>
  <c r="AK211" i="4"/>
  <c r="AK199" i="4"/>
  <c r="AK175" i="4"/>
  <c r="AK174" i="4"/>
  <c r="AK173" i="4"/>
  <c r="AK172" i="4"/>
  <c r="AK171" i="4"/>
  <c r="AK197" i="4"/>
  <c r="AK14" i="4"/>
  <c r="AK48" i="4"/>
  <c r="AK47" i="4"/>
  <c r="AK24" i="4"/>
  <c r="AK162" i="4"/>
  <c r="AK23" i="4"/>
  <c r="AK78" i="4"/>
  <c r="AK76" i="4"/>
  <c r="AK161" i="4"/>
  <c r="AK130" i="4"/>
  <c r="AK158" i="4"/>
  <c r="AK157" i="4"/>
  <c r="AK154" i="4"/>
  <c r="AK206" i="4"/>
  <c r="AK184" i="4"/>
  <c r="AK183" i="4"/>
  <c r="AK182" i="4"/>
  <c r="AK201" i="4"/>
  <c r="AK145" i="4"/>
  <c r="AK27" i="4"/>
  <c r="AK260" i="4"/>
  <c r="AK286" i="4"/>
  <c r="AK259" i="4"/>
  <c r="AK257" i="4"/>
  <c r="AK13" i="4"/>
  <c r="AK208" i="4"/>
  <c r="AK133" i="4"/>
  <c r="AK294" i="4"/>
  <c r="AK12" i="4"/>
  <c r="AK11" i="4"/>
  <c r="AK31" i="4"/>
  <c r="AK102" i="4"/>
  <c r="AK203" i="4"/>
  <c r="AK181" i="4"/>
  <c r="AK180" i="4"/>
  <c r="AK139" i="4"/>
  <c r="AK116" i="4"/>
  <c r="AK189" i="4"/>
  <c r="AK188" i="4"/>
  <c r="AK147" i="4"/>
  <c r="AK30" i="4"/>
  <c r="AK143" i="4"/>
  <c r="AK142" i="4"/>
  <c r="AK129" i="4"/>
  <c r="AK190" i="4"/>
  <c r="AK222" i="4"/>
  <c r="AK141" i="4"/>
  <c r="AK170" i="4"/>
  <c r="AK137" i="4"/>
  <c r="AK136" i="4"/>
  <c r="AK134" i="4"/>
  <c r="AK26" i="4"/>
  <c r="AK295" i="4"/>
  <c r="AK217" i="4"/>
  <c r="AK159" i="4"/>
  <c r="AK126" i="4"/>
  <c r="AK156" i="4"/>
  <c r="AK281" i="4"/>
  <c r="AK280" i="4"/>
  <c r="AK105" i="4"/>
  <c r="AK187" i="4"/>
  <c r="AK103" i="4"/>
  <c r="AK149" i="4"/>
  <c r="AK148" i="4"/>
  <c r="AK144" i="4"/>
  <c r="AK138" i="4"/>
  <c r="AK115" i="4"/>
  <c r="AK219" i="4"/>
  <c r="AK282" i="4"/>
  <c r="AK194" i="4"/>
  <c r="AK128" i="4"/>
  <c r="AK127" i="4"/>
  <c r="AK88" i="4"/>
  <c r="AK83" i="4"/>
  <c r="AK80" i="4"/>
  <c r="AK75" i="4"/>
  <c r="AK151" i="4"/>
  <c r="AK123" i="4"/>
  <c r="AK150" i="4"/>
  <c r="AK104" i="4"/>
  <c r="AK298" i="4"/>
  <c r="AK167" i="4"/>
  <c r="AK91" i="4"/>
  <c r="AK87" i="4"/>
  <c r="AK72" i="4"/>
  <c r="AK17" i="4"/>
  <c r="AK124" i="4"/>
  <c r="AK109" i="4"/>
  <c r="AK62" i="4"/>
  <c r="AK168" i="4"/>
  <c r="AK166" i="4"/>
  <c r="AK165" i="4"/>
  <c r="AK153" i="4"/>
  <c r="AK122" i="4"/>
  <c r="AK146" i="4"/>
  <c r="AK121" i="4"/>
  <c r="AK120" i="4"/>
  <c r="AK119" i="4"/>
  <c r="AK9" i="4"/>
  <c r="AK7" i="4"/>
  <c r="AK60" i="4"/>
  <c r="AK59" i="4"/>
  <c r="AK58" i="4"/>
  <c r="AK57" i="4"/>
  <c r="AK56" i="4"/>
  <c r="AK55" i="4"/>
  <c r="AK118" i="4"/>
  <c r="AK22" i="4"/>
  <c r="AK5" i="4"/>
  <c r="AK18" i="4"/>
  <c r="AK63" i="4"/>
  <c r="AK152" i="4"/>
  <c r="AK16" i="4"/>
  <c r="AK34" i="4"/>
  <c r="AK61" i="4"/>
  <c r="AK32" i="4"/>
  <c r="AK108" i="4"/>
  <c r="AK107" i="4"/>
  <c r="AK96" i="4"/>
  <c r="AK93" i="4"/>
  <c r="AK92" i="4"/>
  <c r="AK100" i="4"/>
  <c r="AK99" i="4"/>
  <c r="AK98" i="4"/>
  <c r="AK97" i="4"/>
  <c r="AK95" i="4"/>
  <c r="AK94" i="4"/>
  <c r="AK25" i="4"/>
  <c r="AK164" i="4"/>
  <c r="AK6" i="4"/>
  <c r="AK82" i="4"/>
  <c r="AK46" i="4"/>
  <c r="AK44" i="4"/>
  <c r="AK111" i="4"/>
  <c r="AK110" i="4"/>
  <c r="AK69" i="4"/>
  <c r="AK114" i="4"/>
  <c r="AK85" i="4"/>
  <c r="AK40" i="4"/>
  <c r="AK38" i="4"/>
  <c r="AK37" i="4"/>
  <c r="AK90" i="4"/>
  <c r="AK89" i="4"/>
  <c r="AK50" i="4"/>
  <c r="AK8" i="4"/>
  <c r="AK132" i="4"/>
  <c r="AK68" i="4"/>
  <c r="AK67" i="4"/>
  <c r="AK45" i="4"/>
  <c r="AK21" i="4"/>
  <c r="AK79" i="4"/>
  <c r="AK74" i="4"/>
  <c r="AK49" i="4"/>
  <c r="AK39" i="4"/>
  <c r="AK36" i="4"/>
  <c r="AK35" i="4"/>
  <c r="AK54" i="4"/>
  <c r="AK53" i="4"/>
  <c r="AK52" i="4"/>
  <c r="AK84" i="4"/>
  <c r="AK163" i="4"/>
  <c r="AK73" i="4"/>
  <c r="AK279" i="4"/>
  <c r="AK207" i="4"/>
  <c r="AK66" i="4"/>
  <c r="AK43" i="4"/>
  <c r="AK42" i="4"/>
  <c r="AK41" i="4"/>
  <c r="AK65" i="4"/>
  <c r="AK64" i="4"/>
  <c r="AK33" i="4"/>
  <c r="AM26" i="2"/>
  <c r="AZ407" i="5"/>
  <c r="AZ417" i="5"/>
  <c r="AZ416" i="5"/>
  <c r="AZ415" i="5"/>
  <c r="AZ414" i="5"/>
  <c r="AZ413" i="5"/>
  <c r="AZ412" i="5"/>
  <c r="AZ411" i="5"/>
  <c r="AZ410" i="5"/>
  <c r="AZ409" i="5"/>
  <c r="AZ408" i="5"/>
  <c r="AZ406" i="5"/>
  <c r="AZ405" i="5"/>
  <c r="AZ404" i="5"/>
  <c r="AZ403" i="5"/>
  <c r="AZ402" i="5"/>
  <c r="AZ401" i="5"/>
  <c r="AZ400" i="5"/>
  <c r="AZ399" i="5"/>
  <c r="AZ398" i="5"/>
  <c r="AZ397" i="5"/>
  <c r="AZ394" i="5"/>
  <c r="AZ393" i="5"/>
  <c r="AZ395" i="5"/>
  <c r="AZ396" i="5"/>
  <c r="AZ58" i="5"/>
  <c r="AY58" i="5"/>
  <c r="AX58" i="5"/>
  <c r="AZ57" i="5"/>
  <c r="AY57" i="5"/>
  <c r="AX57" i="5"/>
  <c r="AZ60" i="5"/>
  <c r="AY60" i="5"/>
  <c r="AX60" i="5"/>
  <c r="AZ162" i="5"/>
  <c r="AY162" i="5"/>
  <c r="AX162" i="5"/>
  <c r="AZ116" i="5"/>
  <c r="AY116" i="5"/>
  <c r="AX116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5" i="5"/>
  <c r="AY255" i="5"/>
  <c r="AX255" i="5"/>
  <c r="AZ65" i="5"/>
  <c r="AY65" i="5"/>
  <c r="AX65" i="5"/>
  <c r="AZ55" i="5"/>
  <c r="AY55" i="5"/>
  <c r="AX55" i="5"/>
  <c r="AZ67" i="5"/>
  <c r="AY67" i="5"/>
  <c r="AX67" i="5"/>
  <c r="AZ292" i="5"/>
  <c r="AY292" i="5"/>
  <c r="AX292" i="5"/>
  <c r="AZ257" i="5"/>
  <c r="AY257" i="5"/>
  <c r="AX257" i="5"/>
  <c r="AZ38" i="5"/>
  <c r="AY38" i="5"/>
  <c r="AX38" i="5"/>
  <c r="AZ264" i="5"/>
  <c r="AY264" i="5"/>
  <c r="AX264" i="5"/>
  <c r="AZ280" i="5"/>
  <c r="AY280" i="5"/>
  <c r="AX280" i="5"/>
  <c r="AZ258" i="5"/>
  <c r="AY258" i="5"/>
  <c r="AX258" i="5"/>
  <c r="AZ272" i="5"/>
  <c r="AY272" i="5"/>
  <c r="AX272" i="5"/>
  <c r="AZ114" i="5"/>
  <c r="AY114" i="5"/>
  <c r="AX114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6" i="5"/>
  <c r="AY256" i="5"/>
  <c r="AX256" i="5"/>
  <c r="AZ44" i="5"/>
  <c r="AY44" i="5"/>
  <c r="AX44" i="5"/>
  <c r="AZ40" i="5"/>
  <c r="AY40" i="5"/>
  <c r="AX40" i="5"/>
  <c r="AZ68" i="5"/>
  <c r="AY68" i="5"/>
  <c r="AX68" i="5"/>
  <c r="AZ154" i="5"/>
  <c r="AY154" i="5"/>
  <c r="AX154" i="5"/>
  <c r="AZ224" i="5"/>
  <c r="AY224" i="5"/>
  <c r="AX224" i="5"/>
  <c r="AZ4" i="5"/>
  <c r="AY4" i="5"/>
  <c r="AX4" i="5"/>
  <c r="AZ199" i="5"/>
  <c r="AY199" i="5"/>
  <c r="AX199" i="5"/>
  <c r="AZ64" i="5"/>
  <c r="AY64" i="5"/>
  <c r="AX64" i="5"/>
  <c r="AZ45" i="5"/>
  <c r="AY45" i="5"/>
  <c r="AX45" i="5"/>
  <c r="AZ227" i="5"/>
  <c r="AY227" i="5"/>
  <c r="AX227" i="5"/>
  <c r="AZ123" i="5"/>
  <c r="AY123" i="5"/>
  <c r="AX123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2" i="5"/>
  <c r="AY122" i="5"/>
  <c r="AX122" i="5"/>
  <c r="AZ36" i="5"/>
  <c r="AY36" i="5"/>
  <c r="AX36" i="5"/>
  <c r="AZ250" i="5"/>
  <c r="AY250" i="5"/>
  <c r="AX250" i="5"/>
  <c r="AZ48" i="5"/>
  <c r="AY48" i="5"/>
  <c r="AX48" i="5"/>
  <c r="AZ295" i="5"/>
  <c r="AY295" i="5"/>
  <c r="AX295" i="5"/>
  <c r="AZ96" i="5"/>
  <c r="AY96" i="5"/>
  <c r="AX96" i="5"/>
  <c r="AZ106" i="5"/>
  <c r="AY106" i="5"/>
  <c r="AX106" i="5"/>
  <c r="AZ151" i="5"/>
  <c r="AY151" i="5"/>
  <c r="AX151" i="5"/>
  <c r="AZ198" i="5"/>
  <c r="AY198" i="5"/>
  <c r="AX198" i="5"/>
  <c r="AY70" i="5"/>
  <c r="AX70" i="5"/>
  <c r="AZ152" i="5"/>
  <c r="AY152" i="5"/>
  <c r="AX152" i="5"/>
  <c r="AZ277" i="5"/>
  <c r="AY277" i="5"/>
  <c r="AX277" i="5"/>
  <c r="AZ90" i="5"/>
  <c r="AY90" i="5"/>
  <c r="AX90" i="5"/>
  <c r="AZ121" i="5"/>
  <c r="AY121" i="5"/>
  <c r="AX121" i="5"/>
  <c r="AZ99" i="5"/>
  <c r="AY99" i="5"/>
  <c r="AX99" i="5"/>
  <c r="AZ252" i="5"/>
  <c r="AY252" i="5"/>
  <c r="AX252" i="5"/>
  <c r="AZ225" i="5"/>
  <c r="AY225" i="5"/>
  <c r="AX225" i="5"/>
  <c r="AZ197" i="5"/>
  <c r="AY197" i="5"/>
  <c r="AX197" i="5"/>
  <c r="AZ195" i="5"/>
  <c r="AY195" i="5"/>
  <c r="AX195" i="5"/>
  <c r="AZ279" i="5"/>
  <c r="AY279" i="5"/>
  <c r="AX279" i="5"/>
  <c r="AZ298" i="5"/>
  <c r="AY298" i="5"/>
  <c r="AX298" i="5"/>
  <c r="AZ222" i="5"/>
  <c r="AY222" i="5"/>
  <c r="AX222" i="5"/>
  <c r="AZ5" i="5"/>
  <c r="AY5" i="5"/>
  <c r="AX5" i="5"/>
  <c r="AZ145" i="5"/>
  <c r="AY145" i="5"/>
  <c r="AX145" i="5"/>
  <c r="AZ46" i="5"/>
  <c r="AY46" i="5"/>
  <c r="AX46" i="5"/>
  <c r="AZ278" i="5"/>
  <c r="AY278" i="5"/>
  <c r="AX278" i="5"/>
  <c r="AZ148" i="5"/>
  <c r="AY148" i="5"/>
  <c r="AX148" i="5"/>
  <c r="AZ137" i="5"/>
  <c r="AY137" i="5"/>
  <c r="AX137" i="5"/>
  <c r="AZ273" i="5"/>
  <c r="AY273" i="5"/>
  <c r="AX273" i="5"/>
  <c r="AZ135" i="5"/>
  <c r="AY135" i="5"/>
  <c r="AX135" i="5"/>
  <c r="AY34" i="5"/>
  <c r="AZ275" i="5"/>
  <c r="AY275" i="5"/>
  <c r="AX275" i="5"/>
  <c r="AZ119" i="5"/>
  <c r="AY119" i="5"/>
  <c r="AX119" i="5"/>
  <c r="AZ229" i="5"/>
  <c r="AY229" i="5"/>
  <c r="AX229" i="5"/>
  <c r="AZ164" i="5"/>
  <c r="AY164" i="5"/>
  <c r="AX164" i="5"/>
  <c r="AZ276" i="5"/>
  <c r="AY276" i="5"/>
  <c r="AX276" i="5"/>
  <c r="AZ232" i="5"/>
  <c r="AY232" i="5"/>
  <c r="AX232" i="5"/>
  <c r="AZ208" i="5"/>
  <c r="AY208" i="5"/>
  <c r="AX208" i="5"/>
  <c r="AZ201" i="5"/>
  <c r="AY201" i="5"/>
  <c r="AX201" i="5"/>
  <c r="AZ243" i="5"/>
  <c r="AY243" i="5"/>
  <c r="AX243" i="5"/>
  <c r="AZ155" i="5"/>
  <c r="AY155" i="5"/>
  <c r="AX155" i="5"/>
  <c r="AZ117" i="5"/>
  <c r="AY117" i="5"/>
  <c r="AX117" i="5"/>
  <c r="AZ249" i="5"/>
  <c r="AY249" i="5"/>
  <c r="AX249" i="5"/>
  <c r="AZ248" i="5"/>
  <c r="AY248" i="5"/>
  <c r="AX248" i="5"/>
  <c r="AZ247" i="5"/>
  <c r="AY247" i="5"/>
  <c r="AX247" i="5"/>
  <c r="AY31" i="5"/>
  <c r="AY176" i="5"/>
  <c r="AZ125" i="5"/>
  <c r="AY125" i="5"/>
  <c r="AX125" i="5"/>
  <c r="AZ2" i="5"/>
  <c r="AY2" i="5"/>
  <c r="AX2" i="5"/>
  <c r="AY189" i="5"/>
  <c r="AY150" i="5"/>
  <c r="AY130" i="5"/>
  <c r="AZ91" i="5"/>
  <c r="AY91" i="5"/>
  <c r="AX91" i="5"/>
  <c r="AZ245" i="5"/>
  <c r="AY245" i="5"/>
  <c r="AX245" i="5"/>
  <c r="AZ288" i="5"/>
  <c r="AY288" i="5"/>
  <c r="AX288" i="5"/>
  <c r="AZ180" i="5"/>
  <c r="AY180" i="5"/>
  <c r="AX180" i="5"/>
  <c r="AY177" i="5"/>
  <c r="AZ287" i="5"/>
  <c r="AY287" i="5"/>
  <c r="AX287" i="5"/>
  <c r="AZ194" i="5"/>
  <c r="AY194" i="5"/>
  <c r="AX194" i="5"/>
  <c r="AZ158" i="5"/>
  <c r="AY158" i="5"/>
  <c r="AX158" i="5"/>
  <c r="AZ138" i="5"/>
  <c r="AY138" i="5"/>
  <c r="AX138" i="5"/>
  <c r="AZ128" i="5"/>
  <c r="AY128" i="5"/>
  <c r="AX128" i="5"/>
  <c r="AZ127" i="5"/>
  <c r="AY127" i="5"/>
  <c r="AX127" i="5"/>
  <c r="AZ270" i="5"/>
  <c r="AY270" i="5"/>
  <c r="AX270" i="5"/>
  <c r="AZ76" i="5"/>
  <c r="AY76" i="5"/>
  <c r="AX76" i="5"/>
  <c r="AZ74" i="5"/>
  <c r="AY74" i="5"/>
  <c r="AX74" i="5"/>
  <c r="AZ8" i="5"/>
  <c r="AY8" i="5"/>
  <c r="AX8" i="5"/>
  <c r="AZ259" i="5"/>
  <c r="AY259" i="5"/>
  <c r="AX259" i="5"/>
  <c r="AZ212" i="5"/>
  <c r="AY212" i="5"/>
  <c r="AX212" i="5"/>
  <c r="AZ283" i="5"/>
  <c r="AY283" i="5"/>
  <c r="AX283" i="5"/>
  <c r="AZ18" i="5"/>
  <c r="AY18" i="5"/>
  <c r="AX18" i="5"/>
  <c r="AZ17" i="5"/>
  <c r="AY17" i="5"/>
  <c r="AX17" i="5"/>
  <c r="AZ16" i="5"/>
  <c r="AY16" i="5"/>
  <c r="AX16" i="5"/>
  <c r="AZ281" i="5"/>
  <c r="AY281" i="5"/>
  <c r="AX281" i="5"/>
  <c r="AZ3" i="5"/>
  <c r="AY3" i="5"/>
  <c r="AX3" i="5"/>
  <c r="AZ13" i="5"/>
  <c r="AY13" i="5"/>
  <c r="AX13" i="5"/>
  <c r="AZ73" i="5"/>
  <c r="AY73" i="5"/>
  <c r="AX73" i="5"/>
  <c r="AZ237" i="5"/>
  <c r="AY237" i="5"/>
  <c r="AX237" i="5"/>
  <c r="AZ297" i="5"/>
  <c r="AY297" i="5"/>
  <c r="AX297" i="5"/>
  <c r="AZ296" i="5"/>
  <c r="AY296" i="5"/>
  <c r="AX296" i="5"/>
  <c r="AZ293" i="5"/>
  <c r="AY293" i="5"/>
  <c r="AX293" i="5"/>
  <c r="AZ289" i="5"/>
  <c r="AY289" i="5"/>
  <c r="AX289" i="5"/>
  <c r="AZ196" i="5"/>
  <c r="AY196" i="5"/>
  <c r="AX196" i="5"/>
  <c r="AZ284" i="5"/>
  <c r="AY284" i="5"/>
  <c r="AX284" i="5"/>
  <c r="AZ282" i="5"/>
  <c r="AY282" i="5"/>
  <c r="AX282" i="5"/>
  <c r="AZ191" i="5"/>
  <c r="AY191" i="5"/>
  <c r="AX191" i="5"/>
  <c r="AZ173" i="5"/>
  <c r="AY173" i="5"/>
  <c r="AX173" i="5"/>
  <c r="AZ157" i="5"/>
  <c r="AY157" i="5"/>
  <c r="AX157" i="5"/>
  <c r="AZ143" i="5"/>
  <c r="AY143" i="5"/>
  <c r="AX143" i="5"/>
  <c r="AZ131" i="5"/>
  <c r="AY131" i="5"/>
  <c r="AX131" i="5"/>
  <c r="AZ113" i="5"/>
  <c r="AY113" i="5"/>
  <c r="AX113" i="5"/>
  <c r="AZ100" i="5"/>
  <c r="AY100" i="5"/>
  <c r="AX100" i="5"/>
  <c r="AZ88" i="5"/>
  <c r="AY88" i="5"/>
  <c r="AX88" i="5"/>
  <c r="AZ75" i="5"/>
  <c r="AY75" i="5"/>
  <c r="AX75" i="5"/>
  <c r="AZ240" i="5"/>
  <c r="AY240" i="5"/>
  <c r="AX240" i="5"/>
  <c r="AZ28" i="5"/>
  <c r="AY28" i="5"/>
  <c r="AX28" i="5"/>
  <c r="AZ27" i="5"/>
  <c r="AY27" i="5"/>
  <c r="AX27" i="5"/>
  <c r="AZ213" i="5"/>
  <c r="AY213" i="5"/>
  <c r="AX213" i="5"/>
  <c r="AZ21" i="5"/>
  <c r="AY21" i="5"/>
  <c r="AX21" i="5"/>
  <c r="AZ294" i="5"/>
  <c r="AY294" i="5"/>
  <c r="AX294" i="5"/>
  <c r="AZ291" i="5"/>
  <c r="AY291" i="5"/>
  <c r="AX291" i="5"/>
  <c r="AZ192" i="5"/>
  <c r="AY192" i="5"/>
  <c r="AX192" i="5"/>
  <c r="AZ190" i="5"/>
  <c r="AY190" i="5"/>
  <c r="AX190" i="5"/>
  <c r="AZ170" i="5"/>
  <c r="AY170" i="5"/>
  <c r="AX170" i="5"/>
  <c r="AZ168" i="5"/>
  <c r="AY168" i="5"/>
  <c r="AX168" i="5"/>
  <c r="AZ153" i="5"/>
  <c r="AY153" i="5"/>
  <c r="AX153" i="5"/>
  <c r="AZ149" i="5"/>
  <c r="AY149" i="5"/>
  <c r="AX149" i="5"/>
  <c r="AZ142" i="5"/>
  <c r="AY142" i="5"/>
  <c r="AX142" i="5"/>
  <c r="AZ139" i="5"/>
  <c r="AY139" i="5"/>
  <c r="AX139" i="5"/>
  <c r="AZ134" i="5"/>
  <c r="AY134" i="5"/>
  <c r="AX134" i="5"/>
  <c r="AZ133" i="5"/>
  <c r="AY133" i="5"/>
  <c r="AX133" i="5"/>
  <c r="AZ15" i="5"/>
  <c r="AY15" i="5"/>
  <c r="AX15" i="5"/>
  <c r="AZ115" i="5"/>
  <c r="AY115" i="5"/>
  <c r="AX115" i="5"/>
  <c r="AZ101" i="5"/>
  <c r="AY101" i="5"/>
  <c r="AX101" i="5"/>
  <c r="AZ9" i="5"/>
  <c r="AY9" i="5"/>
  <c r="AX9" i="5"/>
  <c r="AZ72" i="5"/>
  <c r="AY72" i="5"/>
  <c r="AX72" i="5"/>
  <c r="AY234" i="5"/>
  <c r="AY33" i="5"/>
  <c r="AZ218" i="5"/>
  <c r="AY218" i="5"/>
  <c r="AX218" i="5"/>
  <c r="AZ217" i="5"/>
  <c r="AY217" i="5"/>
  <c r="AX217" i="5"/>
  <c r="AZ216" i="5"/>
  <c r="AY216" i="5"/>
  <c r="AX216" i="5"/>
  <c r="AZ214" i="5"/>
  <c r="AY214" i="5"/>
  <c r="AX214" i="5"/>
  <c r="AZ159" i="5"/>
  <c r="AY159" i="5"/>
  <c r="AX159" i="5"/>
  <c r="AZ144" i="5"/>
  <c r="AY144" i="5"/>
  <c r="AX144" i="5"/>
  <c r="AZ112" i="5"/>
  <c r="AY112" i="5"/>
  <c r="AX112" i="5"/>
  <c r="AZ102" i="5"/>
  <c r="AY102" i="5"/>
  <c r="AX102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3" i="5"/>
  <c r="AY253" i="5"/>
  <c r="AX253" i="5"/>
  <c r="AZ246" i="5"/>
  <c r="AY246" i="5"/>
  <c r="AX246" i="5"/>
  <c r="AZ244" i="5"/>
  <c r="AY244" i="5"/>
  <c r="AX244" i="5"/>
  <c r="AZ238" i="5"/>
  <c r="AY238" i="5"/>
  <c r="AX238" i="5"/>
  <c r="AZ236" i="5"/>
  <c r="AY236" i="5"/>
  <c r="AX236" i="5"/>
  <c r="AZ235" i="5"/>
  <c r="AY235" i="5"/>
  <c r="AX235" i="5"/>
  <c r="AZ231" i="5"/>
  <c r="AY231" i="5"/>
  <c r="AX231" i="5"/>
  <c r="AZ230" i="5"/>
  <c r="AY230" i="5"/>
  <c r="AX230" i="5"/>
  <c r="AZ219" i="5"/>
  <c r="AY219" i="5"/>
  <c r="AX219" i="5"/>
  <c r="AZ215" i="5"/>
  <c r="AY215" i="5"/>
  <c r="AX215" i="5"/>
  <c r="AZ211" i="5"/>
  <c r="AY211" i="5"/>
  <c r="AX211" i="5"/>
  <c r="AZ210" i="5"/>
  <c r="AY210" i="5"/>
  <c r="AX210" i="5"/>
  <c r="AZ207" i="5"/>
  <c r="AY207" i="5"/>
  <c r="AX207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0" i="5"/>
  <c r="AY200" i="5"/>
  <c r="AX200" i="5"/>
  <c r="AZ290" i="5"/>
  <c r="AY290" i="5"/>
  <c r="AX290" i="5"/>
  <c r="AZ286" i="5"/>
  <c r="AY286" i="5"/>
  <c r="AX286" i="5"/>
  <c r="AZ285" i="5"/>
  <c r="AY285" i="5"/>
  <c r="AX285" i="5"/>
  <c r="AZ193" i="5"/>
  <c r="AY193" i="5"/>
  <c r="AX193" i="5"/>
  <c r="AZ179" i="5"/>
  <c r="AY179" i="5"/>
  <c r="AX179" i="5"/>
  <c r="AZ169" i="5"/>
  <c r="AY169" i="5"/>
  <c r="AX169" i="5"/>
  <c r="AZ163" i="5"/>
  <c r="AY163" i="5"/>
  <c r="AX163" i="5"/>
  <c r="AZ161" i="5"/>
  <c r="AY161" i="5"/>
  <c r="AX161" i="5"/>
  <c r="AZ160" i="5"/>
  <c r="AY160" i="5"/>
  <c r="AX160" i="5"/>
  <c r="AZ156" i="5"/>
  <c r="AY156" i="5"/>
  <c r="AX156" i="5"/>
  <c r="AZ146" i="5"/>
  <c r="AY146" i="5"/>
  <c r="AX146" i="5"/>
  <c r="AZ132" i="5"/>
  <c r="AY132" i="5"/>
  <c r="AX132" i="5"/>
  <c r="AZ269" i="5"/>
  <c r="AY269" i="5"/>
  <c r="AX269" i="5"/>
  <c r="AZ109" i="5"/>
  <c r="AY109" i="5"/>
  <c r="AX109" i="5"/>
  <c r="AZ108" i="5"/>
  <c r="AY108" i="5"/>
  <c r="AX108" i="5"/>
  <c r="AZ107" i="5"/>
  <c r="AY107" i="5"/>
  <c r="AX107" i="5"/>
  <c r="AZ104" i="5"/>
  <c r="AY104" i="5"/>
  <c r="AX104" i="5"/>
  <c r="AZ103" i="5"/>
  <c r="AY103" i="5"/>
  <c r="AX103" i="5"/>
  <c r="AZ263" i="5"/>
  <c r="AY263" i="5"/>
  <c r="AX263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2" i="5"/>
  <c r="AY262" i="5"/>
  <c r="AX262" i="5"/>
  <c r="AZ86" i="5"/>
  <c r="AY86" i="5"/>
  <c r="AX86" i="5"/>
  <c r="AZ261" i="5"/>
  <c r="AY261" i="5"/>
  <c r="AX261" i="5"/>
  <c r="AZ260" i="5"/>
  <c r="AY260" i="5"/>
  <c r="AX260" i="5"/>
  <c r="AZ84" i="5"/>
  <c r="AY84" i="5"/>
  <c r="AX84" i="5"/>
  <c r="AZ83" i="5"/>
  <c r="AY83" i="5"/>
  <c r="AX83" i="5"/>
  <c r="AZ268" i="5"/>
  <c r="AY268" i="5"/>
  <c r="AX268" i="5"/>
  <c r="AZ81" i="5"/>
  <c r="AY81" i="5"/>
  <c r="AX81" i="5"/>
  <c r="AZ267" i="5"/>
  <c r="AY267" i="5"/>
  <c r="AX267" i="5"/>
  <c r="AZ54" i="5"/>
  <c r="AY54" i="5"/>
  <c r="AX54" i="5"/>
  <c r="AZ51" i="5"/>
  <c r="AY51" i="5"/>
  <c r="AX51" i="5"/>
  <c r="AZ35" i="5"/>
  <c r="AY35" i="5"/>
  <c r="AX35" i="5"/>
  <c r="AZ239" i="5"/>
  <c r="AY239" i="5"/>
  <c r="AX239" i="5"/>
  <c r="AZ233" i="5"/>
  <c r="AY233" i="5"/>
  <c r="AX233" i="5"/>
  <c r="AZ165" i="5"/>
  <c r="AY165" i="5"/>
  <c r="AX165" i="5"/>
  <c r="AZ136" i="5"/>
  <c r="AY136" i="5"/>
  <c r="AX136" i="5"/>
  <c r="AZ14" i="5"/>
  <c r="AY14" i="5"/>
  <c r="AX14" i="5"/>
  <c r="AZ111" i="5"/>
  <c r="AY111" i="5"/>
  <c r="AX111" i="5"/>
  <c r="AY61" i="5"/>
  <c r="AZ299" i="5"/>
  <c r="AY299" i="5"/>
  <c r="AX299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1" i="5"/>
  <c r="AY181" i="5"/>
  <c r="AX181" i="5"/>
  <c r="AZ147" i="5"/>
  <c r="AY147" i="5"/>
  <c r="AX147" i="5"/>
  <c r="AZ124" i="5"/>
  <c r="AY124" i="5"/>
  <c r="AX124" i="5"/>
  <c r="AZ271" i="5"/>
  <c r="AY271" i="5"/>
  <c r="AX271" i="5"/>
  <c r="AZ105" i="5"/>
  <c r="AY105" i="5"/>
  <c r="AX105" i="5"/>
  <c r="AZ254" i="5"/>
  <c r="AY254" i="5"/>
  <c r="AX254" i="5"/>
  <c r="AZ50" i="5"/>
  <c r="AY50" i="5"/>
  <c r="AX50" i="5"/>
  <c r="AY32" i="5"/>
  <c r="AZ30" i="5"/>
  <c r="AY30" i="5"/>
  <c r="AX30" i="5"/>
  <c r="AY29" i="5"/>
  <c r="AX29" i="5"/>
  <c r="AZ183" i="5"/>
  <c r="AY183" i="5"/>
  <c r="AX183" i="5"/>
  <c r="AZ178" i="5"/>
  <c r="AY178" i="5"/>
  <c r="AX178" i="5"/>
  <c r="AZ141" i="5"/>
  <c r="AY141" i="5"/>
  <c r="AX141" i="5"/>
  <c r="AZ129" i="5"/>
  <c r="AY129" i="5"/>
  <c r="AX129" i="5"/>
  <c r="AZ126" i="5"/>
  <c r="AY126" i="5"/>
  <c r="AX126" i="5"/>
  <c r="AZ274" i="5"/>
  <c r="AY274" i="5"/>
  <c r="AX274" i="5"/>
  <c r="AZ12" i="5"/>
  <c r="AY12" i="5"/>
  <c r="AX12" i="5"/>
  <c r="AZ89" i="5"/>
  <c r="AY89" i="5"/>
  <c r="AX89" i="5"/>
  <c r="AZ78" i="5"/>
  <c r="AY78" i="5"/>
  <c r="AX78" i="5"/>
  <c r="AZ266" i="5"/>
  <c r="AY266" i="5"/>
  <c r="AX266" i="5"/>
  <c r="AZ53" i="5"/>
  <c r="AY53" i="5"/>
  <c r="AX53" i="5"/>
  <c r="AZ221" i="5"/>
  <c r="AY221" i="5"/>
  <c r="AX221" i="5"/>
  <c r="AZ220" i="5"/>
  <c r="AY220" i="5"/>
  <c r="AX220" i="5"/>
  <c r="AZ186" i="5"/>
  <c r="AY186" i="5"/>
  <c r="AX186" i="5"/>
  <c r="AZ182" i="5"/>
  <c r="AY182" i="5"/>
  <c r="AX182" i="5"/>
  <c r="AZ175" i="5"/>
  <c r="AY175" i="5"/>
  <c r="AX175" i="5"/>
  <c r="AZ120" i="5"/>
  <c r="AY120" i="5"/>
  <c r="AX120" i="5"/>
  <c r="AZ52" i="5"/>
  <c r="AY52" i="5"/>
  <c r="AX52" i="5"/>
  <c r="AZ226" i="5"/>
  <c r="AY226" i="5"/>
  <c r="AX226" i="5"/>
  <c r="AZ209" i="5"/>
  <c r="AY209" i="5"/>
  <c r="AX209" i="5"/>
  <c r="AZ184" i="5"/>
  <c r="AY184" i="5"/>
  <c r="AX184" i="5"/>
  <c r="AZ228" i="5"/>
  <c r="AY228" i="5"/>
  <c r="AX228" i="5"/>
  <c r="AZ265" i="5"/>
  <c r="AY265" i="5"/>
  <c r="AX265" i="5"/>
  <c r="AZ242" i="5"/>
  <c r="AY242" i="5"/>
  <c r="AX242" i="5"/>
  <c r="AZ118" i="5"/>
  <c r="AY118" i="5"/>
  <c r="AX118" i="5"/>
  <c r="AZ79" i="5"/>
  <c r="AY79" i="5"/>
  <c r="AX79" i="5"/>
  <c r="AZ77" i="5"/>
  <c r="AY77" i="5"/>
  <c r="AX77" i="5"/>
  <c r="AZ223" i="5"/>
  <c r="AY223" i="5"/>
  <c r="AX223" i="5"/>
  <c r="AZ172" i="5"/>
  <c r="AY172" i="5"/>
  <c r="AX172" i="5"/>
  <c r="AZ140" i="5"/>
  <c r="AY140" i="5"/>
  <c r="AX140" i="5"/>
  <c r="AZ188" i="5"/>
  <c r="AY188" i="5"/>
  <c r="AX188" i="5"/>
  <c r="AZ187" i="5"/>
  <c r="AY187" i="5"/>
  <c r="AX187" i="5"/>
  <c r="AZ185" i="5"/>
  <c r="AY185" i="5"/>
  <c r="AX185" i="5"/>
  <c r="AZ174" i="5"/>
  <c r="AY174" i="5"/>
  <c r="AX174" i="5"/>
  <c r="AZ251" i="5"/>
  <c r="AY251" i="5"/>
  <c r="AX251" i="5"/>
  <c r="AZ171" i="5"/>
  <c r="AY171" i="5"/>
  <c r="AX171" i="5"/>
  <c r="AZ167" i="5"/>
  <c r="AY167" i="5"/>
  <c r="AX167" i="5"/>
  <c r="AZ110" i="5"/>
  <c r="AY110" i="5"/>
  <c r="AX110" i="5"/>
  <c r="AZ166" i="5"/>
  <c r="AY166" i="5"/>
  <c r="AX166" i="5"/>
  <c r="AK106" i="4"/>
  <c r="J29" i="3"/>
  <c r="J22" i="3"/>
  <c r="J38" i="3"/>
  <c r="J45" i="3"/>
  <c r="BA2" i="5"/>
  <c r="BA293" i="5"/>
  <c r="BA272" i="5"/>
  <c r="BA193" i="5"/>
  <c r="BA121" i="5"/>
  <c r="BA123" i="5"/>
  <c r="BA122" i="5"/>
  <c r="BA275" i="5"/>
  <c r="BA120" i="5"/>
  <c r="BA63" i="5"/>
  <c r="BA64" i="5"/>
  <c r="BA280" i="5"/>
  <c r="BA227" i="5"/>
  <c r="BA165" i="5"/>
  <c r="BA167" i="5"/>
  <c r="BA69" i="5"/>
  <c r="BA62" i="5"/>
  <c r="BA208" i="5"/>
  <c r="BA201" i="5"/>
  <c r="BA48" i="5"/>
  <c r="BA99" i="5"/>
  <c r="BA96" i="5"/>
  <c r="BA14" i="5"/>
  <c r="BA51" i="5"/>
  <c r="BA284" i="5"/>
  <c r="BA151" i="5"/>
  <c r="BA145" i="5"/>
  <c r="BA270" i="5"/>
  <c r="BA237" i="5"/>
  <c r="BA282" i="5"/>
  <c r="BA44" i="5"/>
  <c r="BA287" i="5"/>
  <c r="BA68" i="5"/>
  <c r="BA232" i="5"/>
  <c r="BA49" i="5"/>
  <c r="BA112" i="5"/>
  <c r="BA229" i="5"/>
  <c r="BA294" i="5"/>
  <c r="BA161" i="5"/>
  <c r="BA43" i="5"/>
  <c r="BA34" i="5"/>
  <c r="BA283" i="5"/>
  <c r="BA45" i="5"/>
  <c r="BA223" i="5"/>
  <c r="BA196" i="5"/>
  <c r="BA288" i="5"/>
  <c r="BA3" i="5"/>
  <c r="BA37" i="5"/>
  <c r="BA273" i="5"/>
  <c r="BA126" i="5"/>
  <c r="BA7" i="5"/>
  <c r="BA33" i="5"/>
  <c r="BA281" i="5"/>
  <c r="BA298" i="5"/>
  <c r="BA250" i="5"/>
  <c r="BA278" i="5"/>
  <c r="BA166" i="5"/>
  <c r="BA234" i="5"/>
  <c r="BA200" i="5"/>
  <c r="BA113" i="5"/>
  <c r="BA251" i="5"/>
  <c r="BA238" i="5"/>
  <c r="BA46" i="5"/>
  <c r="BA146" i="5"/>
  <c r="BA90" i="5"/>
  <c r="BA164" i="5"/>
  <c r="BA35" i="5"/>
  <c r="BA169" i="5"/>
  <c r="BA54" i="5"/>
  <c r="BA269" i="5"/>
  <c r="BA195" i="5"/>
  <c r="BA31" i="5"/>
  <c r="BA212" i="5"/>
  <c r="BA163" i="5"/>
  <c r="BA36" i="5"/>
  <c r="BA173" i="5"/>
  <c r="BA76" i="5"/>
  <c r="BA152" i="5"/>
  <c r="BA82" i="5"/>
  <c r="BA73" i="5"/>
  <c r="BA160" i="5"/>
  <c r="BA209" i="5"/>
  <c r="BA235" i="5"/>
  <c r="BA6" i="5"/>
  <c r="BA12" i="5"/>
  <c r="BA159" i="5"/>
  <c r="BA147" i="5"/>
  <c r="BA105" i="5"/>
  <c r="BA194" i="5"/>
  <c r="BA172" i="5"/>
  <c r="BA171" i="5"/>
  <c r="BA102" i="5"/>
  <c r="BA4" i="5"/>
  <c r="BA144" i="5"/>
  <c r="BA289" i="5"/>
  <c r="BA32" i="5"/>
  <c r="BA175" i="5"/>
  <c r="BA214" i="5"/>
  <c r="BA30" i="5"/>
  <c r="BA233" i="5"/>
  <c r="BA158" i="5"/>
  <c r="BA71" i="5"/>
  <c r="BA205" i="5"/>
  <c r="BA206" i="5"/>
  <c r="BA92" i="5"/>
  <c r="BA295" i="5"/>
  <c r="BA91" i="5"/>
  <c r="BA239" i="5"/>
  <c r="BA299" i="5"/>
  <c r="BA18" i="5"/>
  <c r="BA110" i="5"/>
  <c r="BA134" i="5"/>
  <c r="BA80" i="5"/>
  <c r="BA213" i="5"/>
  <c r="BA100" i="5"/>
  <c r="BA114" i="5"/>
  <c r="BA260" i="5"/>
  <c r="BA190" i="5"/>
  <c r="BA75" i="5"/>
  <c r="BA290" i="5"/>
  <c r="BA236" i="5"/>
  <c r="BA168" i="5"/>
  <c r="BA101" i="5"/>
  <c r="BA198" i="5"/>
  <c r="BA142" i="5"/>
  <c r="BA84" i="5"/>
  <c r="BA131" i="5"/>
  <c r="BA17" i="5"/>
  <c r="BA228" i="5"/>
  <c r="BA117" i="5"/>
  <c r="BA197" i="5"/>
  <c r="BA192" i="5"/>
  <c r="BA89" i="5"/>
  <c r="BA86" i="5"/>
  <c r="BA85" i="5"/>
  <c r="BA72" i="5"/>
  <c r="BA191" i="5"/>
  <c r="BA104" i="5"/>
  <c r="BA291" i="5"/>
  <c r="BA83" i="5"/>
  <c r="BA81" i="5"/>
  <c r="BA116" i="5"/>
  <c r="BA263" i="5"/>
  <c r="BA203" i="5"/>
  <c r="BA202" i="5"/>
  <c r="BA16" i="5"/>
  <c r="BA199" i="5"/>
  <c r="BA215" i="5"/>
  <c r="BA219" i="5"/>
  <c r="BA261" i="5"/>
  <c r="BA262" i="5"/>
  <c r="BA183" i="5"/>
  <c r="BA268" i="5"/>
  <c r="BA136" i="5"/>
  <c r="BA28" i="5"/>
  <c r="BA128" i="5"/>
  <c r="BA207" i="5"/>
  <c r="BA127" i="5"/>
  <c r="BA109" i="5"/>
  <c r="BA231" i="5"/>
  <c r="BA170" i="5"/>
  <c r="BA204" i="5"/>
  <c r="BA93" i="5"/>
  <c r="BA95" i="5"/>
  <c r="BA94" i="5"/>
  <c r="BA224" i="5"/>
  <c r="BA188" i="5"/>
  <c r="BA187" i="5"/>
  <c r="BA185" i="5"/>
  <c r="BA276" i="5"/>
  <c r="BA211" i="5"/>
  <c r="BA129" i="5"/>
  <c r="BA186" i="5"/>
  <c r="BA108" i="5"/>
  <c r="BA107" i="5"/>
  <c r="BA13" i="5"/>
  <c r="BA279" i="5"/>
  <c r="BA78" i="5"/>
  <c r="BA21" i="5"/>
  <c r="BA277" i="5"/>
  <c r="BA157" i="5"/>
  <c r="BA57" i="5"/>
  <c r="BA58" i="5"/>
  <c r="BA267" i="5"/>
  <c r="BA77" i="5"/>
  <c r="BA230" i="5"/>
  <c r="BA11" i="5"/>
  <c r="BA156" i="5"/>
  <c r="BA252" i="5"/>
  <c r="BA111" i="5"/>
  <c r="BA79" i="5"/>
  <c r="BA253" i="5"/>
  <c r="BA135" i="5"/>
  <c r="BA216" i="5"/>
  <c r="BA274" i="5"/>
  <c r="BA266" i="5"/>
  <c r="BA148" i="5"/>
  <c r="BA10" i="5"/>
  <c r="BA22" i="5"/>
  <c r="BA174" i="5"/>
  <c r="BA133" i="5"/>
  <c r="BA218" i="5"/>
  <c r="BA115" i="5"/>
  <c r="BA254" i="5"/>
  <c r="BA225" i="5"/>
  <c r="BA221" i="5"/>
  <c r="BA9" i="5"/>
  <c r="BA181" i="5"/>
  <c r="BA137" i="5"/>
  <c r="BA179" i="5"/>
  <c r="BA132" i="5"/>
  <c r="BA26" i="5"/>
  <c r="BA25" i="5"/>
  <c r="BA5" i="5"/>
  <c r="BA24" i="5"/>
  <c r="BA23" i="5"/>
  <c r="BA55" i="5"/>
  <c r="BA87" i="5"/>
  <c r="BA88" i="5"/>
  <c r="BA182" i="5"/>
  <c r="BA15" i="5"/>
  <c r="BA140" i="5"/>
  <c r="BA106" i="5"/>
  <c r="BA217" i="5"/>
  <c r="BA74" i="5"/>
  <c r="BA240" i="5"/>
  <c r="BA399" i="5"/>
  <c r="BA249" i="5"/>
  <c r="BA60" i="5"/>
  <c r="BA256" i="5"/>
  <c r="BA244" i="5"/>
  <c r="BA271" i="5"/>
  <c r="BA242" i="5"/>
  <c r="BA222" i="5"/>
  <c r="BA139" i="5"/>
  <c r="BA184" i="5"/>
  <c r="BA8" i="5"/>
  <c r="BA124" i="5"/>
  <c r="BA395" i="5"/>
  <c r="BA119" i="5"/>
  <c r="BA210" i="5"/>
  <c r="BA247" i="5"/>
  <c r="BA245" i="5"/>
  <c r="BA243" i="5"/>
  <c r="BA401" i="5"/>
  <c r="BA226" i="5"/>
  <c r="BA27" i="5"/>
  <c r="BA257" i="5"/>
  <c r="BA125" i="5"/>
  <c r="BA150" i="5"/>
  <c r="BA130" i="5"/>
  <c r="BA138" i="5"/>
  <c r="BA246" i="5"/>
  <c r="BA180" i="5"/>
  <c r="BA248" i="5"/>
  <c r="BA258" i="5"/>
  <c r="BA265" i="5"/>
  <c r="BA141" i="5"/>
  <c r="BA155" i="5"/>
  <c r="BA415" i="5"/>
  <c r="BA52" i="5"/>
  <c r="BA143" i="5"/>
  <c r="BA412" i="5"/>
  <c r="BA177" i="5"/>
  <c r="BA149" i="5"/>
  <c r="BA153" i="5"/>
  <c r="BA417" i="5"/>
  <c r="BA408" i="5"/>
  <c r="BA406" i="5"/>
  <c r="BA405" i="5"/>
  <c r="BA400" i="5"/>
  <c r="BA398" i="5"/>
  <c r="BA393" i="5"/>
  <c r="BA50" i="5"/>
  <c r="BA259" i="5"/>
  <c r="BA154" i="5"/>
  <c r="BA402" i="5"/>
  <c r="BA59" i="5"/>
  <c r="BA56" i="5"/>
  <c r="BA403" i="5"/>
  <c r="BA53" i="5"/>
  <c r="BA414" i="5"/>
  <c r="BA67" i="5"/>
  <c r="BA65" i="5"/>
  <c r="BA176" i="5"/>
  <c r="BA66" i="5"/>
  <c r="BA38" i="5"/>
  <c r="BA416" i="5"/>
  <c r="BA404" i="5"/>
  <c r="BA39" i="5"/>
  <c r="BA40" i="5"/>
  <c r="BA41" i="5"/>
  <c r="BA103" i="5"/>
  <c r="BA292" i="5"/>
  <c r="BA285" i="5"/>
  <c r="BA61" i="5"/>
  <c r="BA410" i="5"/>
  <c r="BA411" i="5"/>
  <c r="BA394" i="5"/>
  <c r="BA47" i="5"/>
  <c r="BA178" i="5"/>
  <c r="BA42" i="5"/>
  <c r="BA189" i="5"/>
  <c r="BA97" i="5"/>
  <c r="BA162" i="5"/>
  <c r="BA409" i="5"/>
  <c r="BA407" i="5"/>
  <c r="BA397" i="5"/>
  <c r="BA413" i="5"/>
  <c r="BA255" i="5"/>
  <c r="BA264" i="5"/>
  <c r="BA286" i="5"/>
  <c r="Y183" i="4"/>
  <c r="Y194" i="4"/>
  <c r="Y204" i="4"/>
  <c r="Y205" i="4"/>
  <c r="X2" i="12"/>
  <c r="S2" i="12"/>
  <c r="T2" i="12"/>
  <c r="X52" i="4"/>
  <c r="X53" i="4"/>
  <c r="X73" i="4"/>
  <c r="X54" i="4"/>
  <c r="X5" i="4"/>
  <c r="X163" i="4"/>
  <c r="X43" i="4"/>
  <c r="X207" i="4"/>
  <c r="X66" i="4"/>
  <c r="X64" i="4"/>
  <c r="X41" i="4"/>
  <c r="W2" i="12"/>
  <c r="Z183" i="4"/>
  <c r="Z194" i="4"/>
  <c r="Z204" i="4"/>
  <c r="Z205" i="4"/>
  <c r="Y2" i="12"/>
  <c r="AM25" i="2"/>
</calcChain>
</file>

<file path=xl/comments1.xml><?xml version="1.0" encoding="utf-8"?>
<comments xmlns="http://schemas.openxmlformats.org/spreadsheetml/2006/main">
  <authors>
    <author>Gaspar Pandy</author>
  </authors>
  <commentList>
    <comment ref="AY105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+15 to all</t>
        </r>
      </text>
    </comment>
  </commentList>
</comments>
</file>

<file path=xl/comments2.xml><?xml version="1.0" encoding="utf-8"?>
<comments xmlns="http://schemas.openxmlformats.org/spreadsheetml/2006/main">
  <authors>
    <author>Gaspar Pandy</author>
  </authors>
  <commentList>
    <comment ref="AN61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K65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+15 to all x50</t>
        </r>
      </text>
    </comment>
    <comment ref="AE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H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K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N17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N189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J375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+1 </t>
        </r>
      </text>
    </comment>
    <comment ref="AE387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-3</t>
        </r>
      </text>
    </comment>
    <comment ref="AH387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+3</t>
        </r>
      </text>
    </comment>
  </commentList>
</comments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10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11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6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7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8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9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0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1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2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3" name="xtal_templates9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<sst xmlns="http://schemas.openxmlformats.org/spreadsheetml/2006/main" count="18634" uniqueCount="1740">
  <si>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</si>
  <si>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</si>
  <si>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</si>
  <si>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</si>
  <si>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</si>
  <si>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</si>
  <si>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</si>
  <si>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</si>
  <si>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</si>
  <si>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</si>
  <si>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</si>
  <si>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</si>
  <si>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</si>
  <si>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</si>
  <si>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</si>
  <si>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</si>
  <si>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</si>
  <si>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</si>
  <si>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</si>
  <si>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</si>
  <si>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</si>
  <si>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</si>
  <si>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</si>
  <si>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</si>
  <si>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</si>
  <si>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</si>
  <si>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</si>
  <si>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</si>
  <si>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</si>
  <si>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</si>
  <si>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</si>
  <si>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</si>
  <si>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</si>
  <si>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</si>
  <si>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</si>
  <si>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</si>
  <si>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</si>
  <si>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</si>
  <si>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</si>
  <si>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</si>
  <si>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</si>
  <si>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</si>
  <si>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</si>
  <si>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</si>
  <si>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</si>
  <si>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</si>
  <si>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</si>
  <si>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</si>
  <si>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</si>
  <si>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</si>
  <si>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</si>
  <si>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</si>
  <si>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</si>
  <si>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</si>
  <si>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</si>
  <si>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</si>
  <si>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</si>
  <si>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</si>
  <si>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</si>
  <si>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</si>
  <si>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</si>
  <si>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</si>
  <si>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</si>
  <si>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</si>
  <si>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</si>
  <si>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</si>
  <si>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</si>
  <si>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</si>
  <si>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</si>
  <si>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</si>
  <si>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</si>
  <si>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</si>
  <si>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</si>
  <si>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</si>
  <si>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</si>
  <si>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</si>
  <si>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</si>
  <si>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</si>
  <si>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</si>
  <si>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</si>
  <si>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</si>
  <si>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</si>
  <si>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</si>
  <si>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</si>
  <si>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</si>
  <si>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</si>
  <si>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</si>
  <si>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</si>
  <si>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</si>
  <si>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</si>
  <si>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</si>
  <si>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</si>
  <si>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</si>
  <si>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</si>
  <si>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</si>
  <si>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</si>
  <si>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</si>
  <si>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</si>
  <si>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</si>
  <si>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</si>
  <si>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</si>
  <si>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</si>
  <si>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</si>
  <si>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</si>
  <si>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</si>
  <si>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</si>
  <si>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</si>
  <si>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</si>
  <si>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</si>
  <si>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</si>
  <si>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</si>
  <si>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</si>
  <si>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</si>
  <si>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</si>
  <si>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</si>
  <si>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</si>
  <si>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</si>
  <si>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</si>
  <si>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</si>
  <si>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</si>
  <si>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</si>
  <si>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</si>
  <si>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</si>
  <si>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</si>
  <si>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</si>
  <si>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</si>
  <si>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</si>
  <si>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</si>
  <si>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</si>
  <si>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</si>
  <si>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</si>
  <si>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</si>
  <si>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</si>
  <si>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</si>
  <si>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</si>
  <si>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</si>
  <si>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</si>
  <si>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</si>
  <si>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</si>
  <si>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</si>
  <si>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</si>
  <si>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</si>
  <si>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</si>
  <si>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</si>
  <si>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</si>
  <si>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</si>
  <si>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</si>
  <si>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</si>
  <si>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</si>
  <si>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</si>
  <si>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</si>
  <si>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</si>
  <si>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</si>
  <si>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</si>
  <si>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</si>
  <si>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</si>
  <si>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</si>
  <si>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</si>
  <si>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</si>
  <si>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</si>
  <si>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</si>
  <si>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</si>
  <si>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</si>
  <si>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</si>
  <si>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</si>
  <si>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</si>
  <si>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</si>
  <si>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</si>
  <si>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</si>
  <si>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</si>
  <si>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</si>
  <si>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</si>
  <si>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</si>
  <si>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</si>
  <si>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</si>
  <si>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</si>
  <si>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</si>
  <si>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</si>
  <si>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</si>
  <si>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</si>
  <si>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</si>
  <si>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</si>
  <si>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</si>
  <si>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</si>
  <si>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</si>
  <si>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</si>
  <si>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</si>
  <si>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</si>
  <si>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</si>
  <si>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</si>
  <si>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</si>
  <si>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</si>
  <si>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</si>
  <si>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</si>
  <si>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</si>
  <si>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</si>
  <si>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</si>
  <si>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</si>
  <si>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</si>
  <si>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</si>
  <si>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</si>
  <si>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</si>
  <si>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</si>
  <si>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</si>
  <si>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</si>
  <si>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</si>
  <si>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</si>
  <si>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</si>
  <si>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</si>
  <si>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</si>
  <si>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</si>
  <si>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</si>
  <si>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</si>
  <si>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</si>
  <si>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</si>
  <si>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</si>
  <si>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</si>
  <si>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</si>
  <si>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</si>
  <si>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</si>
  <si>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</si>
  <si>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</si>
  <si>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</si>
  <si>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</si>
  <si>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</si>
  <si>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</si>
  <si>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</si>
  <si>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</si>
  <si>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</si>
  <si>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</si>
  <si>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</si>
  <si>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</si>
  <si>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</si>
  <si>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</si>
  <si>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</si>
  <si>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</si>
  <si>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</si>
  <si>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</si>
  <si>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</si>
  <si>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</si>
  <si>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</si>
  <si>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</si>
  <si>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</si>
  <si>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</si>
  <si>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</si>
  <si>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</si>
  <si>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</si>
  <si>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</si>
  <si>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</si>
  <si>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</si>
  <si>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</si>
  <si>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</si>
  <si>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</si>
  <si>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</si>
  <si>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</si>
  <si>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</si>
  <si>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</si>
  <si>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</si>
  <si>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</si>
  <si>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</si>
  <si>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</si>
  <si>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</si>
  <si>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</si>
  <si>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</si>
  <si>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</si>
  <si>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</si>
  <si>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</si>
  <si>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</si>
  <si>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</si>
  <si>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</si>
  <si>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</si>
  <si>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</si>
  <si>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</si>
  <si>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</si>
  <si>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</si>
  <si>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</si>
  <si>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</si>
  <si>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</si>
  <si>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</si>
  <si>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</si>
  <si>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</si>
  <si>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</si>
  <si>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</si>
  <si>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</si>
  <si>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</si>
  <si>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</si>
  <si>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</si>
  <si>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</si>
  <si>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</si>
  <si>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</si>
  <si>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</si>
  <si>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</si>
  <si>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</si>
  <si>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</si>
  <si>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</si>
  <si>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</si>
  <si>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</si>
  <si>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</si>
  <si>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</si>
  <si>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</si>
  <si>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</si>
  <si>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</si>
  <si>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</si>
  <si>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</si>
  <si>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</si>
  <si>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</si>
  <si>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</si>
  <si>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</si>
  <si>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</si>
  <si>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</si>
  <si>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</si>
  <si>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</si>
  <si>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</si>
  <si>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</si>
  <si>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</si>
  <si>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</si>
  <si>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</si>
  <si>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</si>
  <si>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</si>
  <si>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</si>
  <si>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</si>
  <si>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</si>
  <si>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</si>
  <si>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</si>
  <si>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</si>
  <si>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</si>
  <si>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</si>
  <si>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</si>
  <si>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</si>
  <si>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</si>
  <si>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</si>
  <si>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</si>
  <si>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</si>
  <si>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</si>
  <si>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</si>
  <si>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</si>
  <si>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</si>
  <si>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</si>
  <si>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</si>
  <si>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</si>
  <si>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</si>
  <si>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</si>
  <si>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</si>
  <si>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</si>
  <si>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</si>
  <si>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</si>
  <si>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</si>
  <si>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</si>
  <si>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</si>
  <si>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</si>
  <si>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</si>
  <si>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</si>
  <si>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</si>
  <si>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</si>
  <si>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</si>
  <si>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</si>
  <si>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</si>
  <si>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</si>
  <si>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</si>
  <si>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</si>
  <si>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</si>
  <si>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</si>
  <si>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</si>
  <si>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</si>
  <si>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</si>
  <si>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</si>
  <si>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</si>
  <si>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</si>
  <si>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</si>
  <si>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</si>
  <si>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</si>
  <si>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</si>
  <si>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</si>
  <si>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</si>
  <si>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</si>
  <si>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</si>
  <si>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</si>
  <si>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</si>
  <si>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</si>
  <si>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</si>
  <si>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</si>
  <si>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</si>
  <si>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</si>
  <si>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</si>
  <si>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</si>
  <si>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</si>
  <si>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</si>
  <si>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</si>
  <si>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</si>
  <si>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</si>
  <si>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</si>
  <si>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</si>
  <si>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</si>
  <si>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</si>
  <si>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</si>
  <si>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</si>
  <si>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</si>
  <si>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</si>
  <si>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</si>
  <si>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</si>
  <si>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</si>
  <si>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</si>
  <si>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</si>
  <si>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</si>
  <si>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</si>
  <si>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</si>
  <si>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</si>
  <si>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</si>
  <si>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</si>
  <si>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</si>
  <si>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</si>
  <si>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</si>
  <si>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</si>
  <si>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bai2_human</t>
  </si>
  <si>
    <t>bai3_human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</si>
  <si>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</si>
  <si>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</si>
  <si>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</si>
  <si>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</si>
  <si>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</si>
  <si>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</si>
  <si>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</si>
  <si>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</si>
  <si>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</si>
  <si>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</si>
  <si>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</si>
  <si>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</si>
  <si>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</si>
  <si>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</si>
  <si>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</si>
  <si>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</si>
  <si>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</si>
  <si>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</si>
  <si>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</si>
  <si>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</si>
  <si>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</si>
  <si>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</si>
  <si>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</si>
  <si>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</si>
  <si>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</si>
  <si>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</si>
  <si>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</si>
  <si>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</si>
  <si>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</si>
  <si>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</si>
  <si>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</si>
  <si>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</si>
  <si>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</si>
  <si>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</si>
  <si>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</si>
  <si>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</si>
  <si>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</si>
  <si>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</si>
  <si>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</si>
  <si>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</si>
  <si>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</si>
  <si>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</si>
  <si>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</si>
  <si>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</si>
  <si>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</si>
  <si>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</si>
  <si>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</si>
  <si>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</si>
  <si>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</si>
  <si>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</si>
  <si>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</si>
  <si>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</si>
  <si>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</si>
  <si>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</si>
  <si>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</si>
  <si>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</si>
  <si>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</si>
  <si>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</si>
  <si>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</si>
  <si>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</si>
  <si>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</si>
  <si>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</si>
  <si>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</si>
  <si>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</si>
  <si>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</si>
  <si>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</si>
  <si>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</si>
  <si>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</si>
  <si>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</si>
  <si>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</si>
  <si>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</si>
  <si>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</si>
  <si>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</si>
  <si>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</si>
  <si>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</si>
  <si>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</si>
  <si>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</si>
  <si>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</si>
  <si>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</si>
  <si>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</si>
  <si>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</si>
  <si>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</si>
  <si>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</si>
  <si>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</si>
  <si>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</si>
  <si>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</si>
  <si>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</si>
  <si>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</si>
  <si>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</si>
  <si>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</si>
  <si>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</si>
  <si>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</si>
  <si>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</si>
  <si>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</si>
  <si>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</si>
  <si>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</si>
  <si>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</si>
  <si>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</si>
  <si>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</si>
  <si>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</si>
  <si>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</si>
  <si>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</si>
  <si>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</si>
  <si>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</si>
  <si>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</si>
  <si>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</si>
  <si>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</si>
  <si>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</si>
  <si>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</si>
  <si>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</si>
  <si>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</si>
  <si>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</si>
  <si>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</si>
  <si>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</si>
  <si>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</si>
  <si>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</si>
  <si>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</si>
  <si>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</si>
  <si>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</si>
  <si>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</si>
  <si>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</si>
  <si>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</si>
  <si>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</si>
  <si>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</si>
  <si>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</si>
  <si>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</si>
  <si>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</si>
  <si>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</si>
  <si>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</si>
  <si>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</si>
  <si>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</si>
  <si>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</si>
  <si>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</si>
  <si>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</si>
  <si>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</si>
  <si>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</si>
  <si>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</si>
  <si>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</si>
  <si>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</si>
  <si>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</si>
  <si>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</si>
  <si>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</si>
  <si>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</si>
  <si>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</si>
  <si>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</si>
  <si>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</si>
  <si>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</si>
  <si>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</si>
  <si>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</si>
  <si>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</si>
  <si>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</si>
  <si>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</si>
  <si>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</si>
  <si>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</si>
  <si>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</si>
  <si>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</si>
  <si>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</si>
  <si>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</si>
  <si>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</si>
  <si>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</si>
  <si>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</si>
  <si>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</si>
  <si>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</si>
  <si>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</si>
  <si>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</si>
  <si>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</si>
  <si>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</si>
  <si>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</si>
  <si>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</si>
  <si>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</si>
  <si>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</si>
  <si>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</si>
  <si>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</si>
  <si>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</si>
  <si>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</si>
  <si>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</si>
  <si>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</si>
  <si>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</si>
  <si>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</si>
  <si>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</si>
  <si>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</si>
  <si>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</si>
  <si>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</si>
  <si>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</si>
  <si>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</si>
  <si>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</si>
  <si>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</si>
  <si>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</si>
  <si>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</si>
  <si>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</si>
  <si>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</si>
  <si>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</si>
  <si>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</si>
  <si>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</si>
  <si>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</si>
  <si>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</si>
  <si>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</si>
  <si>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</si>
  <si>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</si>
  <si>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</si>
  <si>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</si>
  <si>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</si>
  <si>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</si>
  <si>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</si>
  <si>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</si>
  <si>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</si>
  <si>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</si>
  <si>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</si>
  <si>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</si>
  <si>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</si>
  <si>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</si>
  <si>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</si>
  <si>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</si>
  <si>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</si>
  <si>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</si>
  <si>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</si>
  <si>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</si>
  <si>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</si>
  <si>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</si>
  <si>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</si>
  <si>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</si>
  <si>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</si>
  <si>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</si>
  <si>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</si>
  <si>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</si>
  <si>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</si>
  <si>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</si>
  <si>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</si>
  <si>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</si>
  <si>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</si>
  <si>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</si>
  <si>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</si>
  <si>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</si>
  <si>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</si>
  <si>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</si>
  <si>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</si>
  <si>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</si>
  <si>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</si>
  <si>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</si>
  <si>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</si>
  <si>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</si>
  <si>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</si>
  <si>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</si>
  <si>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</si>
  <si>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</si>
  <si>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</si>
  <si>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</si>
  <si>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</si>
  <si>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</si>
  <si>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</si>
  <si>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</si>
  <si>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</si>
  <si>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</si>
  <si>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</si>
  <si>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</si>
  <si>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</si>
  <si>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</si>
  <si>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</si>
  <si>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</si>
  <si>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</si>
  <si>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</si>
  <si>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</si>
  <si>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</si>
  <si>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</si>
  <si>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</si>
  <si>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</si>
  <si>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</si>
  <si>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</si>
  <si>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</si>
  <si>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</si>
  <si>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</si>
  <si>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</si>
  <si>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</si>
  <si>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</si>
  <si>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</si>
  <si>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</si>
  <si>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</si>
  <si>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</si>
  <si>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</si>
  <si>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</si>
  <si>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</si>
  <si>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</si>
  <si>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</si>
  <si>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</si>
  <si>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</si>
  <si>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</si>
  <si>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</si>
  <si>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</si>
  <si>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</si>
  <si>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</si>
  <si>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</si>
  <si>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</si>
  <si>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</si>
  <si>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</si>
  <si>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</si>
  <si>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</si>
  <si>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</si>
  <si>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</si>
  <si>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</si>
  <si>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</si>
  <si>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</si>
  <si>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</si>
  <si>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</si>
  <si>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</si>
  <si>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</si>
  <si>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</si>
  <si>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</si>
  <si>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</si>
  <si>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</si>
  <si>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</si>
  <si>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</si>
  <si>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</si>
  <si>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</si>
  <si>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</si>
  <si>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</si>
  <si>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</si>
  <si>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</si>
  <si>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</si>
  <si>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</si>
  <si>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</si>
  <si>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</si>
  <si>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</si>
  <si>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</si>
  <si>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</si>
  <si>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</si>
  <si>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</si>
  <si>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</si>
  <si>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</si>
  <si>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</si>
  <si>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</si>
  <si>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</si>
  <si>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</si>
  <si>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</si>
  <si>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</si>
  <si>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</si>
  <si>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</si>
  <si>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</si>
  <si>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</si>
  <si>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</si>
  <si>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</si>
  <si>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</si>
  <si>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</si>
  <si>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</si>
  <si>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</si>
  <si>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</si>
  <si>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</si>
  <si>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</si>
  <si>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</si>
  <si>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</si>
  <si>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</si>
  <si>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</si>
  <si>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</si>
  <si>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</si>
  <si>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</si>
  <si>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</si>
  <si>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</si>
  <si>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</si>
  <si>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</si>
  <si>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</si>
  <si>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</si>
  <si>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</si>
  <si>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</si>
  <si>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</si>
  <si>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</si>
  <si>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</si>
  <si>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</si>
  <si>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</si>
  <si>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</si>
  <si>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</si>
  <si>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</si>
  <si>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</si>
  <si>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</si>
  <si>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</si>
  <si>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</si>
  <si>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</si>
  <si>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</si>
  <si>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</si>
  <si>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</si>
  <si>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</si>
  <si>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</si>
  <si>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</si>
  <si>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</si>
  <si>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</si>
  <si>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</si>
  <si>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</si>
  <si>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</si>
  <si>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</si>
  <si>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</si>
  <si>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</si>
  <si>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</si>
  <si>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</si>
  <si>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</si>
  <si>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</si>
  <si>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</si>
  <si>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</si>
  <si>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</si>
  <si>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</si>
  <si>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</si>
  <si>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</si>
  <si>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</si>
  <si>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</si>
  <si>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</si>
  <si>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</si>
  <si>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</si>
  <si>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</si>
  <si>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</si>
  <si>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</si>
  <si>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</si>
  <si>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</si>
  <si>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</si>
  <si>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</si>
  <si>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</si>
  <si>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</si>
  <si>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</si>
  <si>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</si>
  <si>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</si>
  <si>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</si>
  <si>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</si>
  <si>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</si>
  <si>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</si>
  <si>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</si>
  <si>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</si>
  <si>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</si>
  <si>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</si>
  <si>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</si>
  <si>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</si>
  <si>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</si>
  <si>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</si>
  <si>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</si>
  <si>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</si>
  <si>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</si>
  <si>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</si>
  <si>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</si>
  <si>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</si>
  <si>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</si>
  <si>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</si>
  <si>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</si>
  <si>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</si>
  <si>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</si>
  <si>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</si>
  <si>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</si>
  <si>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</si>
  <si>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</si>
  <si>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</si>
  <si>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</si>
  <si>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</si>
  <si>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</si>
  <si>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</si>
  <si>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</si>
  <si>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</si>
  <si>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</si>
  <si>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</si>
  <si>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</si>
  <si>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</si>
  <si>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</si>
  <si>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</si>
  <si>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</si>
  <si>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</si>
  <si>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</si>
  <si>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</si>
  <si>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</si>
  <si>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</si>
  <si>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</si>
  <si>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</si>
  <si>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</si>
  <si>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</si>
  <si>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</si>
  <si>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</si>
  <si>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</si>
  <si>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</si>
  <si>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</si>
  <si>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</si>
  <si>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</si>
  <si>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</si>
  <si>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</si>
  <si>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</si>
  <si>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</si>
  <si>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</si>
  <si>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</si>
  <si>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</si>
  <si>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</si>
  <si>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</si>
  <si>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</si>
  <si>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</si>
  <si>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</si>
  <si>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</si>
  <si>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</si>
  <si>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</si>
  <si>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</si>
  <si>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</si>
  <si>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</si>
  <si>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</si>
  <si>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</si>
  <si>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</si>
  <si>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</si>
  <si>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</si>
  <si>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</si>
  <si>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</si>
  <si>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</si>
  <si>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</si>
  <si>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</si>
  <si>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</si>
  <si>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</si>
  <si>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</si>
  <si>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</si>
  <si>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</si>
  <si>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</si>
  <si>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</si>
  <si>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</si>
  <si>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</si>
  <si>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</si>
  <si>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</si>
  <si>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</si>
  <si>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</si>
  <si>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</si>
  <si>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</si>
  <si>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</si>
  <si>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</si>
  <si>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</si>
  <si>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</si>
  <si>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</si>
  <si>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</si>
  <si>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</si>
  <si>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</si>
  <si>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</si>
  <si>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</si>
  <si>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</si>
  <si>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</si>
  <si>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</si>
  <si>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</si>
  <si>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</si>
  <si>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</si>
  <si>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</si>
  <si>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</si>
  <si>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</si>
  <si>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</si>
  <si>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</si>
  <si>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</si>
  <si>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</si>
  <si>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</si>
  <si>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</si>
  <si>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</si>
  <si>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</si>
  <si>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</si>
  <si>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</si>
  <si>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</si>
  <si>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</si>
  <si>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</si>
  <si>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</si>
  <si>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</si>
  <si>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</si>
  <si>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</si>
  <si>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</si>
  <si>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</si>
  <si>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</si>
  <si>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</si>
  <si>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</si>
  <si>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</si>
  <si>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</si>
  <si>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</si>
  <si>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</si>
  <si>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</si>
  <si>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</si>
  <si>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</si>
  <si>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</si>
  <si>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</si>
  <si>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</si>
  <si>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</si>
  <si>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</si>
  <si>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</si>
  <si>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</si>
  <si>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</si>
  <si>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</si>
  <si>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</si>
  <si>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</si>
  <si>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</si>
  <si>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</si>
  <si>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</si>
  <si>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</si>
  <si>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</si>
  <si>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</si>
  <si>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</si>
  <si>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</si>
  <si>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</si>
  <si>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</si>
  <si>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</si>
  <si>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</si>
  <si>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</si>
  <si>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</si>
  <si>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</si>
  <si>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</si>
  <si>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</si>
  <si>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</si>
  <si>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</si>
  <si>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</si>
  <si>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</si>
  <si>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</si>
  <si>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</si>
  <si>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</si>
  <si>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</si>
  <si>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</si>
  <si>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</si>
  <si>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</si>
  <si>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</si>
  <si>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</si>
  <si>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</si>
  <si>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</si>
  <si>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</si>
  <si>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</si>
  <si>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</si>
  <si>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</si>
  <si>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</si>
  <si>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</si>
  <si>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</si>
  <si>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</si>
  <si>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</si>
  <si>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</si>
  <si>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</si>
  <si>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</si>
  <si>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</si>
  <si>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</si>
  <si>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</si>
  <si>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</si>
  <si>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</si>
  <si>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</si>
  <si>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</si>
  <si>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</si>
  <si>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</si>
  <si>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</si>
  <si>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</si>
  <si>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</si>
  <si>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</si>
  <si>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</si>
  <si>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</si>
  <si>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</si>
  <si>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</si>
  <si>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</si>
  <si>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</si>
  <si>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</si>
  <si>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</si>
  <si>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</si>
  <si>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</si>
  <si>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</si>
  <si>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</si>
  <si>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</si>
  <si>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</si>
  <si>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</si>
  <si>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</si>
  <si>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</si>
  <si>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</si>
  <si>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</si>
  <si>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</si>
  <si>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</si>
  <si>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</si>
  <si>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</si>
  <si>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</si>
  <si>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</si>
  <si>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</si>
  <si>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</si>
  <si>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</si>
  <si>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</si>
  <si>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</si>
  <si>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</si>
  <si>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</si>
  <si>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</si>
  <si>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</si>
  <si>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</si>
  <si>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</si>
  <si>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</si>
  <si>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</si>
  <si>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</si>
  <si>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</si>
  <si>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</si>
  <si>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</si>
  <si>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</si>
  <si>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</si>
  <si>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</si>
  <si>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</si>
  <si>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</si>
  <si>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</si>
  <si>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</si>
  <si>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</si>
  <si>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</si>
  <si>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</si>
  <si>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</si>
  <si>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</si>
  <si>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</si>
  <si>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</si>
  <si>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</si>
  <si>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</si>
  <si>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</si>
  <si>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</si>
  <si>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</si>
  <si>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</si>
  <si>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</si>
  <si>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</si>
  <si>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</si>
  <si>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</si>
  <si>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</si>
  <si>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</si>
  <si>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</si>
  <si>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</si>
  <si>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</si>
  <si>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</si>
  <si>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</si>
  <si>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</si>
  <si>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</si>
  <si>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</si>
  <si>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</si>
  <si>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</si>
  <si>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</si>
  <si>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</si>
  <si>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</si>
  <si>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</si>
  <si>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</si>
  <si>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</si>
  <si>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</si>
  <si>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</si>
  <si>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</si>
  <si>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</si>
  <si>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</si>
  <si>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</si>
  <si>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</si>
  <si>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</si>
  <si>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</si>
  <si>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</si>
  <si>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</si>
  <si>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</si>
  <si>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</si>
  <si>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</si>
  <si>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</si>
  <si>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</si>
  <si>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</si>
  <si>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</si>
  <si>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</si>
  <si>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</si>
  <si>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</si>
  <si>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</si>
  <si>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</si>
  <si>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</si>
  <si>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</si>
  <si>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</si>
  <si>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</si>
  <si>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</si>
  <si>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</si>
  <si>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</si>
  <si>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</si>
  <si>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</si>
  <si>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</si>
  <si>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</si>
  <si>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</si>
  <si>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</si>
  <si>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</si>
  <si>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</si>
  <si>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</si>
  <si>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</si>
  <si>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</si>
  <si>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</si>
  <si>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</si>
  <si>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</si>
  <si>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</si>
  <si>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</si>
  <si>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</si>
  <si>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</si>
  <si>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</si>
  <si>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</si>
  <si>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</si>
  <si>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</si>
  <si>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</si>
  <si>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</si>
  <si>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</si>
  <si>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</si>
  <si>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</si>
  <si>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</si>
  <si>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</si>
  <si>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</si>
  <si>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</si>
  <si>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</si>
  <si>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</si>
  <si>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</si>
  <si>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</si>
  <si>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</si>
  <si>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</si>
  <si>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</si>
  <si>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</si>
  <si>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</si>
  <si>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</si>
  <si>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</si>
  <si>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</si>
  <si>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</si>
  <si>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</si>
  <si>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</si>
  <si>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</si>
  <si>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</si>
  <si>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</si>
  <si>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</si>
  <si>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</si>
  <si>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</si>
  <si>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</si>
  <si>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</si>
  <si>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</si>
  <si>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</si>
  <si>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</si>
  <si>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</si>
  <si>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</si>
  <si>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</si>
  <si>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</si>
  <si>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</si>
  <si>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</si>
  <si>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</si>
  <si>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</si>
  <si>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</si>
  <si>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</si>
  <si>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</si>
  <si>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</si>
  <si>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</si>
  <si>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</si>
  <si>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</si>
  <si>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</si>
  <si>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</si>
  <si>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</si>
  <si>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</si>
  <si>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</si>
  <si>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</si>
  <si>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</si>
  <si>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</si>
  <si>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</si>
  <si>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</si>
  <si>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</si>
  <si>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</si>
  <si>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</si>
  <si>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</si>
  <si>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</si>
  <si>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</si>
  <si>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</si>
  <si>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</si>
  <si>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</si>
  <si>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</si>
  <si>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</si>
  <si>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</si>
  <si>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</si>
  <si>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</si>
  <si>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</si>
  <si>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</si>
  <si>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</si>
  <si>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</si>
  <si>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</si>
  <si>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</si>
  <si>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</si>
  <si>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</si>
  <si>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</si>
  <si>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</si>
  <si>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</si>
  <si>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</si>
  <si>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</si>
  <si>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</si>
  <si>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</si>
  <si>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</si>
  <si>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</si>
  <si>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</si>
  <si>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</si>
  <si>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</si>
  <si>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</si>
  <si>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</si>
  <si>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</si>
  <si>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</si>
  <si>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</si>
  <si>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</si>
  <si>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</si>
  <si>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</si>
  <si>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</si>
  <si>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</si>
  <si>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</si>
  <si>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</si>
  <si>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</si>
  <si>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</si>
  <si>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</si>
  <si>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</si>
  <si>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</si>
  <si>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</si>
  <si>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</si>
  <si>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</si>
  <si>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</si>
  <si>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</si>
  <si>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</si>
  <si>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</si>
  <si>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</si>
  <si>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</si>
  <si>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</si>
  <si>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</si>
  <si>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</si>
  <si>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</si>
  <si>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</si>
  <si>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</si>
  <si>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</si>
  <si>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</si>
  <si>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</si>
  <si>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</si>
  <si>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</si>
  <si>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</si>
  <si>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</si>
  <si>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</si>
  <si>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</si>
  <si>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</si>
  <si>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</si>
  <si>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</si>
  <si>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</si>
  <si>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</si>
  <si>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</si>
  <si>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</si>
  <si>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</si>
  <si>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</si>
  <si>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</si>
  <si>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</si>
  <si>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</si>
  <si>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</si>
  <si>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</si>
  <si>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</si>
  <si>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</si>
  <si>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</si>
  <si>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</si>
  <si>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</si>
  <si>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</si>
  <si>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</si>
  <si>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</si>
  <si>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</si>
  <si>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</si>
  <si>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</si>
  <si>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</si>
  <si>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</si>
  <si>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</si>
  <si>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</si>
  <si>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</si>
  <si>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</si>
  <si>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</si>
  <si>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</si>
  <si>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</si>
  <si>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</si>
  <si>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</si>
  <si>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</si>
  <si>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</si>
  <si>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</si>
  <si>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</si>
  <si>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</si>
  <si>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</si>
  <si>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</si>
  <si>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</si>
  <si>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</si>
  <si>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</si>
  <si>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</si>
  <si>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</si>
  <si>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</si>
  <si>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</si>
  <si>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</si>
  <si>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</si>
  <si>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</si>
  <si>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</si>
  <si>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</si>
  <si>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</si>
  <si>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</si>
  <si>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</si>
  <si>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</si>
  <si>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</si>
  <si>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</si>
  <si>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</si>
  <si>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</si>
  <si>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</si>
  <si>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</si>
  <si>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</si>
  <si>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</si>
  <si>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</si>
  <si>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</si>
  <si>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</si>
  <si>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</si>
  <si>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</si>
  <si>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</si>
  <si>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</si>
  <si>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</si>
  <si>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</si>
  <si>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</si>
  <si>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</si>
  <si>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</si>
  <si>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</si>
  <si>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</si>
  <si>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</si>
  <si>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</si>
  <si>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</si>
  <si>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</si>
  <si>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</si>
  <si>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</si>
  <si>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</si>
  <si>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</si>
  <si>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</si>
  <si>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</si>
  <si>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</si>
  <si>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</si>
  <si>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</si>
  <si>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</si>
  <si>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</si>
  <si>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</si>
  <si>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</si>
  <si>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</si>
  <si>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</si>
  <si>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</si>
  <si>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</si>
  <si>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</si>
  <si>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</si>
  <si>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</si>
  <si>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</si>
  <si>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</si>
  <si>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</si>
  <si>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</si>
  <si>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</si>
  <si>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</si>
  <si>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</si>
  <si>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</si>
  <si>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</si>
  <si>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</si>
  <si>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</si>
  <si>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</si>
  <si>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</si>
  <si>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</si>
  <si>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</si>
  <si>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</si>
  <si>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</si>
  <si>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</si>
  <si>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</si>
  <si>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</si>
  <si>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</si>
  <si>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</si>
  <si>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</si>
  <si>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</si>
  <si>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</si>
  <si>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</si>
  <si>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</si>
  <si>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</si>
  <si>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</si>
  <si>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</si>
  <si>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</si>
  <si>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</si>
  <si>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</si>
  <si>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</si>
  <si>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</si>
  <si>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</si>
  <si>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</si>
  <si>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</si>
  <si>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</si>
  <si>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</si>
  <si>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</si>
  <si>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</si>
  <si>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</si>
  <si>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</si>
  <si>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</si>
  <si>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</si>
  <si>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</si>
  <si>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</si>
  <si>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</si>
  <si>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</si>
  <si>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</si>
  <si>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</si>
  <si>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</si>
  <si>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</si>
  <si>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</si>
  <si>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</si>
  <si>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</si>
  <si>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</si>
  <si>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</si>
  <si>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</si>
  <si>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</si>
  <si>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</si>
  <si>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</si>
  <si>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</si>
  <si>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</si>
  <si>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</si>
  <si>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</si>
  <si>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</si>
  <si>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</si>
  <si>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</si>
  <si>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</si>
  <si>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</si>
  <si>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</si>
  <si>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</si>
  <si>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</si>
  <si>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</si>
  <si>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</si>
  <si>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</si>
  <si>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</si>
  <si>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</si>
  <si>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</si>
  <si>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</si>
  <si>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</si>
  <si>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</si>
  <si>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</si>
  <si>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</si>
  <si>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</si>
  <si>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</si>
  <si>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</si>
  <si>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</si>
  <si>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</si>
  <si>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</si>
  <si>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</si>
  <si>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</si>
  <si>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</si>
  <si>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</si>
  <si>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</si>
  <si>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</si>
  <si>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</si>
  <si>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</si>
  <si>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</si>
  <si>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</si>
  <si>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</si>
  <si>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</si>
  <si>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</si>
  <si>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</si>
  <si>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</si>
  <si>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</si>
  <si>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</si>
  <si>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</si>
  <si>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</si>
  <si>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</si>
  <si>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</si>
  <si>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</si>
  <si>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</si>
  <si>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</si>
  <si>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</si>
  <si>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</si>
  <si>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</si>
  <si>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</si>
  <si>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</si>
  <si>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</si>
  <si>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</si>
  <si>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</si>
  <si>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</si>
  <si>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</si>
  <si>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</si>
  <si>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</si>
  <si>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</si>
  <si>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</si>
  <si>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</si>
  <si>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</si>
  <si>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</si>
  <si>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</si>
  <si>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</si>
  <si>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</si>
  <si>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</si>
  <si>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</si>
  <si>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</si>
  <si>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</si>
  <si>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</si>
  <si>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</si>
  <si>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</si>
  <si>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</si>
  <si>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</si>
  <si>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</si>
  <si>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</si>
  <si>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</si>
  <si>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</si>
  <si>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</si>
  <si>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</si>
  <si>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</si>
  <si>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</si>
  <si>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</si>
  <si>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</si>
  <si>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</si>
  <si>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</si>
  <si>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</si>
  <si>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</si>
  <si>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</si>
  <si>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</si>
  <si>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</si>
  <si>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</si>
  <si>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</si>
  <si>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</si>
  <si>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</si>
  <si>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</si>
  <si>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</si>
  <si>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</si>
  <si>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</si>
  <si>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</si>
  <si>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</si>
  <si>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</si>
  <si>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</si>
  <si>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</si>
  <si>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</si>
  <si>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</si>
  <si>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</si>
  <si>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</si>
  <si>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</si>
  <si>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</si>
  <si>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</si>
  <si>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</si>
  <si>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</si>
  <si>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</si>
  <si>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</si>
  <si>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</si>
  <si>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</si>
  <si>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</si>
  <si>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</si>
  <si>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</si>
  <si>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</si>
  <si>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</si>
  <si>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</si>
  <si>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</si>
  <si>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</si>
  <si>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</si>
  <si>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</si>
  <si>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</si>
  <si>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</si>
  <si>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</si>
  <si>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</si>
  <si>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</si>
  <si>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</si>
  <si>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</si>
  <si>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</si>
  <si>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</si>
  <si>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</si>
  <si>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</si>
  <si>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</si>
  <si>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</si>
  <si>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</si>
  <si>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</si>
  <si>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</si>
  <si>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</si>
  <si>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</si>
  <si>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</si>
  <si>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</si>
  <si>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</si>
  <si>
    <t>6LRY</t>
  </si>
  <si>
    <t>6KPC</t>
  </si>
  <si>
    <t>6KPF</t>
  </si>
  <si>
    <t>6PT0</t>
  </si>
  <si>
    <t>6PB1</t>
  </si>
  <si>
    <t>P</t>
  </si>
  <si>
    <t>6NWE</t>
  </si>
  <si>
    <t>6U1N</t>
  </si>
  <si>
    <t>6LUQ</t>
  </si>
  <si>
    <t>6KP6</t>
  </si>
  <si>
    <t>6OBA</t>
  </si>
  <si>
    <t>6OS0</t>
  </si>
  <si>
    <t>6OS1</t>
  </si>
  <si>
    <t>6OS2</t>
  </si>
  <si>
    <t>6LW5</t>
  </si>
  <si>
    <t>6OMM</t>
  </si>
  <si>
    <t>6UP7</t>
  </si>
  <si>
    <t>6VI4</t>
  </si>
  <si>
    <t>6KPG</t>
  </si>
  <si>
    <t>6LI0</t>
  </si>
  <si>
    <t>6LN2</t>
  </si>
  <si>
    <t>6LI1</t>
  </si>
  <si>
    <t>6LI2</t>
  </si>
  <si>
    <t>6LI3</t>
  </si>
  <si>
    <t>6UUN</t>
  </si>
  <si>
    <t>6UUS</t>
  </si>
  <si>
    <t>6UVA</t>
  </si>
  <si>
    <t>6LMK</t>
  </si>
  <si>
    <t>6LML</t>
  </si>
  <si>
    <t>6LPB</t>
  </si>
  <si>
    <t>6WJC</t>
  </si>
  <si>
    <t>6KUX</t>
  </si>
  <si>
    <t>6KUY</t>
  </si>
  <si>
    <t>6K41</t>
  </si>
  <si>
    <t>6K42</t>
  </si>
  <si>
    <t>6KUW</t>
  </si>
  <si>
    <t>6TKO</t>
  </si>
  <si>
    <t>6VMS</t>
  </si>
  <si>
    <t>6IQL</t>
  </si>
  <si>
    <t>6W25</t>
  </si>
  <si>
    <t>6V9S</t>
  </si>
  <si>
    <t>6WWZ</t>
  </si>
  <si>
    <t>6S0Q</t>
  </si>
  <si>
    <t>6PEL</t>
  </si>
  <si>
    <t>6PGS</t>
  </si>
  <si>
    <t>6PH7</t>
  </si>
  <si>
    <t>drd4_mouse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</si>
  <si>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</si>
  <si>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g37l1_human</t>
  </si>
  <si>
    <t>agrb1_human</t>
  </si>
  <si>
    <t>agre5_human</t>
  </si>
  <si>
    <t>agrv1_human</t>
  </si>
  <si>
    <t>7C6A</t>
  </si>
  <si>
    <t>7C61</t>
  </si>
  <si>
    <t>6KO5</t>
  </si>
  <si>
    <t>6TPK</t>
  </si>
  <si>
    <t>6VCB</t>
  </si>
  <si>
    <t>6WHC</t>
  </si>
  <si>
    <t>6WPW</t>
  </si>
  <si>
    <t>6WI9</t>
  </si>
  <si>
    <t>6WZG</t>
  </si>
  <si>
    <t>6M1H</t>
  </si>
  <si>
    <t>6M1I</t>
  </si>
  <si>
    <t>6UO8</t>
  </si>
  <si>
    <t>6PT2</t>
  </si>
  <si>
    <t>6UO9</t>
  </si>
  <si>
    <t>6UOA</t>
  </si>
  <si>
    <t>6VJM</t>
  </si>
  <si>
    <t>7C7Q</t>
  </si>
  <si>
    <t>7C7S</t>
  </si>
  <si>
    <t>6W2X</t>
  </si>
  <si>
    <t>6W2Y</t>
  </si>
  <si>
    <t>6WIV</t>
  </si>
  <si>
    <t>6PT3</t>
  </si>
  <si>
    <t>7C2E</t>
  </si>
  <si>
    <t>6PB0</t>
  </si>
  <si>
    <t>6P9X</t>
  </si>
  <si>
    <t>7BZ2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</si>
  <si>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</si>
  <si>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</si>
  <si>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6ORV</t>
  </si>
  <si>
    <t>6LFO</t>
  </si>
  <si>
    <t>6LFM</t>
  </si>
  <si>
    <t>6LFL</t>
  </si>
  <si>
    <t>6ZDR</t>
  </si>
  <si>
    <t>6ZDV</t>
  </si>
  <si>
    <t>7BW0</t>
  </si>
  <si>
    <t>3x4x</t>
  </si>
  <si>
    <t>7CFM</t>
  </si>
  <si>
    <t>7CFN</t>
  </si>
  <si>
    <t>6Z10</t>
  </si>
  <si>
    <t>6WHA</t>
  </si>
  <si>
    <t>6WH4</t>
  </si>
  <si>
    <t>6WGT</t>
  </si>
  <si>
    <t>6X1A</t>
  </si>
  <si>
    <t>6X18</t>
  </si>
  <si>
    <t>6X19</t>
  </si>
  <si>
    <t>6BD6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</si>
</sst>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4"/>
      <color rgb="FF333333"/>
      <name val="Helvetica Neue"/>
      <family val="2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u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0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1" fontId="0" fillId="2" borderId="0" xfId="0" applyNumberFormat="1" applyFont="1" applyFill="1" applyBorder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  <xf numFmtId="0" fontId="0" fillId="5" borderId="5" xfId="0" applyFill="1" applyBorder="1"/>
    <xf numFmtId="0" fontId="16" fillId="0" borderId="0" xfId="0" applyFont="1" applyFill="1"/>
    <xf numFmtId="0" fontId="0" fillId="2" borderId="9" xfId="0" applyFont="1" applyFill="1" applyBorder="1"/>
    <xf numFmtId="1" fontId="0" fillId="5" borderId="0" xfId="0" applyNumberFormat="1" applyFont="1" applyFill="1"/>
    <xf numFmtId="1" fontId="0" fillId="2" borderId="1" xfId="0" applyNumberFormat="1" applyFont="1" applyFill="1" applyBorder="1"/>
    <xf numFmtId="0" fontId="19" fillId="5" borderId="0" xfId="0" applyFont="1" applyFill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8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ICL3_classA!$F$6:$F$41</c:f>
              <c:numCache>
                <c:formatCode>General</c:formatCode>
                <c:ptCount val="36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43.0</c:v>
                </c:pt>
                <c:pt idx="6">
                  <c:v>44.0</c:v>
                </c:pt>
                <c:pt idx="7">
                  <c:v>45.0</c:v>
                </c:pt>
                <c:pt idx="8">
                  <c:v>46.0</c:v>
                </c:pt>
                <c:pt idx="9">
                  <c:v>46.0</c:v>
                </c:pt>
                <c:pt idx="10">
                  <c:v>48.0</c:v>
                </c:pt>
                <c:pt idx="11">
                  <c:v>48.0</c:v>
                </c:pt>
                <c:pt idx="12">
                  <c:v>50.0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52.0</c:v>
                </c:pt>
                <c:pt idx="19">
                  <c:v>52.0</c:v>
                </c:pt>
                <c:pt idx="20">
                  <c:v>53.0</c:v>
                </c:pt>
                <c:pt idx="21">
                  <c:v>56.0</c:v>
                </c:pt>
                <c:pt idx="22">
                  <c:v>58.0</c:v>
                </c:pt>
                <c:pt idx="23">
                  <c:v>59.0</c:v>
                </c:pt>
                <c:pt idx="24">
                  <c:v>59.0</c:v>
                </c:pt>
                <c:pt idx="25">
                  <c:v>63.0</c:v>
                </c:pt>
                <c:pt idx="26">
                  <c:v>74.0</c:v>
                </c:pt>
                <c:pt idx="27">
                  <c:v>77.0</c:v>
                </c:pt>
                <c:pt idx="28">
                  <c:v>109.0</c:v>
                </c:pt>
                <c:pt idx="29">
                  <c:v>110.0</c:v>
                </c:pt>
                <c:pt idx="30">
                  <c:v>144.0</c:v>
                </c:pt>
                <c:pt idx="31">
                  <c:v>180.0</c:v>
                </c:pt>
                <c:pt idx="32">
                  <c:v>204.0</c:v>
                </c:pt>
                <c:pt idx="33">
                  <c:v>208.0</c:v>
                </c:pt>
                <c:pt idx="34">
                  <c:v>228.0</c:v>
                </c:pt>
                <c:pt idx="35">
                  <c:v>263.0</c:v>
                </c:pt>
              </c:numCache>
            </c:numRef>
          </c:cat>
          <c:val>
            <c:numRef>
              <c:f>ICL3_classA!$G$6:$G$41</c:f>
              <c:numCache>
                <c:formatCode>General</c:formatCode>
                <c:ptCount val="36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69.0</c:v>
                </c:pt>
                <c:pt idx="5">
                  <c:v>68.0</c:v>
                </c:pt>
                <c:pt idx="6">
                  <c:v>68.0</c:v>
                </c:pt>
                <c:pt idx="7">
                  <c:v>67.0</c:v>
                </c:pt>
                <c:pt idx="8">
                  <c:v>67.0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72.0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68.0</c:v>
                </c:pt>
                <c:pt idx="18">
                  <c:v>72.0</c:v>
                </c:pt>
                <c:pt idx="19">
                  <c:v>72.0</c:v>
                </c:pt>
                <c:pt idx="20">
                  <c:v>72.0</c:v>
                </c:pt>
                <c:pt idx="21">
                  <c:v>73.0</c:v>
                </c:pt>
                <c:pt idx="22">
                  <c:v>73.0</c:v>
                </c:pt>
                <c:pt idx="23">
                  <c:v>74.0</c:v>
                </c:pt>
                <c:pt idx="24">
                  <c:v>74.0</c:v>
                </c:pt>
                <c:pt idx="25">
                  <c:v>81.0</c:v>
                </c:pt>
                <c:pt idx="26">
                  <c:v>76.0</c:v>
                </c:pt>
                <c:pt idx="27">
                  <c:v>76.0</c:v>
                </c:pt>
                <c:pt idx="28">
                  <c:v>74.0</c:v>
                </c:pt>
                <c:pt idx="29">
                  <c:v>76.0</c:v>
                </c:pt>
                <c:pt idx="30">
                  <c:v>76.0</c:v>
                </c:pt>
                <c:pt idx="31">
                  <c:v>75.0</c:v>
                </c:pt>
                <c:pt idx="32">
                  <c:v>75.0</c:v>
                </c:pt>
                <c:pt idx="33">
                  <c:v>75.0</c:v>
                </c:pt>
                <c:pt idx="34">
                  <c:v>76.0</c:v>
                </c:pt>
                <c:pt idx="35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ICL3_classA!$F$6:$F$41</c:f>
              <c:numCache>
                <c:formatCode>General</c:formatCode>
                <c:ptCount val="36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43.0</c:v>
                </c:pt>
                <c:pt idx="6">
                  <c:v>44.0</c:v>
                </c:pt>
                <c:pt idx="7">
                  <c:v>45.0</c:v>
                </c:pt>
                <c:pt idx="8">
                  <c:v>46.0</c:v>
                </c:pt>
                <c:pt idx="9">
                  <c:v>46.0</c:v>
                </c:pt>
                <c:pt idx="10">
                  <c:v>48.0</c:v>
                </c:pt>
                <c:pt idx="11">
                  <c:v>48.0</c:v>
                </c:pt>
                <c:pt idx="12">
                  <c:v>50.0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52.0</c:v>
                </c:pt>
                <c:pt idx="19">
                  <c:v>52.0</c:v>
                </c:pt>
                <c:pt idx="20">
                  <c:v>53.0</c:v>
                </c:pt>
                <c:pt idx="21">
                  <c:v>56.0</c:v>
                </c:pt>
                <c:pt idx="22">
                  <c:v>58.0</c:v>
                </c:pt>
                <c:pt idx="23">
                  <c:v>59.0</c:v>
                </c:pt>
                <c:pt idx="24">
                  <c:v>59.0</c:v>
                </c:pt>
                <c:pt idx="25">
                  <c:v>63.0</c:v>
                </c:pt>
                <c:pt idx="26">
                  <c:v>74.0</c:v>
                </c:pt>
                <c:pt idx="27">
                  <c:v>77.0</c:v>
                </c:pt>
                <c:pt idx="28">
                  <c:v>109.0</c:v>
                </c:pt>
                <c:pt idx="29">
                  <c:v>110.0</c:v>
                </c:pt>
                <c:pt idx="30">
                  <c:v>144.0</c:v>
                </c:pt>
                <c:pt idx="31">
                  <c:v>180.0</c:v>
                </c:pt>
                <c:pt idx="32">
                  <c:v>204.0</c:v>
                </c:pt>
                <c:pt idx="33">
                  <c:v>208.0</c:v>
                </c:pt>
                <c:pt idx="34">
                  <c:v>228.0</c:v>
                </c:pt>
                <c:pt idx="35">
                  <c:v>263.0</c:v>
                </c:pt>
              </c:numCache>
            </c:numRef>
          </c:cat>
          <c:val>
            <c:numRef>
              <c:f>ICL3_classA!$H$6:$H$41</c:f>
              <c:numCache>
                <c:formatCode>General</c:formatCode>
                <c:ptCount val="36"/>
                <c:pt idx="0">
                  <c:v>30.0</c:v>
                </c:pt>
                <c:pt idx="1">
                  <c:v>29.0</c:v>
                </c:pt>
                <c:pt idx="2">
                  <c:v>31.0</c:v>
                </c:pt>
                <c:pt idx="3">
                  <c:v>28.0</c:v>
                </c:pt>
                <c:pt idx="4">
                  <c:v>31.0</c:v>
                </c:pt>
                <c:pt idx="5">
                  <c:v>29.0</c:v>
                </c:pt>
                <c:pt idx="6">
                  <c:v>28.0</c:v>
                </c:pt>
                <c:pt idx="7">
                  <c:v>28.0</c:v>
                </c:pt>
                <c:pt idx="8">
                  <c:v>26.0</c:v>
                </c:pt>
                <c:pt idx="9">
                  <c:v>28.0</c:v>
                </c:pt>
                <c:pt idx="10">
                  <c:v>24.0</c:v>
                </c:pt>
                <c:pt idx="11">
                  <c:v>28.0</c:v>
                </c:pt>
                <c:pt idx="12">
                  <c:v>29.0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23.0</c:v>
                </c:pt>
                <c:pt idx="19">
                  <c:v>24.0</c:v>
                </c:pt>
                <c:pt idx="20">
                  <c:v>24.0</c:v>
                </c:pt>
                <c:pt idx="21">
                  <c:v>22.0</c:v>
                </c:pt>
                <c:pt idx="22">
                  <c:v>24.0</c:v>
                </c:pt>
                <c:pt idx="23">
                  <c:v>21.0</c:v>
                </c:pt>
                <c:pt idx="24">
                  <c:v>28.0</c:v>
                </c:pt>
                <c:pt idx="25">
                  <c:v>23.0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  <c:pt idx="34">
                  <c:v>24.0</c:v>
                </c:pt>
                <c:pt idx="35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ICL3_classA!$F$6:$F$41</c:f>
              <c:numCache>
                <c:formatCode>General</c:formatCode>
                <c:ptCount val="36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43.0</c:v>
                </c:pt>
                <c:pt idx="6">
                  <c:v>44.0</c:v>
                </c:pt>
                <c:pt idx="7">
                  <c:v>45.0</c:v>
                </c:pt>
                <c:pt idx="8">
                  <c:v>46.0</c:v>
                </c:pt>
                <c:pt idx="9">
                  <c:v>46.0</c:v>
                </c:pt>
                <c:pt idx="10">
                  <c:v>48.0</c:v>
                </c:pt>
                <c:pt idx="11">
                  <c:v>48.0</c:v>
                </c:pt>
                <c:pt idx="12">
                  <c:v>50.0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52.0</c:v>
                </c:pt>
                <c:pt idx="19">
                  <c:v>52.0</c:v>
                </c:pt>
                <c:pt idx="20">
                  <c:v>53.0</c:v>
                </c:pt>
                <c:pt idx="21">
                  <c:v>56.0</c:v>
                </c:pt>
                <c:pt idx="22">
                  <c:v>58.0</c:v>
                </c:pt>
                <c:pt idx="23">
                  <c:v>59.0</c:v>
                </c:pt>
                <c:pt idx="24">
                  <c:v>59.0</c:v>
                </c:pt>
                <c:pt idx="25">
                  <c:v>63.0</c:v>
                </c:pt>
                <c:pt idx="26">
                  <c:v>74.0</c:v>
                </c:pt>
                <c:pt idx="27">
                  <c:v>77.0</c:v>
                </c:pt>
                <c:pt idx="28">
                  <c:v>109.0</c:v>
                </c:pt>
                <c:pt idx="29">
                  <c:v>110.0</c:v>
                </c:pt>
                <c:pt idx="30">
                  <c:v>144.0</c:v>
                </c:pt>
                <c:pt idx="31">
                  <c:v>180.0</c:v>
                </c:pt>
                <c:pt idx="32">
                  <c:v>204.0</c:v>
                </c:pt>
                <c:pt idx="33">
                  <c:v>208.0</c:v>
                </c:pt>
                <c:pt idx="34">
                  <c:v>228.0</c:v>
                </c:pt>
                <c:pt idx="35">
                  <c:v>263.0</c:v>
                </c:pt>
              </c:numCache>
            </c:numRef>
          </c:cat>
          <c:val>
            <c:numRef>
              <c:f>ICL3_classA!$G$6:$G$41</c:f>
              <c:numCache>
                <c:formatCode>General</c:formatCode>
                <c:ptCount val="36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69.0</c:v>
                </c:pt>
                <c:pt idx="5">
                  <c:v>68.0</c:v>
                </c:pt>
                <c:pt idx="6">
                  <c:v>68.0</c:v>
                </c:pt>
                <c:pt idx="7">
                  <c:v>67.0</c:v>
                </c:pt>
                <c:pt idx="8">
                  <c:v>67.0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72.0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68.0</c:v>
                </c:pt>
                <c:pt idx="18">
                  <c:v>72.0</c:v>
                </c:pt>
                <c:pt idx="19">
                  <c:v>72.0</c:v>
                </c:pt>
                <c:pt idx="20">
                  <c:v>72.0</c:v>
                </c:pt>
                <c:pt idx="21">
                  <c:v>73.0</c:v>
                </c:pt>
                <c:pt idx="22">
                  <c:v>73.0</c:v>
                </c:pt>
                <c:pt idx="23">
                  <c:v>74.0</c:v>
                </c:pt>
                <c:pt idx="24">
                  <c:v>74.0</c:v>
                </c:pt>
                <c:pt idx="25">
                  <c:v>81.0</c:v>
                </c:pt>
                <c:pt idx="26">
                  <c:v>76.0</c:v>
                </c:pt>
                <c:pt idx="27">
                  <c:v>76.0</c:v>
                </c:pt>
                <c:pt idx="28">
                  <c:v>74.0</c:v>
                </c:pt>
                <c:pt idx="29">
                  <c:v>76.0</c:v>
                </c:pt>
                <c:pt idx="30">
                  <c:v>76.0</c:v>
                </c:pt>
                <c:pt idx="31">
                  <c:v>75.0</c:v>
                </c:pt>
                <c:pt idx="32">
                  <c:v>75.0</c:v>
                </c:pt>
                <c:pt idx="33">
                  <c:v>75.0</c:v>
                </c:pt>
                <c:pt idx="34">
                  <c:v>76.0</c:v>
                </c:pt>
                <c:pt idx="35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ICL3_classA!$F$6:$F$41</c:f>
              <c:numCache>
                <c:formatCode>General</c:formatCode>
                <c:ptCount val="36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43.0</c:v>
                </c:pt>
                <c:pt idx="6">
                  <c:v>44.0</c:v>
                </c:pt>
                <c:pt idx="7">
                  <c:v>45.0</c:v>
                </c:pt>
                <c:pt idx="8">
                  <c:v>46.0</c:v>
                </c:pt>
                <c:pt idx="9">
                  <c:v>46.0</c:v>
                </c:pt>
                <c:pt idx="10">
                  <c:v>48.0</c:v>
                </c:pt>
                <c:pt idx="11">
                  <c:v>48.0</c:v>
                </c:pt>
                <c:pt idx="12">
                  <c:v>50.0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52.0</c:v>
                </c:pt>
                <c:pt idx="19">
                  <c:v>52.0</c:v>
                </c:pt>
                <c:pt idx="20">
                  <c:v>53.0</c:v>
                </c:pt>
                <c:pt idx="21">
                  <c:v>56.0</c:v>
                </c:pt>
                <c:pt idx="22">
                  <c:v>58.0</c:v>
                </c:pt>
                <c:pt idx="23">
                  <c:v>59.0</c:v>
                </c:pt>
                <c:pt idx="24">
                  <c:v>59.0</c:v>
                </c:pt>
                <c:pt idx="25">
                  <c:v>63.0</c:v>
                </c:pt>
                <c:pt idx="26">
                  <c:v>74.0</c:v>
                </c:pt>
                <c:pt idx="27">
                  <c:v>77.0</c:v>
                </c:pt>
                <c:pt idx="28">
                  <c:v>109.0</c:v>
                </c:pt>
                <c:pt idx="29">
                  <c:v>110.0</c:v>
                </c:pt>
                <c:pt idx="30">
                  <c:v>144.0</c:v>
                </c:pt>
                <c:pt idx="31">
                  <c:v>180.0</c:v>
                </c:pt>
                <c:pt idx="32">
                  <c:v>204.0</c:v>
                </c:pt>
                <c:pt idx="33">
                  <c:v>208.0</c:v>
                </c:pt>
                <c:pt idx="34">
                  <c:v>228.0</c:v>
                </c:pt>
                <c:pt idx="35">
                  <c:v>263.0</c:v>
                </c:pt>
              </c:numCache>
            </c:numRef>
          </c:cat>
          <c:val>
            <c:numRef>
              <c:f>ICL3_classA!$H$6:$H$41</c:f>
              <c:numCache>
                <c:formatCode>General</c:formatCode>
                <c:ptCount val="36"/>
                <c:pt idx="0">
                  <c:v>30.0</c:v>
                </c:pt>
                <c:pt idx="1">
                  <c:v>29.0</c:v>
                </c:pt>
                <c:pt idx="2">
                  <c:v>31.0</c:v>
                </c:pt>
                <c:pt idx="3">
                  <c:v>28.0</c:v>
                </c:pt>
                <c:pt idx="4">
                  <c:v>31.0</c:v>
                </c:pt>
                <c:pt idx="5">
                  <c:v>29.0</c:v>
                </c:pt>
                <c:pt idx="6">
                  <c:v>28.0</c:v>
                </c:pt>
                <c:pt idx="7">
                  <c:v>28.0</c:v>
                </c:pt>
                <c:pt idx="8">
                  <c:v>26.0</c:v>
                </c:pt>
                <c:pt idx="9">
                  <c:v>28.0</c:v>
                </c:pt>
                <c:pt idx="10">
                  <c:v>24.0</c:v>
                </c:pt>
                <c:pt idx="11">
                  <c:v>28.0</c:v>
                </c:pt>
                <c:pt idx="12">
                  <c:v>29.0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23.0</c:v>
                </c:pt>
                <c:pt idx="19">
                  <c:v>24.0</c:v>
                </c:pt>
                <c:pt idx="20">
                  <c:v>24.0</c:v>
                </c:pt>
                <c:pt idx="21">
                  <c:v>22.0</c:v>
                </c:pt>
                <c:pt idx="22">
                  <c:v>24.0</c:v>
                </c:pt>
                <c:pt idx="23">
                  <c:v>21.0</c:v>
                </c:pt>
                <c:pt idx="24">
                  <c:v>28.0</c:v>
                </c:pt>
                <c:pt idx="25">
                  <c:v>23.0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  <c:pt idx="34">
                  <c:v>24.0</c:v>
                </c:pt>
                <c:pt idx="35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65040528"/>
        <c:axId val="-765081696"/>
      </c:lineChart>
      <c:catAx>
        <c:axId val="-76504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5081696"/>
        <c:crosses val="autoZero"/>
        <c:auto val="1"/>
        <c:lblAlgn val="ctr"/>
        <c:lblOffset val="100"/>
        <c:noMultiLvlLbl val="0"/>
      </c:catAx>
      <c:valAx>
        <c:axId val="-7650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504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73.0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25.0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73.0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25.0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66377488"/>
        <c:axId val="-766299808"/>
      </c:lineChart>
      <c:catAx>
        <c:axId val="-76637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6299808"/>
        <c:crosses val="autoZero"/>
        <c:auto val="1"/>
        <c:lblAlgn val="ctr"/>
        <c:lblOffset val="100"/>
        <c:noMultiLvlLbl val="0"/>
      </c:catAx>
      <c:valAx>
        <c:axId val="-76629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637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23.0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65902656"/>
        <c:axId val="-765899664"/>
      </c:lineChart>
      <c:catAx>
        <c:axId val="-76590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5899664"/>
        <c:crosses val="autoZero"/>
        <c:auto val="1"/>
        <c:lblAlgn val="ctr"/>
        <c:lblOffset val="100"/>
        <c:noMultiLvlLbl val="0"/>
      </c:catAx>
      <c:valAx>
        <c:axId val="-76589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590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39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4" connectionId="7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13" connectionId="13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15" connectionId="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14" connectionId="4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7" connectionId="9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xtal_templates_6" connectionId="8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xtal_templates_12" connectionId="12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xtal_templates_10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xtal_templates_8" connectionId="10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xtal_templates_3" connectionId="6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1" Type="http://schemas.openxmlformats.org/officeDocument/2006/relationships/queryTable" Target="../queryTables/queryTable13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611"/>
  <sheetViews>
    <sheetView zoomScale="110" zoomScaleNormal="110" zoomScalePageLayoutView="110" workbookViewId="0">
      <pane xSplit="3" ySplit="1" topLeftCell="D508" activePane="bottomRight" state="frozenSplit"/>
      <selection pane="topRight" activeCell="D1" sqref="D1"/>
      <selection pane="bottomLeft" activeCell="A2" sqref="A2"/>
      <selection pane="bottomRight" activeCell="A520" sqref="A520:XFD520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1070</v>
      </c>
      <c r="B1" s="61" t="s">
        <v>31</v>
      </c>
      <c r="C1" s="61" t="s">
        <v>30</v>
      </c>
      <c r="E1" s="61" t="s">
        <v>1054</v>
      </c>
      <c r="G1" s="61" t="s">
        <v>1055</v>
      </c>
      <c r="I1" s="62" t="s">
        <v>1071</v>
      </c>
      <c r="K1" s="62" t="s">
        <v>1072</v>
      </c>
      <c r="M1" s="61" t="s">
        <v>1056</v>
      </c>
      <c r="O1" s="61" t="s">
        <v>1057</v>
      </c>
      <c r="Q1" s="61" t="s">
        <v>1073</v>
      </c>
      <c r="S1" s="61" t="s">
        <v>1074</v>
      </c>
      <c r="U1" s="61" t="s">
        <v>1058</v>
      </c>
      <c r="W1" s="61" t="s">
        <v>1059</v>
      </c>
      <c r="Y1" s="61" t="s">
        <v>1086</v>
      </c>
      <c r="AA1" s="61" t="s">
        <v>1087</v>
      </c>
      <c r="AC1" s="104" t="s">
        <v>1060</v>
      </c>
      <c r="AE1" s="61" t="s">
        <v>1061</v>
      </c>
      <c r="AG1" s="61" t="s">
        <v>1089</v>
      </c>
      <c r="AI1" s="61" t="s">
        <v>1090</v>
      </c>
      <c r="AK1" s="61" t="s">
        <v>1062</v>
      </c>
      <c r="AM1" s="61" t="s">
        <v>1063</v>
      </c>
      <c r="AO1" s="61" t="s">
        <v>1064</v>
      </c>
      <c r="AQ1" s="61" t="s">
        <v>1065</v>
      </c>
      <c r="AS1" s="61" t="s">
        <v>1066</v>
      </c>
      <c r="AU1" s="61" t="s">
        <v>1067</v>
      </c>
      <c r="AW1" s="61" t="s">
        <v>1068</v>
      </c>
      <c r="AY1" s="61" t="s">
        <v>1069</v>
      </c>
      <c r="AZ1" s="63" t="s">
        <v>99</v>
      </c>
      <c r="BA1" s="64" t="s">
        <v>1374</v>
      </c>
      <c r="BB1" s="64" t="s">
        <v>1196</v>
      </c>
      <c r="BC1" s="61" t="s">
        <v>1161</v>
      </c>
      <c r="BD1" s="64" t="s">
        <v>1093</v>
      </c>
      <c r="BE1" s="61" t="s">
        <v>1367</v>
      </c>
      <c r="BF1" s="117" t="s">
        <v>1420</v>
      </c>
      <c r="BG1" s="76" t="s">
        <v>1375</v>
      </c>
      <c r="BH1" s="76" t="s">
        <v>1376</v>
      </c>
      <c r="BI1" s="61" t="s">
        <v>1101</v>
      </c>
      <c r="BJ1" s="65" t="s">
        <v>1054</v>
      </c>
      <c r="BK1" s="66" t="s">
        <v>1071</v>
      </c>
      <c r="BL1" s="67" t="s">
        <v>1056</v>
      </c>
      <c r="BM1" s="67" t="s">
        <v>1073</v>
      </c>
      <c r="BN1" s="67" t="s">
        <v>1058</v>
      </c>
      <c r="BO1" s="67" t="s">
        <v>1086</v>
      </c>
      <c r="BP1" s="67" t="s">
        <v>1060</v>
      </c>
      <c r="BQ1" s="67" t="s">
        <v>1089</v>
      </c>
      <c r="BR1" s="67" t="s">
        <v>1062</v>
      </c>
      <c r="BS1" s="67" t="s">
        <v>1064</v>
      </c>
      <c r="BT1" s="67" t="s">
        <v>1066</v>
      </c>
      <c r="BU1" s="68" t="s">
        <v>1068</v>
      </c>
      <c r="BV1" s="65" t="s">
        <v>1054</v>
      </c>
      <c r="BW1" s="69" t="s">
        <v>1071</v>
      </c>
      <c r="BX1" s="68" t="s">
        <v>1056</v>
      </c>
      <c r="BY1" s="68" t="s">
        <v>1073</v>
      </c>
      <c r="BZ1" s="68" t="s">
        <v>1058</v>
      </c>
      <c r="CA1" s="68" t="s">
        <v>1086</v>
      </c>
      <c r="CB1" s="68" t="s">
        <v>1060</v>
      </c>
      <c r="CC1" s="68" t="s">
        <v>1089</v>
      </c>
      <c r="CD1" s="68" t="s">
        <v>1062</v>
      </c>
      <c r="CE1" s="68" t="s">
        <v>1064</v>
      </c>
      <c r="CF1" s="68" t="s">
        <v>1066</v>
      </c>
      <c r="CG1" s="68" t="s">
        <v>1068</v>
      </c>
      <c r="CH1" s="65" t="s">
        <v>1055</v>
      </c>
      <c r="CI1" s="69" t="s">
        <v>1072</v>
      </c>
      <c r="CJ1" s="68" t="s">
        <v>1057</v>
      </c>
      <c r="CK1" s="68" t="s">
        <v>1074</v>
      </c>
      <c r="CL1" s="68" t="s">
        <v>1059</v>
      </c>
      <c r="CM1" s="68" t="s">
        <v>1087</v>
      </c>
      <c r="CN1" s="68" t="s">
        <v>1061</v>
      </c>
      <c r="CO1" s="68" t="s">
        <v>1090</v>
      </c>
      <c r="CP1" s="68" t="s">
        <v>1063</v>
      </c>
      <c r="CQ1" s="68" t="s">
        <v>1065</v>
      </c>
      <c r="CR1" s="68" t="s">
        <v>1067</v>
      </c>
      <c r="CS1" s="68" t="s">
        <v>1069</v>
      </c>
      <c r="CT1" s="61" t="s">
        <v>1282</v>
      </c>
    </row>
    <row r="2" spans="1:1029" x14ac:dyDescent="0.2">
      <c r="A2" s="3" t="str">
        <f t="shared" ref="A2:A85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85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7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1366</v>
      </c>
      <c r="BH2" s="49" t="s">
        <v>1371</v>
      </c>
      <c r="BI2" s="1"/>
      <c r="BJ2" s="70" t="s">
        <v>1281</v>
      </c>
      <c r="BK2" s="57" t="s">
        <v>1281</v>
      </c>
      <c r="BL2" s="57" t="s">
        <v>1281</v>
      </c>
      <c r="BM2" s="57" t="s">
        <v>1281</v>
      </c>
      <c r="BN2" s="57" t="s">
        <v>1281</v>
      </c>
      <c r="BO2" s="57" t="s">
        <v>1281</v>
      </c>
      <c r="BP2" s="57" t="s">
        <v>1281</v>
      </c>
      <c r="BQ2" s="57" t="s">
        <v>1281</v>
      </c>
      <c r="BR2" s="57" t="s">
        <v>1281</v>
      </c>
      <c r="BS2" s="57" t="s">
        <v>1281</v>
      </c>
      <c r="BT2" s="57" t="s">
        <v>1281</v>
      </c>
      <c r="BU2" s="57" t="s">
        <v>1281</v>
      </c>
      <c r="BV2" s="70">
        <f t="shared" ref="BV2:BV41" si="3">E2</f>
        <v>45</v>
      </c>
      <c r="BW2" s="71">
        <f t="shared" ref="BW2:BW41" si="4">I2</f>
        <v>78</v>
      </c>
      <c r="BX2" s="72">
        <f t="shared" ref="BX2:BX41" si="5">M2</f>
        <v>82</v>
      </c>
      <c r="BY2" s="71">
        <f t="shared" ref="BY2:BY41" si="6">Q2</f>
        <v>114</v>
      </c>
      <c r="BZ2" s="72">
        <f t="shared" ref="BZ2:BZ41" si="7">U2</f>
        <v>118</v>
      </c>
      <c r="CA2" s="71">
        <f t="shared" ref="CA2:CA41" si="8">Y2</f>
        <v>154</v>
      </c>
      <c r="CB2" s="72">
        <f t="shared" ref="CB2:CB41" si="9">AC2</f>
        <v>162</v>
      </c>
      <c r="CC2" s="71">
        <f t="shared" ref="CC2:CC41" si="10">AG2</f>
        <v>199</v>
      </c>
      <c r="CD2" s="72">
        <f t="shared" ref="CD2:CD41" si="11">AK2</f>
        <v>205</v>
      </c>
      <c r="CE2" s="71">
        <f t="shared" ref="CE2:CE41" si="12">AO2</f>
        <v>303</v>
      </c>
      <c r="CF2" s="72">
        <f t="shared" ref="CF2:CF41" si="13">AS2</f>
        <v>347</v>
      </c>
      <c r="CG2" s="71">
        <f t="shared" ref="CG2:CG41" si="14">AW2</f>
        <v>373</v>
      </c>
      <c r="CH2" s="70">
        <f t="shared" ref="CH2:CH41" si="15">G2</f>
        <v>77</v>
      </c>
      <c r="CI2" s="71">
        <f t="shared" ref="CI2:CI41" si="16">K2</f>
        <v>81</v>
      </c>
      <c r="CJ2" s="72">
        <f t="shared" ref="CJ2:CJ41" si="17">O2</f>
        <v>113</v>
      </c>
      <c r="CK2" s="72">
        <f t="shared" ref="CK2:CK41" si="18">S2</f>
        <v>117</v>
      </c>
      <c r="CL2" s="72">
        <f t="shared" ref="CL2:CL41" si="19">W2</f>
        <v>153</v>
      </c>
      <c r="CM2" s="72">
        <f t="shared" ref="CM2:CM41" si="20">AA2</f>
        <v>161</v>
      </c>
      <c r="CN2" s="72">
        <f t="shared" ref="CN2:CN41" si="21">AE2</f>
        <v>187</v>
      </c>
      <c r="CO2" s="72">
        <f t="shared" ref="CO2:CO41" si="22">AI2</f>
        <v>201</v>
      </c>
      <c r="CP2" s="72">
        <f t="shared" ref="CP2:CP41" si="23">AM2</f>
        <v>244</v>
      </c>
      <c r="CQ2" s="72">
        <f t="shared" ref="CQ2:CQ41" si="24">AQ2</f>
        <v>339</v>
      </c>
      <c r="CR2" s="72">
        <f t="shared" ref="CR2:CR41" si="25">AU2</f>
        <v>372</v>
      </c>
      <c r="CS2" s="72">
        <f t="shared" ref="CS2:CS41" si="26">AY2</f>
        <v>384</v>
      </c>
      <c r="CT2" s="23">
        <f t="shared" ref="CT2:CT41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1036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1423</v>
      </c>
      <c r="BE3" s="3" t="s">
        <v>1422</v>
      </c>
      <c r="BF3" s="118">
        <v>2.8</v>
      </c>
      <c r="BG3" s="49" t="s">
        <v>1371</v>
      </c>
      <c r="BH3" s="49" t="s">
        <v>1371</v>
      </c>
      <c r="BI3" s="1"/>
      <c r="BJ3" s="70" t="s">
        <v>1281</v>
      </c>
      <c r="BK3" s="57" t="s">
        <v>1281</v>
      </c>
      <c r="BL3" s="57" t="s">
        <v>1281</v>
      </c>
      <c r="BM3" s="57" t="s">
        <v>1281</v>
      </c>
      <c r="BN3" s="57" t="s">
        <v>1281</v>
      </c>
      <c r="BO3" s="57" t="s">
        <v>1281</v>
      </c>
      <c r="BP3" s="57" t="s">
        <v>1281</v>
      </c>
      <c r="BQ3" s="57" t="s">
        <v>1281</v>
      </c>
      <c r="BR3" s="57" t="s">
        <v>1281</v>
      </c>
      <c r="BS3" s="57" t="s">
        <v>1281</v>
      </c>
      <c r="BT3" s="57" t="s">
        <v>1281</v>
      </c>
      <c r="BU3" s="57" t="s">
        <v>1281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1422</v>
      </c>
      <c r="BF4" s="118">
        <v>2.7</v>
      </c>
      <c r="BG4" s="49" t="s">
        <v>1371</v>
      </c>
      <c r="BH4" s="49" t="s">
        <v>1371</v>
      </c>
      <c r="BI4" s="1"/>
      <c r="BJ4" s="70" t="s">
        <v>1281</v>
      </c>
      <c r="BK4" s="57" t="s">
        <v>1281</v>
      </c>
      <c r="BL4" s="57" t="s">
        <v>1281</v>
      </c>
      <c r="BM4" s="57" t="s">
        <v>1281</v>
      </c>
      <c r="BN4" s="57" t="s">
        <v>1281</v>
      </c>
      <c r="BO4" s="57" t="s">
        <v>1281</v>
      </c>
      <c r="BP4" s="57" t="s">
        <v>1281</v>
      </c>
      <c r="BQ4" s="57" t="s">
        <v>1281</v>
      </c>
      <c r="BR4" s="57" t="s">
        <v>1281</v>
      </c>
      <c r="BS4" s="57" t="s">
        <v>1281</v>
      </c>
      <c r="BT4" s="57" t="s">
        <v>1281</v>
      </c>
      <c r="BU4" s="57" t="s">
        <v>1281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1461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1422</v>
      </c>
      <c r="BF5" s="118">
        <v>3.7</v>
      </c>
      <c r="BG5" s="49" t="s">
        <v>1371</v>
      </c>
      <c r="BH5" s="49" t="s">
        <v>1371</v>
      </c>
      <c r="BI5" s="1"/>
      <c r="BJ5" s="70" t="s">
        <v>1281</v>
      </c>
      <c r="BK5" s="57" t="s">
        <v>1281</v>
      </c>
      <c r="BL5" s="57" t="s">
        <v>1281</v>
      </c>
      <c r="BM5" s="57" t="s">
        <v>1281</v>
      </c>
      <c r="BN5" s="57" t="s">
        <v>1281</v>
      </c>
      <c r="BO5" s="57" t="s">
        <v>1281</v>
      </c>
      <c r="BP5" s="57" t="s">
        <v>1281</v>
      </c>
      <c r="BQ5" s="57" t="s">
        <v>1281</v>
      </c>
      <c r="BR5" s="57" t="s">
        <v>1281</v>
      </c>
      <c r="BS5" s="57" t="s">
        <v>1281</v>
      </c>
      <c r="BT5" s="57" t="s">
        <v>1281</v>
      </c>
      <c r="BU5" s="57" t="s">
        <v>1281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1498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1369</v>
      </c>
      <c r="BE6" s="3" t="s">
        <v>1285</v>
      </c>
      <c r="BF6" s="118">
        <v>3.78</v>
      </c>
      <c r="BG6" s="49" t="s">
        <v>1012</v>
      </c>
      <c r="BH6" s="49" t="s">
        <v>1012</v>
      </c>
      <c r="BI6" s="1"/>
      <c r="BJ6" s="70" t="s">
        <v>1281</v>
      </c>
      <c r="BK6" s="57" t="s">
        <v>1281</v>
      </c>
      <c r="BL6" s="57" t="s">
        <v>1281</v>
      </c>
      <c r="BM6" s="57" t="s">
        <v>1281</v>
      </c>
      <c r="BN6" s="57" t="s">
        <v>1281</v>
      </c>
      <c r="BO6" s="57" t="s">
        <v>1281</v>
      </c>
      <c r="BP6" s="57" t="s">
        <v>1281</v>
      </c>
      <c r="BQ6" s="57" t="s">
        <v>1281</v>
      </c>
      <c r="BR6" s="57" t="s">
        <v>1281</v>
      </c>
      <c r="BS6" s="57" t="s">
        <v>1281</v>
      </c>
      <c r="BT6" s="57" t="s">
        <v>1281</v>
      </c>
      <c r="BU6" s="57" t="s">
        <v>1281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>CONCATENATE(B7,"_",C7)</f>
        <v>5ht1b_human_7C61</v>
      </c>
      <c r="B7" s="9" t="s">
        <v>34</v>
      </c>
      <c r="C7" s="9" t="s">
        <v>1695</v>
      </c>
      <c r="D7" s="9" t="str">
        <f>IFERROR(MID(VLOOKUP($B7,Seqs!$A:$B,2,0),E7,1),"")</f>
        <v>S</v>
      </c>
      <c r="E7" s="9">
        <v>45</v>
      </c>
      <c r="F7" s="9" t="str">
        <f>IFERROR(MID(VLOOKUP($B7,Seqs!$A:$B,2,0),G7,1),"")</f>
        <v>T</v>
      </c>
      <c r="G7" s="9">
        <v>77</v>
      </c>
      <c r="H7" s="9" t="str">
        <f>IFERROR(MID(VLOOKUP($B7,Seqs!$A:$B,2,0),I7,1),"")</f>
        <v/>
      </c>
      <c r="I7" s="109" t="s">
        <v>23</v>
      </c>
      <c r="J7" s="9" t="str">
        <f>IFERROR(MID(VLOOKUP($B7,Seqs!$A:$B,2,0),K7,1),"")</f>
        <v/>
      </c>
      <c r="K7" s="109" t="s">
        <v>23</v>
      </c>
      <c r="L7" s="9" t="str">
        <f>IFERROR(MID(VLOOKUP($B7,Seqs!$A:$B,2,0),M7,1),"")</f>
        <v>N</v>
      </c>
      <c r="M7" s="9">
        <v>85</v>
      </c>
      <c r="N7" s="9" t="str">
        <f>IFERROR(MID(VLOOKUP($B7,Seqs!$A:$B,2,0),O7,1),"")</f>
        <v>V</v>
      </c>
      <c r="O7" s="9">
        <v>111</v>
      </c>
      <c r="P7" s="9" t="str">
        <f>IFERROR(MID(VLOOKUP($B7,Seqs!$A:$B,2,0),Q7,1),"")</f>
        <v>R</v>
      </c>
      <c r="Q7" s="9">
        <v>114</v>
      </c>
      <c r="R7" s="9" t="str">
        <f>IFERROR(MID(VLOOKUP($B7,Seqs!$A:$B,2,0),S7,1),"")</f>
        <v>L</v>
      </c>
      <c r="S7" s="9">
        <v>117</v>
      </c>
      <c r="T7" s="9" t="str">
        <f>IFERROR(MID(VLOOKUP($B7,Seqs!$A:$B,2,0),U7,1),"")</f>
        <v>G</v>
      </c>
      <c r="U7" s="9">
        <v>118</v>
      </c>
      <c r="V7" s="9" t="str">
        <f>IFERROR(MID(VLOOKUP($B7,Seqs!$A:$B,2,0),W7,1),"")</f>
        <v>D</v>
      </c>
      <c r="W7" s="9">
        <v>153</v>
      </c>
      <c r="X7" s="9" t="str">
        <f>IFERROR(MID(VLOOKUP($B7,Seqs!$A:$B,2,0),Y7,1),"")</f>
        <v>A</v>
      </c>
      <c r="Y7" s="9">
        <v>154</v>
      </c>
      <c r="Z7" s="9" t="str">
        <f>IFERROR(MID(VLOOKUP($B7,Seqs!$A:$B,2,0),AA7,1),"")</f>
        <v>R</v>
      </c>
      <c r="AA7" s="9">
        <v>161</v>
      </c>
      <c r="AB7" s="9" t="str">
        <f>IFERROR(MID(VLOOKUP($B7,Seqs!$A:$B,2,0),AC7,1),"")</f>
        <v>P</v>
      </c>
      <c r="AC7" s="9">
        <v>163</v>
      </c>
      <c r="AD7" s="9" t="str">
        <f>IFERROR(MID(VLOOKUP($B7,Seqs!$A:$B,2,0),AE7,1),"")</f>
        <v>W</v>
      </c>
      <c r="AE7" s="9">
        <v>187</v>
      </c>
      <c r="AF7" s="9" t="str">
        <f>IFERROR(MID(VLOOKUP($B7,Seqs!$A:$B,2,0),AG7,1),"")</f>
        <v>C</v>
      </c>
      <c r="AG7" s="9">
        <v>199</v>
      </c>
      <c r="AH7" s="9" t="str">
        <f>IFERROR(MID(VLOOKUP($B7,Seqs!$A:$B,2,0),AI7,1),"")</f>
        <v>V</v>
      </c>
      <c r="AI7" s="9">
        <v>201</v>
      </c>
      <c r="AJ7" s="9" t="str">
        <f>IFERROR(MID(VLOOKUP($B7,Seqs!$A:$B,2,0),AK7,1),"")</f>
        <v>I</v>
      </c>
      <c r="AK7" s="9">
        <v>206</v>
      </c>
      <c r="AL7" s="9" t="str">
        <f>IFERROR(MID(VLOOKUP($B7,Seqs!$A:$B,2,0),AM7,1),"")</f>
        <v>R</v>
      </c>
      <c r="AM7" s="9">
        <v>238</v>
      </c>
      <c r="AN7" s="9" t="str">
        <f>IFERROR(MID(VLOOKUP($B7,Seqs!$A:$B,2,0),AO7,1),"")</f>
        <v>F</v>
      </c>
      <c r="AO7" s="9">
        <v>354</v>
      </c>
      <c r="AP7" s="9" t="str">
        <f>IFERROR(MID(VLOOKUP($B7,Seqs!$A:$B,2,0),AQ7,1),"")</f>
        <v>F</v>
      </c>
      <c r="AQ7" s="9">
        <v>376</v>
      </c>
      <c r="AR7" s="9" t="str">
        <f>IFERROR(MID(VLOOKUP($B7,Seqs!$A:$B,2,0),AS7,1),"")</f>
        <v>K</v>
      </c>
      <c r="AS7" s="9">
        <v>387</v>
      </c>
      <c r="AT7" s="9" t="str">
        <f>IFERROR(MID(VLOOKUP($B7,Seqs!$A:$B,2,0),AU7,1),"")</f>
        <v/>
      </c>
      <c r="AU7" s="9">
        <v>412</v>
      </c>
      <c r="AV7" s="9" t="str">
        <f>IFERROR(MID(VLOOKUP($B7,Seqs!$A:$B,2,0),AW7,1),"")</f>
        <v/>
      </c>
      <c r="AW7" s="9">
        <v>414</v>
      </c>
      <c r="AX7" s="9" t="str">
        <f>IFERROR(MID(VLOOKUP($B7,Seqs!$A:$B,2,0),AY7,1),"")</f>
        <v/>
      </c>
      <c r="AY7" s="9">
        <v>421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>_xlfn.AGGREGATE(9,6,CH7:CS7)-_xlfn.AGGREGATE(9,6,BV7:CG7)+12</f>
        <v>227</v>
      </c>
      <c r="BD7" s="11" t="s">
        <v>23</v>
      </c>
      <c r="BE7" s="9" t="s">
        <v>1422</v>
      </c>
      <c r="BF7" s="119">
        <v>3</v>
      </c>
      <c r="BG7" s="51" t="s">
        <v>1</v>
      </c>
      <c r="BH7" s="51" t="s">
        <v>1</v>
      </c>
      <c r="BJ7" s="111" t="s">
        <v>1281</v>
      </c>
      <c r="BK7" s="112" t="s">
        <v>1281</v>
      </c>
      <c r="BL7" s="112" t="s">
        <v>1281</v>
      </c>
      <c r="BM7" s="112" t="s">
        <v>1281</v>
      </c>
      <c r="BN7" s="112" t="s">
        <v>1281</v>
      </c>
      <c r="BO7" s="112" t="s">
        <v>1281</v>
      </c>
      <c r="BP7" s="112" t="s">
        <v>1281</v>
      </c>
      <c r="BQ7" s="112" t="s">
        <v>1281</v>
      </c>
      <c r="BR7" s="112" t="s">
        <v>1281</v>
      </c>
      <c r="BS7" s="112" t="s">
        <v>1281</v>
      </c>
      <c r="BT7" s="112" t="s">
        <v>1281</v>
      </c>
      <c r="BU7" s="112" t="s">
        <v>1281</v>
      </c>
      <c r="BV7" s="111">
        <f>E7</f>
        <v>45</v>
      </c>
      <c r="BW7" s="113" t="str">
        <f>I7</f>
        <v>-</v>
      </c>
      <c r="BX7" s="114">
        <f>M7</f>
        <v>85</v>
      </c>
      <c r="BY7" s="113">
        <f>Q7</f>
        <v>114</v>
      </c>
      <c r="BZ7" s="114">
        <f>U7</f>
        <v>118</v>
      </c>
      <c r="CA7" s="113">
        <f>Y7</f>
        <v>154</v>
      </c>
      <c r="CB7" s="114">
        <f>AC7</f>
        <v>163</v>
      </c>
      <c r="CC7" s="113">
        <f>AG7</f>
        <v>199</v>
      </c>
      <c r="CD7" s="114">
        <f>AK7</f>
        <v>206</v>
      </c>
      <c r="CE7" s="113">
        <f>AO7</f>
        <v>354</v>
      </c>
      <c r="CF7" s="114">
        <f>AS7</f>
        <v>387</v>
      </c>
      <c r="CG7" s="113">
        <f>AW7</f>
        <v>414</v>
      </c>
      <c r="CH7" s="111">
        <f>G7</f>
        <v>77</v>
      </c>
      <c r="CI7" s="113" t="str">
        <f>K7</f>
        <v>-</v>
      </c>
      <c r="CJ7" s="114">
        <f>O7</f>
        <v>111</v>
      </c>
      <c r="CK7" s="114">
        <f>S7</f>
        <v>117</v>
      </c>
      <c r="CL7" s="114">
        <f>W7</f>
        <v>153</v>
      </c>
      <c r="CM7" s="114">
        <f>AA7</f>
        <v>161</v>
      </c>
      <c r="CN7" s="114">
        <f>AE7</f>
        <v>187</v>
      </c>
      <c r="CO7" s="114">
        <f>AI7</f>
        <v>201</v>
      </c>
      <c r="CP7" s="114">
        <f>AM7</f>
        <v>238</v>
      </c>
      <c r="CQ7" s="114">
        <f>AQ7</f>
        <v>376</v>
      </c>
      <c r="CR7" s="114">
        <f>AU7</f>
        <v>412</v>
      </c>
      <c r="CS7" s="114">
        <f>AY7</f>
        <v>421</v>
      </c>
      <c r="CT7" s="109" t="e">
        <f>M7-K7</f>
        <v>#VALUE!</v>
      </c>
    </row>
    <row r="8" spans="1:1029" x14ac:dyDescent="0.2">
      <c r="A8" s="3" t="str">
        <f t="shared" ref="A8:A10" si="28">CONCATENATE(B8,"_",C8)</f>
        <v>5ht2a_human__wt</v>
      </c>
      <c r="B8" s="3" t="s">
        <v>132</v>
      </c>
      <c r="C8" s="3" t="s">
        <v>100</v>
      </c>
      <c r="D8" s="3" t="str">
        <f>IFERROR(MID(VLOOKUP($B8,Seqs!$A:$B,2,0),E8,1),"")</f>
        <v>L</v>
      </c>
      <c r="E8" s="3">
        <v>69</v>
      </c>
      <c r="F8" s="3" t="str">
        <f>IFERROR(MID(VLOOKUP($B8,Seqs!$A:$B,2,0),G8,1),"")</f>
        <v>E</v>
      </c>
      <c r="G8" s="3">
        <v>102</v>
      </c>
      <c r="H8" s="3" t="str">
        <f>IFERROR(MID(VLOOKUP($B8,Seqs!$A:$B,2,0),I8,1),"")</f>
        <v>K</v>
      </c>
      <c r="I8" s="23">
        <v>103</v>
      </c>
      <c r="J8" s="3" t="str">
        <f>IFERROR(MID(VLOOKUP($B8,Seqs!$A:$B,2,0),K8,1),"")</f>
        <v>Q</v>
      </c>
      <c r="K8" s="23">
        <v>106</v>
      </c>
      <c r="L8" s="3" t="str">
        <f>IFERROR(MID(VLOOKUP($B8,Seqs!$A:$B,2,0),M8,1),"")</f>
        <v>N</v>
      </c>
      <c r="M8" s="3">
        <v>107</v>
      </c>
      <c r="N8" s="3" t="str">
        <f>IFERROR(MID(VLOOKUP($B8,Seqs!$A:$B,2,0),O8,1),"")</f>
        <v>G</v>
      </c>
      <c r="O8" s="3">
        <v>138</v>
      </c>
      <c r="P8" s="3" t="str">
        <f>IFERROR(MID(VLOOKUP($B8,Seqs!$A:$B,2,0),Q8,1),"")</f>
        <v>R</v>
      </c>
      <c r="Q8" s="3">
        <v>140</v>
      </c>
      <c r="R8" s="3" t="str">
        <f>IFERROR(MID(VLOOKUP($B8,Seqs!$A:$B,2,0),S8,1),"")</f>
        <v>L</v>
      </c>
      <c r="S8" s="3">
        <v>143</v>
      </c>
      <c r="T8" s="3" t="str">
        <f>IFERROR(MID(VLOOKUP($B8,Seqs!$A:$B,2,0),U8,1),"")</f>
        <v>P</v>
      </c>
      <c r="U8" s="3">
        <v>144</v>
      </c>
      <c r="V8" s="3" t="str">
        <f>IFERROR(MID(VLOOKUP($B8,Seqs!$A:$B,2,0),W8,1),"")</f>
        <v>N</v>
      </c>
      <c r="W8" s="3">
        <v>179</v>
      </c>
      <c r="X8" s="3" t="str">
        <f>IFERROR(MID(VLOOKUP($B8,Seqs!$A:$B,2,0),Y8,1),"")</f>
        <v>P</v>
      </c>
      <c r="Y8" s="3">
        <v>180</v>
      </c>
      <c r="Z8" s="3" t="str">
        <f>IFERROR(MID(VLOOKUP($B8,Seqs!$A:$B,2,0),AA8,1),"")</f>
        <v>N</v>
      </c>
      <c r="AA8" s="3">
        <v>187</v>
      </c>
      <c r="AB8" s="3" t="str">
        <f>IFERROR(MID(VLOOKUP($B8,Seqs!$A:$B,2,0),AC8,1),"")</f>
        <v>S</v>
      </c>
      <c r="AC8" s="3">
        <v>188</v>
      </c>
      <c r="AD8" s="3" t="str">
        <f>IFERROR(MID(VLOOKUP($B8,Seqs!$A:$B,2,0),AE8,1),"")</f>
        <v>D</v>
      </c>
      <c r="AE8" s="3">
        <v>217</v>
      </c>
      <c r="AF8" s="3" t="str">
        <f>IFERROR(MID(VLOOKUP($B8,Seqs!$A:$B,2,0),AG8,1),"")</f>
        <v>C</v>
      </c>
      <c r="AG8" s="3">
        <v>227</v>
      </c>
      <c r="AH8" s="3" t="str">
        <f>IFERROR(MID(VLOOKUP($B8,Seqs!$A:$B,2,0),AI8,1),"")</f>
        <v>L</v>
      </c>
      <c r="AI8" s="3">
        <v>229</v>
      </c>
      <c r="AJ8" s="3" t="str">
        <f>IFERROR(MID(VLOOKUP($B8,Seqs!$A:$B,2,0),AK8,1),"")</f>
        <v>D</v>
      </c>
      <c r="AK8" s="3">
        <v>231</v>
      </c>
      <c r="AL8" s="3" t="str">
        <f>IFERROR(MID(VLOOKUP($B8,Seqs!$A:$B,2,0),AM8,1),"")</f>
        <v>L</v>
      </c>
      <c r="AM8" s="3">
        <v>272</v>
      </c>
      <c r="AN8" s="3" t="str">
        <f>IFERROR(MID(VLOOKUP($B8,Seqs!$A:$B,2,0),AO8,1),"")</f>
        <v>M</v>
      </c>
      <c r="AO8" s="3">
        <v>312</v>
      </c>
      <c r="AP8" s="3" t="str">
        <f>IFERROR(MID(VLOOKUP($B8,Seqs!$A:$B,2,0),AQ8,1),"")</f>
        <v>C</v>
      </c>
      <c r="AQ8" s="3">
        <v>349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C</v>
      </c>
      <c r="AY8" s="3">
        <v>397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ref="BB8:BB10" si="29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23">
        <f t="shared" ref="BC8:BC10" si="30">_xlfn.AGGREGATE(9,6,CH8:CS8)-_xlfn.AGGREGATE(9,6,BV8:CG8)+12</f>
        <v>275</v>
      </c>
      <c r="BD8" s="4" t="s">
        <v>23</v>
      </c>
      <c r="BE8" s="3" t="s">
        <v>23</v>
      </c>
      <c r="BF8" s="118" t="s">
        <v>23</v>
      </c>
      <c r="BG8" s="49" t="s">
        <v>23</v>
      </c>
      <c r="BH8" s="49" t="s">
        <v>23</v>
      </c>
      <c r="BI8" s="1"/>
      <c r="BJ8" s="70" t="s">
        <v>1281</v>
      </c>
      <c r="BK8" s="57" t="s">
        <v>1281</v>
      </c>
      <c r="BL8" s="57" t="s">
        <v>1281</v>
      </c>
      <c r="BM8" s="57" t="s">
        <v>1281</v>
      </c>
      <c r="BN8" s="57" t="s">
        <v>1281</v>
      </c>
      <c r="BO8" s="57" t="s">
        <v>1281</v>
      </c>
      <c r="BP8" s="57" t="s">
        <v>1281</v>
      </c>
      <c r="BQ8" s="57" t="s">
        <v>1281</v>
      </c>
      <c r="BR8" s="57" t="s">
        <v>1281</v>
      </c>
      <c r="BS8" s="57" t="s">
        <v>1281</v>
      </c>
      <c r="BT8" s="57" t="s">
        <v>1281</v>
      </c>
      <c r="BU8" s="57" t="s">
        <v>1281</v>
      </c>
      <c r="BV8" s="70">
        <f t="shared" ref="BV8:BV10" si="31">E8</f>
        <v>69</v>
      </c>
      <c r="BW8" s="71">
        <f t="shared" ref="BW8:BW10" si="32">I8</f>
        <v>103</v>
      </c>
      <c r="BX8" s="72">
        <f t="shared" ref="BX8:BX10" si="33">M8</f>
        <v>107</v>
      </c>
      <c r="BY8" s="71">
        <f t="shared" ref="BY8:BY10" si="34">Q8</f>
        <v>140</v>
      </c>
      <c r="BZ8" s="72">
        <f t="shared" ref="BZ8:BZ10" si="35">U8</f>
        <v>144</v>
      </c>
      <c r="CA8" s="71">
        <f t="shared" ref="CA8:CA10" si="36">Y8</f>
        <v>180</v>
      </c>
      <c r="CB8" s="72">
        <f t="shared" ref="CB8:CB10" si="37">AC8</f>
        <v>188</v>
      </c>
      <c r="CC8" s="71">
        <f t="shared" ref="CC8:CC10" si="38">AG8</f>
        <v>227</v>
      </c>
      <c r="CD8" s="72">
        <f t="shared" ref="CD8:CD10" si="39">AK8</f>
        <v>231</v>
      </c>
      <c r="CE8" s="71">
        <f t="shared" ref="CE8:CE10" si="40">AO8</f>
        <v>312</v>
      </c>
      <c r="CF8" s="72">
        <f t="shared" ref="CF8:CF10" si="41">AS8</f>
        <v>354</v>
      </c>
      <c r="CG8" s="71">
        <f t="shared" ref="CG8:CG10" si="42">AW8</f>
        <v>384</v>
      </c>
      <c r="CH8" s="70">
        <f t="shared" ref="CH8:CH10" si="43">G8</f>
        <v>102</v>
      </c>
      <c r="CI8" s="71">
        <f t="shared" ref="CI8:CI10" si="44">K8</f>
        <v>106</v>
      </c>
      <c r="CJ8" s="72">
        <f t="shared" ref="CJ8:CJ10" si="45">O8</f>
        <v>138</v>
      </c>
      <c r="CK8" s="72">
        <f t="shared" ref="CK8:CK10" si="46">S8</f>
        <v>143</v>
      </c>
      <c r="CL8" s="72">
        <f t="shared" ref="CL8:CL10" si="47">W8</f>
        <v>179</v>
      </c>
      <c r="CM8" s="72">
        <f t="shared" ref="CM8:CM10" si="48">AA8</f>
        <v>187</v>
      </c>
      <c r="CN8" s="72">
        <f t="shared" ref="CN8:CN10" si="49">AE8</f>
        <v>217</v>
      </c>
      <c r="CO8" s="72">
        <f t="shared" ref="CO8:CO10" si="50">AI8</f>
        <v>229</v>
      </c>
      <c r="CP8" s="72">
        <f t="shared" ref="CP8:CP10" si="51">AM8</f>
        <v>272</v>
      </c>
      <c r="CQ8" s="72">
        <f t="shared" ref="CQ8:CQ10" si="52">AQ8</f>
        <v>349</v>
      </c>
      <c r="CR8" s="72">
        <f t="shared" ref="CR8:CR10" si="53">AU8</f>
        <v>383</v>
      </c>
      <c r="CS8" s="72">
        <f t="shared" ref="CS8:CS10" si="54">AY8</f>
        <v>397</v>
      </c>
      <c r="CT8" s="23">
        <f t="shared" ref="CT8:CT10" si="55">M8-K8</f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56">CONCATENATE(B9,"_",C9)</f>
        <v>5ht2a_human_6A93</v>
      </c>
      <c r="B9" s="3" t="s">
        <v>132</v>
      </c>
      <c r="C9" s="3" t="s">
        <v>1553</v>
      </c>
      <c r="D9" s="3" t="str">
        <f>IFERROR(MID(VLOOKUP($B9,Seqs!$A:$B,2,0),E9,1),"")</f>
        <v>L</v>
      </c>
      <c r="E9" s="3">
        <v>69</v>
      </c>
      <c r="F9" s="3" t="str">
        <f>IFERROR(MID(VLOOKUP($B9,Seqs!$A:$B,2,0),G9,1),"")</f>
        <v>E</v>
      </c>
      <c r="G9" s="3">
        <v>102</v>
      </c>
      <c r="H9" s="3" t="str">
        <f>IFERROR(MID(VLOOKUP($B9,Seqs!$A:$B,2,0),I9,1),"")</f>
        <v>K</v>
      </c>
      <c r="I9" s="23">
        <v>103</v>
      </c>
      <c r="J9" s="3" t="str">
        <f>IFERROR(MID(VLOOKUP($B9,Seqs!$A:$B,2,0),K9,1),"")</f>
        <v>Q</v>
      </c>
      <c r="K9" s="23">
        <v>106</v>
      </c>
      <c r="L9" s="3" t="str">
        <f>IFERROR(MID(VLOOKUP($B9,Seqs!$A:$B,2,0),M9,1),"")</f>
        <v>N</v>
      </c>
      <c r="M9" s="3">
        <v>107</v>
      </c>
      <c r="N9" s="3" t="str">
        <f>IFERROR(MID(VLOOKUP($B9,Seqs!$A:$B,2,0),O9,1),"")</f>
        <v>G</v>
      </c>
      <c r="O9" s="3">
        <v>138</v>
      </c>
      <c r="P9" s="3" t="str">
        <f>IFERROR(MID(VLOOKUP($B9,Seqs!$A:$B,2,0),Q9,1),"")</f>
        <v>R</v>
      </c>
      <c r="Q9" s="3">
        <v>140</v>
      </c>
      <c r="R9" s="3" t="str">
        <f>IFERROR(MID(VLOOKUP($B9,Seqs!$A:$B,2,0),S9,1),"")</f>
        <v>L</v>
      </c>
      <c r="S9" s="3">
        <v>143</v>
      </c>
      <c r="T9" s="3" t="str">
        <f>IFERROR(MID(VLOOKUP($B9,Seqs!$A:$B,2,0),U9,1),"")</f>
        <v>P</v>
      </c>
      <c r="U9" s="3">
        <v>144</v>
      </c>
      <c r="V9" s="3" t="str">
        <f>IFERROR(MID(VLOOKUP($B9,Seqs!$A:$B,2,0),W9,1),"")</f>
        <v>N</v>
      </c>
      <c r="W9" s="3">
        <v>179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R</v>
      </c>
      <c r="AC9" s="3">
        <v>189</v>
      </c>
      <c r="AD9" s="3" t="str">
        <f>IFERROR(MID(VLOOKUP($B9,Seqs!$A:$B,2,0),AE9,1),"")</f>
        <v>D</v>
      </c>
      <c r="AE9" s="3">
        <v>217</v>
      </c>
      <c r="AF9" s="3" t="str">
        <f>IFERROR(MID(VLOOKUP($B9,Seqs!$A:$B,2,0),AG9,1),"")</f>
        <v>C</v>
      </c>
      <c r="AG9" s="3">
        <v>227</v>
      </c>
      <c r="AH9" s="3" t="str">
        <f>IFERROR(MID(VLOOKUP($B9,Seqs!$A:$B,2,0),AI9,1),"")</f>
        <v>L</v>
      </c>
      <c r="AI9" s="3">
        <v>229</v>
      </c>
      <c r="AJ9" s="3" t="str">
        <f>IFERROR(MID(VLOOKUP($B9,Seqs!$A:$B,2,0),AK9,1),"")</f>
        <v>D</v>
      </c>
      <c r="AK9" s="3">
        <v>231</v>
      </c>
      <c r="AL9" s="3" t="str">
        <f>IFERROR(MID(VLOOKUP($B9,Seqs!$A:$B,2,0),AM9,1),"")</f>
        <v>A</v>
      </c>
      <c r="AM9" s="3">
        <v>265</v>
      </c>
      <c r="AN9" s="3" t="str">
        <f>IFERROR(MID(VLOOKUP($B9,Seqs!$A:$B,2,0),AO9,1),"")</f>
        <v>Q</v>
      </c>
      <c r="AO9" s="3">
        <v>313</v>
      </c>
      <c r="AP9" s="3" t="str">
        <f>IFERROR(MID(VLOOKUP($B9,Seqs!$A:$B,2,0),AQ9,1),"")</f>
        <v>C</v>
      </c>
      <c r="AQ9" s="3">
        <v>349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C</v>
      </c>
      <c r="AY9" s="3">
        <v>397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ref="BB9" si="57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58">_xlfn.AGGREGATE(9,6,CH9:CS9)-_xlfn.AGGREGATE(9,6,BV9:CG9)+12</f>
        <v>259</v>
      </c>
      <c r="BD9" s="4" t="s">
        <v>23</v>
      </c>
      <c r="BE9" s="3" t="s">
        <v>1368</v>
      </c>
      <c r="BF9" s="118">
        <v>3</v>
      </c>
      <c r="BG9" s="49" t="s">
        <v>1</v>
      </c>
      <c r="BH9" s="49" t="s">
        <v>1</v>
      </c>
      <c r="BI9" s="1"/>
      <c r="BJ9" s="70" t="s">
        <v>1281</v>
      </c>
      <c r="BK9" s="57" t="s">
        <v>1281</v>
      </c>
      <c r="BL9" s="57" t="s">
        <v>1281</v>
      </c>
      <c r="BM9" s="57" t="s">
        <v>1281</v>
      </c>
      <c r="BN9" s="57" t="s">
        <v>1281</v>
      </c>
      <c r="BO9" s="57" t="s">
        <v>1281</v>
      </c>
      <c r="BP9" s="57" t="s">
        <v>1281</v>
      </c>
      <c r="BQ9" s="57" t="s">
        <v>1281</v>
      </c>
      <c r="BR9" s="57" t="s">
        <v>1281</v>
      </c>
      <c r="BS9" s="57" t="s">
        <v>1281</v>
      </c>
      <c r="BT9" s="57" t="s">
        <v>1281</v>
      </c>
      <c r="BU9" s="57" t="s">
        <v>1281</v>
      </c>
      <c r="BV9" s="70">
        <f t="shared" ref="BV9" si="59">E9</f>
        <v>69</v>
      </c>
      <c r="BW9" s="71">
        <f t="shared" ref="BW9" si="60">I9</f>
        <v>103</v>
      </c>
      <c r="BX9" s="72">
        <f t="shared" ref="BX9" si="61">M9</f>
        <v>107</v>
      </c>
      <c r="BY9" s="71">
        <f t="shared" ref="BY9" si="62">Q9</f>
        <v>140</v>
      </c>
      <c r="BZ9" s="72">
        <f t="shared" ref="BZ9" si="63">U9</f>
        <v>144</v>
      </c>
      <c r="CA9" s="71" t="str">
        <f t="shared" ref="CA9" si="64">Y9</f>
        <v>-</v>
      </c>
      <c r="CB9" s="72">
        <f t="shared" ref="CB9" si="65">AC9</f>
        <v>189</v>
      </c>
      <c r="CC9" s="71">
        <f t="shared" ref="CC9" si="66">AG9</f>
        <v>227</v>
      </c>
      <c r="CD9" s="72">
        <f t="shared" ref="CD9" si="67">AK9</f>
        <v>231</v>
      </c>
      <c r="CE9" s="71">
        <f t="shared" ref="CE9" si="68">AO9</f>
        <v>313</v>
      </c>
      <c r="CF9" s="72">
        <f t="shared" ref="CF9" si="69">AS9</f>
        <v>354</v>
      </c>
      <c r="CG9" s="71">
        <f t="shared" ref="CG9" si="70">AW9</f>
        <v>384</v>
      </c>
      <c r="CH9" s="70">
        <f t="shared" ref="CH9" si="71">G9</f>
        <v>102</v>
      </c>
      <c r="CI9" s="71">
        <f t="shared" ref="CI9" si="72">K9</f>
        <v>106</v>
      </c>
      <c r="CJ9" s="72">
        <f t="shared" ref="CJ9" si="73">O9</f>
        <v>138</v>
      </c>
      <c r="CK9" s="72">
        <f t="shared" ref="CK9" si="74">S9</f>
        <v>143</v>
      </c>
      <c r="CL9" s="72">
        <f t="shared" ref="CL9" si="75">W9</f>
        <v>179</v>
      </c>
      <c r="CM9" s="72" t="str">
        <f t="shared" ref="CM9" si="76">AA9</f>
        <v>-</v>
      </c>
      <c r="CN9" s="72">
        <f t="shared" ref="CN9" si="77">AE9</f>
        <v>217</v>
      </c>
      <c r="CO9" s="72">
        <f t="shared" ref="CO9" si="78">AI9</f>
        <v>229</v>
      </c>
      <c r="CP9" s="72">
        <f t="shared" ref="CP9" si="79">AM9</f>
        <v>265</v>
      </c>
      <c r="CQ9" s="72">
        <f t="shared" ref="CQ9" si="80">AQ9</f>
        <v>349</v>
      </c>
      <c r="CR9" s="72">
        <f t="shared" ref="CR9" si="81">AU9</f>
        <v>383</v>
      </c>
      <c r="CS9" s="72">
        <f t="shared" ref="CS9" si="82">AY9</f>
        <v>397</v>
      </c>
      <c r="CT9" s="23">
        <f t="shared" ref="CT9" si="83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28"/>
        <v>5ht2a_human_6A94</v>
      </c>
      <c r="B10" s="3" t="s">
        <v>132</v>
      </c>
      <c r="C10" s="3" t="s">
        <v>1552</v>
      </c>
      <c r="D10" s="3" t="str">
        <f>IFERROR(MID(VLOOKUP($B10,Seqs!$A:$B,2,0),E10,1),"")</f>
        <v>L</v>
      </c>
      <c r="E10" s="3">
        <v>69</v>
      </c>
      <c r="F10" s="3" t="str">
        <f>IFERROR(MID(VLOOKUP($B10,Seqs!$A:$B,2,0),G10,1),"")</f>
        <v>E</v>
      </c>
      <c r="G10" s="3">
        <v>102</v>
      </c>
      <c r="H10" s="3" t="str">
        <f>IFERROR(MID(VLOOKUP($B10,Seqs!$A:$B,2,0),I10,1),"")</f>
        <v>K</v>
      </c>
      <c r="I10" s="23">
        <v>103</v>
      </c>
      <c r="J10" s="3" t="str">
        <f>IFERROR(MID(VLOOKUP($B10,Seqs!$A:$B,2,0),K10,1),"")</f>
        <v>Q</v>
      </c>
      <c r="K10" s="23">
        <v>106</v>
      </c>
      <c r="L10" s="3" t="str">
        <f>IFERROR(MID(VLOOKUP($B10,Seqs!$A:$B,2,0),M10,1),"")</f>
        <v>N</v>
      </c>
      <c r="M10" s="3">
        <v>107</v>
      </c>
      <c r="N10" s="3" t="str">
        <f>IFERROR(MID(VLOOKUP($B10,Seqs!$A:$B,2,0),O10,1),"")</f>
        <v>G</v>
      </c>
      <c r="O10" s="3">
        <v>138</v>
      </c>
      <c r="P10" s="3" t="str">
        <f>IFERROR(MID(VLOOKUP($B10,Seqs!$A:$B,2,0),Q10,1),"")</f>
        <v>R</v>
      </c>
      <c r="Q10" s="3">
        <v>140</v>
      </c>
      <c r="R10" s="3" t="str">
        <f>IFERROR(MID(VLOOKUP($B10,Seqs!$A:$B,2,0),S10,1),"")</f>
        <v>L</v>
      </c>
      <c r="S10" s="3">
        <v>143</v>
      </c>
      <c r="T10" s="3" t="str">
        <f>IFERROR(MID(VLOOKUP($B10,Seqs!$A:$B,2,0),U10,1),"")</f>
        <v>P</v>
      </c>
      <c r="U10" s="3">
        <v>144</v>
      </c>
      <c r="V10" s="3" t="str">
        <f>IFERROR(MID(VLOOKUP($B10,Seqs!$A:$B,2,0),W10,1),"")</f>
        <v>N</v>
      </c>
      <c r="W10" s="3">
        <v>179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R</v>
      </c>
      <c r="AC10" s="3">
        <v>189</v>
      </c>
      <c r="AD10" s="3" t="str">
        <f>IFERROR(MID(VLOOKUP($B10,Seqs!$A:$B,2,0),AE10,1),"")</f>
        <v>D</v>
      </c>
      <c r="AE10" s="3">
        <v>217</v>
      </c>
      <c r="AF10" s="3" t="str">
        <f>IFERROR(MID(VLOOKUP($B10,Seqs!$A:$B,2,0),AG10,1),"")</f>
        <v>C</v>
      </c>
      <c r="AG10" s="3">
        <v>227</v>
      </c>
      <c r="AH10" s="3" t="str">
        <f>IFERROR(MID(VLOOKUP($B10,Seqs!$A:$B,2,0),AI10,1),"")</f>
        <v>L</v>
      </c>
      <c r="AI10" s="3">
        <v>229</v>
      </c>
      <c r="AJ10" s="3" t="str">
        <f>IFERROR(MID(VLOOKUP($B10,Seqs!$A:$B,2,0),AK10,1),"")</f>
        <v>D</v>
      </c>
      <c r="AK10" s="3">
        <v>231</v>
      </c>
      <c r="AL10" s="3" t="str">
        <f>IFERROR(MID(VLOOKUP($B10,Seqs!$A:$B,2,0),AM10,1),"")</f>
        <v>A</v>
      </c>
      <c r="AM10" s="3">
        <v>265</v>
      </c>
      <c r="AN10" s="3" t="str">
        <f>IFERROR(MID(VLOOKUP($B10,Seqs!$A:$B,2,0),AO10,1),"")</f>
        <v>Q</v>
      </c>
      <c r="AO10" s="3">
        <v>313</v>
      </c>
      <c r="AP10" s="3" t="str">
        <f>IFERROR(MID(VLOOKUP($B10,Seqs!$A:$B,2,0),AQ10,1),"")</f>
        <v>C</v>
      </c>
      <c r="AQ10" s="3">
        <v>349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C</v>
      </c>
      <c r="AY10" s="3">
        <v>397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29"/>
        <v>1</v>
      </c>
      <c r="BC10" s="23">
        <f t="shared" si="30"/>
        <v>259</v>
      </c>
      <c r="BD10" s="4" t="s">
        <v>1370</v>
      </c>
      <c r="BE10" s="3" t="s">
        <v>1368</v>
      </c>
      <c r="BF10" s="118">
        <v>2.9</v>
      </c>
      <c r="BG10" s="49" t="s">
        <v>1</v>
      </c>
      <c r="BH10" s="49" t="s">
        <v>1</v>
      </c>
      <c r="BI10" s="1"/>
      <c r="BJ10" s="70" t="s">
        <v>1281</v>
      </c>
      <c r="BK10" s="57" t="s">
        <v>1281</v>
      </c>
      <c r="BL10" s="57" t="s">
        <v>1281</v>
      </c>
      <c r="BM10" s="57" t="s">
        <v>1281</v>
      </c>
      <c r="BN10" s="57" t="s">
        <v>1281</v>
      </c>
      <c r="BO10" s="57" t="s">
        <v>1281</v>
      </c>
      <c r="BP10" s="57" t="s">
        <v>1281</v>
      </c>
      <c r="BQ10" s="57" t="s">
        <v>1281</v>
      </c>
      <c r="BR10" s="57" t="s">
        <v>1281</v>
      </c>
      <c r="BS10" s="57" t="s">
        <v>1281</v>
      </c>
      <c r="BT10" s="57" t="s">
        <v>1281</v>
      </c>
      <c r="BU10" s="57" t="s">
        <v>1281</v>
      </c>
      <c r="BV10" s="70">
        <f t="shared" si="31"/>
        <v>69</v>
      </c>
      <c r="BW10" s="71">
        <f t="shared" si="32"/>
        <v>103</v>
      </c>
      <c r="BX10" s="72">
        <f t="shared" si="33"/>
        <v>107</v>
      </c>
      <c r="BY10" s="71">
        <f t="shared" si="34"/>
        <v>140</v>
      </c>
      <c r="BZ10" s="72">
        <f t="shared" si="35"/>
        <v>144</v>
      </c>
      <c r="CA10" s="71" t="str">
        <f t="shared" si="36"/>
        <v>-</v>
      </c>
      <c r="CB10" s="72">
        <f t="shared" si="37"/>
        <v>189</v>
      </c>
      <c r="CC10" s="71">
        <f t="shared" si="38"/>
        <v>227</v>
      </c>
      <c r="CD10" s="72">
        <f t="shared" si="39"/>
        <v>231</v>
      </c>
      <c r="CE10" s="71">
        <f t="shared" si="40"/>
        <v>313</v>
      </c>
      <c r="CF10" s="72">
        <f t="shared" si="41"/>
        <v>354</v>
      </c>
      <c r="CG10" s="71">
        <f t="shared" si="42"/>
        <v>384</v>
      </c>
      <c r="CH10" s="70">
        <f t="shared" si="43"/>
        <v>102</v>
      </c>
      <c r="CI10" s="71">
        <f t="shared" si="44"/>
        <v>106</v>
      </c>
      <c r="CJ10" s="72">
        <f t="shared" si="45"/>
        <v>138</v>
      </c>
      <c r="CK10" s="72">
        <f t="shared" si="46"/>
        <v>143</v>
      </c>
      <c r="CL10" s="72">
        <f t="shared" si="47"/>
        <v>179</v>
      </c>
      <c r="CM10" s="72" t="str">
        <f t="shared" si="48"/>
        <v>-</v>
      </c>
      <c r="CN10" s="72">
        <f t="shared" si="49"/>
        <v>217</v>
      </c>
      <c r="CO10" s="72">
        <f t="shared" si="50"/>
        <v>229</v>
      </c>
      <c r="CP10" s="72">
        <f t="shared" si="51"/>
        <v>265</v>
      </c>
      <c r="CQ10" s="72">
        <f t="shared" si="52"/>
        <v>349</v>
      </c>
      <c r="CR10" s="72">
        <f t="shared" si="53"/>
        <v>383</v>
      </c>
      <c r="CS10" s="72">
        <f t="shared" si="54"/>
        <v>397</v>
      </c>
      <c r="CT10" s="23">
        <f t="shared" si="55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s="12" customFormat="1" x14ac:dyDescent="0.2">
      <c r="A11" s="9" t="str">
        <f t="shared" ref="A11" si="84">CONCATENATE(B11,"_",C11)</f>
        <v>5ht2a_human_6WHA</v>
      </c>
      <c r="B11" s="9" t="s">
        <v>132</v>
      </c>
      <c r="C11" s="9" t="s">
        <v>1733</v>
      </c>
      <c r="D11" s="9" t="str">
        <f>IFERROR(MID(VLOOKUP($B11,Seqs!$A:$B,2,0),E11,1),"")</f>
        <v>V</v>
      </c>
      <c r="E11" s="9">
        <v>84</v>
      </c>
      <c r="F11" s="9" t="str">
        <f>IFERROR(MID(VLOOKUP($B11,Seqs!$A:$B,2,0),G11,1),"")</f>
        <v>V</v>
      </c>
      <c r="G11" s="9">
        <v>99</v>
      </c>
      <c r="H11" s="9" t="str">
        <f>IFERROR(MID(VLOOKUP($B11,Seqs!$A:$B,2,0),I11,1),"")</f>
        <v/>
      </c>
      <c r="I11" s="109" t="s">
        <v>23</v>
      </c>
      <c r="J11" s="9" t="str">
        <f>IFERROR(MID(VLOOKUP($B11,Seqs!$A:$B,2,0),K11,1),"")</f>
        <v/>
      </c>
      <c r="K11" s="109" t="s">
        <v>23</v>
      </c>
      <c r="L11" s="9" t="str">
        <f>IFERROR(MID(VLOOKUP($B11,Seqs!$A:$B,2,0),M11,1),"")</f>
        <v>T</v>
      </c>
      <c r="M11" s="9">
        <v>109</v>
      </c>
      <c r="N11" s="9" t="str">
        <f>IFERROR(MID(VLOOKUP($B11,Seqs!$A:$B,2,0),O11,1),"")</f>
        <v>G</v>
      </c>
      <c r="O11" s="9">
        <v>138</v>
      </c>
      <c r="P11" s="9" t="str">
        <f>IFERROR(MID(VLOOKUP($B11,Seqs!$A:$B,2,0),Q11,1),"")</f>
        <v/>
      </c>
      <c r="Q11" s="9" t="s">
        <v>23</v>
      </c>
      <c r="R11" s="9" t="str">
        <f>IFERROR(MID(VLOOKUP($B11,Seqs!$A:$B,2,0),S11,1),"")</f>
        <v/>
      </c>
      <c r="S11" s="9" t="s">
        <v>23</v>
      </c>
      <c r="T11" s="9" t="str">
        <f>IFERROR(MID(VLOOKUP($B11,Seqs!$A:$B,2,0),U11,1),"")</f>
        <v>S</v>
      </c>
      <c r="U11" s="9">
        <v>145</v>
      </c>
      <c r="V11" s="9" t="str">
        <f>IFERROR(MID(VLOOKUP($B11,Seqs!$A:$B,2,0),W11,1),"")</f>
        <v>Q</v>
      </c>
      <c r="W11" s="9">
        <v>178</v>
      </c>
      <c r="X11" s="9" t="str">
        <f>IFERROR(MID(VLOOKUP($B11,Seqs!$A:$B,2,0),Y11,1),"")</f>
        <v>P</v>
      </c>
      <c r="Y11" s="9">
        <v>180</v>
      </c>
      <c r="Z11" s="9" t="str">
        <f>IFERROR(MID(VLOOKUP($B11,Seqs!$A:$B,2,0),AA11,1),"")</f>
        <v>N</v>
      </c>
      <c r="AA11" s="9">
        <v>187</v>
      </c>
      <c r="AB11" s="9" t="str">
        <f>IFERROR(MID(VLOOKUP($B11,Seqs!$A:$B,2,0),AC11,1),"")</f>
        <v>T</v>
      </c>
      <c r="AC11" s="9">
        <v>190</v>
      </c>
      <c r="AD11" s="9" t="str">
        <f>IFERROR(MID(VLOOKUP($B11,Seqs!$A:$B,2,0),AE11,1),"")</f>
        <v>D</v>
      </c>
      <c r="AE11" s="9">
        <v>217</v>
      </c>
      <c r="AF11" s="9" t="str">
        <f>IFERROR(MID(VLOOKUP($B11,Seqs!$A:$B,2,0),AG11,1),"")</f>
        <v>C</v>
      </c>
      <c r="AG11" s="9">
        <v>227</v>
      </c>
      <c r="AH11" s="9" t="str">
        <f>IFERROR(MID(VLOOKUP($B11,Seqs!$A:$B,2,0),AI11,1),"")</f>
        <v>L</v>
      </c>
      <c r="AI11" s="9">
        <v>229</v>
      </c>
      <c r="AJ11" s="9" t="str">
        <f>IFERROR(MID(VLOOKUP($B11,Seqs!$A:$B,2,0),AK11,1),"")</f>
        <v>D</v>
      </c>
      <c r="AK11" s="9">
        <v>231</v>
      </c>
      <c r="AL11" s="9" t="str">
        <f>IFERROR(MID(VLOOKUP($B11,Seqs!$A:$B,2,0),AM11,1),"")</f>
        <v>Q</v>
      </c>
      <c r="AM11" s="9">
        <v>262</v>
      </c>
      <c r="AN11" s="9" t="str">
        <f>IFERROR(MID(VLOOKUP($B11,Seqs!$A:$B,2,0),AO11,1),"")</f>
        <v>S</v>
      </c>
      <c r="AO11" s="9">
        <v>316</v>
      </c>
      <c r="AP11" s="9" t="str">
        <f>IFERROR(MID(VLOOKUP($B11,Seqs!$A:$B,2,0),AQ11,1),"")</f>
        <v>V</v>
      </c>
      <c r="AQ11" s="9">
        <v>347</v>
      </c>
      <c r="AR11" s="9" t="str">
        <f>IFERROR(MID(VLOOKUP($B11,Seqs!$A:$B,2,0),AS11,1),"")</f>
        <v>N</v>
      </c>
      <c r="AS11" s="9">
        <v>354</v>
      </c>
      <c r="AT11" s="9" t="str">
        <f>IFERROR(MID(VLOOKUP($B11,Seqs!$A:$B,2,0),AU11,1),"")</f>
        <v>T</v>
      </c>
      <c r="AU11" s="9">
        <v>381</v>
      </c>
      <c r="AV11" s="9" t="str">
        <f>IFERROR(MID(VLOOKUP($B11,Seqs!$A:$B,2,0),AW11,1),"")</f>
        <v>N</v>
      </c>
      <c r="AW11" s="9">
        <v>384</v>
      </c>
      <c r="AX11" s="9" t="str">
        <f>IFERROR(MID(VLOOKUP($B11,Seqs!$A:$B,2,0),AY11,1),"")</f>
        <v>R</v>
      </c>
      <c r="AY11" s="9">
        <v>393</v>
      </c>
      <c r="AZ11" s="110" t="str">
        <f>VLOOKUP(B11,Classification!A:D,2,0)</f>
        <v>A</v>
      </c>
      <c r="BA11" s="98" t="str">
        <f>VLOOKUP(B11,Classification!A:D,4,0)</f>
        <v>5-Hydroxytryptamine</v>
      </c>
      <c r="BB11" s="36" t="b">
        <f t="shared" ref="BB11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109">
        <f t="shared" ref="BC11" si="86">_xlfn.AGGREGATE(9,6,CH11:CS11)-_xlfn.AGGREGATE(9,6,BV11:CG11)+12</f>
        <v>223</v>
      </c>
      <c r="BD11" s="11" t="s">
        <v>1369</v>
      </c>
      <c r="BE11" s="9" t="s">
        <v>1285</v>
      </c>
      <c r="BF11" s="119">
        <v>3.36</v>
      </c>
      <c r="BG11" s="51" t="s">
        <v>1</v>
      </c>
      <c r="BH11" s="51" t="s">
        <v>1</v>
      </c>
      <c r="BJ11" s="111" t="s">
        <v>1281</v>
      </c>
      <c r="BK11" s="112" t="s">
        <v>1281</v>
      </c>
      <c r="BL11" s="112" t="s">
        <v>1281</v>
      </c>
      <c r="BM11" s="112" t="s">
        <v>1281</v>
      </c>
      <c r="BN11" s="112" t="s">
        <v>1281</v>
      </c>
      <c r="BO11" s="112" t="s">
        <v>1281</v>
      </c>
      <c r="BP11" s="112" t="s">
        <v>1281</v>
      </c>
      <c r="BQ11" s="112" t="s">
        <v>1281</v>
      </c>
      <c r="BR11" s="112" t="s">
        <v>1281</v>
      </c>
      <c r="BS11" s="112" t="s">
        <v>1281</v>
      </c>
      <c r="BT11" s="112" t="s">
        <v>1281</v>
      </c>
      <c r="BU11" s="112" t="s">
        <v>1281</v>
      </c>
      <c r="BV11" s="111">
        <f t="shared" ref="BV11" si="87">E11</f>
        <v>84</v>
      </c>
      <c r="BW11" s="113" t="str">
        <f t="shared" ref="BW11" si="88">I11</f>
        <v>-</v>
      </c>
      <c r="BX11" s="114">
        <f t="shared" ref="BX11" si="89">M11</f>
        <v>109</v>
      </c>
      <c r="BY11" s="113" t="str">
        <f t="shared" ref="BY11" si="90">Q11</f>
        <v>-</v>
      </c>
      <c r="BZ11" s="114">
        <f t="shared" ref="BZ11" si="91">U11</f>
        <v>145</v>
      </c>
      <c r="CA11" s="113">
        <f t="shared" ref="CA11" si="92">Y11</f>
        <v>180</v>
      </c>
      <c r="CB11" s="114">
        <f t="shared" ref="CB11" si="93">AC11</f>
        <v>190</v>
      </c>
      <c r="CC11" s="113">
        <f t="shared" ref="CC11" si="94">AG11</f>
        <v>227</v>
      </c>
      <c r="CD11" s="114">
        <f t="shared" ref="CD11" si="95">AK11</f>
        <v>231</v>
      </c>
      <c r="CE11" s="113">
        <f t="shared" ref="CE11" si="96">AO11</f>
        <v>316</v>
      </c>
      <c r="CF11" s="114">
        <f t="shared" ref="CF11" si="97">AS11</f>
        <v>354</v>
      </c>
      <c r="CG11" s="113">
        <f t="shared" ref="CG11" si="98">AW11</f>
        <v>384</v>
      </c>
      <c r="CH11" s="111">
        <f t="shared" ref="CH11" si="99">G11</f>
        <v>99</v>
      </c>
      <c r="CI11" s="113" t="str">
        <f t="shared" ref="CI11" si="100">K11</f>
        <v>-</v>
      </c>
      <c r="CJ11" s="114">
        <f t="shared" ref="CJ11" si="101">O11</f>
        <v>138</v>
      </c>
      <c r="CK11" s="114" t="str">
        <f t="shared" ref="CK11" si="102">S11</f>
        <v>-</v>
      </c>
      <c r="CL11" s="114">
        <f t="shared" ref="CL11" si="103">W11</f>
        <v>178</v>
      </c>
      <c r="CM11" s="114">
        <f t="shared" ref="CM11" si="104">AA11</f>
        <v>187</v>
      </c>
      <c r="CN11" s="114">
        <f t="shared" ref="CN11" si="105">AE11</f>
        <v>217</v>
      </c>
      <c r="CO11" s="114">
        <f t="shared" ref="CO11" si="106">AI11</f>
        <v>229</v>
      </c>
      <c r="CP11" s="114">
        <f t="shared" ref="CP11" si="107">AM11</f>
        <v>262</v>
      </c>
      <c r="CQ11" s="114">
        <f t="shared" ref="CQ11" si="108">AQ11</f>
        <v>347</v>
      </c>
      <c r="CR11" s="114">
        <f t="shared" ref="CR11" si="109">AU11</f>
        <v>381</v>
      </c>
      <c r="CS11" s="114">
        <f t="shared" ref="CS11" si="110">AY11</f>
        <v>393</v>
      </c>
      <c r="CT11" s="109" t="e">
        <f t="shared" ref="CT11" si="111">M11-K11</f>
        <v>#VALUE!</v>
      </c>
    </row>
    <row r="12" spans="1:1029" s="12" customFormat="1" x14ac:dyDescent="0.2">
      <c r="A12" s="9" t="str">
        <f t="shared" ref="A12" si="112">CONCATENATE(B12,"_",C12)</f>
        <v>5ht2a_human_6WH4</v>
      </c>
      <c r="B12" s="9" t="s">
        <v>132</v>
      </c>
      <c r="C12" s="9" t="s">
        <v>1734</v>
      </c>
      <c r="D12" s="9" t="str">
        <f>IFERROR(MID(VLOOKUP($B12,Seqs!$A:$B,2,0),E12,1),"")</f>
        <v>H</v>
      </c>
      <c r="E12" s="9">
        <v>70</v>
      </c>
      <c r="F12" s="9" t="str">
        <f>IFERROR(MID(VLOOKUP($B12,Seqs!$A:$B,2,0),G12,1),"")</f>
        <v>E</v>
      </c>
      <c r="G12" s="9">
        <v>102</v>
      </c>
      <c r="H12" s="9" t="str">
        <f>IFERROR(MID(VLOOKUP($B12,Seqs!$A:$B,2,0),I12,1),"")</f>
        <v>K</v>
      </c>
      <c r="I12" s="109">
        <v>103</v>
      </c>
      <c r="J12" s="9" t="str">
        <f>IFERROR(MID(VLOOKUP($B12,Seqs!$A:$B,2,0),K12,1),"")</f>
        <v>Q</v>
      </c>
      <c r="K12" s="109">
        <v>106</v>
      </c>
      <c r="L12" s="9" t="str">
        <f>IFERROR(MID(VLOOKUP($B12,Seqs!$A:$B,2,0),M12,1),"")</f>
        <v>N</v>
      </c>
      <c r="M12" s="9">
        <v>107</v>
      </c>
      <c r="N12" s="9" t="str">
        <f>IFERROR(MID(VLOOKUP($B12,Seqs!$A:$B,2,0),O12,1),"")</f>
        <v>Y</v>
      </c>
      <c r="O12" s="9">
        <v>137</v>
      </c>
      <c r="P12" s="9" t="str">
        <f>IFERROR(MID(VLOOKUP($B12,Seqs!$A:$B,2,0),Q12,1),"")</f>
        <v>R</v>
      </c>
      <c r="Q12" s="9">
        <v>140</v>
      </c>
      <c r="R12" s="9" t="str">
        <f>IFERROR(MID(VLOOKUP($B12,Seqs!$A:$B,2,0),S12,1),"")</f>
        <v>L</v>
      </c>
      <c r="S12" s="9">
        <v>143</v>
      </c>
      <c r="T12" s="9" t="str">
        <f>IFERROR(MID(VLOOKUP($B12,Seqs!$A:$B,2,0),U12,1),"")</f>
        <v>C</v>
      </c>
      <c r="U12" s="9">
        <v>148</v>
      </c>
      <c r="V12" s="9" t="str">
        <f>IFERROR(MID(VLOOKUP($B12,Seqs!$A:$B,2,0),W12,1),"")</f>
        <v>I</v>
      </c>
      <c r="W12" s="9">
        <v>177</v>
      </c>
      <c r="X12" s="9" t="str">
        <f>IFERROR(MID(VLOOKUP($B12,Seqs!$A:$B,2,0),Y12,1),"")</f>
        <v/>
      </c>
      <c r="Y12" s="9" t="s">
        <v>23</v>
      </c>
      <c r="Z12" s="9" t="str">
        <f>IFERROR(MID(VLOOKUP($B12,Seqs!$A:$B,2,0),AA12,1),"")</f>
        <v/>
      </c>
      <c r="AA12" s="9" t="s">
        <v>23</v>
      </c>
      <c r="AB12" s="9" t="str">
        <f>IFERROR(MID(VLOOKUP($B12,Seqs!$A:$B,2,0),AC12,1),"")</f>
        <v>S</v>
      </c>
      <c r="AC12" s="9">
        <v>184</v>
      </c>
      <c r="AD12" s="9" t="str">
        <f>IFERROR(MID(VLOOKUP($B12,Seqs!$A:$B,2,0),AE12,1),"")</f>
        <v>F</v>
      </c>
      <c r="AE12" s="9">
        <v>213</v>
      </c>
      <c r="AF12" s="9" t="str">
        <f>IFERROR(MID(VLOOKUP($B12,Seqs!$A:$B,2,0),AG12,1),"")</f>
        <v>C</v>
      </c>
      <c r="AG12" s="9">
        <v>227</v>
      </c>
      <c r="AH12" s="9" t="str">
        <f>IFERROR(MID(VLOOKUP($B12,Seqs!$A:$B,2,0),AI12,1),"")</f>
        <v>L</v>
      </c>
      <c r="AI12" s="9">
        <v>229</v>
      </c>
      <c r="AJ12" s="9" t="str">
        <f>IFERROR(MID(VLOOKUP($B12,Seqs!$A:$B,2,0),AK12,1),"")</f>
        <v>D</v>
      </c>
      <c r="AK12" s="9">
        <v>231</v>
      </c>
      <c r="AL12" s="9" t="str">
        <f>IFERROR(MID(VLOOKUP($B12,Seqs!$A:$B,2,0),AM12,1),"")</f>
        <v>Q</v>
      </c>
      <c r="AM12" s="9">
        <v>262</v>
      </c>
      <c r="AN12" s="9" t="str">
        <f>IFERROR(MID(VLOOKUP($B12,Seqs!$A:$B,2,0),AO12,1),"")</f>
        <v>T</v>
      </c>
      <c r="AO12" s="9">
        <v>311</v>
      </c>
      <c r="AP12" s="9" t="str">
        <f>IFERROR(MID(VLOOKUP($B12,Seqs!$A:$B,2,0),AQ12,1),"")</f>
        <v>C</v>
      </c>
      <c r="AQ12" s="9">
        <v>349</v>
      </c>
      <c r="AR12" s="9" t="str">
        <f>IFERROR(MID(VLOOKUP($B12,Seqs!$A:$B,2,0),AS12,1),"")</f>
        <v>E</v>
      </c>
      <c r="AS12" s="9">
        <v>355</v>
      </c>
      <c r="AT12" s="9" t="str">
        <f>IFERROR(MID(VLOOKUP($B12,Seqs!$A:$B,2,0),AU12,1),"")</f>
        <v>F</v>
      </c>
      <c r="AU12" s="9">
        <v>383</v>
      </c>
      <c r="AV12" s="9" t="str">
        <f>IFERROR(MID(VLOOKUP($B12,Seqs!$A:$B,2,0),AW12,1),"")</f>
        <v>N</v>
      </c>
      <c r="AW12" s="9">
        <v>384</v>
      </c>
      <c r="AX12" s="9" t="str">
        <f>IFERROR(MID(VLOOKUP($B12,Seqs!$A:$B,2,0),AY12,1),"")</f>
        <v>C</v>
      </c>
      <c r="AY12" s="9">
        <v>397</v>
      </c>
      <c r="AZ12" s="110" t="str">
        <f>VLOOKUP(B12,Classification!A:D,2,0)</f>
        <v>A</v>
      </c>
      <c r="BA12" s="98" t="str">
        <f>VLOOKUP(B12,Classification!A:D,4,0)</f>
        <v>5-Hydroxytryptamine</v>
      </c>
      <c r="BB12" s="36" t="b">
        <f t="shared" ref="BB12" si="113">AND(E12&lt;G12,OR(G12&lt;I12,I12="-"),OR(I12&lt;K12,I12="-"),OR(K12&lt;M12,K12="-"),M12&lt;O12,OR(O12&lt;Q12,Q12="-"),OR(Q12&lt;S12,Q12="-"),OR(S12&lt;U12,S12="-"),U12&lt;W12,OR(W12&lt;Y12,Y12="-"),OR(Y12&lt;AA12,Y12="-"),OR(AA12&lt;AC12,AA12="-"),AC12&lt;AE12,OR(AE12&lt;AG12,AG12="-"),OR(AG12&lt;AI12,AG12="-"),OR(AI12&lt;AK12,AI12="-"),AK12&lt;AM12,AM12&lt;AO12,AO12&lt;AQ12,AQ12&lt;AS12,AS12&lt;AU12,OR(AU12&lt;AW12,AW12="-"),OR(AW12&lt;AY12,AW12="-"))</f>
        <v>1</v>
      </c>
      <c r="BC12" s="109">
        <f t="shared" ref="BC12" si="114">_xlfn.AGGREGATE(9,6,CH12:CS12)-_xlfn.AGGREGATE(9,6,BV12:CG12)+12</f>
        <v>250</v>
      </c>
      <c r="BD12" s="11" t="s">
        <v>23</v>
      </c>
      <c r="BE12" s="9" t="s">
        <v>1368</v>
      </c>
      <c r="BF12" s="119">
        <v>3.4</v>
      </c>
      <c r="BG12" s="51" t="s">
        <v>27</v>
      </c>
      <c r="BH12" s="51" t="s">
        <v>27</v>
      </c>
      <c r="BJ12" s="111" t="s">
        <v>1281</v>
      </c>
      <c r="BK12" s="112" t="s">
        <v>1281</v>
      </c>
      <c r="BL12" s="112" t="s">
        <v>1281</v>
      </c>
      <c r="BM12" s="112" t="s">
        <v>1281</v>
      </c>
      <c r="BN12" s="112" t="s">
        <v>1281</v>
      </c>
      <c r="BO12" s="112" t="s">
        <v>1281</v>
      </c>
      <c r="BP12" s="112" t="s">
        <v>1281</v>
      </c>
      <c r="BQ12" s="112" t="s">
        <v>1281</v>
      </c>
      <c r="BR12" s="112" t="s">
        <v>1281</v>
      </c>
      <c r="BS12" s="112" t="s">
        <v>1281</v>
      </c>
      <c r="BT12" s="112" t="s">
        <v>1281</v>
      </c>
      <c r="BU12" s="112" t="s">
        <v>1281</v>
      </c>
      <c r="BV12" s="111">
        <f t="shared" ref="BV12" si="115">E12</f>
        <v>70</v>
      </c>
      <c r="BW12" s="113">
        <f t="shared" ref="BW12" si="116">I12</f>
        <v>103</v>
      </c>
      <c r="BX12" s="114">
        <f t="shared" ref="BX12" si="117">M12</f>
        <v>107</v>
      </c>
      <c r="BY12" s="113">
        <f t="shared" ref="BY12" si="118">Q12</f>
        <v>140</v>
      </c>
      <c r="BZ12" s="114">
        <f t="shared" ref="BZ12" si="119">U12</f>
        <v>148</v>
      </c>
      <c r="CA12" s="113" t="str">
        <f t="shared" ref="CA12" si="120">Y12</f>
        <v>-</v>
      </c>
      <c r="CB12" s="114">
        <f t="shared" ref="CB12" si="121">AC12</f>
        <v>184</v>
      </c>
      <c r="CC12" s="113">
        <f t="shared" ref="CC12" si="122">AG12</f>
        <v>227</v>
      </c>
      <c r="CD12" s="114">
        <f t="shared" ref="CD12" si="123">AK12</f>
        <v>231</v>
      </c>
      <c r="CE12" s="113">
        <f t="shared" ref="CE12" si="124">AO12</f>
        <v>311</v>
      </c>
      <c r="CF12" s="114">
        <f t="shared" ref="CF12" si="125">AS12</f>
        <v>355</v>
      </c>
      <c r="CG12" s="113">
        <f t="shared" ref="CG12" si="126">AW12</f>
        <v>384</v>
      </c>
      <c r="CH12" s="111">
        <f t="shared" ref="CH12" si="127">G12</f>
        <v>102</v>
      </c>
      <c r="CI12" s="113">
        <f t="shared" ref="CI12" si="128">K12</f>
        <v>106</v>
      </c>
      <c r="CJ12" s="114">
        <f t="shared" ref="CJ12" si="129">O12</f>
        <v>137</v>
      </c>
      <c r="CK12" s="114">
        <f t="shared" ref="CK12" si="130">S12</f>
        <v>143</v>
      </c>
      <c r="CL12" s="114">
        <f t="shared" ref="CL12" si="131">W12</f>
        <v>177</v>
      </c>
      <c r="CM12" s="114" t="str">
        <f t="shared" ref="CM12" si="132">AA12</f>
        <v>-</v>
      </c>
      <c r="CN12" s="114">
        <f t="shared" ref="CN12" si="133">AE12</f>
        <v>213</v>
      </c>
      <c r="CO12" s="114">
        <f t="shared" ref="CO12" si="134">AI12</f>
        <v>229</v>
      </c>
      <c r="CP12" s="114">
        <f t="shared" ref="CP12" si="135">AM12</f>
        <v>262</v>
      </c>
      <c r="CQ12" s="114">
        <f t="shared" ref="CQ12" si="136">AQ12</f>
        <v>349</v>
      </c>
      <c r="CR12" s="114">
        <f t="shared" ref="CR12" si="137">AU12</f>
        <v>383</v>
      </c>
      <c r="CS12" s="114">
        <f t="shared" ref="CS12" si="138">AY12</f>
        <v>397</v>
      </c>
      <c r="CT12" s="109">
        <f t="shared" ref="CT12" si="139">M12-K12</f>
        <v>1</v>
      </c>
    </row>
    <row r="13" spans="1:1029" s="12" customFormat="1" x14ac:dyDescent="0.2">
      <c r="A13" s="9" t="str">
        <f t="shared" ref="A13" si="140">CONCATENATE(B13,"_",C13)</f>
        <v>5ht2a_human_6WGT</v>
      </c>
      <c r="B13" s="9" t="s">
        <v>132</v>
      </c>
      <c r="C13" s="9" t="s">
        <v>1735</v>
      </c>
      <c r="D13" s="9" t="str">
        <f>IFERROR(MID(VLOOKUP($B13,Seqs!$A:$B,2,0),E13,1),"")</f>
        <v>L</v>
      </c>
      <c r="E13" s="9">
        <v>71</v>
      </c>
      <c r="F13" s="9" t="str">
        <f>IFERROR(MID(VLOOKUP($B13,Seqs!$A:$B,2,0),G13,1),"")</f>
        <v>E</v>
      </c>
      <c r="G13" s="9">
        <v>102</v>
      </c>
      <c r="H13" s="9" t="str">
        <f>IFERROR(MID(VLOOKUP($B13,Seqs!$A:$B,2,0),I13,1),"")</f>
        <v>K</v>
      </c>
      <c r="I13" s="109">
        <v>103</v>
      </c>
      <c r="J13" s="9" t="str">
        <f>IFERROR(MID(VLOOKUP($B13,Seqs!$A:$B,2,0),K13,1),"")</f>
        <v>Q</v>
      </c>
      <c r="K13" s="109">
        <v>106</v>
      </c>
      <c r="L13" s="9" t="str">
        <f>IFERROR(MID(VLOOKUP($B13,Seqs!$A:$B,2,0),M13,1),"")</f>
        <v>N</v>
      </c>
      <c r="M13" s="9">
        <v>107</v>
      </c>
      <c r="N13" s="9" t="str">
        <f>IFERROR(MID(VLOOKUP($B13,Seqs!$A:$B,2,0),O13,1),"")</f>
        <v>G</v>
      </c>
      <c r="O13" s="9">
        <v>138</v>
      </c>
      <c r="P13" s="9" t="str">
        <f>IFERROR(MID(VLOOKUP($B13,Seqs!$A:$B,2,0),Q13,1),"")</f>
        <v>R</v>
      </c>
      <c r="Q13" s="9">
        <v>140</v>
      </c>
      <c r="R13" s="9" t="str">
        <f>IFERROR(MID(VLOOKUP($B13,Seqs!$A:$B,2,0),S13,1),"")</f>
        <v>L</v>
      </c>
      <c r="S13" s="9">
        <v>143</v>
      </c>
      <c r="T13" s="9" t="str">
        <f>IFERROR(MID(VLOOKUP($B13,Seqs!$A:$B,2,0),U13,1),"")</f>
        <v>L</v>
      </c>
      <c r="U13" s="9">
        <v>147</v>
      </c>
      <c r="V13" s="9" t="str">
        <f>IFERROR(MID(VLOOKUP($B13,Seqs!$A:$B,2,0),W13,1),"")</f>
        <v>Q</v>
      </c>
      <c r="W13" s="9">
        <v>178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N</v>
      </c>
      <c r="AC13" s="9">
        <v>187</v>
      </c>
      <c r="AD13" s="9" t="str">
        <f>IFERROR(MID(VLOOKUP($B13,Seqs!$A:$B,2,0),AE13,1),"")</f>
        <v>Q</v>
      </c>
      <c r="AE13" s="9">
        <v>216</v>
      </c>
      <c r="AF13" s="9" t="str">
        <f>IFERROR(MID(VLOOKUP($B13,Seqs!$A:$B,2,0),AG13,1),"")</f>
        <v>C</v>
      </c>
      <c r="AG13" s="9">
        <v>227</v>
      </c>
      <c r="AH13" s="9" t="str">
        <f>IFERROR(MID(VLOOKUP($B13,Seqs!$A:$B,2,0),AI13,1),"")</f>
        <v>L</v>
      </c>
      <c r="AI13" s="9">
        <v>229</v>
      </c>
      <c r="AJ13" s="9" t="str">
        <f>IFERROR(MID(VLOOKUP($B13,Seqs!$A:$B,2,0),AK13,1),"")</f>
        <v>D</v>
      </c>
      <c r="AK13" s="9">
        <v>231</v>
      </c>
      <c r="AL13" s="9" t="str">
        <f>IFERROR(MID(VLOOKUP($B13,Seqs!$A:$B,2,0),AM13,1),"")</f>
        <v>A</v>
      </c>
      <c r="AM13" s="9">
        <v>265</v>
      </c>
      <c r="AN13" s="9" t="str">
        <f>IFERROR(MID(VLOOKUP($B13,Seqs!$A:$B,2,0),AO13,1),"")</f>
        <v>T</v>
      </c>
      <c r="AO13" s="9">
        <v>311</v>
      </c>
      <c r="AP13" s="9" t="str">
        <f>IFERROR(MID(VLOOKUP($B13,Seqs!$A:$B,2,0),AQ13,1),"")</f>
        <v>C</v>
      </c>
      <c r="AQ13" s="9">
        <v>349</v>
      </c>
      <c r="AR13" s="9" t="str">
        <f>IFERROR(MID(VLOOKUP($B13,Seqs!$A:$B,2,0),AS13,1),"")</f>
        <v>N</v>
      </c>
      <c r="AS13" s="9">
        <v>354</v>
      </c>
      <c r="AT13" s="9" t="str">
        <f>IFERROR(MID(VLOOKUP($B13,Seqs!$A:$B,2,0),AU13,1),"")</f>
        <v>F</v>
      </c>
      <c r="AU13" s="9">
        <v>383</v>
      </c>
      <c r="AV13" s="9" t="str">
        <f>IFERROR(MID(VLOOKUP($B13,Seqs!$A:$B,2,0),AW13,1),"")</f>
        <v>N</v>
      </c>
      <c r="AW13" s="9">
        <v>384</v>
      </c>
      <c r="AX13" s="9" t="str">
        <f>IFERROR(MID(VLOOKUP($B13,Seqs!$A:$B,2,0),AY13,1),"")</f>
        <v>C</v>
      </c>
      <c r="AY13" s="9">
        <v>397</v>
      </c>
      <c r="AZ13" s="110" t="str">
        <f>VLOOKUP(B13,Classification!A:D,2,0)</f>
        <v>A</v>
      </c>
      <c r="BA13" s="98" t="str">
        <f>VLOOKUP(B13,Classification!A:D,4,0)</f>
        <v>5-Hydroxytryptamine</v>
      </c>
      <c r="BB13" s="36" t="b">
        <f t="shared" ref="BB13" si="141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09">
        <f t="shared" ref="BC13" si="142">_xlfn.AGGREGATE(9,6,CH13:CS13)-_xlfn.AGGREGATE(9,6,BV13:CG13)+12</f>
        <v>256</v>
      </c>
      <c r="BD13" s="11" t="s">
        <v>23</v>
      </c>
      <c r="BE13" s="9" t="s">
        <v>1368</v>
      </c>
      <c r="BF13" s="119">
        <v>3.4</v>
      </c>
      <c r="BG13" s="51" t="s">
        <v>1275</v>
      </c>
      <c r="BH13" s="51" t="s">
        <v>1275</v>
      </c>
      <c r="BJ13" s="111" t="s">
        <v>1281</v>
      </c>
      <c r="BK13" s="112" t="s">
        <v>1281</v>
      </c>
      <c r="BL13" s="112" t="s">
        <v>1281</v>
      </c>
      <c r="BM13" s="112" t="s">
        <v>1281</v>
      </c>
      <c r="BN13" s="112" t="s">
        <v>1281</v>
      </c>
      <c r="BO13" s="112" t="s">
        <v>1281</v>
      </c>
      <c r="BP13" s="112" t="s">
        <v>1281</v>
      </c>
      <c r="BQ13" s="112" t="s">
        <v>1281</v>
      </c>
      <c r="BR13" s="112" t="s">
        <v>1281</v>
      </c>
      <c r="BS13" s="112" t="s">
        <v>1281</v>
      </c>
      <c r="BT13" s="112" t="s">
        <v>1281</v>
      </c>
      <c r="BU13" s="112" t="s">
        <v>1281</v>
      </c>
      <c r="BV13" s="111">
        <f t="shared" ref="BV13" si="143">E13</f>
        <v>71</v>
      </c>
      <c r="BW13" s="113">
        <f t="shared" ref="BW13" si="144">I13</f>
        <v>103</v>
      </c>
      <c r="BX13" s="114">
        <f t="shared" ref="BX13" si="145">M13</f>
        <v>107</v>
      </c>
      <c r="BY13" s="113">
        <f t="shared" ref="BY13" si="146">Q13</f>
        <v>140</v>
      </c>
      <c r="BZ13" s="114">
        <f t="shared" ref="BZ13" si="147">U13</f>
        <v>147</v>
      </c>
      <c r="CA13" s="113" t="str">
        <f t="shared" ref="CA13" si="148">Y13</f>
        <v>-</v>
      </c>
      <c r="CB13" s="114">
        <f t="shared" ref="CB13" si="149">AC13</f>
        <v>187</v>
      </c>
      <c r="CC13" s="113">
        <f t="shared" ref="CC13" si="150">AG13</f>
        <v>227</v>
      </c>
      <c r="CD13" s="114">
        <f t="shared" ref="CD13" si="151">AK13</f>
        <v>231</v>
      </c>
      <c r="CE13" s="113">
        <f t="shared" ref="CE13" si="152">AO13</f>
        <v>311</v>
      </c>
      <c r="CF13" s="114">
        <f t="shared" ref="CF13" si="153">AS13</f>
        <v>354</v>
      </c>
      <c r="CG13" s="113">
        <f t="shared" ref="CG13" si="154">AW13</f>
        <v>384</v>
      </c>
      <c r="CH13" s="111">
        <f t="shared" ref="CH13" si="155">G13</f>
        <v>102</v>
      </c>
      <c r="CI13" s="113">
        <f t="shared" ref="CI13" si="156">K13</f>
        <v>106</v>
      </c>
      <c r="CJ13" s="114">
        <f t="shared" ref="CJ13" si="157">O13</f>
        <v>138</v>
      </c>
      <c r="CK13" s="114">
        <f t="shared" ref="CK13" si="158">S13</f>
        <v>143</v>
      </c>
      <c r="CL13" s="114">
        <f t="shared" ref="CL13" si="159">W13</f>
        <v>178</v>
      </c>
      <c r="CM13" s="114" t="str">
        <f t="shared" ref="CM13" si="160">AA13</f>
        <v>-</v>
      </c>
      <c r="CN13" s="114">
        <f t="shared" ref="CN13" si="161">AE13</f>
        <v>216</v>
      </c>
      <c r="CO13" s="114">
        <f t="shared" ref="CO13" si="162">AI13</f>
        <v>229</v>
      </c>
      <c r="CP13" s="114">
        <f t="shared" ref="CP13" si="163">AM13</f>
        <v>265</v>
      </c>
      <c r="CQ13" s="114">
        <f t="shared" ref="CQ13" si="164">AQ13</f>
        <v>349</v>
      </c>
      <c r="CR13" s="114">
        <f t="shared" ref="CR13" si="165">AU13</f>
        <v>383</v>
      </c>
      <c r="CS13" s="114">
        <f t="shared" ref="CS13" si="166">AY13</f>
        <v>397</v>
      </c>
      <c r="CT13" s="109">
        <f t="shared" ref="CT13" si="167">M13-K13</f>
        <v>1</v>
      </c>
    </row>
    <row r="14" spans="1:1029" x14ac:dyDescent="0.2">
      <c r="A14" s="3" t="str">
        <f t="shared" si="0"/>
        <v>5ht2b_human__wt</v>
      </c>
      <c r="B14" s="3" t="s">
        <v>35</v>
      </c>
      <c r="C14" s="3" t="s">
        <v>100</v>
      </c>
      <c r="D14" s="3" t="str">
        <f>IFERROR(MID(VLOOKUP($B14,Seqs!$A:$B,2,0),E14,1),"")</f>
        <v>K</v>
      </c>
      <c r="E14" s="3">
        <v>53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>P</v>
      </c>
      <c r="Y14" s="3">
        <v>160</v>
      </c>
      <c r="Z14" s="3" t="str">
        <f>IFERROR(MID(VLOOKUP($B14,Seqs!$A:$B,2,0),AA14,1),"")</f>
        <v>N</v>
      </c>
      <c r="AA14" s="3">
        <v>167</v>
      </c>
      <c r="AB14" s="3" t="str">
        <f>IFERROR(MID(VLOOKUP($B14,Seqs!$A:$B,2,0),AC14,1),"")</f>
        <v>S</v>
      </c>
      <c r="AC14" s="3">
        <v>168</v>
      </c>
      <c r="AD14" s="3" t="str">
        <f>IFERROR(MID(VLOOKUP($B14,Seqs!$A:$B,2,0),AE14,1),"")</f>
        <v>G</v>
      </c>
      <c r="AE14" s="3">
        <v>194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P</v>
      </c>
      <c r="AM14" s="3">
        <v>255</v>
      </c>
      <c r="AN14" s="3" t="str">
        <f>IFERROR(MID(VLOOKUP($B14,Seqs!$A:$B,2,0),AO14,1),"")</f>
        <v>V</v>
      </c>
      <c r="AO14" s="3">
        <v>313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F</v>
      </c>
      <c r="AU14" s="3">
        <v>383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I</v>
      </c>
      <c r="AY14" s="3">
        <v>395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si="1"/>
        <v>1</v>
      </c>
      <c r="BC14" s="23">
        <f t="shared" si="2"/>
        <v>265</v>
      </c>
      <c r="BD14" s="91" t="s">
        <v>23</v>
      </c>
      <c r="BE14" s="3" t="s">
        <v>23</v>
      </c>
      <c r="BF14" s="118" t="s">
        <v>23</v>
      </c>
      <c r="BG14" s="49" t="s">
        <v>1366</v>
      </c>
      <c r="BH14" s="49" t="s">
        <v>1371</v>
      </c>
      <c r="BI14" s="1"/>
      <c r="BJ14" s="70" t="s">
        <v>1281</v>
      </c>
      <c r="BK14" s="57" t="s">
        <v>1281</v>
      </c>
      <c r="BL14" s="57" t="s">
        <v>1281</v>
      </c>
      <c r="BM14" s="57" t="s">
        <v>1281</v>
      </c>
      <c r="BN14" s="57" t="s">
        <v>1281</v>
      </c>
      <c r="BO14" s="57" t="s">
        <v>1281</v>
      </c>
      <c r="BP14" s="57" t="s">
        <v>1281</v>
      </c>
      <c r="BQ14" s="57" t="s">
        <v>1281</v>
      </c>
      <c r="BR14" s="57" t="s">
        <v>1281</v>
      </c>
      <c r="BS14" s="57" t="s">
        <v>1281</v>
      </c>
      <c r="BT14" s="57" t="s">
        <v>1281</v>
      </c>
      <c r="BU14" s="57" t="s">
        <v>1281</v>
      </c>
      <c r="BV14" s="70">
        <f t="shared" si="3"/>
        <v>53</v>
      </c>
      <c r="BW14" s="71">
        <f t="shared" si="4"/>
        <v>83</v>
      </c>
      <c r="BX14" s="72">
        <f t="shared" si="5"/>
        <v>87</v>
      </c>
      <c r="BY14" s="71">
        <f t="shared" si="6"/>
        <v>120</v>
      </c>
      <c r="BZ14" s="72">
        <f t="shared" si="7"/>
        <v>124</v>
      </c>
      <c r="CA14" s="71">
        <f t="shared" si="8"/>
        <v>160</v>
      </c>
      <c r="CB14" s="72">
        <f t="shared" si="9"/>
        <v>168</v>
      </c>
      <c r="CC14" s="71">
        <f t="shared" si="10"/>
        <v>207</v>
      </c>
      <c r="CD14" s="72">
        <f t="shared" si="11"/>
        <v>214</v>
      </c>
      <c r="CE14" s="71">
        <f t="shared" si="12"/>
        <v>313</v>
      </c>
      <c r="CF14" s="72">
        <f t="shared" si="13"/>
        <v>354</v>
      </c>
      <c r="CG14" s="71">
        <f t="shared" si="14"/>
        <v>384</v>
      </c>
      <c r="CH14" s="70">
        <f t="shared" si="15"/>
        <v>82</v>
      </c>
      <c r="CI14" s="71">
        <f t="shared" si="16"/>
        <v>86</v>
      </c>
      <c r="CJ14" s="72">
        <f t="shared" si="17"/>
        <v>117</v>
      </c>
      <c r="CK14" s="72">
        <f t="shared" si="18"/>
        <v>123</v>
      </c>
      <c r="CL14" s="72">
        <f t="shared" si="19"/>
        <v>159</v>
      </c>
      <c r="CM14" s="72">
        <f t="shared" si="20"/>
        <v>167</v>
      </c>
      <c r="CN14" s="72">
        <f t="shared" si="21"/>
        <v>194</v>
      </c>
      <c r="CO14" s="72">
        <f t="shared" si="22"/>
        <v>209</v>
      </c>
      <c r="CP14" s="72">
        <f t="shared" si="23"/>
        <v>255</v>
      </c>
      <c r="CQ14" s="72">
        <f t="shared" si="24"/>
        <v>350</v>
      </c>
      <c r="CR14" s="72">
        <f t="shared" si="25"/>
        <v>383</v>
      </c>
      <c r="CS14" s="72">
        <f t="shared" si="26"/>
        <v>395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0"/>
        <v>5ht2b_human_4IB4</v>
      </c>
      <c r="B15" s="3" t="s">
        <v>35</v>
      </c>
      <c r="C15" s="3" t="s">
        <v>70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N</v>
      </c>
      <c r="AC15" s="3">
        <v>164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Q</v>
      </c>
      <c r="AO15" s="3">
        <v>314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1"/>
        <v>1</v>
      </c>
      <c r="BC15" s="23">
        <f t="shared" si="2"/>
        <v>254</v>
      </c>
      <c r="BD15" s="16" t="s">
        <v>1423</v>
      </c>
      <c r="BE15" s="3" t="s">
        <v>1422</v>
      </c>
      <c r="BF15" s="118">
        <v>2.7</v>
      </c>
      <c r="BG15" s="49" t="s">
        <v>1371</v>
      </c>
      <c r="BH15" s="49" t="s">
        <v>1371</v>
      </c>
      <c r="BI15" s="1"/>
      <c r="BJ15" s="70" t="s">
        <v>1281</v>
      </c>
      <c r="BK15" s="57" t="s">
        <v>1281</v>
      </c>
      <c r="BL15" s="57" t="s">
        <v>1281</v>
      </c>
      <c r="BM15" s="57" t="s">
        <v>1281</v>
      </c>
      <c r="BN15" s="57" t="s">
        <v>1281</v>
      </c>
      <c r="BO15" s="57" t="s">
        <v>1281</v>
      </c>
      <c r="BP15" s="57" t="s">
        <v>1281</v>
      </c>
      <c r="BQ15" s="57" t="s">
        <v>1281</v>
      </c>
      <c r="BR15" s="57" t="s">
        <v>1281</v>
      </c>
      <c r="BS15" s="57" t="s">
        <v>1281</v>
      </c>
      <c r="BT15" s="57" t="s">
        <v>1281</v>
      </c>
      <c r="BU15" s="57" t="s">
        <v>1281</v>
      </c>
      <c r="BV15" s="70">
        <f t="shared" si="3"/>
        <v>53</v>
      </c>
      <c r="BW15" s="71">
        <f t="shared" si="4"/>
        <v>83</v>
      </c>
      <c r="BX15" s="72">
        <f t="shared" si="5"/>
        <v>87</v>
      </c>
      <c r="BY15" s="71">
        <f t="shared" si="6"/>
        <v>120</v>
      </c>
      <c r="BZ15" s="72">
        <f t="shared" si="7"/>
        <v>124</v>
      </c>
      <c r="CA15" s="71" t="str">
        <f t="shared" si="8"/>
        <v>-</v>
      </c>
      <c r="CB15" s="72">
        <f t="shared" si="9"/>
        <v>164</v>
      </c>
      <c r="CC15" s="71">
        <f t="shared" si="10"/>
        <v>207</v>
      </c>
      <c r="CD15" s="72">
        <f t="shared" si="11"/>
        <v>214</v>
      </c>
      <c r="CE15" s="71">
        <f t="shared" si="12"/>
        <v>314</v>
      </c>
      <c r="CF15" s="72">
        <f t="shared" si="13"/>
        <v>354</v>
      </c>
      <c r="CG15" s="71">
        <f t="shared" si="14"/>
        <v>384</v>
      </c>
      <c r="CH15" s="70">
        <f t="shared" si="15"/>
        <v>82</v>
      </c>
      <c r="CI15" s="71">
        <f t="shared" si="16"/>
        <v>86</v>
      </c>
      <c r="CJ15" s="72">
        <f t="shared" si="17"/>
        <v>117</v>
      </c>
      <c r="CK15" s="72">
        <f t="shared" si="18"/>
        <v>123</v>
      </c>
      <c r="CL15" s="72">
        <f t="shared" si="19"/>
        <v>159</v>
      </c>
      <c r="CM15" s="72" t="str">
        <f t="shared" si="20"/>
        <v>-</v>
      </c>
      <c r="CN15" s="72">
        <f t="shared" si="21"/>
        <v>194</v>
      </c>
      <c r="CO15" s="72">
        <f t="shared" si="22"/>
        <v>209</v>
      </c>
      <c r="CP15" s="72">
        <f t="shared" si="23"/>
        <v>248</v>
      </c>
      <c r="CQ15" s="72">
        <f t="shared" si="24"/>
        <v>350</v>
      </c>
      <c r="CR15" s="72">
        <f t="shared" si="25"/>
        <v>383</v>
      </c>
      <c r="CS15" s="72">
        <f t="shared" si="26"/>
        <v>395</v>
      </c>
      <c r="CT15" s="23">
        <f t="shared" si="27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0"/>
        <v>5ht2b_human_4IB4_dist</v>
      </c>
      <c r="B16" s="3" t="s">
        <v>35</v>
      </c>
      <c r="C16" s="3" t="s">
        <v>1158</v>
      </c>
      <c r="D16" s="3" t="str">
        <f>IFERROR(MID(VLOOKUP($B16,Seqs!$A:$B,2,0),E16,1),"")</f>
        <v>K</v>
      </c>
      <c r="E16" s="3">
        <v>53</v>
      </c>
      <c r="F16" s="3" t="str">
        <f>IFERROR(MID(VLOOKUP($B16,Seqs!$A:$B,2,0),G16,1),"")</f>
        <v>E</v>
      </c>
      <c r="G16" s="3">
        <v>82</v>
      </c>
      <c r="H16" s="3" t="str">
        <f>IFERROR(MID(VLOOKUP($B16,Seqs!$A:$B,2,0),I16,1),"")</f>
        <v>K</v>
      </c>
      <c r="I16" s="23">
        <v>83</v>
      </c>
      <c r="J16" s="3" t="str">
        <f>IFERROR(MID(VLOOKUP($B16,Seqs!$A:$B,2,0),K16,1),"")</f>
        <v>Q</v>
      </c>
      <c r="K16" s="23">
        <v>86</v>
      </c>
      <c r="L16" s="3" t="str">
        <f>IFERROR(MID(VLOOKUP($B16,Seqs!$A:$B,2,0),M16,1),"")</f>
        <v>Y</v>
      </c>
      <c r="M16" s="3">
        <v>87</v>
      </c>
      <c r="N16" s="3" t="str">
        <f>IFERROR(MID(VLOOKUP($B16,Seqs!$A:$B,2,0),O16,1),"")</f>
        <v>F</v>
      </c>
      <c r="O16" s="3">
        <v>117</v>
      </c>
      <c r="P16" s="3" t="str">
        <f>IFERROR(MID(VLOOKUP($B16,Seqs!$A:$B,2,0),Q16,1),"")</f>
        <v>M</v>
      </c>
      <c r="Q16" s="3">
        <v>120</v>
      </c>
      <c r="R16" s="3" t="str">
        <f>IFERROR(MID(VLOOKUP($B16,Seqs!$A:$B,2,0),S16,1),"")</f>
        <v>L</v>
      </c>
      <c r="S16" s="3">
        <v>123</v>
      </c>
      <c r="T16" s="3" t="str">
        <f>IFERROR(MID(VLOOKUP($B16,Seqs!$A:$B,2,0),U16,1),"")</f>
        <v>P</v>
      </c>
      <c r="U16" s="3">
        <v>124</v>
      </c>
      <c r="V16" s="3" t="str">
        <f>IFERROR(MID(VLOOKUP($B16,Seqs!$A:$B,2,0),W16,1),"")</f>
        <v>K</v>
      </c>
      <c r="W16" s="3">
        <v>159</v>
      </c>
      <c r="X16" s="3" t="str">
        <f>IFERROR(MID(VLOOKUP($B16,Seqs!$A:$B,2,0),Y16,1),"")</f>
        <v/>
      </c>
      <c r="Y16" s="3" t="s">
        <v>23</v>
      </c>
      <c r="Z16" s="3" t="str">
        <f>IFERROR(MID(VLOOKUP($B16,Seqs!$A:$B,2,0),AA16,1),"")</f>
        <v/>
      </c>
      <c r="AA16" s="3" t="s">
        <v>23</v>
      </c>
      <c r="AB16" s="3" t="str">
        <f>IFERROR(MID(VLOOKUP($B16,Seqs!$A:$B,2,0),AC16,1),"")</f>
        <v>Q</v>
      </c>
      <c r="AC16" s="3">
        <v>165</v>
      </c>
      <c r="AD16" s="3" t="str">
        <f>IFERROR(MID(VLOOKUP($B16,Seqs!$A:$B,2,0),AE16,1),"")</f>
        <v>G</v>
      </c>
      <c r="AE16" s="3">
        <v>194</v>
      </c>
      <c r="AF16" s="3" t="str">
        <f>IFERROR(MID(VLOOKUP($B16,Seqs!$A:$B,2,0),AG16,1),"")</f>
        <v>C</v>
      </c>
      <c r="AG16" s="3">
        <v>207</v>
      </c>
      <c r="AH16" s="3" t="str">
        <f>IFERROR(MID(VLOOKUP($B16,Seqs!$A:$B,2,0),AI16,1),"")</f>
        <v>L</v>
      </c>
      <c r="AI16" s="3">
        <v>209</v>
      </c>
      <c r="AJ16" s="3" t="str">
        <f>IFERROR(MID(VLOOKUP($B16,Seqs!$A:$B,2,0),AK16,1),"")</f>
        <v>F</v>
      </c>
      <c r="AK16" s="3">
        <v>214</v>
      </c>
      <c r="AL16" s="3" t="str">
        <f>IFERROR(MID(VLOOKUP($B16,Seqs!$A:$B,2,0),AM16,1),"")</f>
        <v>A</v>
      </c>
      <c r="AM16" s="3">
        <v>248</v>
      </c>
      <c r="AN16" s="3" t="str">
        <f>IFERROR(MID(VLOOKUP($B16,Seqs!$A:$B,2,0),AO16,1),"")</f>
        <v>Q</v>
      </c>
      <c r="AO16" s="3">
        <v>314</v>
      </c>
      <c r="AP16" s="3" t="str">
        <f>IFERROR(MID(VLOOKUP($B16,Seqs!$A:$B,2,0),AQ16,1),"")</f>
        <v>C</v>
      </c>
      <c r="AQ16" s="3">
        <v>350</v>
      </c>
      <c r="AR16" s="3" t="str">
        <f>IFERROR(MID(VLOOKUP($B16,Seqs!$A:$B,2,0),AS16,1),"")</f>
        <v>N</v>
      </c>
      <c r="AS16" s="3">
        <v>354</v>
      </c>
      <c r="AT16" s="3" t="str">
        <f>IFERROR(MID(VLOOKUP($B16,Seqs!$A:$B,2,0),AU16,1),"")</f>
        <v>F</v>
      </c>
      <c r="AU16" s="3">
        <v>383</v>
      </c>
      <c r="AV16" s="3" t="str">
        <f>IFERROR(MID(VLOOKUP($B16,Seqs!$A:$B,2,0),AW16,1),"")</f>
        <v>N</v>
      </c>
      <c r="AW16" s="3">
        <v>384</v>
      </c>
      <c r="AX16" s="3" t="str">
        <f>IFERROR(MID(VLOOKUP($B16,Seqs!$A:$B,2,0),AY16,1),"")</f>
        <v>I</v>
      </c>
      <c r="AY16" s="3">
        <v>395</v>
      </c>
      <c r="AZ16" s="77" t="str">
        <f>VLOOKUP(B16,Classification!A:D,2,0)</f>
        <v>A</v>
      </c>
      <c r="BA16" s="94" t="str">
        <f>VLOOKUP(B16,Classification!A:D,4,0)</f>
        <v>5-Hydroxytryptamine</v>
      </c>
      <c r="BB16" s="27" t="b">
        <f t="shared" si="1"/>
        <v>1</v>
      </c>
      <c r="BC16" s="23">
        <f t="shared" si="2"/>
        <v>253</v>
      </c>
      <c r="BD16" s="56" t="s">
        <v>23</v>
      </c>
      <c r="BE16" s="3" t="s">
        <v>1422</v>
      </c>
      <c r="BF16" s="118">
        <v>2.7</v>
      </c>
      <c r="BG16" s="49" t="s">
        <v>1371</v>
      </c>
      <c r="BH16" s="49" t="s">
        <v>1371</v>
      </c>
      <c r="BI16" s="1"/>
      <c r="BJ16" s="70" t="s">
        <v>1281</v>
      </c>
      <c r="BK16" s="57" t="s">
        <v>1281</v>
      </c>
      <c r="BL16" s="57" t="s">
        <v>1281</v>
      </c>
      <c r="BM16" s="57" t="s">
        <v>1281</v>
      </c>
      <c r="BN16" s="57" t="s">
        <v>1281</v>
      </c>
      <c r="BO16" s="57" t="s">
        <v>1281</v>
      </c>
      <c r="BP16" s="57" t="s">
        <v>1281</v>
      </c>
      <c r="BQ16" s="57" t="s">
        <v>1281</v>
      </c>
      <c r="BR16" s="57" t="s">
        <v>1281</v>
      </c>
      <c r="BS16" s="57" t="s">
        <v>1281</v>
      </c>
      <c r="BT16" s="57" t="s">
        <v>1281</v>
      </c>
      <c r="BU16" s="57" t="s">
        <v>1281</v>
      </c>
      <c r="BV16" s="70">
        <f t="shared" si="3"/>
        <v>53</v>
      </c>
      <c r="BW16" s="71">
        <f t="shared" si="4"/>
        <v>83</v>
      </c>
      <c r="BX16" s="72">
        <f t="shared" si="5"/>
        <v>87</v>
      </c>
      <c r="BY16" s="71">
        <f t="shared" si="6"/>
        <v>120</v>
      </c>
      <c r="BZ16" s="72">
        <f t="shared" si="7"/>
        <v>124</v>
      </c>
      <c r="CA16" s="71" t="str">
        <f t="shared" si="8"/>
        <v>-</v>
      </c>
      <c r="CB16" s="72">
        <f t="shared" si="9"/>
        <v>165</v>
      </c>
      <c r="CC16" s="71">
        <f t="shared" si="10"/>
        <v>207</v>
      </c>
      <c r="CD16" s="72">
        <f t="shared" si="11"/>
        <v>214</v>
      </c>
      <c r="CE16" s="71">
        <f t="shared" si="12"/>
        <v>314</v>
      </c>
      <c r="CF16" s="72">
        <f t="shared" si="13"/>
        <v>354</v>
      </c>
      <c r="CG16" s="71">
        <f t="shared" si="14"/>
        <v>384</v>
      </c>
      <c r="CH16" s="70">
        <f t="shared" si="15"/>
        <v>82</v>
      </c>
      <c r="CI16" s="71">
        <f t="shared" si="16"/>
        <v>86</v>
      </c>
      <c r="CJ16" s="72">
        <f t="shared" si="17"/>
        <v>117</v>
      </c>
      <c r="CK16" s="72">
        <f t="shared" si="18"/>
        <v>123</v>
      </c>
      <c r="CL16" s="72">
        <f t="shared" si="19"/>
        <v>159</v>
      </c>
      <c r="CM16" s="72" t="str">
        <f t="shared" si="20"/>
        <v>-</v>
      </c>
      <c r="CN16" s="72">
        <f t="shared" si="21"/>
        <v>194</v>
      </c>
      <c r="CO16" s="72">
        <f t="shared" si="22"/>
        <v>209</v>
      </c>
      <c r="CP16" s="72">
        <f t="shared" si="23"/>
        <v>248</v>
      </c>
      <c r="CQ16" s="72">
        <f t="shared" si="24"/>
        <v>350</v>
      </c>
      <c r="CR16" s="72">
        <f t="shared" si="25"/>
        <v>383</v>
      </c>
      <c r="CS16" s="72">
        <f t="shared" si="26"/>
        <v>395</v>
      </c>
      <c r="CT16" s="23">
        <f t="shared" si="27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29" x14ac:dyDescent="0.2">
      <c r="A17" s="3" t="str">
        <f t="shared" si="0"/>
        <v>5ht2b_human_4NC3</v>
      </c>
      <c r="B17" s="3" t="s">
        <v>35</v>
      </c>
      <c r="C17" s="3" t="s">
        <v>1302</v>
      </c>
      <c r="D17" s="3" t="str">
        <f>IFERROR(MID(VLOOKUP($B17,Seqs!$A:$B,2,0),E17,1),"")</f>
        <v>K</v>
      </c>
      <c r="E17" s="3">
        <v>53</v>
      </c>
      <c r="F17" s="3" t="str">
        <f>IFERROR(MID(VLOOKUP($B17,Seqs!$A:$B,2,0),G17,1),"")</f>
        <v>E</v>
      </c>
      <c r="G17" s="3">
        <v>82</v>
      </c>
      <c r="H17" s="3" t="str">
        <f>IFERROR(MID(VLOOKUP($B17,Seqs!$A:$B,2,0),I17,1),"")</f>
        <v>K</v>
      </c>
      <c r="I17" s="23">
        <v>83</v>
      </c>
      <c r="J17" s="3" t="str">
        <f>IFERROR(MID(VLOOKUP($B17,Seqs!$A:$B,2,0),K17,1),"")</f>
        <v>Q</v>
      </c>
      <c r="K17" s="23">
        <v>86</v>
      </c>
      <c r="L17" s="3" t="str">
        <f>IFERROR(MID(VLOOKUP($B17,Seqs!$A:$B,2,0),M17,1),"")</f>
        <v>Y</v>
      </c>
      <c r="M17" s="3">
        <v>87</v>
      </c>
      <c r="N17" s="3" t="str">
        <f>IFERROR(MID(VLOOKUP($B17,Seqs!$A:$B,2,0),O17,1),"")</f>
        <v>F</v>
      </c>
      <c r="O17" s="3">
        <v>117</v>
      </c>
      <c r="P17" s="3" t="str">
        <f>IFERROR(MID(VLOOKUP($B17,Seqs!$A:$B,2,0),Q17,1),"")</f>
        <v>M</v>
      </c>
      <c r="Q17" s="3">
        <v>120</v>
      </c>
      <c r="R17" s="3" t="str">
        <f>IFERROR(MID(VLOOKUP($B17,Seqs!$A:$B,2,0),S17,1),"")</f>
        <v>L</v>
      </c>
      <c r="S17" s="3">
        <v>123</v>
      </c>
      <c r="T17" s="3" t="str">
        <f>IFERROR(MID(VLOOKUP($B17,Seqs!$A:$B,2,0),U17,1),"")</f>
        <v>P</v>
      </c>
      <c r="U17" s="3">
        <v>124</v>
      </c>
      <c r="V17" s="3" t="str">
        <f>IFERROR(MID(VLOOKUP($B17,Seqs!$A:$B,2,0),W17,1),"")</f>
        <v>K</v>
      </c>
      <c r="W17" s="3">
        <v>159</v>
      </c>
      <c r="X17" s="3" t="str">
        <f>IFERROR(MID(VLOOKUP($B17,Seqs!$A:$B,2,0),Y17,1),"")</f>
        <v/>
      </c>
      <c r="Y17" s="3" t="s">
        <v>23</v>
      </c>
      <c r="Z17" s="3" t="str">
        <f>IFERROR(MID(VLOOKUP($B17,Seqs!$A:$B,2,0),AA17,1),"")</f>
        <v/>
      </c>
      <c r="AA17" s="3" t="s">
        <v>23</v>
      </c>
      <c r="AB17" s="3" t="str">
        <f>IFERROR(MID(VLOOKUP($B17,Seqs!$A:$B,2,0),AC17,1),"")</f>
        <v>N</v>
      </c>
      <c r="AC17" s="3">
        <v>164</v>
      </c>
      <c r="AD17" s="3" t="str">
        <f>IFERROR(MID(VLOOKUP($B17,Seqs!$A:$B,2,0),AE17,1),"")</f>
        <v>G</v>
      </c>
      <c r="AE17" s="3">
        <v>194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F</v>
      </c>
      <c r="AK17" s="3">
        <v>214</v>
      </c>
      <c r="AL17" s="3" t="str">
        <f>IFERROR(MID(VLOOKUP($B17,Seqs!$A:$B,2,0),AM17,1),"")</f>
        <v>A</v>
      </c>
      <c r="AM17" s="3">
        <v>248</v>
      </c>
      <c r="AN17" s="3" t="str">
        <f>IFERROR(MID(VLOOKUP($B17,Seqs!$A:$B,2,0),AO17,1),"")</f>
        <v>Q</v>
      </c>
      <c r="AO17" s="3">
        <v>314</v>
      </c>
      <c r="AP17" s="3" t="str">
        <f>IFERROR(MID(VLOOKUP($B17,Seqs!$A:$B,2,0),AQ17,1),"")</f>
        <v>C</v>
      </c>
      <c r="AQ17" s="3">
        <v>350</v>
      </c>
      <c r="AR17" s="3" t="str">
        <f>IFERROR(MID(VLOOKUP($B17,Seqs!$A:$B,2,0),AS17,1),"")</f>
        <v>N</v>
      </c>
      <c r="AS17" s="3">
        <v>354</v>
      </c>
      <c r="AT17" s="3" t="str">
        <f>IFERROR(MID(VLOOKUP($B17,Seqs!$A:$B,2,0),AU17,1),"")</f>
        <v>F</v>
      </c>
      <c r="AU17" s="3">
        <v>383</v>
      </c>
      <c r="AV17" s="3" t="str">
        <f>IFERROR(MID(VLOOKUP($B17,Seqs!$A:$B,2,0),AW17,1),"")</f>
        <v>N</v>
      </c>
      <c r="AW17" s="3">
        <v>384</v>
      </c>
      <c r="AX17" s="3" t="str">
        <f>IFERROR(MID(VLOOKUP($B17,Seqs!$A:$B,2,0),AY17,1),"")</f>
        <v>I</v>
      </c>
      <c r="AY17" s="3">
        <v>395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si="1"/>
        <v>1</v>
      </c>
      <c r="BC17" s="23">
        <f t="shared" si="2"/>
        <v>254</v>
      </c>
      <c r="BD17" s="4" t="s">
        <v>23</v>
      </c>
      <c r="BE17" s="3" t="s">
        <v>1422</v>
      </c>
      <c r="BF17" s="118">
        <v>2.8</v>
      </c>
      <c r="BG17" s="49" t="s">
        <v>1371</v>
      </c>
      <c r="BH17" s="49" t="s">
        <v>1371</v>
      </c>
      <c r="BI17" s="1"/>
      <c r="BJ17" s="70" t="s">
        <v>1281</v>
      </c>
      <c r="BK17" s="57" t="s">
        <v>1281</v>
      </c>
      <c r="BL17" s="57" t="s">
        <v>1281</v>
      </c>
      <c r="BM17" s="57" t="s">
        <v>1281</v>
      </c>
      <c r="BN17" s="57" t="s">
        <v>1281</v>
      </c>
      <c r="BO17" s="57" t="s">
        <v>1281</v>
      </c>
      <c r="BP17" s="57" t="s">
        <v>1281</v>
      </c>
      <c r="BQ17" s="57" t="s">
        <v>1281</v>
      </c>
      <c r="BR17" s="57" t="s">
        <v>1281</v>
      </c>
      <c r="BS17" s="57" t="s">
        <v>1281</v>
      </c>
      <c r="BT17" s="57" t="s">
        <v>1281</v>
      </c>
      <c r="BU17" s="57" t="s">
        <v>1281</v>
      </c>
      <c r="BV17" s="70">
        <f t="shared" si="3"/>
        <v>53</v>
      </c>
      <c r="BW17" s="71">
        <f t="shared" si="4"/>
        <v>83</v>
      </c>
      <c r="BX17" s="72">
        <f t="shared" si="5"/>
        <v>87</v>
      </c>
      <c r="BY17" s="71">
        <f t="shared" si="6"/>
        <v>120</v>
      </c>
      <c r="BZ17" s="72">
        <f t="shared" si="7"/>
        <v>124</v>
      </c>
      <c r="CA17" s="71" t="str">
        <f t="shared" si="8"/>
        <v>-</v>
      </c>
      <c r="CB17" s="72">
        <f t="shared" si="9"/>
        <v>164</v>
      </c>
      <c r="CC17" s="71">
        <f t="shared" si="10"/>
        <v>207</v>
      </c>
      <c r="CD17" s="72">
        <f t="shared" si="11"/>
        <v>214</v>
      </c>
      <c r="CE17" s="71">
        <f t="shared" si="12"/>
        <v>314</v>
      </c>
      <c r="CF17" s="72">
        <f t="shared" si="13"/>
        <v>354</v>
      </c>
      <c r="CG17" s="71">
        <f t="shared" si="14"/>
        <v>384</v>
      </c>
      <c r="CH17" s="70">
        <f t="shared" si="15"/>
        <v>82</v>
      </c>
      <c r="CI17" s="71">
        <f t="shared" si="16"/>
        <v>86</v>
      </c>
      <c r="CJ17" s="72">
        <f t="shared" si="17"/>
        <v>117</v>
      </c>
      <c r="CK17" s="72">
        <f t="shared" si="18"/>
        <v>123</v>
      </c>
      <c r="CL17" s="72">
        <f t="shared" si="19"/>
        <v>159</v>
      </c>
      <c r="CM17" s="72" t="str">
        <f t="shared" si="20"/>
        <v>-</v>
      </c>
      <c r="CN17" s="72">
        <f t="shared" si="21"/>
        <v>194</v>
      </c>
      <c r="CO17" s="72">
        <f t="shared" si="22"/>
        <v>209</v>
      </c>
      <c r="CP17" s="72">
        <f t="shared" si="23"/>
        <v>248</v>
      </c>
      <c r="CQ17" s="72">
        <f t="shared" si="24"/>
        <v>350</v>
      </c>
      <c r="CR17" s="72">
        <f t="shared" si="25"/>
        <v>383</v>
      </c>
      <c r="CS17" s="72">
        <f t="shared" si="26"/>
        <v>395</v>
      </c>
      <c r="CT17" s="23">
        <f t="shared" si="27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29" x14ac:dyDescent="0.2">
      <c r="A18" s="3" t="str">
        <f t="shared" ref="A18:A29" si="168">CONCATENATE(B18,"_",C18)</f>
        <v>5ht2b_human_5TUD</v>
      </c>
      <c r="B18" s="3" t="s">
        <v>35</v>
      </c>
      <c r="C18" s="3" t="s">
        <v>1421</v>
      </c>
      <c r="D18" s="3" t="str">
        <f>IFERROR(MID(VLOOKUP($B18,Seqs!$A:$B,2,0),E18,1),"")</f>
        <v>A</v>
      </c>
      <c r="E18" s="3">
        <v>57</v>
      </c>
      <c r="F18" s="3" t="str">
        <f>IFERROR(MID(VLOOKUP($B18,Seqs!$A:$B,2,0),G18,1),"")</f>
        <v>E</v>
      </c>
      <c r="G18" s="3">
        <v>82</v>
      </c>
      <c r="H18" s="3" t="str">
        <f>IFERROR(MID(VLOOKUP($B18,Seqs!$A:$B,2,0),I18,1),"")</f>
        <v>K</v>
      </c>
      <c r="I18" s="23">
        <v>83</v>
      </c>
      <c r="J18" s="3" t="str">
        <f>IFERROR(MID(VLOOKUP($B18,Seqs!$A:$B,2,0),K18,1),"")</f>
        <v>Q</v>
      </c>
      <c r="K18" s="23">
        <v>86</v>
      </c>
      <c r="L18" s="3" t="str">
        <f>IFERROR(MID(VLOOKUP($B18,Seqs!$A:$B,2,0),M18,1),"")</f>
        <v>Y</v>
      </c>
      <c r="M18" s="3">
        <v>87</v>
      </c>
      <c r="N18" s="3" t="str">
        <f>IFERROR(MID(VLOOKUP($B18,Seqs!$A:$B,2,0),O18,1),"")</f>
        <v>F</v>
      </c>
      <c r="O18" s="3">
        <v>117</v>
      </c>
      <c r="P18" s="3" t="str">
        <f>IFERROR(MID(VLOOKUP($B18,Seqs!$A:$B,2,0),Q18,1),"")</f>
        <v>M</v>
      </c>
      <c r="Q18" s="3">
        <v>120</v>
      </c>
      <c r="R18" s="3" t="str">
        <f>IFERROR(MID(VLOOKUP($B18,Seqs!$A:$B,2,0),S18,1),"")</f>
        <v>L</v>
      </c>
      <c r="S18" s="3">
        <v>123</v>
      </c>
      <c r="T18" s="3" t="str">
        <f>IFERROR(MID(VLOOKUP($B18,Seqs!$A:$B,2,0),U18,1),"")</f>
        <v>P</v>
      </c>
      <c r="U18" s="3">
        <v>124</v>
      </c>
      <c r="V18" s="3" t="str">
        <f>IFERROR(MID(VLOOKUP($B18,Seqs!$A:$B,2,0),W18,1),"")</f>
        <v>K</v>
      </c>
      <c r="W18" s="3">
        <v>159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N</v>
      </c>
      <c r="AC18" s="3">
        <v>164</v>
      </c>
      <c r="AD18" s="3" t="str">
        <f>IFERROR(MID(VLOOKUP($B18,Seqs!$A:$B,2,0),AE18,1),"")</f>
        <v>K</v>
      </c>
      <c r="AE18" s="3">
        <v>193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F</v>
      </c>
      <c r="AK18" s="3">
        <v>214</v>
      </c>
      <c r="AL18" s="3" t="str">
        <f>IFERROR(MID(VLOOKUP($B18,Seqs!$A:$B,2,0),AM18,1),"")</f>
        <v>A</v>
      </c>
      <c r="AM18" s="3">
        <v>248</v>
      </c>
      <c r="AN18" s="3" t="str">
        <f>IFERROR(MID(VLOOKUP($B18,Seqs!$A:$B,2,0),AO18,1),"")</f>
        <v>Q</v>
      </c>
      <c r="AO18" s="3">
        <v>314</v>
      </c>
      <c r="AP18" s="3" t="str">
        <f>IFERROR(MID(VLOOKUP($B18,Seqs!$A:$B,2,0),AQ18,1),"")</f>
        <v>C</v>
      </c>
      <c r="AQ18" s="3">
        <v>350</v>
      </c>
      <c r="AR18" s="3" t="str">
        <f>IFERROR(MID(VLOOKUP($B18,Seqs!$A:$B,2,0),AS18,1),"")</f>
        <v>N</v>
      </c>
      <c r="AS18" s="3">
        <v>354</v>
      </c>
      <c r="AT18" s="3" t="str">
        <f>IFERROR(MID(VLOOKUP($B18,Seqs!$A:$B,2,0),AU18,1),"")</f>
        <v>L</v>
      </c>
      <c r="AU18" s="3">
        <v>382</v>
      </c>
      <c r="AV18" s="3" t="str">
        <f>IFERROR(MID(VLOOKUP($B18,Seqs!$A:$B,2,0),AW18,1),"")</f>
        <v>N</v>
      </c>
      <c r="AW18" s="3">
        <v>384</v>
      </c>
      <c r="AX18" s="3" t="str">
        <f>IFERROR(MID(VLOOKUP($B18,Seqs!$A:$B,2,0),AY18,1),"")</f>
        <v>T</v>
      </c>
      <c r="AY18" s="3">
        <v>396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ref="BB18:BB29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23">
        <f t="shared" ref="BC18:BC29" si="170">_xlfn.AGGREGATE(9,6,CH18:CS18)-_xlfn.AGGREGATE(9,6,BV18:CG18)+12</f>
        <v>249</v>
      </c>
      <c r="BD18" s="4" t="s">
        <v>1369</v>
      </c>
      <c r="BE18" s="3" t="s">
        <v>1285</v>
      </c>
      <c r="BF18" s="118">
        <v>3</v>
      </c>
      <c r="BG18" s="49" t="s">
        <v>1371</v>
      </c>
      <c r="BH18" s="49" t="s">
        <v>1371</v>
      </c>
      <c r="BI18" s="1"/>
      <c r="BJ18" s="70" t="s">
        <v>1281</v>
      </c>
      <c r="BK18" s="57" t="s">
        <v>1281</v>
      </c>
      <c r="BL18" s="57" t="s">
        <v>1281</v>
      </c>
      <c r="BM18" s="57" t="s">
        <v>1281</v>
      </c>
      <c r="BN18" s="57" t="s">
        <v>1281</v>
      </c>
      <c r="BO18" s="57" t="s">
        <v>1281</v>
      </c>
      <c r="BP18" s="57" t="s">
        <v>1281</v>
      </c>
      <c r="BQ18" s="57" t="s">
        <v>1281</v>
      </c>
      <c r="BR18" s="57" t="s">
        <v>1281</v>
      </c>
      <c r="BS18" s="57" t="s">
        <v>1281</v>
      </c>
      <c r="BT18" s="57" t="s">
        <v>1281</v>
      </c>
      <c r="BU18" s="57" t="s">
        <v>1281</v>
      </c>
      <c r="BV18" s="70">
        <f t="shared" ref="BV18:BV29" si="171">E18</f>
        <v>57</v>
      </c>
      <c r="BW18" s="71">
        <f t="shared" ref="BW18:BW29" si="172">I18</f>
        <v>83</v>
      </c>
      <c r="BX18" s="72">
        <f t="shared" ref="BX18:BX29" si="173">M18</f>
        <v>87</v>
      </c>
      <c r="BY18" s="71">
        <f t="shared" ref="BY18:BY29" si="174">Q18</f>
        <v>120</v>
      </c>
      <c r="BZ18" s="72">
        <f t="shared" ref="BZ18:BZ29" si="175">U18</f>
        <v>124</v>
      </c>
      <c r="CA18" s="71" t="str">
        <f t="shared" ref="CA18:CA29" si="176">Y18</f>
        <v>-</v>
      </c>
      <c r="CB18" s="72">
        <f t="shared" ref="CB18:CB29" si="177">AC18</f>
        <v>164</v>
      </c>
      <c r="CC18" s="71">
        <f t="shared" ref="CC18:CC29" si="178">AG18</f>
        <v>207</v>
      </c>
      <c r="CD18" s="72">
        <f t="shared" ref="CD18:CD29" si="179">AK18</f>
        <v>214</v>
      </c>
      <c r="CE18" s="71">
        <f t="shared" ref="CE18:CE29" si="180">AO18</f>
        <v>314</v>
      </c>
      <c r="CF18" s="72">
        <f t="shared" ref="CF18:CF29" si="181">AS18</f>
        <v>354</v>
      </c>
      <c r="CG18" s="71">
        <f t="shared" ref="CG18:CG29" si="182">AW18</f>
        <v>384</v>
      </c>
      <c r="CH18" s="70">
        <f t="shared" ref="CH18:CH29" si="183">G18</f>
        <v>82</v>
      </c>
      <c r="CI18" s="71">
        <f t="shared" ref="CI18:CI29" si="184">K18</f>
        <v>86</v>
      </c>
      <c r="CJ18" s="72">
        <f t="shared" ref="CJ18:CJ29" si="185">O18</f>
        <v>117</v>
      </c>
      <c r="CK18" s="72">
        <f t="shared" ref="CK18:CK29" si="186">S18</f>
        <v>123</v>
      </c>
      <c r="CL18" s="72">
        <f t="shared" ref="CL18:CL29" si="187">W18</f>
        <v>159</v>
      </c>
      <c r="CM18" s="72" t="str">
        <f t="shared" ref="CM18:CM29" si="188">AA18</f>
        <v>-</v>
      </c>
      <c r="CN18" s="72">
        <f t="shared" ref="CN18:CN29" si="189">AE18</f>
        <v>193</v>
      </c>
      <c r="CO18" s="72">
        <f t="shared" ref="CO18:CO29" si="190">AI18</f>
        <v>209</v>
      </c>
      <c r="CP18" s="72">
        <f t="shared" ref="CP18:CP29" si="191">AM18</f>
        <v>248</v>
      </c>
      <c r="CQ18" s="72">
        <f t="shared" ref="CQ18:CQ29" si="192">AQ18</f>
        <v>350</v>
      </c>
      <c r="CR18" s="72">
        <f t="shared" ref="CR18:CR29" si="193">AU18</f>
        <v>382</v>
      </c>
      <c r="CS18" s="72">
        <f t="shared" ref="CS18:CS29" si="194">AY18</f>
        <v>396</v>
      </c>
      <c r="CT18" s="23">
        <f t="shared" ref="CT18:CT29" si="195">M18-K18</f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29" x14ac:dyDescent="0.2">
      <c r="A19" s="3" t="str">
        <f t="shared" si="168"/>
        <v>5ht2b_human_5TVN</v>
      </c>
      <c r="B19" s="3" t="s">
        <v>35</v>
      </c>
      <c r="C19" s="3" t="s">
        <v>1380</v>
      </c>
      <c r="D19" s="3" t="str">
        <f>IFERROR(MID(VLOOKUP($B19,Seqs!$A:$B,2,0),E19,1),"")</f>
        <v>K</v>
      </c>
      <c r="E19" s="3">
        <v>53</v>
      </c>
      <c r="F19" s="3" t="str">
        <f>IFERROR(MID(VLOOKUP($B19,Seqs!$A:$B,2,0),G19,1),"")</f>
        <v>E</v>
      </c>
      <c r="G19" s="3">
        <v>82</v>
      </c>
      <c r="H19" s="3" t="str">
        <f>IFERROR(MID(VLOOKUP($B19,Seqs!$A:$B,2,0),I19,1),"")</f>
        <v>K</v>
      </c>
      <c r="I19" s="23">
        <v>83</v>
      </c>
      <c r="J19" s="3" t="str">
        <f>IFERROR(MID(VLOOKUP($B19,Seqs!$A:$B,2,0),K19,1),"")</f>
        <v>Q</v>
      </c>
      <c r="K19" s="23">
        <v>86</v>
      </c>
      <c r="L19" s="3" t="str">
        <f>IFERROR(MID(VLOOKUP($B19,Seqs!$A:$B,2,0),M19,1),"")</f>
        <v>Y</v>
      </c>
      <c r="M19" s="3">
        <v>87</v>
      </c>
      <c r="N19" s="3" t="str">
        <f>IFERROR(MID(VLOOKUP($B19,Seqs!$A:$B,2,0),O19,1),"")</f>
        <v>F</v>
      </c>
      <c r="O19" s="3">
        <v>117</v>
      </c>
      <c r="P19" s="3" t="str">
        <f>IFERROR(MID(VLOOKUP($B19,Seqs!$A:$B,2,0),Q19,1),"")</f>
        <v>M</v>
      </c>
      <c r="Q19" s="3">
        <v>120</v>
      </c>
      <c r="R19" s="3" t="str">
        <f>IFERROR(MID(VLOOKUP($B19,Seqs!$A:$B,2,0),S19,1),"")</f>
        <v>L</v>
      </c>
      <c r="S19" s="3">
        <v>123</v>
      </c>
      <c r="T19" s="3" t="str">
        <f>IFERROR(MID(VLOOKUP($B19,Seqs!$A:$B,2,0),U19,1),"")</f>
        <v>P</v>
      </c>
      <c r="U19" s="3">
        <v>124</v>
      </c>
      <c r="V19" s="3" t="str">
        <f>IFERROR(MID(VLOOKUP($B19,Seqs!$A:$B,2,0),W19,1),"")</f>
        <v>K</v>
      </c>
      <c r="W19" s="3">
        <v>159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S</v>
      </c>
      <c r="AC19" s="3">
        <v>168</v>
      </c>
      <c r="AD19" s="3" t="str">
        <f>IFERROR(MID(VLOOKUP($B19,Seqs!$A:$B,2,0),AE19,1),"")</f>
        <v>G</v>
      </c>
      <c r="AE19" s="3">
        <v>194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F</v>
      </c>
      <c r="AK19" s="3">
        <v>214</v>
      </c>
      <c r="AL19" s="3" t="str">
        <f>IFERROR(MID(VLOOKUP($B19,Seqs!$A:$B,2,0),AM19,1),"")</f>
        <v>A</v>
      </c>
      <c r="AM19" s="3">
        <v>248</v>
      </c>
      <c r="AN19" s="3" t="str">
        <f>IFERROR(MID(VLOOKUP($B19,Seqs!$A:$B,2,0),AO19,1),"")</f>
        <v>V</v>
      </c>
      <c r="AO19" s="3">
        <v>313</v>
      </c>
      <c r="AP19" s="3" t="str">
        <f>IFERROR(MID(VLOOKUP($B19,Seqs!$A:$B,2,0),AQ19,1),"")</f>
        <v>C</v>
      </c>
      <c r="AQ19" s="3">
        <v>350</v>
      </c>
      <c r="AR19" s="3" t="str">
        <f>IFERROR(MID(VLOOKUP($B19,Seqs!$A:$B,2,0),AS19,1),"")</f>
        <v>N</v>
      </c>
      <c r="AS19" s="3">
        <v>354</v>
      </c>
      <c r="AT19" s="3" t="str">
        <f>IFERROR(MID(VLOOKUP($B19,Seqs!$A:$B,2,0),AU19,1),"")</f>
        <v>F</v>
      </c>
      <c r="AU19" s="3">
        <v>383</v>
      </c>
      <c r="AV19" s="3" t="str">
        <f>IFERROR(MID(VLOOKUP($B19,Seqs!$A:$B,2,0),AW19,1),"")</f>
        <v>N</v>
      </c>
      <c r="AW19" s="3">
        <v>384</v>
      </c>
      <c r="AX19" s="3" t="str">
        <f>IFERROR(MID(VLOOKUP($B19,Seqs!$A:$B,2,0),AY19,1),"")</f>
        <v>I</v>
      </c>
      <c r="AY19" s="3">
        <v>395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si="169"/>
        <v>1</v>
      </c>
      <c r="BC19" s="23">
        <f t="shared" si="170"/>
        <v>251</v>
      </c>
      <c r="BD19" s="4" t="s">
        <v>23</v>
      </c>
      <c r="BE19" s="3" t="s">
        <v>1422</v>
      </c>
      <c r="BF19" s="118">
        <v>2.9</v>
      </c>
      <c r="BG19" s="49" t="s">
        <v>1371</v>
      </c>
      <c r="BH19" s="49" t="s">
        <v>1371</v>
      </c>
      <c r="BI19" s="1"/>
      <c r="BJ19" s="70" t="s">
        <v>1281</v>
      </c>
      <c r="BK19" s="57" t="s">
        <v>1281</v>
      </c>
      <c r="BL19" s="57" t="s">
        <v>1281</v>
      </c>
      <c r="BM19" s="57" t="s">
        <v>1281</v>
      </c>
      <c r="BN19" s="57" t="s">
        <v>1281</v>
      </c>
      <c r="BO19" s="57" t="s">
        <v>1281</v>
      </c>
      <c r="BP19" s="57" t="s">
        <v>1281</v>
      </c>
      <c r="BQ19" s="57" t="s">
        <v>1281</v>
      </c>
      <c r="BR19" s="57" t="s">
        <v>1281</v>
      </c>
      <c r="BS19" s="57" t="s">
        <v>1281</v>
      </c>
      <c r="BT19" s="57" t="s">
        <v>1281</v>
      </c>
      <c r="BU19" s="57" t="s">
        <v>1281</v>
      </c>
      <c r="BV19" s="70">
        <f t="shared" si="171"/>
        <v>53</v>
      </c>
      <c r="BW19" s="71">
        <f t="shared" si="172"/>
        <v>83</v>
      </c>
      <c r="BX19" s="72">
        <f t="shared" si="173"/>
        <v>87</v>
      </c>
      <c r="BY19" s="71">
        <f t="shared" si="174"/>
        <v>120</v>
      </c>
      <c r="BZ19" s="72">
        <f t="shared" si="175"/>
        <v>124</v>
      </c>
      <c r="CA19" s="71" t="str">
        <f t="shared" si="176"/>
        <v>-</v>
      </c>
      <c r="CB19" s="72">
        <f t="shared" si="177"/>
        <v>168</v>
      </c>
      <c r="CC19" s="71">
        <f t="shared" si="178"/>
        <v>207</v>
      </c>
      <c r="CD19" s="72">
        <f t="shared" si="179"/>
        <v>214</v>
      </c>
      <c r="CE19" s="71">
        <f t="shared" si="180"/>
        <v>313</v>
      </c>
      <c r="CF19" s="72">
        <f t="shared" si="181"/>
        <v>354</v>
      </c>
      <c r="CG19" s="71">
        <f t="shared" si="182"/>
        <v>384</v>
      </c>
      <c r="CH19" s="70">
        <f t="shared" si="183"/>
        <v>82</v>
      </c>
      <c r="CI19" s="71">
        <f t="shared" si="184"/>
        <v>86</v>
      </c>
      <c r="CJ19" s="72">
        <f t="shared" si="185"/>
        <v>117</v>
      </c>
      <c r="CK19" s="72">
        <f t="shared" si="186"/>
        <v>123</v>
      </c>
      <c r="CL19" s="72">
        <f t="shared" si="187"/>
        <v>159</v>
      </c>
      <c r="CM19" s="72" t="str">
        <f t="shared" si="188"/>
        <v>-</v>
      </c>
      <c r="CN19" s="72">
        <f t="shared" si="189"/>
        <v>194</v>
      </c>
      <c r="CO19" s="72">
        <f t="shared" si="190"/>
        <v>209</v>
      </c>
      <c r="CP19" s="72">
        <f t="shared" si="191"/>
        <v>248</v>
      </c>
      <c r="CQ19" s="72">
        <f t="shared" si="192"/>
        <v>350</v>
      </c>
      <c r="CR19" s="72">
        <f t="shared" si="193"/>
        <v>383</v>
      </c>
      <c r="CS19" s="72">
        <f t="shared" si="194"/>
        <v>395</v>
      </c>
      <c r="CT19" s="23">
        <f t="shared" si="195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x14ac:dyDescent="0.2">
      <c r="A20" s="3" t="str">
        <f t="shared" ref="A20" si="196">CONCATENATE(B20,"_",C20)</f>
        <v>5ht2b_human_6DRX</v>
      </c>
      <c r="B20" s="3" t="s">
        <v>35</v>
      </c>
      <c r="C20" s="3" t="s">
        <v>1506</v>
      </c>
      <c r="D20" s="3" t="str">
        <f>IFERROR(MID(VLOOKUP($B20,Seqs!$A:$B,2,0),E20,1),"")</f>
        <v>K</v>
      </c>
      <c r="E20" s="3">
        <v>53</v>
      </c>
      <c r="F20" s="3" t="str">
        <f>IFERROR(MID(VLOOKUP($B20,Seqs!$A:$B,2,0),G20,1),"")</f>
        <v>E</v>
      </c>
      <c r="G20" s="3">
        <v>82</v>
      </c>
      <c r="H20" s="3" t="str">
        <f>IFERROR(MID(VLOOKUP($B20,Seqs!$A:$B,2,0),I20,1),"")</f>
        <v>K</v>
      </c>
      <c r="I20" s="23">
        <v>83</v>
      </c>
      <c r="J20" s="3" t="str">
        <f>IFERROR(MID(VLOOKUP($B20,Seqs!$A:$B,2,0),K20,1),"")</f>
        <v>Q</v>
      </c>
      <c r="K20" s="23">
        <v>86</v>
      </c>
      <c r="L20" s="3" t="str">
        <f>IFERROR(MID(VLOOKUP($B20,Seqs!$A:$B,2,0),M20,1),"")</f>
        <v>Y</v>
      </c>
      <c r="M20" s="3">
        <v>87</v>
      </c>
      <c r="N20" s="3" t="str">
        <f>IFERROR(MID(VLOOKUP($B20,Seqs!$A:$B,2,0),O20,1),"")</f>
        <v>F</v>
      </c>
      <c r="O20" s="3">
        <v>117</v>
      </c>
      <c r="P20" s="3" t="str">
        <f>IFERROR(MID(VLOOKUP($B20,Seqs!$A:$B,2,0),Q20,1),"")</f>
        <v>M</v>
      </c>
      <c r="Q20" s="3">
        <v>120</v>
      </c>
      <c r="R20" s="3" t="str">
        <f>IFERROR(MID(VLOOKUP($B20,Seqs!$A:$B,2,0),S20,1),"")</f>
        <v>L</v>
      </c>
      <c r="S20" s="3">
        <v>123</v>
      </c>
      <c r="T20" s="3" t="str">
        <f>IFERROR(MID(VLOOKUP($B20,Seqs!$A:$B,2,0),U20,1),"")</f>
        <v>P</v>
      </c>
      <c r="U20" s="3">
        <v>124</v>
      </c>
      <c r="V20" s="3" t="str">
        <f>IFERROR(MID(VLOOKUP($B20,Seqs!$A:$B,2,0),W20,1),"")</f>
        <v>K</v>
      </c>
      <c r="W20" s="3">
        <v>159</v>
      </c>
      <c r="X20" s="3" t="str">
        <f>IFERROR(MID(VLOOKUP($B20,Seqs!$A:$B,2,0),Y20,1),"")</f>
        <v/>
      </c>
      <c r="Y20" s="3" t="s">
        <v>23</v>
      </c>
      <c r="Z20" s="3" t="str">
        <f>IFERROR(MID(VLOOKUP($B20,Seqs!$A:$B,2,0),AA20,1),"")</f>
        <v/>
      </c>
      <c r="AA20" s="3" t="s">
        <v>23</v>
      </c>
      <c r="AB20" s="3" t="str">
        <f>IFERROR(MID(VLOOKUP($B20,Seqs!$A:$B,2,0),AC20,1),"")</f>
        <v>N</v>
      </c>
      <c r="AC20" s="3">
        <v>164</v>
      </c>
      <c r="AD20" s="3" t="str">
        <f>IFERROR(MID(VLOOKUP($B20,Seqs!$A:$B,2,0),AE20,1),"")</f>
        <v>G</v>
      </c>
      <c r="AE20" s="3">
        <v>194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F</v>
      </c>
      <c r="AK20" s="3">
        <v>214</v>
      </c>
      <c r="AL20" s="3" t="str">
        <f>IFERROR(MID(VLOOKUP($B20,Seqs!$A:$B,2,0),AM20,1),"")</f>
        <v>A</v>
      </c>
      <c r="AM20" s="3">
        <v>248</v>
      </c>
      <c r="AN20" s="3" t="str">
        <f>IFERROR(MID(VLOOKUP($B20,Seqs!$A:$B,2,0),AO20,1),"")</f>
        <v>Q</v>
      </c>
      <c r="AO20" s="3">
        <v>314</v>
      </c>
      <c r="AP20" s="3" t="str">
        <f>IFERROR(MID(VLOOKUP($B20,Seqs!$A:$B,2,0),AQ20,1),"")</f>
        <v>C</v>
      </c>
      <c r="AQ20" s="3">
        <v>350</v>
      </c>
      <c r="AR20" s="3" t="str">
        <f>IFERROR(MID(VLOOKUP($B20,Seqs!$A:$B,2,0),AS20,1),"")</f>
        <v>N</v>
      </c>
      <c r="AS20" s="3">
        <v>354</v>
      </c>
      <c r="AT20" s="3" t="str">
        <f>IFERROR(MID(VLOOKUP($B20,Seqs!$A:$B,2,0),AU20,1),"")</f>
        <v>F</v>
      </c>
      <c r="AU20" s="3">
        <v>383</v>
      </c>
      <c r="AV20" s="3" t="str">
        <f>IFERROR(MID(VLOOKUP($B20,Seqs!$A:$B,2,0),AW20,1),"")</f>
        <v>N</v>
      </c>
      <c r="AW20" s="3">
        <v>384</v>
      </c>
      <c r="AX20" s="3" t="str">
        <f>IFERROR(MID(VLOOKUP($B20,Seqs!$A:$B,2,0),AY20,1),"")</f>
        <v>I</v>
      </c>
      <c r="AY20" s="3">
        <v>395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ref="BB20" si="197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C20" s="23">
        <f t="shared" ref="BC20" si="198">_xlfn.AGGREGATE(9,6,CH20:CS20)-_xlfn.AGGREGATE(9,6,BV20:CG20)+12</f>
        <v>254</v>
      </c>
      <c r="BD20" s="4" t="s">
        <v>23</v>
      </c>
      <c r="BE20" s="3" t="s">
        <v>1422</v>
      </c>
      <c r="BF20" s="118">
        <v>3.1</v>
      </c>
      <c r="BG20" s="49" t="s">
        <v>1</v>
      </c>
      <c r="BH20" s="49" t="s">
        <v>1</v>
      </c>
      <c r="BI20" s="1"/>
      <c r="BJ20" s="70" t="s">
        <v>1281</v>
      </c>
      <c r="BK20" s="57" t="s">
        <v>1281</v>
      </c>
      <c r="BL20" s="57" t="s">
        <v>1281</v>
      </c>
      <c r="BM20" s="57" t="s">
        <v>1281</v>
      </c>
      <c r="BN20" s="57" t="s">
        <v>1281</v>
      </c>
      <c r="BO20" s="57" t="s">
        <v>1281</v>
      </c>
      <c r="BP20" s="57" t="s">
        <v>1281</v>
      </c>
      <c r="BQ20" s="57" t="s">
        <v>1281</v>
      </c>
      <c r="BR20" s="57" t="s">
        <v>1281</v>
      </c>
      <c r="BS20" s="57" t="s">
        <v>1281</v>
      </c>
      <c r="BT20" s="57" t="s">
        <v>1281</v>
      </c>
      <c r="BU20" s="57" t="s">
        <v>1281</v>
      </c>
      <c r="BV20" s="70">
        <f t="shared" ref="BV20" si="199">E20</f>
        <v>53</v>
      </c>
      <c r="BW20" s="71">
        <f t="shared" ref="BW20" si="200">I20</f>
        <v>83</v>
      </c>
      <c r="BX20" s="72">
        <f t="shared" ref="BX20" si="201">M20</f>
        <v>87</v>
      </c>
      <c r="BY20" s="71">
        <f t="shared" ref="BY20" si="202">Q20</f>
        <v>120</v>
      </c>
      <c r="BZ20" s="72">
        <f t="shared" ref="BZ20" si="203">U20</f>
        <v>124</v>
      </c>
      <c r="CA20" s="71" t="str">
        <f t="shared" ref="CA20" si="204">Y20</f>
        <v>-</v>
      </c>
      <c r="CB20" s="72">
        <f t="shared" ref="CB20" si="205">AC20</f>
        <v>164</v>
      </c>
      <c r="CC20" s="71">
        <f t="shared" ref="CC20" si="206">AG20</f>
        <v>207</v>
      </c>
      <c r="CD20" s="72">
        <f t="shared" ref="CD20" si="207">AK20</f>
        <v>214</v>
      </c>
      <c r="CE20" s="71">
        <f t="shared" ref="CE20" si="208">AO20</f>
        <v>314</v>
      </c>
      <c r="CF20" s="72">
        <f t="shared" ref="CF20" si="209">AS20</f>
        <v>354</v>
      </c>
      <c r="CG20" s="71">
        <f t="shared" ref="CG20" si="210">AW20</f>
        <v>384</v>
      </c>
      <c r="CH20" s="70">
        <f t="shared" ref="CH20" si="211">G20</f>
        <v>82</v>
      </c>
      <c r="CI20" s="71">
        <f t="shared" ref="CI20" si="212">K20</f>
        <v>86</v>
      </c>
      <c r="CJ20" s="72">
        <f t="shared" ref="CJ20" si="213">O20</f>
        <v>117</v>
      </c>
      <c r="CK20" s="72">
        <f t="shared" ref="CK20" si="214">S20</f>
        <v>123</v>
      </c>
      <c r="CL20" s="72">
        <f t="shared" ref="CL20" si="215">W20</f>
        <v>159</v>
      </c>
      <c r="CM20" s="72" t="str">
        <f t="shared" ref="CM20" si="216">AA20</f>
        <v>-</v>
      </c>
      <c r="CN20" s="72">
        <f t="shared" ref="CN20" si="217">AE20</f>
        <v>194</v>
      </c>
      <c r="CO20" s="72">
        <f t="shared" ref="CO20" si="218">AI20</f>
        <v>209</v>
      </c>
      <c r="CP20" s="72">
        <f t="shared" ref="CP20" si="219">AM20</f>
        <v>248</v>
      </c>
      <c r="CQ20" s="72">
        <f t="shared" ref="CQ20" si="220">AQ20</f>
        <v>350</v>
      </c>
      <c r="CR20" s="72">
        <f t="shared" ref="CR20" si="221">AU20</f>
        <v>383</v>
      </c>
      <c r="CS20" s="72">
        <f t="shared" ref="CS20" si="222">AY20</f>
        <v>395</v>
      </c>
      <c r="CT20" s="23">
        <f t="shared" ref="CT20" si="223">M20-K20</f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ref="A21" si="224">CONCATENATE(B21,"_",C21)</f>
        <v>5ht2b_human_6DRY</v>
      </c>
      <c r="B21" s="3" t="s">
        <v>35</v>
      </c>
      <c r="C21" s="3" t="s">
        <v>1507</v>
      </c>
      <c r="D21" s="3" t="str">
        <f>IFERROR(MID(VLOOKUP($B21,Seqs!$A:$B,2,0),E21,1),"")</f>
        <v>K</v>
      </c>
      <c r="E21" s="3">
        <v>53</v>
      </c>
      <c r="F21" s="3" t="str">
        <f>IFERROR(MID(VLOOKUP($B21,Seqs!$A:$B,2,0),G21,1),"")</f>
        <v>E</v>
      </c>
      <c r="G21" s="3">
        <v>82</v>
      </c>
      <c r="H21" s="3" t="str">
        <f>IFERROR(MID(VLOOKUP($B21,Seqs!$A:$B,2,0),I21,1),"")</f>
        <v>K</v>
      </c>
      <c r="I21" s="23">
        <v>83</v>
      </c>
      <c r="J21" s="3" t="str">
        <f>IFERROR(MID(VLOOKUP($B21,Seqs!$A:$B,2,0),K21,1),"")</f>
        <v>Q</v>
      </c>
      <c r="K21" s="23">
        <v>86</v>
      </c>
      <c r="L21" s="3" t="str">
        <f>IFERROR(MID(VLOOKUP($B21,Seqs!$A:$B,2,0),M21,1),"")</f>
        <v>Y</v>
      </c>
      <c r="M21" s="3">
        <v>87</v>
      </c>
      <c r="N21" s="3" t="str">
        <f>IFERROR(MID(VLOOKUP($B21,Seqs!$A:$B,2,0),O21,1),"")</f>
        <v>F</v>
      </c>
      <c r="O21" s="3">
        <v>117</v>
      </c>
      <c r="P21" s="3" t="str">
        <f>IFERROR(MID(VLOOKUP($B21,Seqs!$A:$B,2,0),Q21,1),"")</f>
        <v>M</v>
      </c>
      <c r="Q21" s="3">
        <v>120</v>
      </c>
      <c r="R21" s="3" t="str">
        <f>IFERROR(MID(VLOOKUP($B21,Seqs!$A:$B,2,0),S21,1),"")</f>
        <v>L</v>
      </c>
      <c r="S21" s="3">
        <v>123</v>
      </c>
      <c r="T21" s="3" t="str">
        <f>IFERROR(MID(VLOOKUP($B21,Seqs!$A:$B,2,0),U21,1),"")</f>
        <v>P</v>
      </c>
      <c r="U21" s="3">
        <v>124</v>
      </c>
      <c r="V21" s="3" t="str">
        <f>IFERROR(MID(VLOOKUP($B21,Seqs!$A:$B,2,0),W21,1),"")</f>
        <v>K</v>
      </c>
      <c r="W21" s="3">
        <v>159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168</v>
      </c>
      <c r="AD21" s="3" t="str">
        <f>IFERROR(MID(VLOOKUP($B21,Seqs!$A:$B,2,0),AE21,1),"")</f>
        <v>G</v>
      </c>
      <c r="AE21" s="3">
        <v>194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F</v>
      </c>
      <c r="AK21" s="3">
        <v>214</v>
      </c>
      <c r="AL21" s="3" t="str">
        <f>IFERROR(MID(VLOOKUP($B21,Seqs!$A:$B,2,0),AM21,1),"")</f>
        <v>A</v>
      </c>
      <c r="AM21" s="3">
        <v>248</v>
      </c>
      <c r="AN21" s="3" t="str">
        <f>IFERROR(MID(VLOOKUP($B21,Seqs!$A:$B,2,0),AO21,1),"")</f>
        <v>V</v>
      </c>
      <c r="AO21" s="3">
        <v>313</v>
      </c>
      <c r="AP21" s="3" t="str">
        <f>IFERROR(MID(VLOOKUP($B21,Seqs!$A:$B,2,0),AQ21,1),"")</f>
        <v>C</v>
      </c>
      <c r="AQ21" s="3">
        <v>350</v>
      </c>
      <c r="AR21" s="3" t="str">
        <f>IFERROR(MID(VLOOKUP($B21,Seqs!$A:$B,2,0),AS21,1),"")</f>
        <v>N</v>
      </c>
      <c r="AS21" s="3">
        <v>354</v>
      </c>
      <c r="AT21" s="3" t="str">
        <f>IFERROR(MID(VLOOKUP($B21,Seqs!$A:$B,2,0),AU21,1),"")</f>
        <v>F</v>
      </c>
      <c r="AU21" s="3">
        <v>383</v>
      </c>
      <c r="AV21" s="3" t="str">
        <f>IFERROR(MID(VLOOKUP($B21,Seqs!$A:$B,2,0),AW21,1),"")</f>
        <v>N</v>
      </c>
      <c r="AW21" s="3">
        <v>384</v>
      </c>
      <c r="AX21" s="3" t="str">
        <f>IFERROR(MID(VLOOKUP($B21,Seqs!$A:$B,2,0),AY21,1),"")</f>
        <v>I</v>
      </c>
      <c r="AY21" s="3">
        <v>395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ref="BB21" si="225">AND(E21&lt;G21,OR(G21&lt;I21,I21="-"),OR(I21&lt;K21,I21="-"),OR(K21&lt;M21,K21="-"),M21&lt;O21,OR(O21&lt;Q21,Q21="-"),OR(Q21&lt;S21,Q21="-"),OR(S21&lt;U21,S21="-"),U21&lt;W21,OR(W21&lt;Y21,Y21="-"),OR(Y21&lt;AA21,Y21="-"),OR(AA21&lt;AC21,AA21="-"),AC21&lt;AE21,OR(AE21&lt;AG21,AG21="-"),OR(AG21&lt;AI21,AG21="-"),OR(AI21&lt;AK21,AI21="-"),AK21&lt;AM21,AM21&lt;AO21,AO21&lt;AQ21,AQ21&lt;AS21,AS21&lt;AU21,OR(AU21&lt;AW21,AW21="-"),OR(AW21&lt;AY21,AW21="-"))</f>
        <v>1</v>
      </c>
      <c r="BC21" s="23">
        <f t="shared" ref="BC21" si="226">_xlfn.AGGREGATE(9,6,CH21:CS21)-_xlfn.AGGREGATE(9,6,BV21:CG21)+12</f>
        <v>251</v>
      </c>
      <c r="BD21" s="4" t="s">
        <v>23</v>
      </c>
      <c r="BE21" s="3" t="s">
        <v>1422</v>
      </c>
      <c r="BF21" s="118">
        <v>2.92</v>
      </c>
      <c r="BG21" s="49" t="s">
        <v>1</v>
      </c>
      <c r="BH21" s="49" t="s">
        <v>1</v>
      </c>
      <c r="BI21" s="1"/>
      <c r="BJ21" s="70" t="s">
        <v>1281</v>
      </c>
      <c r="BK21" s="57" t="s">
        <v>1281</v>
      </c>
      <c r="BL21" s="57" t="s">
        <v>1281</v>
      </c>
      <c r="BM21" s="57" t="s">
        <v>1281</v>
      </c>
      <c r="BN21" s="57" t="s">
        <v>1281</v>
      </c>
      <c r="BO21" s="57" t="s">
        <v>1281</v>
      </c>
      <c r="BP21" s="57" t="s">
        <v>1281</v>
      </c>
      <c r="BQ21" s="57" t="s">
        <v>1281</v>
      </c>
      <c r="BR21" s="57" t="s">
        <v>1281</v>
      </c>
      <c r="BS21" s="57" t="s">
        <v>1281</v>
      </c>
      <c r="BT21" s="57" t="s">
        <v>1281</v>
      </c>
      <c r="BU21" s="57" t="s">
        <v>1281</v>
      </c>
      <c r="BV21" s="70">
        <f t="shared" ref="BV21" si="227">E21</f>
        <v>53</v>
      </c>
      <c r="BW21" s="71">
        <f t="shared" ref="BW21" si="228">I21</f>
        <v>83</v>
      </c>
      <c r="BX21" s="72">
        <f t="shared" ref="BX21" si="229">M21</f>
        <v>87</v>
      </c>
      <c r="BY21" s="71">
        <f t="shared" ref="BY21" si="230">Q21</f>
        <v>120</v>
      </c>
      <c r="BZ21" s="72">
        <f t="shared" ref="BZ21" si="231">U21</f>
        <v>124</v>
      </c>
      <c r="CA21" s="71" t="str">
        <f t="shared" ref="CA21" si="232">Y21</f>
        <v>-</v>
      </c>
      <c r="CB21" s="72">
        <f t="shared" ref="CB21" si="233">AC21</f>
        <v>168</v>
      </c>
      <c r="CC21" s="71">
        <f t="shared" ref="CC21" si="234">AG21</f>
        <v>207</v>
      </c>
      <c r="CD21" s="72">
        <f t="shared" ref="CD21" si="235">AK21</f>
        <v>214</v>
      </c>
      <c r="CE21" s="71">
        <f t="shared" ref="CE21" si="236">AO21</f>
        <v>313</v>
      </c>
      <c r="CF21" s="72">
        <f t="shared" ref="CF21" si="237">AS21</f>
        <v>354</v>
      </c>
      <c r="CG21" s="71">
        <f t="shared" ref="CG21" si="238">AW21</f>
        <v>384</v>
      </c>
      <c r="CH21" s="70">
        <f t="shared" ref="CH21" si="239">G21</f>
        <v>82</v>
      </c>
      <c r="CI21" s="71">
        <f t="shared" ref="CI21" si="240">K21</f>
        <v>86</v>
      </c>
      <c r="CJ21" s="72">
        <f t="shared" ref="CJ21" si="241">O21</f>
        <v>117</v>
      </c>
      <c r="CK21" s="72">
        <f t="shared" ref="CK21" si="242">S21</f>
        <v>123</v>
      </c>
      <c r="CL21" s="72">
        <f t="shared" ref="CL21" si="243">W21</f>
        <v>159</v>
      </c>
      <c r="CM21" s="72" t="str">
        <f t="shared" ref="CM21" si="244">AA21</f>
        <v>-</v>
      </c>
      <c r="CN21" s="72">
        <f t="shared" ref="CN21" si="245">AE21</f>
        <v>194</v>
      </c>
      <c r="CO21" s="72">
        <f t="shared" ref="CO21" si="246">AI21</f>
        <v>209</v>
      </c>
      <c r="CP21" s="72">
        <f t="shared" ref="CP21" si="247">AM21</f>
        <v>248</v>
      </c>
      <c r="CQ21" s="72">
        <f t="shared" ref="CQ21" si="248">AQ21</f>
        <v>350</v>
      </c>
      <c r="CR21" s="72">
        <f t="shared" ref="CR21" si="249">AU21</f>
        <v>383</v>
      </c>
      <c r="CS21" s="72">
        <f t="shared" ref="CS21" si="250">AY21</f>
        <v>395</v>
      </c>
      <c r="CT21" s="23">
        <f t="shared" ref="CT21" si="251">M21-K21</f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ref="A22" si="252">CONCATENATE(B22,"_",C22)</f>
        <v>5ht2b_human_6DRZ</v>
      </c>
      <c r="B22" s="3" t="s">
        <v>35</v>
      </c>
      <c r="C22" s="3" t="s">
        <v>1508</v>
      </c>
      <c r="D22" s="3" t="str">
        <f>IFERROR(MID(VLOOKUP($B22,Seqs!$A:$B,2,0),E22,1),"")</f>
        <v>K</v>
      </c>
      <c r="E22" s="3">
        <v>53</v>
      </c>
      <c r="F22" s="3" t="str">
        <f>IFERROR(MID(VLOOKUP($B22,Seqs!$A:$B,2,0),G22,1),"")</f>
        <v>E</v>
      </c>
      <c r="G22" s="3">
        <v>82</v>
      </c>
      <c r="H22" s="3" t="str">
        <f>IFERROR(MID(VLOOKUP($B22,Seqs!$A:$B,2,0),I22,1),"")</f>
        <v>K</v>
      </c>
      <c r="I22" s="23">
        <v>83</v>
      </c>
      <c r="J22" s="3" t="str">
        <f>IFERROR(MID(VLOOKUP($B22,Seqs!$A:$B,2,0),K22,1),"")</f>
        <v>Q</v>
      </c>
      <c r="K22" s="23">
        <v>86</v>
      </c>
      <c r="L22" s="3" t="str">
        <f>IFERROR(MID(VLOOKUP($B22,Seqs!$A:$B,2,0),M22,1),"")</f>
        <v>Y</v>
      </c>
      <c r="M22" s="3">
        <v>87</v>
      </c>
      <c r="N22" s="3" t="str">
        <f>IFERROR(MID(VLOOKUP($B22,Seqs!$A:$B,2,0),O22,1),"")</f>
        <v>F</v>
      </c>
      <c r="O22" s="3">
        <v>117</v>
      </c>
      <c r="P22" s="3" t="str">
        <f>IFERROR(MID(VLOOKUP($B22,Seqs!$A:$B,2,0),Q22,1),"")</f>
        <v>M</v>
      </c>
      <c r="Q22" s="3">
        <v>120</v>
      </c>
      <c r="R22" s="3" t="str">
        <f>IFERROR(MID(VLOOKUP($B22,Seqs!$A:$B,2,0),S22,1),"")</f>
        <v>L</v>
      </c>
      <c r="S22" s="3">
        <v>123</v>
      </c>
      <c r="T22" s="3" t="str">
        <f>IFERROR(MID(VLOOKUP($B22,Seqs!$A:$B,2,0),U22,1),"")</f>
        <v>P</v>
      </c>
      <c r="U22" s="3">
        <v>124</v>
      </c>
      <c r="V22" s="3" t="str">
        <f>IFERROR(MID(VLOOKUP($B22,Seqs!$A:$B,2,0),W22,1),"")</f>
        <v>K</v>
      </c>
      <c r="W22" s="3">
        <v>159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R</v>
      </c>
      <c r="AC22" s="3">
        <v>169</v>
      </c>
      <c r="AD22" s="3" t="str">
        <f>IFERROR(MID(VLOOKUP($B22,Seqs!$A:$B,2,0),AE22,1),"")</f>
        <v>G</v>
      </c>
      <c r="AE22" s="3">
        <v>194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F</v>
      </c>
      <c r="AK22" s="3">
        <v>214</v>
      </c>
      <c r="AL22" s="3" t="str">
        <f>IFERROR(MID(VLOOKUP($B22,Seqs!$A:$B,2,0),AM22,1),"")</f>
        <v>A</v>
      </c>
      <c r="AM22" s="3">
        <v>248</v>
      </c>
      <c r="AN22" s="3" t="str">
        <f>IFERROR(MID(VLOOKUP($B22,Seqs!$A:$B,2,0),AO22,1),"")</f>
        <v>V</v>
      </c>
      <c r="AO22" s="3">
        <v>313</v>
      </c>
      <c r="AP22" s="3" t="str">
        <f>IFERROR(MID(VLOOKUP($B22,Seqs!$A:$B,2,0),AQ22,1),"")</f>
        <v>C</v>
      </c>
      <c r="AQ22" s="3">
        <v>350</v>
      </c>
      <c r="AR22" s="3" t="str">
        <f>IFERROR(MID(VLOOKUP($B22,Seqs!$A:$B,2,0),AS22,1),"")</f>
        <v>N</v>
      </c>
      <c r="AS22" s="3">
        <v>354</v>
      </c>
      <c r="AT22" s="3" t="str">
        <f>IFERROR(MID(VLOOKUP($B22,Seqs!$A:$B,2,0),AU22,1),"")</f>
        <v>F</v>
      </c>
      <c r="AU22" s="3">
        <v>383</v>
      </c>
      <c r="AV22" s="3" t="str">
        <f>IFERROR(MID(VLOOKUP($B22,Seqs!$A:$B,2,0),AW22,1),"")</f>
        <v>N</v>
      </c>
      <c r="AW22" s="3">
        <v>384</v>
      </c>
      <c r="AX22" s="3" t="str">
        <f>IFERROR(MID(VLOOKUP($B22,Seqs!$A:$B,2,0),AY22,1),"")</f>
        <v>I</v>
      </c>
      <c r="AY22" s="3">
        <v>395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ref="BB22" si="253">AND(E22&lt;G22,OR(G22&lt;I22,I22="-"),OR(I22&lt;K22,I22="-"),OR(K22&lt;M22,K22="-"),M22&lt;O22,OR(O22&lt;Q22,Q22="-"),OR(Q22&lt;S22,Q22="-"),OR(S22&lt;U22,S22="-"),U22&lt;W22,OR(W22&lt;Y22,Y22="-"),OR(Y22&lt;AA22,Y22="-"),OR(AA22&lt;AC22,AA22="-"),AC22&lt;AE22,OR(AE22&lt;AG22,AG22="-"),OR(AG22&lt;AI22,AG22="-"),OR(AI22&lt;AK22,AI22="-"),AK22&lt;AM22,AM22&lt;AO22,AO22&lt;AQ22,AQ22&lt;AS22,AS22&lt;AU22,OR(AU22&lt;AW22,AW22="-"),OR(AW22&lt;AY22,AW22="-"))</f>
        <v>1</v>
      </c>
      <c r="BC22" s="23">
        <f t="shared" ref="BC22" si="254">_xlfn.AGGREGATE(9,6,CH22:CS22)-_xlfn.AGGREGATE(9,6,BV22:CG22)+12</f>
        <v>250</v>
      </c>
      <c r="BD22" s="4" t="s">
        <v>23</v>
      </c>
      <c r="BE22" s="3" t="s">
        <v>1422</v>
      </c>
      <c r="BF22" s="118">
        <v>3.1</v>
      </c>
      <c r="BG22" s="49" t="s">
        <v>1</v>
      </c>
      <c r="BH22" s="49" t="s">
        <v>1</v>
      </c>
      <c r="BI22" s="1"/>
      <c r="BJ22" s="70" t="s">
        <v>1281</v>
      </c>
      <c r="BK22" s="57" t="s">
        <v>1281</v>
      </c>
      <c r="BL22" s="57" t="s">
        <v>1281</v>
      </c>
      <c r="BM22" s="57" t="s">
        <v>1281</v>
      </c>
      <c r="BN22" s="57" t="s">
        <v>1281</v>
      </c>
      <c r="BO22" s="57" t="s">
        <v>1281</v>
      </c>
      <c r="BP22" s="57" t="s">
        <v>1281</v>
      </c>
      <c r="BQ22" s="57" t="s">
        <v>1281</v>
      </c>
      <c r="BR22" s="57" t="s">
        <v>1281</v>
      </c>
      <c r="BS22" s="57" t="s">
        <v>1281</v>
      </c>
      <c r="BT22" s="57" t="s">
        <v>1281</v>
      </c>
      <c r="BU22" s="57" t="s">
        <v>1281</v>
      </c>
      <c r="BV22" s="70">
        <f t="shared" ref="BV22" si="255">E22</f>
        <v>53</v>
      </c>
      <c r="BW22" s="71">
        <f t="shared" ref="BW22" si="256">I22</f>
        <v>83</v>
      </c>
      <c r="BX22" s="72">
        <f t="shared" ref="BX22" si="257">M22</f>
        <v>87</v>
      </c>
      <c r="BY22" s="71">
        <f t="shared" ref="BY22" si="258">Q22</f>
        <v>120</v>
      </c>
      <c r="BZ22" s="72">
        <f t="shared" ref="BZ22" si="259">U22</f>
        <v>124</v>
      </c>
      <c r="CA22" s="71" t="str">
        <f t="shared" ref="CA22" si="260">Y22</f>
        <v>-</v>
      </c>
      <c r="CB22" s="72">
        <f t="shared" ref="CB22" si="261">AC22</f>
        <v>169</v>
      </c>
      <c r="CC22" s="71">
        <f t="shared" ref="CC22" si="262">AG22</f>
        <v>207</v>
      </c>
      <c r="CD22" s="72">
        <f t="shared" ref="CD22" si="263">AK22</f>
        <v>214</v>
      </c>
      <c r="CE22" s="71">
        <f t="shared" ref="CE22" si="264">AO22</f>
        <v>313</v>
      </c>
      <c r="CF22" s="72">
        <f t="shared" ref="CF22" si="265">AS22</f>
        <v>354</v>
      </c>
      <c r="CG22" s="71">
        <f t="shared" ref="CG22" si="266">AW22</f>
        <v>384</v>
      </c>
      <c r="CH22" s="70">
        <f t="shared" ref="CH22" si="267">G22</f>
        <v>82</v>
      </c>
      <c r="CI22" s="71">
        <f t="shared" ref="CI22" si="268">K22</f>
        <v>86</v>
      </c>
      <c r="CJ22" s="72">
        <f t="shared" ref="CJ22" si="269">O22</f>
        <v>117</v>
      </c>
      <c r="CK22" s="72">
        <f t="shared" ref="CK22" si="270">S22</f>
        <v>123</v>
      </c>
      <c r="CL22" s="72">
        <f t="shared" ref="CL22" si="271">W22</f>
        <v>159</v>
      </c>
      <c r="CM22" s="72" t="str">
        <f t="shared" ref="CM22" si="272">AA22</f>
        <v>-</v>
      </c>
      <c r="CN22" s="72">
        <f t="shared" ref="CN22" si="273">AE22</f>
        <v>194</v>
      </c>
      <c r="CO22" s="72">
        <f t="shared" ref="CO22" si="274">AI22</f>
        <v>209</v>
      </c>
      <c r="CP22" s="72">
        <f t="shared" ref="CP22" si="275">AM22</f>
        <v>248</v>
      </c>
      <c r="CQ22" s="72">
        <f t="shared" ref="CQ22" si="276">AQ22</f>
        <v>350</v>
      </c>
      <c r="CR22" s="72">
        <f t="shared" ref="CR22" si="277">AU22</f>
        <v>383</v>
      </c>
      <c r="CS22" s="72">
        <f t="shared" ref="CS22" si="278">AY22</f>
        <v>395</v>
      </c>
      <c r="CT22" s="23">
        <f t="shared" ref="CT22" si="279">M22-K22</f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ref="A23" si="280">CONCATENATE(B23,"_",C23)</f>
        <v>5ht2b_human_6DS0</v>
      </c>
      <c r="B23" s="3" t="s">
        <v>35</v>
      </c>
      <c r="C23" s="3" t="s">
        <v>1509</v>
      </c>
      <c r="D23" s="3" t="str">
        <f>IFERROR(MID(VLOOKUP($B23,Seqs!$A:$B,2,0),E23,1),"")</f>
        <v>K</v>
      </c>
      <c r="E23" s="3">
        <v>53</v>
      </c>
      <c r="F23" s="3" t="str">
        <f>IFERROR(MID(VLOOKUP($B23,Seqs!$A:$B,2,0),G23,1),"")</f>
        <v>E</v>
      </c>
      <c r="G23" s="3">
        <v>82</v>
      </c>
      <c r="H23" s="3" t="str">
        <f>IFERROR(MID(VLOOKUP($B23,Seqs!$A:$B,2,0),I23,1),"")</f>
        <v>K</v>
      </c>
      <c r="I23" s="23">
        <v>83</v>
      </c>
      <c r="J23" s="3" t="str">
        <f>IFERROR(MID(VLOOKUP($B23,Seqs!$A:$B,2,0),K23,1),"")</f>
        <v>Q</v>
      </c>
      <c r="K23" s="23">
        <v>86</v>
      </c>
      <c r="L23" s="3" t="str">
        <f>IFERROR(MID(VLOOKUP($B23,Seqs!$A:$B,2,0),M23,1),"")</f>
        <v>Y</v>
      </c>
      <c r="M23" s="3">
        <v>87</v>
      </c>
      <c r="N23" s="3" t="str">
        <f>IFERROR(MID(VLOOKUP($B23,Seqs!$A:$B,2,0),O23,1),"")</f>
        <v>F</v>
      </c>
      <c r="O23" s="3">
        <v>117</v>
      </c>
      <c r="P23" s="3" t="str">
        <f>IFERROR(MID(VLOOKUP($B23,Seqs!$A:$B,2,0),Q23,1),"")</f>
        <v>M</v>
      </c>
      <c r="Q23" s="3">
        <v>120</v>
      </c>
      <c r="R23" s="3" t="str">
        <f>IFERROR(MID(VLOOKUP($B23,Seqs!$A:$B,2,0),S23,1),"")</f>
        <v>L</v>
      </c>
      <c r="S23" s="3">
        <v>123</v>
      </c>
      <c r="T23" s="3" t="str">
        <f>IFERROR(MID(VLOOKUP($B23,Seqs!$A:$B,2,0),U23,1),"")</f>
        <v>P</v>
      </c>
      <c r="U23" s="3">
        <v>124</v>
      </c>
      <c r="V23" s="3" t="str">
        <f>IFERROR(MID(VLOOKUP($B23,Seqs!$A:$B,2,0),W23,1),"")</f>
        <v>K</v>
      </c>
      <c r="W23" s="3">
        <v>159</v>
      </c>
      <c r="X23" s="3" t="str">
        <f>IFERROR(MID(VLOOKUP($B23,Seqs!$A:$B,2,0),Y23,1),"")</f>
        <v/>
      </c>
      <c r="Y23" s="3" t="s">
        <v>23</v>
      </c>
      <c r="Z23" s="3" t="str">
        <f>IFERROR(MID(VLOOKUP($B23,Seqs!$A:$B,2,0),AA23,1),"")</f>
        <v/>
      </c>
      <c r="AA23" s="3" t="s">
        <v>23</v>
      </c>
      <c r="AB23" s="3" t="str">
        <f>IFERROR(MID(VLOOKUP($B23,Seqs!$A:$B,2,0),AC23,1),"")</f>
        <v>N</v>
      </c>
      <c r="AC23" s="3">
        <v>167</v>
      </c>
      <c r="AD23" s="3" t="str">
        <f>IFERROR(MID(VLOOKUP($B23,Seqs!$A:$B,2,0),AE23,1),"")</f>
        <v>G</v>
      </c>
      <c r="AE23" s="3">
        <v>194</v>
      </c>
      <c r="AF23" s="3" t="str">
        <f>IFERROR(MID(VLOOKUP($B23,Seqs!$A:$B,2,0),AG23,1),"")</f>
        <v>C</v>
      </c>
      <c r="AG23" s="3">
        <v>207</v>
      </c>
      <c r="AH23" s="3" t="str">
        <f>IFERROR(MID(VLOOKUP($B23,Seqs!$A:$B,2,0),AI23,1),"")</f>
        <v>L</v>
      </c>
      <c r="AI23" s="3">
        <v>209</v>
      </c>
      <c r="AJ23" s="3" t="str">
        <f>IFERROR(MID(VLOOKUP($B23,Seqs!$A:$B,2,0),AK23,1),"")</f>
        <v>F</v>
      </c>
      <c r="AK23" s="3">
        <v>214</v>
      </c>
      <c r="AL23" s="3" t="str">
        <f>IFERROR(MID(VLOOKUP($B23,Seqs!$A:$B,2,0),AM23,1),"")</f>
        <v>A</v>
      </c>
      <c r="AM23" s="3">
        <v>248</v>
      </c>
      <c r="AN23" s="3" t="str">
        <f>IFERROR(MID(VLOOKUP($B23,Seqs!$A:$B,2,0),AO23,1),"")</f>
        <v>Q</v>
      </c>
      <c r="AO23" s="3">
        <v>314</v>
      </c>
      <c r="AP23" s="3" t="str">
        <f>IFERROR(MID(VLOOKUP($B23,Seqs!$A:$B,2,0),AQ23,1),"")</f>
        <v>C</v>
      </c>
      <c r="AQ23" s="3">
        <v>350</v>
      </c>
      <c r="AR23" s="3" t="str">
        <f>IFERROR(MID(VLOOKUP($B23,Seqs!$A:$B,2,0),AS23,1),"")</f>
        <v>N</v>
      </c>
      <c r="AS23" s="3">
        <v>354</v>
      </c>
      <c r="AT23" s="3" t="str">
        <f>IFERROR(MID(VLOOKUP($B23,Seqs!$A:$B,2,0),AU23,1),"")</f>
        <v>F</v>
      </c>
      <c r="AU23" s="3">
        <v>383</v>
      </c>
      <c r="AV23" s="3" t="str">
        <f>IFERROR(MID(VLOOKUP($B23,Seqs!$A:$B,2,0),AW23,1),"")</f>
        <v>N</v>
      </c>
      <c r="AW23" s="3">
        <v>384</v>
      </c>
      <c r="AX23" s="3" t="str">
        <f>IFERROR(MID(VLOOKUP($B23,Seqs!$A:$B,2,0),AY23,1),"")</f>
        <v>I</v>
      </c>
      <c r="AY23" s="3">
        <v>395</v>
      </c>
      <c r="AZ23" s="77" t="str">
        <f>VLOOKUP(B23,Classification!A:D,2,0)</f>
        <v>A</v>
      </c>
      <c r="BA23" s="94" t="str">
        <f>VLOOKUP(B23,Classification!A:D,4,0)</f>
        <v>5-Hydroxytryptamine</v>
      </c>
      <c r="BB23" s="27" t="b">
        <f t="shared" ref="BB23" si="281">AND(E23&lt;G23,OR(G23&lt;I23,I23="-"),OR(I23&lt;K23,I23="-"),OR(K23&lt;M23,K23="-"),M23&lt;O23,OR(O23&lt;Q23,Q23="-"),OR(Q23&lt;S23,Q23="-"),OR(S23&lt;U23,S23="-"),U23&lt;W23,OR(W23&lt;Y23,Y23="-"),OR(Y23&lt;AA23,Y23="-"),OR(AA23&lt;AC23,AA23="-"),AC23&lt;AE23,OR(AE23&lt;AG23,AG23="-"),OR(AG23&lt;AI23,AG23="-"),OR(AI23&lt;AK23,AI23="-"),AK23&lt;AM23,AM23&lt;AO23,AO23&lt;AQ23,AQ23&lt;AS23,AS23&lt;AU23,OR(AU23&lt;AW23,AW23="-"),OR(AW23&lt;AY23,AW23="-"))</f>
        <v>1</v>
      </c>
      <c r="BC23" s="23">
        <f t="shared" ref="BC23" si="282">_xlfn.AGGREGATE(9,6,CH23:CS23)-_xlfn.AGGREGATE(9,6,BV23:CG23)+12</f>
        <v>251</v>
      </c>
      <c r="BD23" s="4" t="s">
        <v>23</v>
      </c>
      <c r="BE23" s="3" t="s">
        <v>1422</v>
      </c>
      <c r="BF23" s="118">
        <v>3.19</v>
      </c>
      <c r="BG23" s="49" t="s">
        <v>1</v>
      </c>
      <c r="BH23" s="49" t="s">
        <v>1</v>
      </c>
      <c r="BI23" s="1"/>
      <c r="BJ23" s="70" t="s">
        <v>1281</v>
      </c>
      <c r="BK23" s="57" t="s">
        <v>1281</v>
      </c>
      <c r="BL23" s="57" t="s">
        <v>1281</v>
      </c>
      <c r="BM23" s="57" t="s">
        <v>1281</v>
      </c>
      <c r="BN23" s="57" t="s">
        <v>1281</v>
      </c>
      <c r="BO23" s="57" t="s">
        <v>1281</v>
      </c>
      <c r="BP23" s="57" t="s">
        <v>1281</v>
      </c>
      <c r="BQ23" s="57" t="s">
        <v>1281</v>
      </c>
      <c r="BR23" s="57" t="s">
        <v>1281</v>
      </c>
      <c r="BS23" s="57" t="s">
        <v>1281</v>
      </c>
      <c r="BT23" s="57" t="s">
        <v>1281</v>
      </c>
      <c r="BU23" s="57" t="s">
        <v>1281</v>
      </c>
      <c r="BV23" s="70">
        <f t="shared" ref="BV23" si="283">E23</f>
        <v>53</v>
      </c>
      <c r="BW23" s="71">
        <f t="shared" ref="BW23" si="284">I23</f>
        <v>83</v>
      </c>
      <c r="BX23" s="72">
        <f t="shared" ref="BX23" si="285">M23</f>
        <v>87</v>
      </c>
      <c r="BY23" s="71">
        <f t="shared" ref="BY23" si="286">Q23</f>
        <v>120</v>
      </c>
      <c r="BZ23" s="72">
        <f t="shared" ref="BZ23" si="287">U23</f>
        <v>124</v>
      </c>
      <c r="CA23" s="71" t="str">
        <f t="shared" ref="CA23" si="288">Y23</f>
        <v>-</v>
      </c>
      <c r="CB23" s="72">
        <f t="shared" ref="CB23" si="289">AC23</f>
        <v>167</v>
      </c>
      <c r="CC23" s="71">
        <f t="shared" ref="CC23" si="290">AG23</f>
        <v>207</v>
      </c>
      <c r="CD23" s="72">
        <f t="shared" ref="CD23" si="291">AK23</f>
        <v>214</v>
      </c>
      <c r="CE23" s="71">
        <f t="shared" ref="CE23" si="292">AO23</f>
        <v>314</v>
      </c>
      <c r="CF23" s="72">
        <f t="shared" ref="CF23" si="293">AS23</f>
        <v>354</v>
      </c>
      <c r="CG23" s="71">
        <f t="shared" ref="CG23" si="294">AW23</f>
        <v>384</v>
      </c>
      <c r="CH23" s="70">
        <f t="shared" ref="CH23" si="295">G23</f>
        <v>82</v>
      </c>
      <c r="CI23" s="71">
        <f t="shared" ref="CI23" si="296">K23</f>
        <v>86</v>
      </c>
      <c r="CJ23" s="72">
        <f t="shared" ref="CJ23" si="297">O23</f>
        <v>117</v>
      </c>
      <c r="CK23" s="72">
        <f t="shared" ref="CK23" si="298">S23</f>
        <v>123</v>
      </c>
      <c r="CL23" s="72">
        <f t="shared" ref="CL23" si="299">W23</f>
        <v>159</v>
      </c>
      <c r="CM23" s="72" t="str">
        <f t="shared" ref="CM23" si="300">AA23</f>
        <v>-</v>
      </c>
      <c r="CN23" s="72">
        <f t="shared" ref="CN23" si="301">AE23</f>
        <v>194</v>
      </c>
      <c r="CO23" s="72">
        <f t="shared" ref="CO23" si="302">AI23</f>
        <v>209</v>
      </c>
      <c r="CP23" s="72">
        <f t="shared" ref="CP23" si="303">AM23</f>
        <v>248</v>
      </c>
      <c r="CQ23" s="72">
        <f t="shared" ref="CQ23" si="304">AQ23</f>
        <v>350</v>
      </c>
      <c r="CR23" s="72">
        <f t="shared" ref="CR23" si="305">AU23</f>
        <v>383</v>
      </c>
      <c r="CS23" s="72">
        <f t="shared" ref="CS23" si="306">AY23</f>
        <v>395</v>
      </c>
      <c r="CT23" s="23">
        <f t="shared" ref="CT23" si="307">M23-K23</f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168"/>
        <v>5ht2c_human__wt</v>
      </c>
      <c r="B24" s="3" t="s">
        <v>133</v>
      </c>
      <c r="C24" s="3" t="s">
        <v>100</v>
      </c>
      <c r="D24" s="3" t="str">
        <f>IFERROR(MID(VLOOKUP($B24,Seqs!$A:$B,2,0),E24,1),"")</f>
        <v>N</v>
      </c>
      <c r="E24" s="3">
        <v>54</v>
      </c>
      <c r="F24" s="3" t="str">
        <f>IFERROR(MID(VLOOKUP($B24,Seqs!$A:$B,2,0),G24,1),"")</f>
        <v>E</v>
      </c>
      <c r="G24" s="3">
        <v>81</v>
      </c>
      <c r="H24" s="3" t="str">
        <f>IFERROR(MID(VLOOKUP($B24,Seqs!$A:$B,2,0),I24,1),"")</f>
        <v>K</v>
      </c>
      <c r="I24" s="23">
        <v>82</v>
      </c>
      <c r="J24" s="3" t="str">
        <f>IFERROR(MID(VLOOKUP($B24,Seqs!$A:$B,2,0),K24,1),"")</f>
        <v>H</v>
      </c>
      <c r="K24" s="23">
        <v>85</v>
      </c>
      <c r="L24" s="3" t="str">
        <f>IFERROR(MID(VLOOKUP($B24,Seqs!$A:$B,2,0),M24,1),"")</f>
        <v>N</v>
      </c>
      <c r="M24" s="3">
        <v>86</v>
      </c>
      <c r="N24" s="3" t="str">
        <f>IFERROR(MID(VLOOKUP($B24,Seqs!$A:$B,2,0),O24,1),"")</f>
        <v>D</v>
      </c>
      <c r="O24" s="3">
        <v>117</v>
      </c>
      <c r="P24" s="3" t="str">
        <f>IFERROR(MID(VLOOKUP($B24,Seqs!$A:$B,2,0),Q24,1),"")</f>
        <v>V</v>
      </c>
      <c r="Q24" s="3">
        <v>119</v>
      </c>
      <c r="R24" s="3" t="str">
        <f>IFERROR(MID(VLOOKUP($B24,Seqs!$A:$B,2,0),S24,1),"")</f>
        <v>L</v>
      </c>
      <c r="S24" s="3">
        <v>122</v>
      </c>
      <c r="T24" s="3" t="str">
        <f>IFERROR(MID(VLOOKUP($B24,Seqs!$A:$B,2,0),U24,1),"")</f>
        <v>P</v>
      </c>
      <c r="U24" s="3">
        <v>123</v>
      </c>
      <c r="V24" s="3" t="str">
        <f>IFERROR(MID(VLOOKUP($B24,Seqs!$A:$B,2,0),W24,1),"")</f>
        <v>N</v>
      </c>
      <c r="W24" s="3">
        <v>158</v>
      </c>
      <c r="X24" s="3" t="str">
        <f>IFERROR(MID(VLOOKUP($B24,Seqs!$A:$B,2,0),Y24,1),"")</f>
        <v>P</v>
      </c>
      <c r="Y24" s="3">
        <v>159</v>
      </c>
      <c r="Z24" s="3" t="str">
        <f>IFERROR(MID(VLOOKUP($B24,Seqs!$A:$B,2,0),AA24,1),"")</f>
        <v>N</v>
      </c>
      <c r="AA24" s="3">
        <v>166</v>
      </c>
      <c r="AB24" s="3" t="str">
        <f>IFERROR(MID(VLOOKUP($B24,Seqs!$A:$B,2,0),AC24,1),"")</f>
        <v>S</v>
      </c>
      <c r="AC24" s="3">
        <v>167</v>
      </c>
      <c r="AD24" s="3" t="str">
        <f>IFERROR(MID(VLOOKUP($B24,Seqs!$A:$B,2,0),AE24,1),"")</f>
        <v>D</v>
      </c>
      <c r="AE24" s="3">
        <v>196</v>
      </c>
      <c r="AF24" s="3" t="str">
        <f>IFERROR(MID(VLOOKUP($B24,Seqs!$A:$B,2,0),AG24,1),"")</f>
        <v>C</v>
      </c>
      <c r="AG24" s="3">
        <v>207</v>
      </c>
      <c r="AH24" s="3" t="str">
        <f>IFERROR(MID(VLOOKUP($B24,Seqs!$A:$B,2,0),AI24,1),"")</f>
        <v>L</v>
      </c>
      <c r="AI24" s="3">
        <v>209</v>
      </c>
      <c r="AJ24" s="3" t="str">
        <f>IFERROR(MID(VLOOKUP($B24,Seqs!$A:$B,2,0),AK24,1),"")</f>
        <v>D</v>
      </c>
      <c r="AK24" s="3">
        <v>211</v>
      </c>
      <c r="AL24" s="3" t="str">
        <f>IFERROR(MID(VLOOKUP($B24,Seqs!$A:$B,2,0),AM24,1),"")</f>
        <v>H</v>
      </c>
      <c r="AM24" s="3">
        <v>250</v>
      </c>
      <c r="AN24" s="3" t="str">
        <f>IFERROR(MID(VLOOKUP($B24,Seqs!$A:$B,2,0),AO24,1),"")</f>
        <v>M</v>
      </c>
      <c r="AO24" s="3">
        <v>300</v>
      </c>
      <c r="AP24" s="3" t="str">
        <f>IFERROR(MID(VLOOKUP($B24,Seqs!$A:$B,2,0),AQ24,1),"")</f>
        <v>C</v>
      </c>
      <c r="AQ24" s="3">
        <v>337</v>
      </c>
      <c r="AR24" s="3" t="str">
        <f>IFERROR(MID(VLOOKUP($B24,Seqs!$A:$B,2,0),AS24,1),"")</f>
        <v>N</v>
      </c>
      <c r="AS24" s="3">
        <v>342</v>
      </c>
      <c r="AT24" s="3" t="str">
        <f>IFERROR(MID(VLOOKUP($B24,Seqs!$A:$B,2,0),AU24,1),"")</f>
        <v>F</v>
      </c>
      <c r="AU24" s="3">
        <v>371</v>
      </c>
      <c r="AV24" s="3" t="str">
        <f>IFERROR(MID(VLOOKUP($B24,Seqs!$A:$B,2,0),AW24,1),"")</f>
        <v>N</v>
      </c>
      <c r="AW24" s="3">
        <v>372</v>
      </c>
      <c r="AX24" s="3" t="str">
        <f>IFERROR(MID(VLOOKUP($B24,Seqs!$A:$B,2,0),AY24,1),"")</f>
        <v>C</v>
      </c>
      <c r="AY24" s="3">
        <v>385</v>
      </c>
      <c r="AZ24" s="77" t="str">
        <f>VLOOKUP(B24,Classification!A:D,2,0)</f>
        <v>A</v>
      </c>
      <c r="BA24" s="94" t="str">
        <f>VLOOKUP(B24,Classification!A:D,4,0)</f>
        <v>5-Hydroxytryptamine</v>
      </c>
      <c r="BB24" s="27" t="b">
        <f t="shared" si="169"/>
        <v>1</v>
      </c>
      <c r="BC24" s="23">
        <f t="shared" si="170"/>
        <v>267</v>
      </c>
      <c r="BD24" s="4" t="s">
        <v>23</v>
      </c>
      <c r="BE24" s="3" t="s">
        <v>23</v>
      </c>
      <c r="BF24" s="118" t="s">
        <v>23</v>
      </c>
      <c r="BG24" s="49" t="s">
        <v>1371</v>
      </c>
      <c r="BH24" s="49" t="s">
        <v>1371</v>
      </c>
      <c r="BI24" s="1"/>
      <c r="BJ24" s="70" t="s">
        <v>1281</v>
      </c>
      <c r="BK24" s="57" t="s">
        <v>1281</v>
      </c>
      <c r="BL24" s="57" t="s">
        <v>1281</v>
      </c>
      <c r="BM24" s="57" t="s">
        <v>1281</v>
      </c>
      <c r="BN24" s="57" t="s">
        <v>1281</v>
      </c>
      <c r="BO24" s="57" t="s">
        <v>1281</v>
      </c>
      <c r="BP24" s="57" t="s">
        <v>1281</v>
      </c>
      <c r="BQ24" s="57" t="s">
        <v>1281</v>
      </c>
      <c r="BR24" s="57" t="s">
        <v>1281</v>
      </c>
      <c r="BS24" s="57" t="s">
        <v>1281</v>
      </c>
      <c r="BT24" s="57" t="s">
        <v>1281</v>
      </c>
      <c r="BU24" s="57" t="s">
        <v>1281</v>
      </c>
      <c r="BV24" s="70">
        <f t="shared" si="171"/>
        <v>54</v>
      </c>
      <c r="BW24" s="71">
        <f t="shared" si="172"/>
        <v>82</v>
      </c>
      <c r="BX24" s="72">
        <f t="shared" si="173"/>
        <v>86</v>
      </c>
      <c r="BY24" s="71">
        <f t="shared" si="174"/>
        <v>119</v>
      </c>
      <c r="BZ24" s="72">
        <f t="shared" si="175"/>
        <v>123</v>
      </c>
      <c r="CA24" s="71">
        <f t="shared" si="176"/>
        <v>159</v>
      </c>
      <c r="CB24" s="72">
        <f t="shared" si="177"/>
        <v>167</v>
      </c>
      <c r="CC24" s="71">
        <f t="shared" si="178"/>
        <v>207</v>
      </c>
      <c r="CD24" s="72">
        <f t="shared" si="179"/>
        <v>211</v>
      </c>
      <c r="CE24" s="71">
        <f t="shared" si="180"/>
        <v>300</v>
      </c>
      <c r="CF24" s="72">
        <f t="shared" si="181"/>
        <v>342</v>
      </c>
      <c r="CG24" s="71">
        <f t="shared" si="182"/>
        <v>372</v>
      </c>
      <c r="CH24" s="70">
        <f t="shared" si="183"/>
        <v>81</v>
      </c>
      <c r="CI24" s="71">
        <f t="shared" si="184"/>
        <v>85</v>
      </c>
      <c r="CJ24" s="72">
        <f t="shared" si="185"/>
        <v>117</v>
      </c>
      <c r="CK24" s="72">
        <f t="shared" si="186"/>
        <v>122</v>
      </c>
      <c r="CL24" s="72">
        <f t="shared" si="187"/>
        <v>158</v>
      </c>
      <c r="CM24" s="72">
        <f t="shared" si="188"/>
        <v>166</v>
      </c>
      <c r="CN24" s="72">
        <f t="shared" si="189"/>
        <v>196</v>
      </c>
      <c r="CO24" s="72">
        <f t="shared" si="190"/>
        <v>209</v>
      </c>
      <c r="CP24" s="72">
        <f t="shared" si="191"/>
        <v>250</v>
      </c>
      <c r="CQ24" s="72">
        <f t="shared" si="192"/>
        <v>337</v>
      </c>
      <c r="CR24" s="72">
        <f t="shared" si="193"/>
        <v>371</v>
      </c>
      <c r="CS24" s="72">
        <f t="shared" si="194"/>
        <v>385</v>
      </c>
      <c r="CT24" s="23">
        <f t="shared" si="195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168"/>
        <v>5ht2c_human_6BQG</v>
      </c>
      <c r="B25" s="3" t="s">
        <v>133</v>
      </c>
      <c r="C25" s="3" t="s">
        <v>1459</v>
      </c>
      <c r="D25" s="3" t="str">
        <f>IFERROR(MID(VLOOKUP($B25,Seqs!$A:$B,2,0),E25,1),"")</f>
        <v>V</v>
      </c>
      <c r="E25" s="3">
        <v>61</v>
      </c>
      <c r="F25" s="3" t="str">
        <f>IFERROR(MID(VLOOKUP($B25,Seqs!$A:$B,2,0),G25,1),"")</f>
        <v>E</v>
      </c>
      <c r="G25" s="3">
        <v>81</v>
      </c>
      <c r="H25" s="3" t="str">
        <f>IFERROR(MID(VLOOKUP($B25,Seqs!$A:$B,2,0),I25,1),"")</f>
        <v>K</v>
      </c>
      <c r="I25" s="23">
        <v>82</v>
      </c>
      <c r="J25" s="3" t="str">
        <f>IFERROR(MID(VLOOKUP($B25,Seqs!$A:$B,2,0),K25,1),"")</f>
        <v>H</v>
      </c>
      <c r="K25" s="23">
        <v>85</v>
      </c>
      <c r="L25" s="3" t="str">
        <f>IFERROR(MID(VLOOKUP($B25,Seqs!$A:$B,2,0),M25,1),"")</f>
        <v>N</v>
      </c>
      <c r="M25" s="3">
        <v>86</v>
      </c>
      <c r="N25" s="3" t="str">
        <f>IFERROR(MID(VLOOKUP($B25,Seqs!$A:$B,2,0),O25,1),"")</f>
        <v>D</v>
      </c>
      <c r="O25" s="3">
        <v>117</v>
      </c>
      <c r="P25" s="3" t="str">
        <f>IFERROR(MID(VLOOKUP($B25,Seqs!$A:$B,2,0),Q25,1),"")</f>
        <v>V</v>
      </c>
      <c r="Q25" s="3">
        <v>119</v>
      </c>
      <c r="R25" s="3" t="str">
        <f>IFERROR(MID(VLOOKUP($B25,Seqs!$A:$B,2,0),S25,1),"")</f>
        <v>L</v>
      </c>
      <c r="S25" s="3">
        <v>122</v>
      </c>
      <c r="T25" s="3" t="str">
        <f>IFERROR(MID(VLOOKUP($B25,Seqs!$A:$B,2,0),U25,1),"")</f>
        <v>P</v>
      </c>
      <c r="U25" s="3">
        <v>123</v>
      </c>
      <c r="V25" s="3" t="str">
        <f>IFERROR(MID(VLOOKUP($B25,Seqs!$A:$B,2,0),W25,1),"")</f>
        <v>N</v>
      </c>
      <c r="W25" s="3">
        <v>158</v>
      </c>
      <c r="X25" s="3" t="str">
        <f>IFERROR(MID(VLOOKUP($B25,Seqs!$A:$B,2,0),Y25,1),"")</f>
        <v/>
      </c>
      <c r="Y25" s="3" t="s">
        <v>23</v>
      </c>
      <c r="Z25" s="3" t="str">
        <f>IFERROR(MID(VLOOKUP($B25,Seqs!$A:$B,2,0),AA25,1),"")</f>
        <v/>
      </c>
      <c r="AA25" s="3" t="s">
        <v>23</v>
      </c>
      <c r="AB25" s="3" t="str">
        <f>IFERROR(MID(VLOOKUP($B25,Seqs!$A:$B,2,0),AC25,1),"")</f>
        <v>S</v>
      </c>
      <c r="AC25" s="3">
        <v>167</v>
      </c>
      <c r="AD25" s="3" t="str">
        <f>IFERROR(MID(VLOOKUP($B25,Seqs!$A:$B,2,0),AE25,1),"")</f>
        <v>D</v>
      </c>
      <c r="AE25" s="3">
        <v>196</v>
      </c>
      <c r="AF25" s="3" t="str">
        <f>IFERROR(MID(VLOOKUP($B25,Seqs!$A:$B,2,0),AG25,1),"")</f>
        <v>C</v>
      </c>
      <c r="AG25" s="3">
        <v>207</v>
      </c>
      <c r="AH25" s="3" t="str">
        <f>IFERROR(MID(VLOOKUP($B25,Seqs!$A:$B,2,0),AI25,1),"")</f>
        <v>L</v>
      </c>
      <c r="AI25" s="3">
        <v>209</v>
      </c>
      <c r="AJ25" s="3" t="str">
        <f>IFERROR(MID(VLOOKUP($B25,Seqs!$A:$B,2,0),AK25,1),"")</f>
        <v>D</v>
      </c>
      <c r="AK25" s="3">
        <v>211</v>
      </c>
      <c r="AL25" s="3" t="str">
        <f>IFERROR(MID(VLOOKUP($B25,Seqs!$A:$B,2,0),AM25,1),"")</f>
        <v>A</v>
      </c>
      <c r="AM25" s="3">
        <v>245</v>
      </c>
      <c r="AN25" s="3" t="str">
        <f>IFERROR(MID(VLOOKUP($B25,Seqs!$A:$B,2,0),AO25,1),"")</f>
        <v>Q</v>
      </c>
      <c r="AO25" s="3">
        <v>301</v>
      </c>
      <c r="AP25" s="3" t="str">
        <f>IFERROR(MID(VLOOKUP($B25,Seqs!$A:$B,2,0),AQ25,1),"")</f>
        <v>C</v>
      </c>
      <c r="AQ25" s="3">
        <v>337</v>
      </c>
      <c r="AR25" s="3" t="str">
        <f>IFERROR(MID(VLOOKUP($B25,Seqs!$A:$B,2,0),AS25,1),"")</f>
        <v>N</v>
      </c>
      <c r="AS25" s="3">
        <v>342</v>
      </c>
      <c r="AT25" s="3" t="str">
        <f>IFERROR(MID(VLOOKUP($B25,Seqs!$A:$B,2,0),AU25,1),"")</f>
        <v>F</v>
      </c>
      <c r="AU25" s="3">
        <v>371</v>
      </c>
      <c r="AV25" s="3" t="str">
        <f>IFERROR(MID(VLOOKUP($B25,Seqs!$A:$B,2,0),AW25,1),"")</f>
        <v>N</v>
      </c>
      <c r="AW25" s="3">
        <v>372</v>
      </c>
      <c r="AX25" s="3" t="str">
        <f>IFERROR(MID(VLOOKUP($B25,Seqs!$A:$B,2,0),AY25,1),"")</f>
        <v>C</v>
      </c>
      <c r="AY25" s="3">
        <v>385</v>
      </c>
      <c r="AZ25" s="77" t="str">
        <f>VLOOKUP(B25,Classification!A:D,2,0)</f>
        <v>A</v>
      </c>
      <c r="BA25" s="94" t="str">
        <f>VLOOKUP(B25,Classification!A:D,4,0)</f>
        <v>5-Hydroxytryptamine</v>
      </c>
      <c r="BB25" s="27" t="b">
        <f t="shared" si="169"/>
        <v>1</v>
      </c>
      <c r="BC25" s="23">
        <f t="shared" si="170"/>
        <v>247</v>
      </c>
      <c r="BD25" s="4" t="s">
        <v>1369</v>
      </c>
      <c r="BE25" s="3" t="s">
        <v>1285</v>
      </c>
      <c r="BF25" s="118">
        <v>3</v>
      </c>
      <c r="BG25" s="49" t="s">
        <v>1</v>
      </c>
      <c r="BH25" s="49" t="s">
        <v>1</v>
      </c>
      <c r="BI25" s="1"/>
      <c r="BJ25" s="70" t="s">
        <v>1281</v>
      </c>
      <c r="BK25" s="57" t="s">
        <v>1281</v>
      </c>
      <c r="BL25" s="57" t="s">
        <v>1281</v>
      </c>
      <c r="BM25" s="57" t="s">
        <v>1281</v>
      </c>
      <c r="BN25" s="57" t="s">
        <v>1281</v>
      </c>
      <c r="BO25" s="57" t="s">
        <v>1281</v>
      </c>
      <c r="BP25" s="57" t="s">
        <v>1281</v>
      </c>
      <c r="BQ25" s="57" t="s">
        <v>1281</v>
      </c>
      <c r="BR25" s="57" t="s">
        <v>1281</v>
      </c>
      <c r="BS25" s="57" t="s">
        <v>1281</v>
      </c>
      <c r="BT25" s="57" t="s">
        <v>1281</v>
      </c>
      <c r="BU25" s="57" t="s">
        <v>1281</v>
      </c>
      <c r="BV25" s="70">
        <f t="shared" si="171"/>
        <v>61</v>
      </c>
      <c r="BW25" s="71">
        <f t="shared" si="172"/>
        <v>82</v>
      </c>
      <c r="BX25" s="72">
        <f t="shared" si="173"/>
        <v>86</v>
      </c>
      <c r="BY25" s="71">
        <f t="shared" si="174"/>
        <v>119</v>
      </c>
      <c r="BZ25" s="72">
        <f t="shared" si="175"/>
        <v>123</v>
      </c>
      <c r="CA25" s="71" t="str">
        <f t="shared" si="176"/>
        <v>-</v>
      </c>
      <c r="CB25" s="72">
        <f t="shared" si="177"/>
        <v>167</v>
      </c>
      <c r="CC25" s="71">
        <f t="shared" si="178"/>
        <v>207</v>
      </c>
      <c r="CD25" s="72">
        <f t="shared" si="179"/>
        <v>211</v>
      </c>
      <c r="CE25" s="71">
        <f t="shared" si="180"/>
        <v>301</v>
      </c>
      <c r="CF25" s="72">
        <f t="shared" si="181"/>
        <v>342</v>
      </c>
      <c r="CG25" s="71">
        <f t="shared" si="182"/>
        <v>372</v>
      </c>
      <c r="CH25" s="70">
        <f t="shared" si="183"/>
        <v>81</v>
      </c>
      <c r="CI25" s="71">
        <f t="shared" si="184"/>
        <v>85</v>
      </c>
      <c r="CJ25" s="72">
        <f t="shared" si="185"/>
        <v>117</v>
      </c>
      <c r="CK25" s="72">
        <f t="shared" si="186"/>
        <v>122</v>
      </c>
      <c r="CL25" s="72">
        <f t="shared" si="187"/>
        <v>158</v>
      </c>
      <c r="CM25" s="72" t="str">
        <f t="shared" si="188"/>
        <v>-</v>
      </c>
      <c r="CN25" s="72">
        <f t="shared" si="189"/>
        <v>196</v>
      </c>
      <c r="CO25" s="72">
        <f t="shared" si="190"/>
        <v>209</v>
      </c>
      <c r="CP25" s="72">
        <f t="shared" si="191"/>
        <v>245</v>
      </c>
      <c r="CQ25" s="72">
        <f t="shared" si="192"/>
        <v>337</v>
      </c>
      <c r="CR25" s="72">
        <f t="shared" si="193"/>
        <v>371</v>
      </c>
      <c r="CS25" s="72">
        <f t="shared" si="194"/>
        <v>385</v>
      </c>
      <c r="CT25" s="23">
        <f t="shared" si="195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 t="shared" si="168"/>
        <v>5ht2c_human_6BQH</v>
      </c>
      <c r="B26" s="3" t="s">
        <v>133</v>
      </c>
      <c r="C26" s="3" t="s">
        <v>1460</v>
      </c>
      <c r="D26" s="3" t="str">
        <f>IFERROR(MID(VLOOKUP($B26,Seqs!$A:$B,2,0),E26,1),"")</f>
        <v>I</v>
      </c>
      <c r="E26" s="3">
        <v>60</v>
      </c>
      <c r="F26" s="3" t="str">
        <f>IFERROR(MID(VLOOKUP($B26,Seqs!$A:$B,2,0),G26,1),"")</f>
        <v>E</v>
      </c>
      <c r="G26" s="3">
        <v>81</v>
      </c>
      <c r="H26" s="3" t="str">
        <f>IFERROR(MID(VLOOKUP($B26,Seqs!$A:$B,2,0),I26,1),"")</f>
        <v>K</v>
      </c>
      <c r="I26" s="23">
        <v>82</v>
      </c>
      <c r="J26" s="3" t="str">
        <f>IFERROR(MID(VLOOKUP($B26,Seqs!$A:$B,2,0),K26,1),"")</f>
        <v>H</v>
      </c>
      <c r="K26" s="23">
        <v>85</v>
      </c>
      <c r="L26" s="3" t="str">
        <f>IFERROR(MID(VLOOKUP($B26,Seqs!$A:$B,2,0),M26,1),"")</f>
        <v>N</v>
      </c>
      <c r="M26" s="3">
        <v>86</v>
      </c>
      <c r="N26" s="3" t="str">
        <f>IFERROR(MID(VLOOKUP($B26,Seqs!$A:$B,2,0),O26,1),"")</f>
        <v>D</v>
      </c>
      <c r="O26" s="3">
        <v>117</v>
      </c>
      <c r="P26" s="3" t="str">
        <f>IFERROR(MID(VLOOKUP($B26,Seqs!$A:$B,2,0),Q26,1),"")</f>
        <v>V</v>
      </c>
      <c r="Q26" s="3">
        <v>119</v>
      </c>
      <c r="R26" s="3" t="str">
        <f>IFERROR(MID(VLOOKUP($B26,Seqs!$A:$B,2,0),S26,1),"")</f>
        <v>L</v>
      </c>
      <c r="S26" s="3">
        <v>122</v>
      </c>
      <c r="T26" s="3" t="str">
        <f>IFERROR(MID(VLOOKUP($B26,Seqs!$A:$B,2,0),U26,1),"")</f>
        <v>P</v>
      </c>
      <c r="U26" s="3">
        <v>123</v>
      </c>
      <c r="V26" s="3" t="str">
        <f>IFERROR(MID(VLOOKUP($B26,Seqs!$A:$B,2,0),W26,1),"")</f>
        <v>R</v>
      </c>
      <c r="W26" s="3">
        <v>157</v>
      </c>
      <c r="X26" s="3" t="str">
        <f>IFERROR(MID(VLOOKUP($B26,Seqs!$A:$B,2,0),Y26,1),"")</f>
        <v/>
      </c>
      <c r="Y26" s="3" t="s">
        <v>23</v>
      </c>
      <c r="Z26" s="3" t="str">
        <f>IFERROR(MID(VLOOKUP($B26,Seqs!$A:$B,2,0),AA26,1),"")</f>
        <v/>
      </c>
      <c r="AA26" s="3" t="s">
        <v>23</v>
      </c>
      <c r="AB26" s="3" t="str">
        <f>IFERROR(MID(VLOOKUP($B26,Seqs!$A:$B,2,0),AC26,1),"")</f>
        <v>N</v>
      </c>
      <c r="AC26" s="3">
        <v>166</v>
      </c>
      <c r="AD26" s="3" t="str">
        <f>IFERROR(MID(VLOOKUP($B26,Seqs!$A:$B,2,0),AE26,1),"")</f>
        <v>D</v>
      </c>
      <c r="AE26" s="3">
        <v>196</v>
      </c>
      <c r="AF26" s="3" t="str">
        <f>IFERROR(MID(VLOOKUP($B26,Seqs!$A:$B,2,0),AG26,1),"")</f>
        <v>C</v>
      </c>
      <c r="AG26" s="3">
        <v>207</v>
      </c>
      <c r="AH26" s="3" t="str">
        <f>IFERROR(MID(VLOOKUP($B26,Seqs!$A:$B,2,0),AI26,1),"")</f>
        <v>L</v>
      </c>
      <c r="AI26" s="3">
        <v>209</v>
      </c>
      <c r="AJ26" s="3" t="str">
        <f>IFERROR(MID(VLOOKUP($B26,Seqs!$A:$B,2,0),AK26,1),"")</f>
        <v>D</v>
      </c>
      <c r="AK26" s="3">
        <v>211</v>
      </c>
      <c r="AL26" s="3" t="str">
        <f>IFERROR(MID(VLOOKUP($B26,Seqs!$A:$B,2,0),AM26,1),"")</f>
        <v>A</v>
      </c>
      <c r="AM26" s="3">
        <v>245</v>
      </c>
      <c r="AN26" s="3" t="str">
        <f>IFERROR(MID(VLOOKUP($B26,Seqs!$A:$B,2,0),AO26,1),"")</f>
        <v>Q</v>
      </c>
      <c r="AO26" s="3">
        <v>301</v>
      </c>
      <c r="AP26" s="3" t="str">
        <f>IFERROR(MID(VLOOKUP($B26,Seqs!$A:$B,2,0),AQ26,1),"")</f>
        <v>L</v>
      </c>
      <c r="AQ26" s="3">
        <v>336</v>
      </c>
      <c r="AR26" s="3" t="str">
        <f>IFERROR(MID(VLOOKUP($B26,Seqs!$A:$B,2,0),AS26,1),"")</f>
        <v>N</v>
      </c>
      <c r="AS26" s="3">
        <v>342</v>
      </c>
      <c r="AT26" s="3" t="str">
        <f>IFERROR(MID(VLOOKUP($B26,Seqs!$A:$B,2,0),AU26,1),"")</f>
        <v>F</v>
      </c>
      <c r="AU26" s="3">
        <v>371</v>
      </c>
      <c r="AV26" s="3" t="str">
        <f>IFERROR(MID(VLOOKUP($B26,Seqs!$A:$B,2,0),AW26,1),"")</f>
        <v>N</v>
      </c>
      <c r="AW26" s="3">
        <v>372</v>
      </c>
      <c r="AX26" s="3" t="str">
        <f>IFERROR(MID(VLOOKUP($B26,Seqs!$A:$B,2,0),AY26,1),"")</f>
        <v>N</v>
      </c>
      <c r="AY26" s="3">
        <v>386</v>
      </c>
      <c r="AZ26" s="77" t="str">
        <f>VLOOKUP(B26,Classification!A:D,2,0)</f>
        <v>A</v>
      </c>
      <c r="BA26" s="94" t="str">
        <f>VLOOKUP(B26,Classification!A:D,4,0)</f>
        <v>5-Hydroxytryptamine</v>
      </c>
      <c r="BB26" s="27" t="b">
        <f t="shared" si="169"/>
        <v>1</v>
      </c>
      <c r="BC26" s="23">
        <f t="shared" si="170"/>
        <v>248</v>
      </c>
      <c r="BD26" s="4" t="s">
        <v>1423</v>
      </c>
      <c r="BE26" s="3" t="s">
        <v>1422</v>
      </c>
      <c r="BF26" s="118">
        <v>2.7</v>
      </c>
      <c r="BG26" s="49" t="s">
        <v>1</v>
      </c>
      <c r="BH26" s="49" t="s">
        <v>1</v>
      </c>
      <c r="BI26" s="1"/>
      <c r="BJ26" s="70" t="s">
        <v>1281</v>
      </c>
      <c r="BK26" s="57" t="s">
        <v>1281</v>
      </c>
      <c r="BL26" s="57" t="s">
        <v>1281</v>
      </c>
      <c r="BM26" s="57" t="s">
        <v>1281</v>
      </c>
      <c r="BN26" s="57" t="s">
        <v>1281</v>
      </c>
      <c r="BO26" s="57" t="s">
        <v>1281</v>
      </c>
      <c r="BP26" s="57" t="s">
        <v>1281</v>
      </c>
      <c r="BQ26" s="57" t="s">
        <v>1281</v>
      </c>
      <c r="BR26" s="57" t="s">
        <v>1281</v>
      </c>
      <c r="BS26" s="57" t="s">
        <v>1281</v>
      </c>
      <c r="BT26" s="57" t="s">
        <v>1281</v>
      </c>
      <c r="BU26" s="57" t="s">
        <v>1281</v>
      </c>
      <c r="BV26" s="70">
        <f t="shared" si="171"/>
        <v>60</v>
      </c>
      <c r="BW26" s="71">
        <f t="shared" si="172"/>
        <v>82</v>
      </c>
      <c r="BX26" s="72">
        <f t="shared" si="173"/>
        <v>86</v>
      </c>
      <c r="BY26" s="71">
        <f t="shared" si="174"/>
        <v>119</v>
      </c>
      <c r="BZ26" s="72">
        <f t="shared" si="175"/>
        <v>123</v>
      </c>
      <c r="CA26" s="71" t="str">
        <f t="shared" si="176"/>
        <v>-</v>
      </c>
      <c r="CB26" s="72">
        <f t="shared" si="177"/>
        <v>166</v>
      </c>
      <c r="CC26" s="71">
        <f t="shared" si="178"/>
        <v>207</v>
      </c>
      <c r="CD26" s="72">
        <f t="shared" si="179"/>
        <v>211</v>
      </c>
      <c r="CE26" s="71">
        <f t="shared" si="180"/>
        <v>301</v>
      </c>
      <c r="CF26" s="72">
        <f t="shared" si="181"/>
        <v>342</v>
      </c>
      <c r="CG26" s="71">
        <f t="shared" si="182"/>
        <v>372</v>
      </c>
      <c r="CH26" s="70">
        <f t="shared" si="183"/>
        <v>81</v>
      </c>
      <c r="CI26" s="71">
        <f t="shared" si="184"/>
        <v>85</v>
      </c>
      <c r="CJ26" s="72">
        <f t="shared" si="185"/>
        <v>117</v>
      </c>
      <c r="CK26" s="72">
        <f t="shared" si="186"/>
        <v>122</v>
      </c>
      <c r="CL26" s="72">
        <f t="shared" si="187"/>
        <v>157</v>
      </c>
      <c r="CM26" s="72" t="str">
        <f t="shared" si="188"/>
        <v>-</v>
      </c>
      <c r="CN26" s="72">
        <f t="shared" si="189"/>
        <v>196</v>
      </c>
      <c r="CO26" s="72">
        <f t="shared" si="190"/>
        <v>209</v>
      </c>
      <c r="CP26" s="72">
        <f t="shared" si="191"/>
        <v>245</v>
      </c>
      <c r="CQ26" s="72">
        <f t="shared" si="192"/>
        <v>336</v>
      </c>
      <c r="CR26" s="72">
        <f t="shared" si="193"/>
        <v>371</v>
      </c>
      <c r="CS26" s="72">
        <f t="shared" si="194"/>
        <v>386</v>
      </c>
      <c r="CT26" s="23">
        <f t="shared" si="195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168"/>
        <v>aa1r_human__wt</v>
      </c>
      <c r="B27" s="3" t="s">
        <v>138</v>
      </c>
      <c r="C27" s="3" t="s">
        <v>100</v>
      </c>
      <c r="D27" s="3" t="str">
        <f>IFERROR(MID(VLOOKUP($B27,Seqs!$A:$B,2,0),E27,1),"")</f>
        <v>S</v>
      </c>
      <c r="E27" s="3">
        <v>6</v>
      </c>
      <c r="F27" s="3" t="str">
        <f>IFERROR(MID(VLOOKUP($B27,Seqs!$A:$B,2,0),G27,1),"")</f>
        <v>N</v>
      </c>
      <c r="G27" s="3">
        <v>37</v>
      </c>
      <c r="H27" s="3" t="str">
        <f>IFERROR(MID(VLOOKUP($B27,Seqs!$A:$B,2,0),I27,1),"")</f>
        <v>Q</v>
      </c>
      <c r="I27" s="23">
        <v>38</v>
      </c>
      <c r="J27" s="3" t="str">
        <f>IFERROR(MID(VLOOKUP($B27,Seqs!$A:$B,2,0),K27,1),"")</f>
        <v>R</v>
      </c>
      <c r="K27" s="23">
        <v>41</v>
      </c>
      <c r="L27" s="3" t="str">
        <f>IFERROR(MID(VLOOKUP($B27,Seqs!$A:$B,2,0),M27,1),"")</f>
        <v>D</v>
      </c>
      <c r="M27" s="3">
        <v>42</v>
      </c>
      <c r="N27" s="3" t="str">
        <f>IFERROR(MID(VLOOKUP($B27,Seqs!$A:$B,2,0),O27,1),"")</f>
        <v>G</v>
      </c>
      <c r="O27" s="3">
        <v>72</v>
      </c>
      <c r="P27" s="3" t="str">
        <f>IFERROR(MID(VLOOKUP($B27,Seqs!$A:$B,2,0),Q27,1),"")</f>
        <v>P</v>
      </c>
      <c r="Q27" s="3">
        <v>73</v>
      </c>
      <c r="R27" s="3" t="str">
        <f>IFERROR(MID(VLOOKUP($B27,Seqs!$A:$B,2,0),S27,1),"")</f>
        <v>T</v>
      </c>
      <c r="S27" s="3">
        <v>75</v>
      </c>
      <c r="T27" s="3" t="str">
        <f>IFERROR(MID(VLOOKUP($B27,Seqs!$A:$B,2,0),U27,1),"")</f>
        <v>Y</v>
      </c>
      <c r="U27" s="3">
        <v>76</v>
      </c>
      <c r="V27" s="3" t="str">
        <f>IFERROR(MID(VLOOKUP($B27,Seqs!$A:$B,2,0),W27,1),"")</f>
        <v>I</v>
      </c>
      <c r="W27" s="3">
        <v>111</v>
      </c>
      <c r="X27" s="3" t="str">
        <f>IFERROR(MID(VLOOKUP($B27,Seqs!$A:$B,2,0),Y27,1),"")</f>
        <v>P</v>
      </c>
      <c r="Y27" s="3">
        <v>112</v>
      </c>
      <c r="Z27" s="3" t="str">
        <f>IFERROR(MID(VLOOKUP($B27,Seqs!$A:$B,2,0),AA27,1),"")</f>
        <v>V</v>
      </c>
      <c r="AA27" s="3">
        <v>119</v>
      </c>
      <c r="AB27" s="3" t="str">
        <f>IFERROR(MID(VLOOKUP($B27,Seqs!$A:$B,2,0),AC27,1),"")</f>
        <v>T</v>
      </c>
      <c r="AC27" s="3">
        <v>120</v>
      </c>
      <c r="AD27" s="3" t="str">
        <f>IFERROR(MID(VLOOKUP($B27,Seqs!$A:$B,2,0),AE27,1),"")</f>
        <v>G</v>
      </c>
      <c r="AE27" s="3">
        <v>145</v>
      </c>
      <c r="AF27" s="3" t="str">
        <f>IFERROR(MID(VLOOKUP($B27,Seqs!$A:$B,2,0),AG27,1),"")</f>
        <v>C</v>
      </c>
      <c r="AG27" s="3">
        <v>169</v>
      </c>
      <c r="AH27" s="3" t="str">
        <f>IFERROR(MID(VLOOKUP($B27,Seqs!$A:$B,2,0),AI27,1),"")</f>
        <v>F</v>
      </c>
      <c r="AI27" s="3">
        <v>171</v>
      </c>
      <c r="AJ27" s="3" t="str">
        <f>IFERROR(MID(VLOOKUP($B27,Seqs!$A:$B,2,0),AK27,1),"")</f>
        <v>S</v>
      </c>
      <c r="AK27" s="3">
        <v>176</v>
      </c>
      <c r="AL27" s="3" t="str">
        <f>IFERROR(MID(VLOOKUP($B27,Seqs!$A:$B,2,0),AM27,1),"")</f>
        <v>V</v>
      </c>
      <c r="AM27" s="3">
        <v>215</v>
      </c>
      <c r="AN27" s="3" t="str">
        <f>IFERROR(MID(VLOOKUP($B27,Seqs!$A:$B,2,0),AO27,1),"")</f>
        <v>D</v>
      </c>
      <c r="AO27" s="3">
        <v>221</v>
      </c>
      <c r="AP27" s="3" t="str">
        <f>IFERROR(MID(VLOOKUP($B27,Seqs!$A:$B,2,0),AQ27,1),"")</f>
        <v>C</v>
      </c>
      <c r="AQ27" s="3">
        <v>260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P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69"/>
        <v>1</v>
      </c>
      <c r="BC27" s="23">
        <f t="shared" si="170"/>
        <v>272</v>
      </c>
      <c r="BD27" s="4" t="s">
        <v>23</v>
      </c>
      <c r="BE27" s="3" t="s">
        <v>23</v>
      </c>
      <c r="BF27" s="118" t="s">
        <v>23</v>
      </c>
      <c r="BG27" s="49" t="s">
        <v>1371</v>
      </c>
      <c r="BH27" s="49" t="s">
        <v>1371</v>
      </c>
      <c r="BI27" s="1"/>
      <c r="BJ27" s="70" t="s">
        <v>1281</v>
      </c>
      <c r="BK27" s="57" t="s">
        <v>1281</v>
      </c>
      <c r="BL27" s="57" t="s">
        <v>1281</v>
      </c>
      <c r="BM27" s="57" t="s">
        <v>1281</v>
      </c>
      <c r="BN27" s="57" t="s">
        <v>1281</v>
      </c>
      <c r="BO27" s="57" t="s">
        <v>1281</v>
      </c>
      <c r="BP27" s="57" t="s">
        <v>1281</v>
      </c>
      <c r="BQ27" s="57" t="s">
        <v>1281</v>
      </c>
      <c r="BR27" s="57" t="s">
        <v>1281</v>
      </c>
      <c r="BS27" s="57" t="s">
        <v>1281</v>
      </c>
      <c r="BT27" s="57" t="s">
        <v>1281</v>
      </c>
      <c r="BU27" s="57" t="s">
        <v>1281</v>
      </c>
      <c r="BV27" s="70">
        <f t="shared" si="171"/>
        <v>6</v>
      </c>
      <c r="BW27" s="71">
        <f t="shared" si="172"/>
        <v>38</v>
      </c>
      <c r="BX27" s="72">
        <f t="shared" si="173"/>
        <v>42</v>
      </c>
      <c r="BY27" s="71">
        <f t="shared" si="174"/>
        <v>73</v>
      </c>
      <c r="BZ27" s="72">
        <f t="shared" si="175"/>
        <v>76</v>
      </c>
      <c r="CA27" s="71">
        <f t="shared" si="176"/>
        <v>112</v>
      </c>
      <c r="CB27" s="72">
        <f t="shared" si="177"/>
        <v>120</v>
      </c>
      <c r="CC27" s="71">
        <f t="shared" si="178"/>
        <v>169</v>
      </c>
      <c r="CD27" s="72">
        <f t="shared" si="179"/>
        <v>176</v>
      </c>
      <c r="CE27" s="71">
        <f t="shared" si="180"/>
        <v>221</v>
      </c>
      <c r="CF27" s="72">
        <f t="shared" si="181"/>
        <v>266</v>
      </c>
      <c r="CG27" s="71">
        <f t="shared" si="182"/>
        <v>292</v>
      </c>
      <c r="CH27" s="70">
        <f t="shared" si="183"/>
        <v>37</v>
      </c>
      <c r="CI27" s="71">
        <f t="shared" si="184"/>
        <v>41</v>
      </c>
      <c r="CJ27" s="72">
        <f t="shared" si="185"/>
        <v>72</v>
      </c>
      <c r="CK27" s="72">
        <f t="shared" si="186"/>
        <v>75</v>
      </c>
      <c r="CL27" s="72">
        <f t="shared" si="187"/>
        <v>111</v>
      </c>
      <c r="CM27" s="72">
        <f t="shared" si="188"/>
        <v>119</v>
      </c>
      <c r="CN27" s="72">
        <f t="shared" si="189"/>
        <v>145</v>
      </c>
      <c r="CO27" s="72">
        <f t="shared" si="190"/>
        <v>171</v>
      </c>
      <c r="CP27" s="72">
        <f t="shared" si="191"/>
        <v>215</v>
      </c>
      <c r="CQ27" s="72">
        <f t="shared" si="192"/>
        <v>260</v>
      </c>
      <c r="CR27" s="72">
        <f t="shared" si="193"/>
        <v>291</v>
      </c>
      <c r="CS27" s="72">
        <f t="shared" si="194"/>
        <v>314</v>
      </c>
      <c r="CT27" s="23">
        <f t="shared" si="195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168"/>
        <v>aa1r_human_5N2S</v>
      </c>
      <c r="B28" s="3" t="s">
        <v>138</v>
      </c>
      <c r="C28" s="3" t="s">
        <v>1425</v>
      </c>
      <c r="D28" s="3" t="str">
        <f>IFERROR(MID(VLOOKUP($B28,Seqs!$A:$B,2,0),E28,1),"")</f>
        <v/>
      </c>
      <c r="E28" s="3">
        <v>1111</v>
      </c>
      <c r="F28" s="3" t="str">
        <f>IFERROR(MID(VLOOKUP($B28,Seqs!$A:$B,2,0),G28,1),"")</f>
        <v/>
      </c>
      <c r="G28" s="3">
        <v>1141</v>
      </c>
      <c r="H28" s="3" t="str">
        <f>IFERROR(MID(VLOOKUP($B28,Seqs!$A:$B,2,0),I28,1),"")</f>
        <v/>
      </c>
      <c r="I28" s="23" t="s">
        <v>23</v>
      </c>
      <c r="J28" s="3" t="str">
        <f>IFERROR(MID(VLOOKUP($B28,Seqs!$A:$B,2,0),K28,1),"")</f>
        <v/>
      </c>
      <c r="K28" s="23" t="s">
        <v>23</v>
      </c>
      <c r="L28" s="3" t="str">
        <f>IFERROR(MID(VLOOKUP($B28,Seqs!$A:$B,2,0),M28,1),"")</f>
        <v/>
      </c>
      <c r="M28" s="3">
        <v>1147</v>
      </c>
      <c r="N28" s="3" t="str">
        <f>IFERROR(MID(VLOOKUP($B28,Seqs!$A:$B,2,0),O28,1),"")</f>
        <v/>
      </c>
      <c r="O28" s="3">
        <v>1177</v>
      </c>
      <c r="P28" s="3" t="str">
        <f>IFERROR(MID(VLOOKUP($B28,Seqs!$A:$B,2,0),Q28,1),"")</f>
        <v/>
      </c>
      <c r="Q28" s="3">
        <v>1178</v>
      </c>
      <c r="R28" s="3" t="str">
        <f>IFERROR(MID(VLOOKUP($B28,Seqs!$A:$B,2,0),S28,1),"")</f>
        <v/>
      </c>
      <c r="S28" s="3">
        <v>1180</v>
      </c>
      <c r="T28" s="3" t="str">
        <f>IFERROR(MID(VLOOKUP($B28,Seqs!$A:$B,2,0),U28,1),"")</f>
        <v/>
      </c>
      <c r="U28" s="3">
        <v>1181</v>
      </c>
      <c r="V28" s="3" t="str">
        <f>IFERROR(MID(VLOOKUP($B28,Seqs!$A:$B,2,0),W28,1),"")</f>
        <v/>
      </c>
      <c r="W28" s="3">
        <v>1216</v>
      </c>
      <c r="X28" s="3" t="str">
        <f>IFERROR(MID(VLOOKUP($B28,Seqs!$A:$B,2,0),Y28,1),"")</f>
        <v/>
      </c>
      <c r="Y28" s="3">
        <v>1217</v>
      </c>
      <c r="Z28" s="3" t="str">
        <f>IFERROR(MID(VLOOKUP($B28,Seqs!$A:$B,2,0),AA28,1),"")</f>
        <v/>
      </c>
      <c r="AA28" s="3">
        <v>1224</v>
      </c>
      <c r="AB28" s="3" t="str">
        <f>IFERROR(MID(VLOOKUP($B28,Seqs!$A:$B,2,0),AC28,1),"")</f>
        <v/>
      </c>
      <c r="AC28" s="3">
        <v>1225</v>
      </c>
      <c r="AD28" s="3" t="str">
        <f>IFERROR(MID(VLOOKUP($B28,Seqs!$A:$B,2,0),AE28,1),"")</f>
        <v/>
      </c>
      <c r="AE28" s="3">
        <v>1250</v>
      </c>
      <c r="AF28" s="3" t="str">
        <f>IFERROR(MID(VLOOKUP($B28,Seqs!$A:$B,2,0),AG28,1),"")</f>
        <v/>
      </c>
      <c r="AG28" s="3">
        <v>1274</v>
      </c>
      <c r="AH28" s="3" t="str">
        <f>IFERROR(MID(VLOOKUP($B28,Seqs!$A:$B,2,0),AI28,1),"")</f>
        <v/>
      </c>
      <c r="AI28" s="3">
        <v>1276</v>
      </c>
      <c r="AJ28" s="3" t="str">
        <f>IFERROR(MID(VLOOKUP($B28,Seqs!$A:$B,2,0),AK28,1),"")</f>
        <v/>
      </c>
      <c r="AK28" s="3">
        <v>1281</v>
      </c>
      <c r="AL28" s="3" t="str">
        <f>IFERROR(MID(VLOOKUP($B28,Seqs!$A:$B,2,0),AM28,1),"")</f>
        <v/>
      </c>
      <c r="AM28" s="3">
        <v>1316</v>
      </c>
      <c r="AN28" s="3" t="str">
        <f>IFERROR(MID(VLOOKUP($B28,Seqs!$A:$B,2,0),AO28,1),"")</f>
        <v/>
      </c>
      <c r="AO28" s="3">
        <v>1328</v>
      </c>
      <c r="AP28" s="3" t="str">
        <f>IFERROR(MID(VLOOKUP($B28,Seqs!$A:$B,2,0),AQ28,1),"")</f>
        <v/>
      </c>
      <c r="AQ28" s="3">
        <v>1365</v>
      </c>
      <c r="AR28" s="3" t="str">
        <f>IFERROR(MID(VLOOKUP($B28,Seqs!$A:$B,2,0),AS28,1),"")</f>
        <v/>
      </c>
      <c r="AS28" s="3">
        <v>1371</v>
      </c>
      <c r="AT28" s="3" t="str">
        <f>IFERROR(MID(VLOOKUP($B28,Seqs!$A:$B,2,0),AU28,1),"")</f>
        <v/>
      </c>
      <c r="AU28" s="3">
        <v>1400</v>
      </c>
      <c r="AV28" s="3" t="str">
        <f>IFERROR(MID(VLOOKUP($B28,Seqs!$A:$B,2,0),AW28,1),"")</f>
        <v/>
      </c>
      <c r="AW28" s="3" t="s">
        <v>23</v>
      </c>
      <c r="AX28" s="3" t="str">
        <f>IFERROR(MID(VLOOKUP($B28,Seqs!$A:$B,2,0),AY28,1),"")</f>
        <v/>
      </c>
      <c r="AY28" s="3" t="s">
        <v>23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69"/>
        <v>1</v>
      </c>
      <c r="BC28" s="23">
        <f t="shared" si="170"/>
        <v>244</v>
      </c>
      <c r="BD28" s="5" t="s">
        <v>23</v>
      </c>
      <c r="BE28" s="3" t="s">
        <v>1368</v>
      </c>
      <c r="BF28" s="118">
        <v>3.3</v>
      </c>
      <c r="BG28" s="49" t="s">
        <v>1</v>
      </c>
      <c r="BH28" s="49" t="s">
        <v>1</v>
      </c>
      <c r="BI28" s="1"/>
      <c r="BJ28" s="70" t="s">
        <v>1281</v>
      </c>
      <c r="BK28" s="57" t="s">
        <v>1281</v>
      </c>
      <c r="BL28" s="57" t="s">
        <v>1281</v>
      </c>
      <c r="BM28" s="57" t="s">
        <v>1281</v>
      </c>
      <c r="BN28" s="57" t="s">
        <v>1281</v>
      </c>
      <c r="BO28" s="57" t="s">
        <v>1281</v>
      </c>
      <c r="BP28" s="57" t="s">
        <v>1281</v>
      </c>
      <c r="BQ28" s="57" t="s">
        <v>1281</v>
      </c>
      <c r="BR28" s="57" t="s">
        <v>1281</v>
      </c>
      <c r="BS28" s="57" t="s">
        <v>1281</v>
      </c>
      <c r="BT28" s="57" t="s">
        <v>1281</v>
      </c>
      <c r="BU28" s="57" t="s">
        <v>1281</v>
      </c>
      <c r="BV28" s="70">
        <f t="shared" si="171"/>
        <v>1111</v>
      </c>
      <c r="BW28" s="71" t="str">
        <f t="shared" si="172"/>
        <v>-</v>
      </c>
      <c r="BX28" s="72">
        <f t="shared" si="173"/>
        <v>1147</v>
      </c>
      <c r="BY28" s="71">
        <f t="shared" si="174"/>
        <v>1178</v>
      </c>
      <c r="BZ28" s="72">
        <f t="shared" si="175"/>
        <v>1181</v>
      </c>
      <c r="CA28" s="71">
        <f t="shared" si="176"/>
        <v>1217</v>
      </c>
      <c r="CB28" s="72">
        <f t="shared" si="177"/>
        <v>1225</v>
      </c>
      <c r="CC28" s="71">
        <f t="shared" si="178"/>
        <v>1274</v>
      </c>
      <c r="CD28" s="72">
        <f t="shared" si="179"/>
        <v>1281</v>
      </c>
      <c r="CE28" s="71">
        <f t="shared" si="180"/>
        <v>1328</v>
      </c>
      <c r="CF28" s="72">
        <f t="shared" si="181"/>
        <v>1371</v>
      </c>
      <c r="CG28" s="71" t="str">
        <f t="shared" si="182"/>
        <v>-</v>
      </c>
      <c r="CH28" s="70">
        <f t="shared" si="183"/>
        <v>1141</v>
      </c>
      <c r="CI28" s="71" t="str">
        <f t="shared" si="184"/>
        <v>-</v>
      </c>
      <c r="CJ28" s="72">
        <f t="shared" si="185"/>
        <v>1177</v>
      </c>
      <c r="CK28" s="72">
        <f t="shared" si="186"/>
        <v>1180</v>
      </c>
      <c r="CL28" s="72">
        <f t="shared" si="187"/>
        <v>1216</v>
      </c>
      <c r="CM28" s="72">
        <f t="shared" si="188"/>
        <v>1224</v>
      </c>
      <c r="CN28" s="72">
        <f t="shared" si="189"/>
        <v>1250</v>
      </c>
      <c r="CO28" s="72">
        <f t="shared" si="190"/>
        <v>1276</v>
      </c>
      <c r="CP28" s="72">
        <f t="shared" si="191"/>
        <v>1316</v>
      </c>
      <c r="CQ28" s="72">
        <f t="shared" si="192"/>
        <v>1365</v>
      </c>
      <c r="CR28" s="72">
        <f t="shared" si="193"/>
        <v>1400</v>
      </c>
      <c r="CS28" s="72" t="str">
        <f t="shared" si="194"/>
        <v>-</v>
      </c>
      <c r="CT28" s="23" t="e">
        <f t="shared" si="195"/>
        <v>#VALUE!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168"/>
        <v>aa1r_human_5UEN</v>
      </c>
      <c r="B29" s="3" t="s">
        <v>138</v>
      </c>
      <c r="C29" s="3" t="s">
        <v>1383</v>
      </c>
      <c r="D29" s="3" t="str">
        <f>IFERROR(MID(VLOOKUP($B29,Seqs!$A:$B,2,0),E29,1),"")</f>
        <v>S</v>
      </c>
      <c r="E29" s="3">
        <v>6</v>
      </c>
      <c r="F29" s="3" t="str">
        <f>IFERROR(MID(VLOOKUP($B29,Seqs!$A:$B,2,0),G29,1),"")</f>
        <v>N</v>
      </c>
      <c r="G29" s="3">
        <v>37</v>
      </c>
      <c r="H29" s="3" t="str">
        <f>IFERROR(MID(VLOOKUP($B29,Seqs!$A:$B,2,0),I29,1),"")</f>
        <v>Q</v>
      </c>
      <c r="I29" s="23">
        <v>38</v>
      </c>
      <c r="J29" s="3" t="str">
        <f>IFERROR(MID(VLOOKUP($B29,Seqs!$A:$B,2,0),K29,1),"")</f>
        <v>R</v>
      </c>
      <c r="K29" s="23">
        <v>41</v>
      </c>
      <c r="L29" s="3" t="str">
        <f>IFERROR(MID(VLOOKUP($B29,Seqs!$A:$B,2,0),M29,1),"")</f>
        <v>D</v>
      </c>
      <c r="M29" s="3">
        <v>42</v>
      </c>
      <c r="N29" s="3" t="str">
        <f>IFERROR(MID(VLOOKUP($B29,Seqs!$A:$B,2,0),O29,1),"")</f>
        <v>G</v>
      </c>
      <c r="O29" s="3">
        <v>72</v>
      </c>
      <c r="P29" s="3" t="str">
        <f>IFERROR(MID(VLOOKUP($B29,Seqs!$A:$B,2,0),Q29,1),"")</f>
        <v>P</v>
      </c>
      <c r="Q29" s="3">
        <v>73</v>
      </c>
      <c r="R29" s="3" t="str">
        <f>IFERROR(MID(VLOOKUP($B29,Seqs!$A:$B,2,0),S29,1),"")</f>
        <v>T</v>
      </c>
      <c r="S29" s="3">
        <v>75</v>
      </c>
      <c r="T29" s="3" t="str">
        <f>IFERROR(MID(VLOOKUP($B29,Seqs!$A:$B,2,0),U29,1),"")</f>
        <v>Y</v>
      </c>
      <c r="U29" s="3">
        <v>76</v>
      </c>
      <c r="V29" s="3" t="str">
        <f>IFERROR(MID(VLOOKUP($B29,Seqs!$A:$B,2,0),W29,1),"")</f>
        <v>I</v>
      </c>
      <c r="W29" s="3">
        <v>111</v>
      </c>
      <c r="X29" s="3" t="str">
        <f>IFERROR(MID(VLOOKUP($B29,Seqs!$A:$B,2,0),Y29,1),"")</f>
        <v>P</v>
      </c>
      <c r="Y29" s="3">
        <v>112</v>
      </c>
      <c r="Z29" s="3" t="str">
        <f>IFERROR(MID(VLOOKUP($B29,Seqs!$A:$B,2,0),AA29,1),"")</f>
        <v>V</v>
      </c>
      <c r="AA29" s="3">
        <v>119</v>
      </c>
      <c r="AB29" s="3" t="str">
        <f>IFERROR(MID(VLOOKUP($B29,Seqs!$A:$B,2,0),AC29,1),"")</f>
        <v>T</v>
      </c>
      <c r="AC29" s="3">
        <v>120</v>
      </c>
      <c r="AD29" s="3" t="str">
        <f>IFERROR(MID(VLOOKUP($B29,Seqs!$A:$B,2,0),AE29,1),"")</f>
        <v>G</v>
      </c>
      <c r="AE29" s="3">
        <v>145</v>
      </c>
      <c r="AF29" s="3" t="str">
        <f>IFERROR(MID(VLOOKUP($B29,Seqs!$A:$B,2,0),AG29,1),"")</f>
        <v>C</v>
      </c>
      <c r="AG29" s="3">
        <v>169</v>
      </c>
      <c r="AH29" s="3" t="str">
        <f>IFERROR(MID(VLOOKUP($B29,Seqs!$A:$B,2,0),AI29,1),"")</f>
        <v>F</v>
      </c>
      <c r="AI29" s="3">
        <v>171</v>
      </c>
      <c r="AJ29" s="3" t="str">
        <f>IFERROR(MID(VLOOKUP($B29,Seqs!$A:$B,2,0),AK29,1),"")</f>
        <v>S</v>
      </c>
      <c r="AK29" s="3">
        <v>176</v>
      </c>
      <c r="AL29" s="3" t="str">
        <f>IFERROR(MID(VLOOKUP($B29,Seqs!$A:$B,2,0),AM29,1),"")</f>
        <v>L</v>
      </c>
      <c r="AM29" s="3">
        <v>211</v>
      </c>
      <c r="AN29" s="3" t="str">
        <f>IFERROR(MID(VLOOKUP($B29,Seqs!$A:$B,2,0),AO29,1),"")</f>
        <v>G</v>
      </c>
      <c r="AO29" s="3">
        <v>220</v>
      </c>
      <c r="AP29" s="3" t="str">
        <f>IFERROR(MID(VLOOKUP($B29,Seqs!$A:$B,2,0),AQ29,1),"")</f>
        <v>C</v>
      </c>
      <c r="AQ29" s="3">
        <v>260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F</v>
      </c>
      <c r="AY29" s="3">
        <v>307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69"/>
        <v>1</v>
      </c>
      <c r="BC29" s="23">
        <f t="shared" si="170"/>
        <v>262</v>
      </c>
      <c r="BD29" s="4" t="s">
        <v>1370</v>
      </c>
      <c r="BE29" s="3" t="s">
        <v>1368</v>
      </c>
      <c r="BF29" s="118">
        <v>3.2</v>
      </c>
      <c r="BG29" s="49" t="s">
        <v>1371</v>
      </c>
      <c r="BH29" s="49" t="s">
        <v>1371</v>
      </c>
      <c r="BI29" s="1"/>
      <c r="BJ29" s="70" t="s">
        <v>1281</v>
      </c>
      <c r="BK29" s="57" t="s">
        <v>1281</v>
      </c>
      <c r="BL29" s="57" t="s">
        <v>1281</v>
      </c>
      <c r="BM29" s="57" t="s">
        <v>1281</v>
      </c>
      <c r="BN29" s="57" t="s">
        <v>1281</v>
      </c>
      <c r="BO29" s="57" t="s">
        <v>1281</v>
      </c>
      <c r="BP29" s="57" t="s">
        <v>1281</v>
      </c>
      <c r="BQ29" s="57" t="s">
        <v>1281</v>
      </c>
      <c r="BR29" s="57" t="s">
        <v>1281</v>
      </c>
      <c r="BS29" s="57" t="s">
        <v>1281</v>
      </c>
      <c r="BT29" s="57" t="s">
        <v>1281</v>
      </c>
      <c r="BU29" s="57" t="s">
        <v>1281</v>
      </c>
      <c r="BV29" s="70">
        <f t="shared" si="171"/>
        <v>6</v>
      </c>
      <c r="BW29" s="71">
        <f t="shared" si="172"/>
        <v>38</v>
      </c>
      <c r="BX29" s="72">
        <f t="shared" si="173"/>
        <v>42</v>
      </c>
      <c r="BY29" s="71">
        <f t="shared" si="174"/>
        <v>73</v>
      </c>
      <c r="BZ29" s="72">
        <f t="shared" si="175"/>
        <v>76</v>
      </c>
      <c r="CA29" s="71">
        <f t="shared" si="176"/>
        <v>112</v>
      </c>
      <c r="CB29" s="72">
        <f t="shared" si="177"/>
        <v>120</v>
      </c>
      <c r="CC29" s="71">
        <f t="shared" si="178"/>
        <v>169</v>
      </c>
      <c r="CD29" s="72">
        <f t="shared" si="179"/>
        <v>176</v>
      </c>
      <c r="CE29" s="71">
        <f t="shared" si="180"/>
        <v>220</v>
      </c>
      <c r="CF29" s="72">
        <f t="shared" si="181"/>
        <v>266</v>
      </c>
      <c r="CG29" s="71">
        <f t="shared" si="182"/>
        <v>292</v>
      </c>
      <c r="CH29" s="70">
        <f t="shared" si="183"/>
        <v>37</v>
      </c>
      <c r="CI29" s="71">
        <f t="shared" si="184"/>
        <v>41</v>
      </c>
      <c r="CJ29" s="72">
        <f t="shared" si="185"/>
        <v>72</v>
      </c>
      <c r="CK29" s="72">
        <f t="shared" si="186"/>
        <v>75</v>
      </c>
      <c r="CL29" s="72">
        <f t="shared" si="187"/>
        <v>111</v>
      </c>
      <c r="CM29" s="72">
        <f t="shared" si="188"/>
        <v>119</v>
      </c>
      <c r="CN29" s="72">
        <f t="shared" si="189"/>
        <v>145</v>
      </c>
      <c r="CO29" s="72">
        <f t="shared" si="190"/>
        <v>171</v>
      </c>
      <c r="CP29" s="72">
        <f t="shared" si="191"/>
        <v>211</v>
      </c>
      <c r="CQ29" s="72">
        <f t="shared" si="192"/>
        <v>260</v>
      </c>
      <c r="CR29" s="72">
        <f t="shared" si="193"/>
        <v>291</v>
      </c>
      <c r="CS29" s="72">
        <f t="shared" si="194"/>
        <v>307</v>
      </c>
      <c r="CT29" s="23">
        <f t="shared" si="195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>CONCATENATE(B30,"_",C30)</f>
        <v>aa1r_human_6D9H</v>
      </c>
      <c r="B30" s="3" t="s">
        <v>138</v>
      </c>
      <c r="C30" s="3" t="s">
        <v>1497</v>
      </c>
      <c r="D30" s="3" t="str">
        <f>IFERROR(MID(VLOOKUP($B30,Seqs!$A:$B,2,0),E30,1),"")</f>
        <v>S</v>
      </c>
      <c r="E30" s="3">
        <v>6</v>
      </c>
      <c r="F30" s="3" t="str">
        <f>IFERROR(MID(VLOOKUP($B30,Seqs!$A:$B,2,0),G30,1),"")</f>
        <v>N</v>
      </c>
      <c r="G30" s="3">
        <v>37</v>
      </c>
      <c r="H30" s="3" t="str">
        <f>IFERROR(MID(VLOOKUP($B30,Seqs!$A:$B,2,0),I30,1),"")</f>
        <v/>
      </c>
      <c r="I30" s="23" t="s">
        <v>23</v>
      </c>
      <c r="J30" s="3" t="str">
        <f>IFERROR(MID(VLOOKUP($B30,Seqs!$A:$B,2,0),K30,1),"")</f>
        <v/>
      </c>
      <c r="K30" s="23" t="s">
        <v>23</v>
      </c>
      <c r="L30" s="3" t="str">
        <f>IFERROR(MID(VLOOKUP($B30,Seqs!$A:$B,2,0),M30,1),"")</f>
        <v>D</v>
      </c>
      <c r="M30" s="3">
        <v>42</v>
      </c>
      <c r="N30" s="3" t="str">
        <f>IFERROR(MID(VLOOKUP($B30,Seqs!$A:$B,2,0),O30,1),"")</f>
        <v>G</v>
      </c>
      <c r="O30" s="3">
        <v>72</v>
      </c>
      <c r="P30" s="3" t="str">
        <f>IFERROR(MID(VLOOKUP($B30,Seqs!$A:$B,2,0),Q30,1),"")</f>
        <v>P</v>
      </c>
      <c r="Q30" s="3">
        <v>73</v>
      </c>
      <c r="R30" s="3" t="str">
        <f>IFERROR(MID(VLOOKUP($B30,Seqs!$A:$B,2,0),S30,1),"")</f>
        <v>T</v>
      </c>
      <c r="S30" s="3">
        <v>75</v>
      </c>
      <c r="T30" s="3" t="str">
        <f>IFERROR(MID(VLOOKUP($B30,Seqs!$A:$B,2,0),U30,1),"")</f>
        <v>Y</v>
      </c>
      <c r="U30" s="3">
        <v>76</v>
      </c>
      <c r="V30" s="3" t="str">
        <f>IFERROR(MID(VLOOKUP($B30,Seqs!$A:$B,2,0),W30,1),"")</f>
        <v>I</v>
      </c>
      <c r="W30" s="3">
        <v>111</v>
      </c>
      <c r="X30" s="3" t="str">
        <f>IFERROR(MID(VLOOKUP($B30,Seqs!$A:$B,2,0),Y30,1),"")</f>
        <v>P</v>
      </c>
      <c r="Y30" s="3">
        <v>112</v>
      </c>
      <c r="Z30" s="3" t="str">
        <f>IFERROR(MID(VLOOKUP($B30,Seqs!$A:$B,2,0),AA30,1),"")</f>
        <v>V</v>
      </c>
      <c r="AA30" s="3">
        <v>119</v>
      </c>
      <c r="AB30" s="3" t="str">
        <f>IFERROR(MID(VLOOKUP($B30,Seqs!$A:$B,2,0),AC30,1),"")</f>
        <v>T</v>
      </c>
      <c r="AC30" s="3">
        <v>120</v>
      </c>
      <c r="AD30" s="3" t="str">
        <f>IFERROR(MID(VLOOKUP($B30,Seqs!$A:$B,2,0),AE30,1),"")</f>
        <v>G</v>
      </c>
      <c r="AE30" s="3">
        <v>145</v>
      </c>
      <c r="AF30" s="3" t="str">
        <f>IFERROR(MID(VLOOKUP($B30,Seqs!$A:$B,2,0),AG30,1),"")</f>
        <v>C</v>
      </c>
      <c r="AG30" s="3">
        <v>169</v>
      </c>
      <c r="AH30" s="3" t="str">
        <f>IFERROR(MID(VLOOKUP($B30,Seqs!$A:$B,2,0),AI30,1),"")</f>
        <v>F</v>
      </c>
      <c r="AI30" s="3">
        <v>171</v>
      </c>
      <c r="AJ30" s="3" t="str">
        <f>IFERROR(MID(VLOOKUP($B30,Seqs!$A:$B,2,0),AK30,1),"")</f>
        <v>S</v>
      </c>
      <c r="AK30" s="3">
        <v>176</v>
      </c>
      <c r="AL30" s="3" t="str">
        <f>IFERROR(MID(VLOOKUP($B30,Seqs!$A:$B,2,0),AM30,1),"")</f>
        <v>K</v>
      </c>
      <c r="AM30" s="3">
        <v>213</v>
      </c>
      <c r="AN30" s="3" t="str">
        <f>IFERROR(MID(VLOOKUP($B30,Seqs!$A:$B,2,0),AO30,1),"")</f>
        <v>Q</v>
      </c>
      <c r="AO30" s="3">
        <v>223</v>
      </c>
      <c r="AP30" s="3" t="str">
        <f>IFERROR(MID(VLOOKUP($B30,Seqs!$A:$B,2,0),AQ30,1),"")</f>
        <v>C</v>
      </c>
      <c r="AQ30" s="3">
        <v>260</v>
      </c>
      <c r="AR30" s="3" t="str">
        <f>IFERROR(MID(VLOOKUP($B30,Seqs!$A:$B,2,0),AS30,1),"")</f>
        <v>S</v>
      </c>
      <c r="AS30" s="3">
        <v>267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K</v>
      </c>
      <c r="AY30" s="3">
        <v>301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>AND(E30&lt;G30,OR(G30&lt;I30,I30="-"),OR(I30&lt;K30,I30="-"),OR(K30&lt;M30,K30="-"),M30&lt;O30,OR(O30&lt;Q30,Q30="-"),OR(Q30&lt;S30,Q30="-"),OR(S30&lt;U30,S30="-"),U30&lt;W30,OR(W30&lt;Y30,Y30="-"),OR(Y30&lt;AA30,Y30="-"),OR(AA30&lt;AC30,AA30="-"),AC30&lt;AE30,OR(AE30&lt;AG30,AG30="-"),OR(AG30&lt;AI30,AG30="-"),OR(AI30&lt;AK30,AI30="-"),AK30&lt;AM30,AM30&lt;AO30,AO30&lt;AQ30,AQ30&lt;AS30,AS30&lt;AU30,OR(AU30&lt;AW30,AW30="-"),OR(AW30&lt;AY30,AW30="-"))</f>
        <v>1</v>
      </c>
      <c r="BC30" s="23">
        <f>_xlfn.AGGREGATE(9,6,CH30:CS30)-_xlfn.AGGREGATE(9,6,BV30:CG30)+12</f>
        <v>251</v>
      </c>
      <c r="BD30" s="4" t="s">
        <v>1369</v>
      </c>
      <c r="BE30" s="3" t="s">
        <v>1285</v>
      </c>
      <c r="BF30" s="118">
        <v>3.6</v>
      </c>
      <c r="BG30" s="49" t="s">
        <v>1416</v>
      </c>
      <c r="BH30" s="49" t="s">
        <v>1416</v>
      </c>
      <c r="BI30" s="1"/>
      <c r="BJ30" s="70" t="s">
        <v>1281</v>
      </c>
      <c r="BK30" s="57" t="s">
        <v>1281</v>
      </c>
      <c r="BL30" s="57" t="s">
        <v>1281</v>
      </c>
      <c r="BM30" s="57" t="s">
        <v>1281</v>
      </c>
      <c r="BN30" s="57" t="s">
        <v>1281</v>
      </c>
      <c r="BO30" s="57" t="s">
        <v>1281</v>
      </c>
      <c r="BP30" s="57" t="s">
        <v>1281</v>
      </c>
      <c r="BQ30" s="57" t="s">
        <v>1281</v>
      </c>
      <c r="BR30" s="57" t="s">
        <v>1281</v>
      </c>
      <c r="BS30" s="57" t="s">
        <v>1281</v>
      </c>
      <c r="BT30" s="57" t="s">
        <v>1281</v>
      </c>
      <c r="BU30" s="57" t="s">
        <v>1281</v>
      </c>
      <c r="BV30" s="70">
        <f>E30</f>
        <v>6</v>
      </c>
      <c r="BW30" s="71" t="str">
        <f>I30</f>
        <v>-</v>
      </c>
      <c r="BX30" s="72">
        <f>M30</f>
        <v>42</v>
      </c>
      <c r="BY30" s="71">
        <f>Q30</f>
        <v>73</v>
      </c>
      <c r="BZ30" s="72">
        <f>U30</f>
        <v>76</v>
      </c>
      <c r="CA30" s="71">
        <f>Y30</f>
        <v>112</v>
      </c>
      <c r="CB30" s="72">
        <f>AC30</f>
        <v>120</v>
      </c>
      <c r="CC30" s="71">
        <f>AG30</f>
        <v>169</v>
      </c>
      <c r="CD30" s="72">
        <f>AK30</f>
        <v>176</v>
      </c>
      <c r="CE30" s="71">
        <f>AO30</f>
        <v>223</v>
      </c>
      <c r="CF30" s="72">
        <f>AS30</f>
        <v>267</v>
      </c>
      <c r="CG30" s="71">
        <f>AW30</f>
        <v>292</v>
      </c>
      <c r="CH30" s="70">
        <f>G30</f>
        <v>37</v>
      </c>
      <c r="CI30" s="71" t="str">
        <f>K30</f>
        <v>-</v>
      </c>
      <c r="CJ30" s="72">
        <f>O30</f>
        <v>72</v>
      </c>
      <c r="CK30" s="72">
        <f>S30</f>
        <v>75</v>
      </c>
      <c r="CL30" s="72">
        <f>W30</f>
        <v>111</v>
      </c>
      <c r="CM30" s="72">
        <f>AA30</f>
        <v>119</v>
      </c>
      <c r="CN30" s="72">
        <f>AE30</f>
        <v>145</v>
      </c>
      <c r="CO30" s="72">
        <f>AI30</f>
        <v>171</v>
      </c>
      <c r="CP30" s="72">
        <f>AM30</f>
        <v>213</v>
      </c>
      <c r="CQ30" s="72">
        <f>AQ30</f>
        <v>260</v>
      </c>
      <c r="CR30" s="72">
        <f>AU30</f>
        <v>291</v>
      </c>
      <c r="CS30" s="72">
        <f>AY30</f>
        <v>301</v>
      </c>
      <c r="CT30" s="23" t="e">
        <f>M30-K30</f>
        <v>#VALUE!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aa2ar_human__wt</v>
      </c>
      <c r="B31" s="3" t="s">
        <v>139</v>
      </c>
      <c r="C31" s="3" t="s">
        <v>100</v>
      </c>
      <c r="D31" s="3" t="str">
        <f>IFERROR(MID(VLOOKUP($B31,Seqs!$A:$B,2,0),E31,1),"")</f>
        <v>M</v>
      </c>
      <c r="E31" s="3">
        <v>1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S</v>
      </c>
      <c r="AM31" s="3">
        <v>213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F</v>
      </c>
      <c r="AY31" s="3">
        <v>314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ref="BC31:BC41" si="308">_xlfn.AGGREGATE(9,6,CH31:CS31)-_xlfn.AGGREGATE(9,6,BV31:CG31)+12</f>
        <v>276</v>
      </c>
      <c r="BD31" s="34" t="s">
        <v>23</v>
      </c>
      <c r="BE31" s="3" t="s">
        <v>23</v>
      </c>
      <c r="BF31" s="118" t="s">
        <v>23</v>
      </c>
      <c r="BG31" s="49" t="s">
        <v>1366</v>
      </c>
      <c r="BH31" s="49" t="s">
        <v>1371</v>
      </c>
      <c r="BI31" s="1"/>
      <c r="BJ31" s="70" t="s">
        <v>1281</v>
      </c>
      <c r="BK31" s="57" t="s">
        <v>1281</v>
      </c>
      <c r="BL31" s="57" t="s">
        <v>1281</v>
      </c>
      <c r="BM31" s="57" t="s">
        <v>1281</v>
      </c>
      <c r="BN31" s="57" t="s">
        <v>1281</v>
      </c>
      <c r="BO31" s="57" t="s">
        <v>1281</v>
      </c>
      <c r="BP31" s="57" t="s">
        <v>1281</v>
      </c>
      <c r="BQ31" s="57" t="s">
        <v>1281</v>
      </c>
      <c r="BR31" s="57" t="s">
        <v>1281</v>
      </c>
      <c r="BS31" s="57" t="s">
        <v>1281</v>
      </c>
      <c r="BT31" s="57" t="s">
        <v>1281</v>
      </c>
      <c r="BU31" s="57" t="s">
        <v>1281</v>
      </c>
      <c r="BV31" s="70">
        <f t="shared" si="3"/>
        <v>1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213</v>
      </c>
      <c r="CQ31" s="72">
        <f t="shared" si="24"/>
        <v>259</v>
      </c>
      <c r="CR31" s="72">
        <f t="shared" si="25"/>
        <v>291</v>
      </c>
      <c r="CS31" s="72">
        <f t="shared" si="26"/>
        <v>314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aa2ar_human_2YDO</v>
      </c>
      <c r="B32" s="3" t="s">
        <v>139</v>
      </c>
      <c r="C32" s="3" t="s">
        <v>1022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210</v>
      </c>
      <c r="AN32" s="3" t="str">
        <f>IFERROR(MID(VLOOKUP($B32,Seqs!$A:$B,2,0),AO32,1),"")</f>
        <v>L</v>
      </c>
      <c r="AO32" s="3">
        <v>225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A</v>
      </c>
      <c r="AY32" s="3">
        <v>317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308"/>
        <v>264</v>
      </c>
      <c r="BD32" s="4" t="s">
        <v>23</v>
      </c>
      <c r="BE32" s="3" t="s">
        <v>1422</v>
      </c>
      <c r="BF32" s="118">
        <v>3</v>
      </c>
      <c r="BG32" s="49" t="s">
        <v>1371</v>
      </c>
      <c r="BH32" s="49" t="s">
        <v>1371</v>
      </c>
      <c r="BI32" s="1"/>
      <c r="BJ32" s="70" t="s">
        <v>1281</v>
      </c>
      <c r="BK32" s="57" t="s">
        <v>1281</v>
      </c>
      <c r="BL32" s="57" t="s">
        <v>1281</v>
      </c>
      <c r="BM32" s="57" t="s">
        <v>1281</v>
      </c>
      <c r="BN32" s="57" t="s">
        <v>1281</v>
      </c>
      <c r="BO32" s="57" t="s">
        <v>1281</v>
      </c>
      <c r="BP32" s="57" t="s">
        <v>1281</v>
      </c>
      <c r="BQ32" s="57" t="s">
        <v>1281</v>
      </c>
      <c r="BR32" s="57" t="s">
        <v>1281</v>
      </c>
      <c r="BS32" s="57" t="s">
        <v>1281</v>
      </c>
      <c r="BT32" s="57" t="s">
        <v>1281</v>
      </c>
      <c r="BU32" s="57" t="s">
        <v>1281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225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210</v>
      </c>
      <c r="CQ32" s="72">
        <f t="shared" si="24"/>
        <v>259</v>
      </c>
      <c r="CR32" s="72">
        <f t="shared" si="25"/>
        <v>291</v>
      </c>
      <c r="CS32" s="72">
        <f t="shared" si="26"/>
        <v>317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aa2ar_human_2YDV</v>
      </c>
      <c r="B33" s="3" t="s">
        <v>139</v>
      </c>
      <c r="C33" s="3" t="s">
        <v>80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Q</v>
      </c>
      <c r="AM33" s="3">
        <v>210</v>
      </c>
      <c r="AN33" s="3" t="str">
        <f>IFERROR(MID(VLOOKUP($B33,Seqs!$A:$B,2,0),AO33,1),"")</f>
        <v>T</v>
      </c>
      <c r="AO33" s="3">
        <v>224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A</v>
      </c>
      <c r="AY33" s="3">
        <v>317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308"/>
        <v>265</v>
      </c>
      <c r="BD33" s="4" t="s">
        <v>23</v>
      </c>
      <c r="BE33" s="3" t="s">
        <v>1422</v>
      </c>
      <c r="BF33" s="118">
        <v>2.6</v>
      </c>
      <c r="BG33" s="49" t="s">
        <v>1371</v>
      </c>
      <c r="BH33" s="49" t="s">
        <v>1371</v>
      </c>
      <c r="BI33" s="1"/>
      <c r="BJ33" s="70" t="s">
        <v>1281</v>
      </c>
      <c r="BK33" s="57" t="s">
        <v>1281</v>
      </c>
      <c r="BL33" s="57" t="s">
        <v>1281</v>
      </c>
      <c r="BM33" s="57" t="s">
        <v>1281</v>
      </c>
      <c r="BN33" s="57" t="s">
        <v>1281</v>
      </c>
      <c r="BO33" s="57" t="s">
        <v>1281</v>
      </c>
      <c r="BP33" s="57" t="s">
        <v>1281</v>
      </c>
      <c r="BQ33" s="57" t="s">
        <v>1281</v>
      </c>
      <c r="BR33" s="57" t="s">
        <v>1281</v>
      </c>
      <c r="BS33" s="57" t="s">
        <v>1281</v>
      </c>
      <c r="BT33" s="57" t="s">
        <v>1281</v>
      </c>
      <c r="BU33" s="57" t="s">
        <v>1281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224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210</v>
      </c>
      <c r="CQ33" s="72">
        <f t="shared" si="24"/>
        <v>259</v>
      </c>
      <c r="CR33" s="72">
        <f t="shared" si="25"/>
        <v>291</v>
      </c>
      <c r="CS33" s="72">
        <f t="shared" si="26"/>
        <v>317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x14ac:dyDescent="0.2">
      <c r="A34" s="3" t="str">
        <f t="shared" si="0"/>
        <v>aa2ar_human_3QAK</v>
      </c>
      <c r="B34" s="3" t="s">
        <v>139</v>
      </c>
      <c r="C34" s="3" t="s">
        <v>1027</v>
      </c>
      <c r="D34" s="3" t="str">
        <f>IFERROR(MID(VLOOKUP($B34,Seqs!$A:$B,2,0),E34,1),"")</f>
        <v>G</v>
      </c>
      <c r="E34" s="3">
        <v>5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A</v>
      </c>
      <c r="AM34" s="3">
        <v>204</v>
      </c>
      <c r="AN34" s="3" t="str">
        <f>IFERROR(MID(VLOOKUP($B34,Seqs!$A:$B,2,0),AO34,1),"")</f>
        <v>Q</v>
      </c>
      <c r="AO34" s="3">
        <v>226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L</v>
      </c>
      <c r="AY34" s="3">
        <v>308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308"/>
        <v>250</v>
      </c>
      <c r="BD34" s="4" t="s">
        <v>23</v>
      </c>
      <c r="BE34" s="3" t="s">
        <v>1422</v>
      </c>
      <c r="BF34" s="118">
        <v>2.71</v>
      </c>
      <c r="BG34" s="49" t="s">
        <v>1371</v>
      </c>
      <c r="BH34" s="49" t="s">
        <v>1371</v>
      </c>
      <c r="BI34" s="1"/>
      <c r="BJ34" s="70" t="s">
        <v>1281</v>
      </c>
      <c r="BK34" s="57" t="s">
        <v>1281</v>
      </c>
      <c r="BL34" s="57" t="s">
        <v>1281</v>
      </c>
      <c r="BM34" s="57" t="s">
        <v>1281</v>
      </c>
      <c r="BN34" s="57" t="s">
        <v>1281</v>
      </c>
      <c r="BO34" s="57" t="s">
        <v>1281</v>
      </c>
      <c r="BP34" s="57" t="s">
        <v>1281</v>
      </c>
      <c r="BQ34" s="57" t="s">
        <v>1281</v>
      </c>
      <c r="BR34" s="57" t="s">
        <v>1281</v>
      </c>
      <c r="BS34" s="57" t="s">
        <v>1281</v>
      </c>
      <c r="BT34" s="57" t="s">
        <v>1281</v>
      </c>
      <c r="BU34" s="57" t="s">
        <v>1281</v>
      </c>
      <c r="BV34" s="70">
        <f t="shared" si="3"/>
        <v>5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226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204</v>
      </c>
      <c r="CQ34" s="72">
        <f t="shared" si="24"/>
        <v>259</v>
      </c>
      <c r="CR34" s="72">
        <f t="shared" si="25"/>
        <v>291</v>
      </c>
      <c r="CS34" s="72">
        <f t="shared" si="26"/>
        <v>308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30" x14ac:dyDescent="0.2">
      <c r="A35" s="3" t="str">
        <f t="shared" si="0"/>
        <v>aa2ar_human_3REY</v>
      </c>
      <c r="B35" s="3" t="s">
        <v>139</v>
      </c>
      <c r="C35" s="3" t="s">
        <v>83</v>
      </c>
      <c r="D35" s="3" t="str">
        <f>IFERROR(MID(VLOOKUP($B35,Seqs!$A:$B,2,0),E35,1),"")</f>
        <v>S</v>
      </c>
      <c r="E35" s="3">
        <v>7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210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308"/>
        <v>258</v>
      </c>
      <c r="BD35" s="4" t="s">
        <v>23</v>
      </c>
      <c r="BE35" s="3" t="s">
        <v>1422</v>
      </c>
      <c r="BF35" s="118">
        <v>3.31</v>
      </c>
      <c r="BG35" s="49" t="s">
        <v>1371</v>
      </c>
      <c r="BH35" s="49" t="s">
        <v>1371</v>
      </c>
      <c r="BI35" s="1"/>
      <c r="BJ35" s="70" t="s">
        <v>1281</v>
      </c>
      <c r="BK35" s="57" t="s">
        <v>1281</v>
      </c>
      <c r="BL35" s="57" t="s">
        <v>1281</v>
      </c>
      <c r="BM35" s="57" t="s">
        <v>1281</v>
      </c>
      <c r="BN35" s="57" t="s">
        <v>1281</v>
      </c>
      <c r="BO35" s="57" t="s">
        <v>1281</v>
      </c>
      <c r="BP35" s="57" t="s">
        <v>1281</v>
      </c>
      <c r="BQ35" s="57" t="s">
        <v>1281</v>
      </c>
      <c r="BR35" s="57" t="s">
        <v>1281</v>
      </c>
      <c r="BS35" s="57" t="s">
        <v>1281</v>
      </c>
      <c r="BT35" s="57" t="s">
        <v>1281</v>
      </c>
      <c r="BU35" s="57" t="s">
        <v>1281</v>
      </c>
      <c r="BV35" s="70">
        <f t="shared" si="3"/>
        <v>7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219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210</v>
      </c>
      <c r="CQ35" s="72">
        <f t="shared" si="24"/>
        <v>259</v>
      </c>
      <c r="CR35" s="72">
        <f t="shared" si="25"/>
        <v>291</v>
      </c>
      <c r="CS35" s="72">
        <f t="shared" si="26"/>
        <v>305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30" x14ac:dyDescent="0.2">
      <c r="A36" s="3" t="str">
        <f t="shared" si="0"/>
        <v>aa2ar_human_3RFM</v>
      </c>
      <c r="B36" s="3" t="s">
        <v>139</v>
      </c>
      <c r="C36" s="3" t="s">
        <v>1028</v>
      </c>
      <c r="D36" s="3" t="str">
        <f>IFERROR(MID(VLOOKUP($B36,Seqs!$A:$B,2,0),E36,1),"")</f>
        <v>S</v>
      </c>
      <c r="E36" s="3">
        <v>7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S</v>
      </c>
      <c r="AM36" s="3">
        <v>213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308"/>
        <v>261</v>
      </c>
      <c r="BD36" s="4" t="s">
        <v>23</v>
      </c>
      <c r="BE36" s="3" t="s">
        <v>1368</v>
      </c>
      <c r="BF36" s="118">
        <v>3.6</v>
      </c>
      <c r="BG36" s="49" t="s">
        <v>1371</v>
      </c>
      <c r="BH36" s="49" t="s">
        <v>1371</v>
      </c>
      <c r="BI36" s="1"/>
      <c r="BJ36" s="70" t="s">
        <v>1281</v>
      </c>
      <c r="BK36" s="57" t="s">
        <v>1281</v>
      </c>
      <c r="BL36" s="57" t="s">
        <v>1281</v>
      </c>
      <c r="BM36" s="57" t="s">
        <v>1281</v>
      </c>
      <c r="BN36" s="57" t="s">
        <v>1281</v>
      </c>
      <c r="BO36" s="57" t="s">
        <v>1281</v>
      </c>
      <c r="BP36" s="57" t="s">
        <v>1281</v>
      </c>
      <c r="BQ36" s="57" t="s">
        <v>1281</v>
      </c>
      <c r="BR36" s="57" t="s">
        <v>1281</v>
      </c>
      <c r="BS36" s="57" t="s">
        <v>1281</v>
      </c>
      <c r="BT36" s="57" t="s">
        <v>1281</v>
      </c>
      <c r="BU36" s="57" t="s">
        <v>1281</v>
      </c>
      <c r="BV36" s="70">
        <f t="shared" si="3"/>
        <v>7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213</v>
      </c>
      <c r="CQ36" s="72">
        <f t="shared" si="24"/>
        <v>259</v>
      </c>
      <c r="CR36" s="72">
        <f t="shared" si="25"/>
        <v>291</v>
      </c>
      <c r="CS36" s="72">
        <f t="shared" si="26"/>
        <v>305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aa2ar_human_3UZA</v>
      </c>
      <c r="B37" s="3" t="s">
        <v>139</v>
      </c>
      <c r="C37" s="3" t="s">
        <v>1029</v>
      </c>
      <c r="D37" s="3" t="str">
        <f>IFERROR(MID(VLOOKUP($B37,Seqs!$A:$B,2,0),E37,1),"")</f>
        <v>S</v>
      </c>
      <c r="E37" s="3">
        <v>7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S</v>
      </c>
      <c r="AY37" s="3">
        <v>305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308"/>
        <v>261</v>
      </c>
      <c r="BD37" s="4" t="s">
        <v>23</v>
      </c>
      <c r="BE37" s="3" t="s">
        <v>1368</v>
      </c>
      <c r="BF37" s="118">
        <v>3.27</v>
      </c>
      <c r="BG37" s="49" t="s">
        <v>1371</v>
      </c>
      <c r="BH37" s="49" t="s">
        <v>1371</v>
      </c>
      <c r="BI37" s="1"/>
      <c r="BJ37" s="70" t="s">
        <v>1281</v>
      </c>
      <c r="BK37" s="57" t="s">
        <v>1281</v>
      </c>
      <c r="BL37" s="57" t="s">
        <v>1281</v>
      </c>
      <c r="BM37" s="57" t="s">
        <v>1281</v>
      </c>
      <c r="BN37" s="57" t="s">
        <v>1281</v>
      </c>
      <c r="BO37" s="57" t="s">
        <v>1281</v>
      </c>
      <c r="BP37" s="57" t="s">
        <v>1281</v>
      </c>
      <c r="BQ37" s="57" t="s">
        <v>1281</v>
      </c>
      <c r="BR37" s="57" t="s">
        <v>1281</v>
      </c>
      <c r="BS37" s="57" t="s">
        <v>1281</v>
      </c>
      <c r="BT37" s="57" t="s">
        <v>1281</v>
      </c>
      <c r="BU37" s="57" t="s">
        <v>1281</v>
      </c>
      <c r="BV37" s="70">
        <f t="shared" si="3"/>
        <v>7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305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s="6" customFormat="1" x14ac:dyDescent="0.2">
      <c r="A38" s="3" t="str">
        <f t="shared" si="0"/>
        <v>aa2ar_human_3UZC</v>
      </c>
      <c r="B38" s="3" t="s">
        <v>139</v>
      </c>
      <c r="C38" s="3" t="s">
        <v>1030</v>
      </c>
      <c r="D38" s="3" t="str">
        <f>IFERROR(MID(VLOOKUP($B38,Seqs!$A:$B,2,0),E38,1),"")</f>
        <v>S</v>
      </c>
      <c r="E38" s="3">
        <v>7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S</v>
      </c>
      <c r="AM38" s="3">
        <v>213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308"/>
        <v>261</v>
      </c>
      <c r="BD38" s="4" t="s">
        <v>23</v>
      </c>
      <c r="BE38" s="3" t="s">
        <v>1368</v>
      </c>
      <c r="BF38" s="118">
        <v>3.34</v>
      </c>
      <c r="BG38" s="49" t="s">
        <v>1371</v>
      </c>
      <c r="BH38" s="49" t="s">
        <v>1371</v>
      </c>
      <c r="BI38" s="1"/>
      <c r="BJ38" s="70" t="s">
        <v>1281</v>
      </c>
      <c r="BK38" s="57" t="s">
        <v>1281</v>
      </c>
      <c r="BL38" s="57" t="s">
        <v>1281</v>
      </c>
      <c r="BM38" s="57" t="s">
        <v>1281</v>
      </c>
      <c r="BN38" s="57" t="s">
        <v>1281</v>
      </c>
      <c r="BO38" s="57" t="s">
        <v>1281</v>
      </c>
      <c r="BP38" s="57" t="s">
        <v>1281</v>
      </c>
      <c r="BQ38" s="57" t="s">
        <v>1281</v>
      </c>
      <c r="BR38" s="57" t="s">
        <v>1281</v>
      </c>
      <c r="BS38" s="57" t="s">
        <v>1281</v>
      </c>
      <c r="BT38" s="57" t="s">
        <v>1281</v>
      </c>
      <c r="BU38" s="57" t="s">
        <v>1281</v>
      </c>
      <c r="BV38" s="70">
        <f t="shared" si="3"/>
        <v>7</v>
      </c>
      <c r="BW38" s="71">
        <f t="shared" si="4"/>
        <v>35</v>
      </c>
      <c r="BX38" s="72">
        <f t="shared" si="5"/>
        <v>39</v>
      </c>
      <c r="BY38" s="71">
        <f t="shared" si="6"/>
        <v>70</v>
      </c>
      <c r="BZ38" s="72">
        <f t="shared" si="7"/>
        <v>73</v>
      </c>
      <c r="CA38" s="71">
        <f t="shared" si="8"/>
        <v>109</v>
      </c>
      <c r="CB38" s="72">
        <f t="shared" si="9"/>
        <v>117</v>
      </c>
      <c r="CC38" s="71">
        <f t="shared" si="10"/>
        <v>166</v>
      </c>
      <c r="CD38" s="72">
        <f t="shared" si="11"/>
        <v>173</v>
      </c>
      <c r="CE38" s="71">
        <f t="shared" si="12"/>
        <v>219</v>
      </c>
      <c r="CF38" s="72">
        <f t="shared" si="13"/>
        <v>266</v>
      </c>
      <c r="CG38" s="71">
        <f t="shared" si="14"/>
        <v>292</v>
      </c>
      <c r="CH38" s="70">
        <f t="shared" si="15"/>
        <v>34</v>
      </c>
      <c r="CI38" s="71">
        <f t="shared" si="16"/>
        <v>38</v>
      </c>
      <c r="CJ38" s="72">
        <f t="shared" si="17"/>
        <v>69</v>
      </c>
      <c r="CK38" s="72">
        <f t="shared" si="18"/>
        <v>72</v>
      </c>
      <c r="CL38" s="72">
        <f t="shared" si="19"/>
        <v>108</v>
      </c>
      <c r="CM38" s="72">
        <f t="shared" si="20"/>
        <v>116</v>
      </c>
      <c r="CN38" s="72">
        <f t="shared" si="21"/>
        <v>142</v>
      </c>
      <c r="CO38" s="72">
        <f t="shared" si="22"/>
        <v>168</v>
      </c>
      <c r="CP38" s="72">
        <f t="shared" si="23"/>
        <v>213</v>
      </c>
      <c r="CQ38" s="72">
        <f t="shared" si="24"/>
        <v>259</v>
      </c>
      <c r="CR38" s="72">
        <f t="shared" si="25"/>
        <v>291</v>
      </c>
      <c r="CS38" s="72">
        <f t="shared" si="26"/>
        <v>305</v>
      </c>
      <c r="CT38" s="23">
        <f t="shared" si="2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</row>
    <row r="39" spans="1:1030" s="6" customFormat="1" x14ac:dyDescent="0.2">
      <c r="A39" s="3" t="str">
        <f t="shared" si="0"/>
        <v>aa2ar_human_3VG9</v>
      </c>
      <c r="B39" s="3" t="s">
        <v>139</v>
      </c>
      <c r="C39" s="3" t="s">
        <v>1097</v>
      </c>
      <c r="D39" s="3" t="str">
        <f>IFERROR(MID(VLOOKUP($B39,Seqs!$A:$B,2,0),E39,1),"")</f>
        <v>S</v>
      </c>
      <c r="E39" s="3">
        <v>6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Q</v>
      </c>
      <c r="AM39" s="3">
        <v>214</v>
      </c>
      <c r="AN39" s="3" t="str">
        <f>IFERROR(MID(VLOOKUP($B39,Seqs!$A:$B,2,0),AO39,1),"")</f>
        <v>A</v>
      </c>
      <c r="AO39" s="3">
        <v>221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Q</v>
      </c>
      <c r="AY39" s="3">
        <v>311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308"/>
        <v>267</v>
      </c>
      <c r="BD39" s="4" t="s">
        <v>1370</v>
      </c>
      <c r="BE39" s="3" t="s">
        <v>1368</v>
      </c>
      <c r="BF39" s="118">
        <v>2.7</v>
      </c>
      <c r="BG39" s="49" t="s">
        <v>1371</v>
      </c>
      <c r="BH39" s="49" t="s">
        <v>1371</v>
      </c>
      <c r="BI39" s="1"/>
      <c r="BJ39" s="70" t="s">
        <v>1281</v>
      </c>
      <c r="BK39" s="57" t="s">
        <v>1281</v>
      </c>
      <c r="BL39" s="57" t="s">
        <v>1281</v>
      </c>
      <c r="BM39" s="57" t="s">
        <v>1281</v>
      </c>
      <c r="BN39" s="57" t="s">
        <v>1281</v>
      </c>
      <c r="BO39" s="57" t="s">
        <v>1281</v>
      </c>
      <c r="BP39" s="57" t="s">
        <v>1281</v>
      </c>
      <c r="BQ39" s="57" t="s">
        <v>1281</v>
      </c>
      <c r="BR39" s="57" t="s">
        <v>1281</v>
      </c>
      <c r="BS39" s="57" t="s">
        <v>1281</v>
      </c>
      <c r="BT39" s="57" t="s">
        <v>1281</v>
      </c>
      <c r="BU39" s="57" t="s">
        <v>1281</v>
      </c>
      <c r="BV39" s="70">
        <f t="shared" si="3"/>
        <v>6</v>
      </c>
      <c r="BW39" s="71">
        <f t="shared" si="4"/>
        <v>35</v>
      </c>
      <c r="BX39" s="72">
        <f t="shared" si="5"/>
        <v>39</v>
      </c>
      <c r="BY39" s="71">
        <f t="shared" si="6"/>
        <v>70</v>
      </c>
      <c r="BZ39" s="72">
        <f t="shared" si="7"/>
        <v>73</v>
      </c>
      <c r="CA39" s="71">
        <f t="shared" si="8"/>
        <v>109</v>
      </c>
      <c r="CB39" s="72">
        <f t="shared" si="9"/>
        <v>117</v>
      </c>
      <c r="CC39" s="71">
        <f t="shared" si="10"/>
        <v>166</v>
      </c>
      <c r="CD39" s="72">
        <f t="shared" si="11"/>
        <v>173</v>
      </c>
      <c r="CE39" s="71">
        <f t="shared" si="12"/>
        <v>221</v>
      </c>
      <c r="CF39" s="72">
        <f t="shared" si="13"/>
        <v>266</v>
      </c>
      <c r="CG39" s="71">
        <f t="shared" si="14"/>
        <v>292</v>
      </c>
      <c r="CH39" s="70">
        <f t="shared" si="15"/>
        <v>34</v>
      </c>
      <c r="CI39" s="71">
        <f t="shared" si="16"/>
        <v>38</v>
      </c>
      <c r="CJ39" s="72">
        <f t="shared" si="17"/>
        <v>69</v>
      </c>
      <c r="CK39" s="72">
        <f t="shared" si="18"/>
        <v>72</v>
      </c>
      <c r="CL39" s="72">
        <f t="shared" si="19"/>
        <v>108</v>
      </c>
      <c r="CM39" s="72">
        <f t="shared" si="20"/>
        <v>116</v>
      </c>
      <c r="CN39" s="72">
        <f t="shared" si="21"/>
        <v>142</v>
      </c>
      <c r="CO39" s="72">
        <f t="shared" si="22"/>
        <v>168</v>
      </c>
      <c r="CP39" s="72">
        <f t="shared" si="23"/>
        <v>214</v>
      </c>
      <c r="CQ39" s="72">
        <f t="shared" si="24"/>
        <v>259</v>
      </c>
      <c r="CR39" s="72">
        <f t="shared" si="25"/>
        <v>291</v>
      </c>
      <c r="CS39" s="72">
        <f t="shared" si="26"/>
        <v>311</v>
      </c>
      <c r="CT39" s="23">
        <f t="shared" si="27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</row>
    <row r="40" spans="1:1030" x14ac:dyDescent="0.2">
      <c r="A40" s="3" t="str">
        <f t="shared" si="0"/>
        <v>aa2ar_human_4EIY</v>
      </c>
      <c r="B40" s="3" t="s">
        <v>139</v>
      </c>
      <c r="C40" s="3" t="s">
        <v>81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Q</v>
      </c>
      <c r="AM40" s="3">
        <v>207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308"/>
        <v>262</v>
      </c>
      <c r="BD40" s="4" t="s">
        <v>23</v>
      </c>
      <c r="BE40" s="3" t="s">
        <v>1368</v>
      </c>
      <c r="BF40" s="118">
        <v>1.8</v>
      </c>
      <c r="BG40" s="49" t="s">
        <v>1371</v>
      </c>
      <c r="BH40" s="49" t="s">
        <v>1371</v>
      </c>
      <c r="BI40" s="1"/>
      <c r="BJ40" s="70" t="s">
        <v>1281</v>
      </c>
      <c r="BK40" s="57" t="s">
        <v>1281</v>
      </c>
      <c r="BL40" s="57" t="s">
        <v>1281</v>
      </c>
      <c r="BM40" s="57" t="s">
        <v>1281</v>
      </c>
      <c r="BN40" s="57" t="s">
        <v>1281</v>
      </c>
      <c r="BO40" s="57" t="s">
        <v>1281</v>
      </c>
      <c r="BP40" s="57" t="s">
        <v>1281</v>
      </c>
      <c r="BQ40" s="57" t="s">
        <v>1281</v>
      </c>
      <c r="BR40" s="57" t="s">
        <v>1281</v>
      </c>
      <c r="BS40" s="57" t="s">
        <v>1281</v>
      </c>
      <c r="BT40" s="57" t="s">
        <v>1281</v>
      </c>
      <c r="BU40" s="57" t="s">
        <v>1281</v>
      </c>
      <c r="BV40" s="70">
        <f t="shared" si="3"/>
        <v>2</v>
      </c>
      <c r="BW40" s="71">
        <f t="shared" si="4"/>
        <v>35</v>
      </c>
      <c r="BX40" s="72">
        <f t="shared" si="5"/>
        <v>39</v>
      </c>
      <c r="BY40" s="71">
        <f t="shared" si="6"/>
        <v>70</v>
      </c>
      <c r="BZ40" s="72">
        <f t="shared" si="7"/>
        <v>73</v>
      </c>
      <c r="CA40" s="71">
        <f t="shared" si="8"/>
        <v>109</v>
      </c>
      <c r="CB40" s="72">
        <f t="shared" si="9"/>
        <v>117</v>
      </c>
      <c r="CC40" s="71">
        <f t="shared" si="10"/>
        <v>166</v>
      </c>
      <c r="CD40" s="72">
        <f t="shared" si="11"/>
        <v>173</v>
      </c>
      <c r="CE40" s="71">
        <f t="shared" si="12"/>
        <v>219</v>
      </c>
      <c r="CF40" s="72">
        <f t="shared" si="13"/>
        <v>266</v>
      </c>
      <c r="CG40" s="71">
        <f t="shared" si="14"/>
        <v>292</v>
      </c>
      <c r="CH40" s="70">
        <f t="shared" si="15"/>
        <v>34</v>
      </c>
      <c r="CI40" s="71">
        <f t="shared" si="16"/>
        <v>38</v>
      </c>
      <c r="CJ40" s="72">
        <f t="shared" si="17"/>
        <v>69</v>
      </c>
      <c r="CK40" s="72">
        <f t="shared" si="18"/>
        <v>72</v>
      </c>
      <c r="CL40" s="72">
        <f t="shared" si="19"/>
        <v>108</v>
      </c>
      <c r="CM40" s="72">
        <f t="shared" si="20"/>
        <v>116</v>
      </c>
      <c r="CN40" s="72">
        <f t="shared" si="21"/>
        <v>142</v>
      </c>
      <c r="CO40" s="72">
        <f t="shared" si="22"/>
        <v>168</v>
      </c>
      <c r="CP40" s="72">
        <f t="shared" si="23"/>
        <v>207</v>
      </c>
      <c r="CQ40" s="72">
        <f t="shared" si="24"/>
        <v>259</v>
      </c>
      <c r="CR40" s="72">
        <f t="shared" si="25"/>
        <v>291</v>
      </c>
      <c r="CS40" s="72">
        <f t="shared" si="26"/>
        <v>307</v>
      </c>
      <c r="CT40" s="23">
        <f t="shared" si="27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aa2ar_human_4UHR</v>
      </c>
      <c r="B41" s="3" t="s">
        <v>139</v>
      </c>
      <c r="C41" s="3" t="s">
        <v>1048</v>
      </c>
      <c r="D41" s="3" t="str">
        <f>IFERROR(MID(VLOOKUP($B41,Seqs!$A:$B,2,0),E41,1),"")</f>
        <v>S</v>
      </c>
      <c r="E41" s="3">
        <v>6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S</v>
      </c>
      <c r="AM41" s="3">
        <v>213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Q</v>
      </c>
      <c r="AY41" s="3">
        <v>311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308"/>
        <v>268</v>
      </c>
      <c r="BD41" s="2" t="s">
        <v>1423</v>
      </c>
      <c r="BE41" s="3" t="s">
        <v>1422</v>
      </c>
      <c r="BF41" s="118">
        <v>2.6</v>
      </c>
      <c r="BG41" s="49" t="s">
        <v>1371</v>
      </c>
      <c r="BH41" s="49" t="s">
        <v>1371</v>
      </c>
      <c r="BI41" s="1"/>
      <c r="BJ41" s="70" t="s">
        <v>1281</v>
      </c>
      <c r="BK41" s="57" t="s">
        <v>1281</v>
      </c>
      <c r="BL41" s="57" t="s">
        <v>1281</v>
      </c>
      <c r="BM41" s="57" t="s">
        <v>1281</v>
      </c>
      <c r="BN41" s="57" t="s">
        <v>1281</v>
      </c>
      <c r="BO41" s="57" t="s">
        <v>1281</v>
      </c>
      <c r="BP41" s="57" t="s">
        <v>1281</v>
      </c>
      <c r="BQ41" s="57" t="s">
        <v>1281</v>
      </c>
      <c r="BR41" s="57" t="s">
        <v>1281</v>
      </c>
      <c r="BS41" s="57" t="s">
        <v>1281</v>
      </c>
      <c r="BT41" s="57" t="s">
        <v>1281</v>
      </c>
      <c r="BU41" s="57" t="s">
        <v>1281</v>
      </c>
      <c r="BV41" s="70">
        <f t="shared" si="3"/>
        <v>6</v>
      </c>
      <c r="BW41" s="71">
        <f t="shared" si="4"/>
        <v>35</v>
      </c>
      <c r="BX41" s="72">
        <f t="shared" si="5"/>
        <v>39</v>
      </c>
      <c r="BY41" s="71">
        <f t="shared" si="6"/>
        <v>70</v>
      </c>
      <c r="BZ41" s="72">
        <f t="shared" si="7"/>
        <v>73</v>
      </c>
      <c r="CA41" s="71">
        <f t="shared" si="8"/>
        <v>109</v>
      </c>
      <c r="CB41" s="72">
        <f t="shared" si="9"/>
        <v>117</v>
      </c>
      <c r="CC41" s="71">
        <f t="shared" si="10"/>
        <v>166</v>
      </c>
      <c r="CD41" s="72">
        <f t="shared" si="11"/>
        <v>173</v>
      </c>
      <c r="CE41" s="71">
        <f t="shared" si="12"/>
        <v>219</v>
      </c>
      <c r="CF41" s="72">
        <f t="shared" si="13"/>
        <v>266</v>
      </c>
      <c r="CG41" s="71">
        <f t="shared" si="14"/>
        <v>292</v>
      </c>
      <c r="CH41" s="70">
        <f t="shared" si="15"/>
        <v>34</v>
      </c>
      <c r="CI41" s="71">
        <f t="shared" si="16"/>
        <v>38</v>
      </c>
      <c r="CJ41" s="72">
        <f t="shared" si="17"/>
        <v>69</v>
      </c>
      <c r="CK41" s="72">
        <f t="shared" si="18"/>
        <v>72</v>
      </c>
      <c r="CL41" s="72">
        <f t="shared" si="19"/>
        <v>108</v>
      </c>
      <c r="CM41" s="72">
        <f t="shared" si="20"/>
        <v>116</v>
      </c>
      <c r="CN41" s="72">
        <f t="shared" si="21"/>
        <v>142</v>
      </c>
      <c r="CO41" s="72">
        <f t="shared" si="22"/>
        <v>168</v>
      </c>
      <c r="CP41" s="72">
        <f t="shared" si="23"/>
        <v>213</v>
      </c>
      <c r="CQ41" s="72">
        <f t="shared" si="24"/>
        <v>259</v>
      </c>
      <c r="CR41" s="72">
        <f t="shared" si="25"/>
        <v>291</v>
      </c>
      <c r="CS41" s="72">
        <f t="shared" si="26"/>
        <v>311</v>
      </c>
      <c r="CT41" s="23">
        <f t="shared" si="27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aa2ar_human_5G53</v>
      </c>
      <c r="B42" s="3" t="s">
        <v>139</v>
      </c>
      <c r="C42" s="3" t="s">
        <v>1286</v>
      </c>
      <c r="D42" s="3" t="str">
        <f>IFERROR(MID(VLOOKUP($B42,Seqs!$A:$B,2,0),E42,1),"")</f>
        <v>S</v>
      </c>
      <c r="E42" s="3">
        <v>6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Q</v>
      </c>
      <c r="AM42" s="3">
        <v>207</v>
      </c>
      <c r="AN42" s="3" t="str">
        <f>IFERROR(MID(VLOOKUP($B42,Seqs!$A:$B,2,0),AO42,1),"")</f>
        <v>T</v>
      </c>
      <c r="AO42" s="3">
        <v>224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S</v>
      </c>
      <c r="AY42" s="3">
        <v>305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ref="BC42:BC123" si="309">_xlfn.AGGREGATE(9,6,CH42:CS42)-_xlfn.AGGREGATE(9,6,BV42:CG42)+12</f>
        <v>251</v>
      </c>
      <c r="BD42" s="4" t="s">
        <v>1369</v>
      </c>
      <c r="BE42" s="3" t="s">
        <v>1285</v>
      </c>
      <c r="BF42" s="118">
        <v>3.4</v>
      </c>
      <c r="BG42" s="49" t="s">
        <v>1275</v>
      </c>
      <c r="BH42" s="49" t="s">
        <v>1275</v>
      </c>
      <c r="BI42" s="1"/>
      <c r="BJ42" s="70" t="s">
        <v>1281</v>
      </c>
      <c r="BK42" s="57" t="s">
        <v>1281</v>
      </c>
      <c r="BL42" s="57" t="s">
        <v>1281</v>
      </c>
      <c r="BM42" s="57" t="s">
        <v>1281</v>
      </c>
      <c r="BN42" s="57" t="s">
        <v>1281</v>
      </c>
      <c r="BO42" s="57" t="s">
        <v>1281</v>
      </c>
      <c r="BP42" s="57" t="s">
        <v>1281</v>
      </c>
      <c r="BQ42" s="57" t="s">
        <v>1281</v>
      </c>
      <c r="BR42" s="57" t="s">
        <v>1281</v>
      </c>
      <c r="BS42" s="57" t="s">
        <v>1281</v>
      </c>
      <c r="BT42" s="57" t="s">
        <v>1281</v>
      </c>
      <c r="BU42" s="57" t="s">
        <v>1281</v>
      </c>
      <c r="BV42" s="70">
        <f t="shared" ref="BV42:BV123" si="310">E42</f>
        <v>6</v>
      </c>
      <c r="BW42" s="71">
        <f t="shared" ref="BW42:BW123" si="311">I42</f>
        <v>35</v>
      </c>
      <c r="BX42" s="72">
        <f t="shared" ref="BX42:BX123" si="312">M42</f>
        <v>39</v>
      </c>
      <c r="BY42" s="71">
        <f t="shared" ref="BY42:BY123" si="313">Q42</f>
        <v>70</v>
      </c>
      <c r="BZ42" s="72">
        <f t="shared" ref="BZ42:BZ123" si="314">U42</f>
        <v>73</v>
      </c>
      <c r="CA42" s="71">
        <f t="shared" ref="CA42:CA123" si="315">Y42</f>
        <v>109</v>
      </c>
      <c r="CB42" s="72">
        <f t="shared" ref="CB42:CB123" si="316">AC42</f>
        <v>117</v>
      </c>
      <c r="CC42" s="71">
        <f t="shared" ref="CC42:CC123" si="317">AG42</f>
        <v>166</v>
      </c>
      <c r="CD42" s="72">
        <f t="shared" ref="CD42:CD123" si="318">AK42</f>
        <v>173</v>
      </c>
      <c r="CE42" s="71">
        <f t="shared" ref="CE42:CE123" si="319">AO42</f>
        <v>224</v>
      </c>
      <c r="CF42" s="72">
        <f t="shared" ref="CF42:CF123" si="320">AS42</f>
        <v>266</v>
      </c>
      <c r="CG42" s="71">
        <f t="shared" ref="CG42:CG123" si="321">AW42</f>
        <v>292</v>
      </c>
      <c r="CH42" s="70">
        <f t="shared" ref="CH42:CH123" si="322">G42</f>
        <v>34</v>
      </c>
      <c r="CI42" s="71">
        <f t="shared" ref="CI42:CI123" si="323">K42</f>
        <v>38</v>
      </c>
      <c r="CJ42" s="72">
        <f t="shared" ref="CJ42:CJ123" si="324">O42</f>
        <v>69</v>
      </c>
      <c r="CK42" s="72">
        <f t="shared" ref="CK42:CK123" si="325">S42</f>
        <v>72</v>
      </c>
      <c r="CL42" s="72">
        <f t="shared" ref="CL42:CL123" si="326">W42</f>
        <v>108</v>
      </c>
      <c r="CM42" s="72">
        <f t="shared" ref="CM42:CM123" si="327">AA42</f>
        <v>116</v>
      </c>
      <c r="CN42" s="72">
        <f t="shared" ref="CN42:CN123" si="328">AE42</f>
        <v>142</v>
      </c>
      <c r="CO42" s="72">
        <f t="shared" ref="CO42:CO123" si="329">AI42</f>
        <v>168</v>
      </c>
      <c r="CP42" s="72">
        <f t="shared" ref="CP42:CP123" si="330">AM42</f>
        <v>207</v>
      </c>
      <c r="CQ42" s="72">
        <f t="shared" ref="CQ42:CQ123" si="331">AQ42</f>
        <v>259</v>
      </c>
      <c r="CR42" s="72">
        <f t="shared" ref="CR42:CR123" si="332">AU42</f>
        <v>291</v>
      </c>
      <c r="CS42" s="72">
        <f t="shared" ref="CS42:CS123" si="333">AY42</f>
        <v>305</v>
      </c>
      <c r="CT42" s="23">
        <f t="shared" ref="CT42:CT123" si="334">M42-K42</f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aa2ar_human_5IU4</v>
      </c>
      <c r="B43" s="3" t="s">
        <v>139</v>
      </c>
      <c r="C43" s="3" t="s">
        <v>1339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309"/>
        <v>261</v>
      </c>
      <c r="BD43" s="4" t="s">
        <v>23</v>
      </c>
      <c r="BE43" s="3" t="s">
        <v>1368</v>
      </c>
      <c r="BF43" s="118">
        <v>1.72</v>
      </c>
      <c r="BG43" s="49" t="s">
        <v>1371</v>
      </c>
      <c r="BH43" s="49" t="s">
        <v>1371</v>
      </c>
      <c r="BI43" s="1"/>
      <c r="BJ43" s="70" t="s">
        <v>1281</v>
      </c>
      <c r="BK43" s="57" t="s">
        <v>1281</v>
      </c>
      <c r="BL43" s="57" t="s">
        <v>1281</v>
      </c>
      <c r="BM43" s="57" t="s">
        <v>1281</v>
      </c>
      <c r="BN43" s="57" t="s">
        <v>1281</v>
      </c>
      <c r="BO43" s="57" t="s">
        <v>1281</v>
      </c>
      <c r="BP43" s="57" t="s">
        <v>1281</v>
      </c>
      <c r="BQ43" s="57" t="s">
        <v>1281</v>
      </c>
      <c r="BR43" s="57" t="s">
        <v>1281</v>
      </c>
      <c r="BS43" s="57" t="s">
        <v>1281</v>
      </c>
      <c r="BT43" s="57" t="s">
        <v>1281</v>
      </c>
      <c r="BU43" s="57" t="s">
        <v>1281</v>
      </c>
      <c r="BV43" s="70">
        <f t="shared" si="310"/>
        <v>2</v>
      </c>
      <c r="BW43" s="71">
        <f t="shared" si="311"/>
        <v>35</v>
      </c>
      <c r="BX43" s="72">
        <f t="shared" si="312"/>
        <v>39</v>
      </c>
      <c r="BY43" s="71">
        <f t="shared" si="313"/>
        <v>70</v>
      </c>
      <c r="BZ43" s="72">
        <f t="shared" si="314"/>
        <v>73</v>
      </c>
      <c r="CA43" s="71">
        <f t="shared" si="315"/>
        <v>109</v>
      </c>
      <c r="CB43" s="72">
        <f t="shared" si="316"/>
        <v>117</v>
      </c>
      <c r="CC43" s="71">
        <f t="shared" si="317"/>
        <v>166</v>
      </c>
      <c r="CD43" s="72">
        <f t="shared" si="318"/>
        <v>173</v>
      </c>
      <c r="CE43" s="71">
        <f t="shared" si="319"/>
        <v>219</v>
      </c>
      <c r="CF43" s="72">
        <f t="shared" si="320"/>
        <v>266</v>
      </c>
      <c r="CG43" s="71">
        <f t="shared" si="321"/>
        <v>292</v>
      </c>
      <c r="CH43" s="70">
        <f t="shared" si="322"/>
        <v>34</v>
      </c>
      <c r="CI43" s="71">
        <f t="shared" si="323"/>
        <v>38</v>
      </c>
      <c r="CJ43" s="72">
        <f t="shared" si="324"/>
        <v>69</v>
      </c>
      <c r="CK43" s="72">
        <f t="shared" si="325"/>
        <v>72</v>
      </c>
      <c r="CL43" s="72">
        <f t="shared" si="326"/>
        <v>108</v>
      </c>
      <c r="CM43" s="72">
        <f t="shared" si="327"/>
        <v>116</v>
      </c>
      <c r="CN43" s="72">
        <f t="shared" si="328"/>
        <v>142</v>
      </c>
      <c r="CO43" s="72">
        <f t="shared" si="329"/>
        <v>168</v>
      </c>
      <c r="CP43" s="72">
        <f t="shared" si="330"/>
        <v>208</v>
      </c>
      <c r="CQ43" s="72">
        <f t="shared" si="331"/>
        <v>259</v>
      </c>
      <c r="CR43" s="72">
        <f t="shared" si="332"/>
        <v>291</v>
      </c>
      <c r="CS43" s="72">
        <f t="shared" si="333"/>
        <v>305</v>
      </c>
      <c r="CT43" s="23">
        <f t="shared" si="334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aa2ar_human_5IU7</v>
      </c>
      <c r="B44" s="3" t="s">
        <v>139</v>
      </c>
      <c r="C44" s="3" t="s">
        <v>1340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309"/>
        <v>263</v>
      </c>
      <c r="BD44" s="4" t="s">
        <v>23</v>
      </c>
      <c r="BE44" s="3" t="s">
        <v>1368</v>
      </c>
      <c r="BF44" s="118">
        <v>1.9</v>
      </c>
      <c r="BG44" s="49" t="s">
        <v>1371</v>
      </c>
      <c r="BH44" s="49" t="s">
        <v>1371</v>
      </c>
      <c r="BI44" s="1"/>
      <c r="BJ44" s="70" t="s">
        <v>1281</v>
      </c>
      <c r="BK44" s="57" t="s">
        <v>1281</v>
      </c>
      <c r="BL44" s="57" t="s">
        <v>1281</v>
      </c>
      <c r="BM44" s="57" t="s">
        <v>1281</v>
      </c>
      <c r="BN44" s="57" t="s">
        <v>1281</v>
      </c>
      <c r="BO44" s="57" t="s">
        <v>1281</v>
      </c>
      <c r="BP44" s="57" t="s">
        <v>1281</v>
      </c>
      <c r="BQ44" s="57" t="s">
        <v>1281</v>
      </c>
      <c r="BR44" s="57" t="s">
        <v>1281</v>
      </c>
      <c r="BS44" s="57" t="s">
        <v>1281</v>
      </c>
      <c r="BT44" s="57" t="s">
        <v>1281</v>
      </c>
      <c r="BU44" s="57" t="s">
        <v>1281</v>
      </c>
      <c r="BV44" s="70">
        <f t="shared" si="310"/>
        <v>2</v>
      </c>
      <c r="BW44" s="71">
        <f t="shared" si="311"/>
        <v>35</v>
      </c>
      <c r="BX44" s="72">
        <f t="shared" si="312"/>
        <v>39</v>
      </c>
      <c r="BY44" s="71">
        <f t="shared" si="313"/>
        <v>70</v>
      </c>
      <c r="BZ44" s="72">
        <f t="shared" si="314"/>
        <v>73</v>
      </c>
      <c r="CA44" s="71">
        <f t="shared" si="315"/>
        <v>109</v>
      </c>
      <c r="CB44" s="72">
        <f t="shared" si="316"/>
        <v>117</v>
      </c>
      <c r="CC44" s="71">
        <f t="shared" si="317"/>
        <v>166</v>
      </c>
      <c r="CD44" s="72">
        <f t="shared" si="318"/>
        <v>173</v>
      </c>
      <c r="CE44" s="71">
        <f t="shared" si="319"/>
        <v>219</v>
      </c>
      <c r="CF44" s="72">
        <f t="shared" si="320"/>
        <v>266</v>
      </c>
      <c r="CG44" s="71">
        <f t="shared" si="321"/>
        <v>292</v>
      </c>
      <c r="CH44" s="70">
        <f t="shared" si="322"/>
        <v>34</v>
      </c>
      <c r="CI44" s="71">
        <f t="shared" si="323"/>
        <v>38</v>
      </c>
      <c r="CJ44" s="72">
        <f t="shared" si="324"/>
        <v>69</v>
      </c>
      <c r="CK44" s="72">
        <f t="shared" si="325"/>
        <v>72</v>
      </c>
      <c r="CL44" s="72">
        <f t="shared" si="326"/>
        <v>108</v>
      </c>
      <c r="CM44" s="72">
        <f t="shared" si="327"/>
        <v>116</v>
      </c>
      <c r="CN44" s="72">
        <f t="shared" si="328"/>
        <v>142</v>
      </c>
      <c r="CO44" s="72">
        <f t="shared" si="329"/>
        <v>168</v>
      </c>
      <c r="CP44" s="72">
        <f t="shared" si="330"/>
        <v>208</v>
      </c>
      <c r="CQ44" s="72">
        <f t="shared" si="331"/>
        <v>259</v>
      </c>
      <c r="CR44" s="72">
        <f t="shared" si="332"/>
        <v>291</v>
      </c>
      <c r="CS44" s="72">
        <f t="shared" si="333"/>
        <v>307</v>
      </c>
      <c r="CT44" s="23">
        <f t="shared" si="334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aa2ar_human_5IU8</v>
      </c>
      <c r="B45" s="3" t="s">
        <v>139</v>
      </c>
      <c r="C45" s="3" t="s">
        <v>1341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S</v>
      </c>
      <c r="AY45" s="3">
        <v>305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309"/>
        <v>261</v>
      </c>
      <c r="BD45" s="4" t="s">
        <v>23</v>
      </c>
      <c r="BE45" s="3" t="s">
        <v>1368</v>
      </c>
      <c r="BF45" s="118">
        <v>2</v>
      </c>
      <c r="BG45" s="49" t="s">
        <v>1371</v>
      </c>
      <c r="BH45" s="49" t="s">
        <v>1371</v>
      </c>
      <c r="BI45" s="1"/>
      <c r="BJ45" s="70" t="s">
        <v>1281</v>
      </c>
      <c r="BK45" s="57" t="s">
        <v>1281</v>
      </c>
      <c r="BL45" s="57" t="s">
        <v>1281</v>
      </c>
      <c r="BM45" s="57" t="s">
        <v>1281</v>
      </c>
      <c r="BN45" s="57" t="s">
        <v>1281</v>
      </c>
      <c r="BO45" s="57" t="s">
        <v>1281</v>
      </c>
      <c r="BP45" s="57" t="s">
        <v>1281</v>
      </c>
      <c r="BQ45" s="57" t="s">
        <v>1281</v>
      </c>
      <c r="BR45" s="57" t="s">
        <v>1281</v>
      </c>
      <c r="BS45" s="57" t="s">
        <v>1281</v>
      </c>
      <c r="BT45" s="57" t="s">
        <v>1281</v>
      </c>
      <c r="BU45" s="57" t="s">
        <v>1281</v>
      </c>
      <c r="BV45" s="70">
        <f t="shared" si="310"/>
        <v>2</v>
      </c>
      <c r="BW45" s="71">
        <f t="shared" si="311"/>
        <v>35</v>
      </c>
      <c r="BX45" s="72">
        <f t="shared" si="312"/>
        <v>39</v>
      </c>
      <c r="BY45" s="71">
        <f t="shared" si="313"/>
        <v>70</v>
      </c>
      <c r="BZ45" s="72">
        <f t="shared" si="314"/>
        <v>73</v>
      </c>
      <c r="CA45" s="71">
        <f t="shared" si="315"/>
        <v>109</v>
      </c>
      <c r="CB45" s="72">
        <f t="shared" si="316"/>
        <v>117</v>
      </c>
      <c r="CC45" s="71">
        <f t="shared" si="317"/>
        <v>166</v>
      </c>
      <c r="CD45" s="72">
        <f t="shared" si="318"/>
        <v>173</v>
      </c>
      <c r="CE45" s="71">
        <f t="shared" si="319"/>
        <v>219</v>
      </c>
      <c r="CF45" s="72">
        <f t="shared" si="320"/>
        <v>266</v>
      </c>
      <c r="CG45" s="71">
        <f t="shared" si="321"/>
        <v>292</v>
      </c>
      <c r="CH45" s="70">
        <f t="shared" si="322"/>
        <v>34</v>
      </c>
      <c r="CI45" s="71">
        <f t="shared" si="323"/>
        <v>38</v>
      </c>
      <c r="CJ45" s="72">
        <f t="shared" si="324"/>
        <v>69</v>
      </c>
      <c r="CK45" s="72">
        <f t="shared" si="325"/>
        <v>72</v>
      </c>
      <c r="CL45" s="72">
        <f t="shared" si="326"/>
        <v>108</v>
      </c>
      <c r="CM45" s="72">
        <f t="shared" si="327"/>
        <v>116</v>
      </c>
      <c r="CN45" s="72">
        <f t="shared" si="328"/>
        <v>142</v>
      </c>
      <c r="CO45" s="72">
        <f t="shared" si="329"/>
        <v>168</v>
      </c>
      <c r="CP45" s="72">
        <f t="shared" si="330"/>
        <v>208</v>
      </c>
      <c r="CQ45" s="72">
        <f t="shared" si="331"/>
        <v>259</v>
      </c>
      <c r="CR45" s="72">
        <f t="shared" si="332"/>
        <v>291</v>
      </c>
      <c r="CS45" s="72">
        <f t="shared" si="333"/>
        <v>305</v>
      </c>
      <c r="CT45" s="23">
        <f t="shared" si="334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aa2ar_human_5IUA</v>
      </c>
      <c r="B46" s="3" t="s">
        <v>139</v>
      </c>
      <c r="C46" s="3" t="s">
        <v>1342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H</v>
      </c>
      <c r="AY46" s="3">
        <v>306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309"/>
        <v>262</v>
      </c>
      <c r="BD46" s="4" t="s">
        <v>23</v>
      </c>
      <c r="BE46" s="3" t="s">
        <v>1368</v>
      </c>
      <c r="BF46" s="118">
        <v>2.2000000000000002</v>
      </c>
      <c r="BG46" s="49" t="s">
        <v>1371</v>
      </c>
      <c r="BH46" s="49" t="s">
        <v>1371</v>
      </c>
      <c r="BI46" s="1"/>
      <c r="BJ46" s="70" t="s">
        <v>1281</v>
      </c>
      <c r="BK46" s="57" t="s">
        <v>1281</v>
      </c>
      <c r="BL46" s="57" t="s">
        <v>1281</v>
      </c>
      <c r="BM46" s="57" t="s">
        <v>1281</v>
      </c>
      <c r="BN46" s="57" t="s">
        <v>1281</v>
      </c>
      <c r="BO46" s="57" t="s">
        <v>1281</v>
      </c>
      <c r="BP46" s="57" t="s">
        <v>1281</v>
      </c>
      <c r="BQ46" s="57" t="s">
        <v>1281</v>
      </c>
      <c r="BR46" s="57" t="s">
        <v>1281</v>
      </c>
      <c r="BS46" s="57" t="s">
        <v>1281</v>
      </c>
      <c r="BT46" s="57" t="s">
        <v>1281</v>
      </c>
      <c r="BU46" s="57" t="s">
        <v>1281</v>
      </c>
      <c r="BV46" s="70">
        <f t="shared" si="310"/>
        <v>2</v>
      </c>
      <c r="BW46" s="71">
        <f t="shared" si="311"/>
        <v>35</v>
      </c>
      <c r="BX46" s="72">
        <f t="shared" si="312"/>
        <v>39</v>
      </c>
      <c r="BY46" s="71">
        <f t="shared" si="313"/>
        <v>70</v>
      </c>
      <c r="BZ46" s="72">
        <f t="shared" si="314"/>
        <v>73</v>
      </c>
      <c r="CA46" s="71">
        <f t="shared" si="315"/>
        <v>109</v>
      </c>
      <c r="CB46" s="72">
        <f t="shared" si="316"/>
        <v>117</v>
      </c>
      <c r="CC46" s="71">
        <f t="shared" si="317"/>
        <v>166</v>
      </c>
      <c r="CD46" s="72">
        <f t="shared" si="318"/>
        <v>173</v>
      </c>
      <c r="CE46" s="71">
        <f t="shared" si="319"/>
        <v>219</v>
      </c>
      <c r="CF46" s="72">
        <f t="shared" si="320"/>
        <v>266</v>
      </c>
      <c r="CG46" s="71">
        <f t="shared" si="321"/>
        <v>292</v>
      </c>
      <c r="CH46" s="70">
        <f t="shared" si="322"/>
        <v>34</v>
      </c>
      <c r="CI46" s="71">
        <f t="shared" si="323"/>
        <v>38</v>
      </c>
      <c r="CJ46" s="72">
        <f t="shared" si="324"/>
        <v>69</v>
      </c>
      <c r="CK46" s="72">
        <f t="shared" si="325"/>
        <v>72</v>
      </c>
      <c r="CL46" s="72">
        <f t="shared" si="326"/>
        <v>108</v>
      </c>
      <c r="CM46" s="72">
        <f t="shared" si="327"/>
        <v>116</v>
      </c>
      <c r="CN46" s="72">
        <f t="shared" si="328"/>
        <v>142</v>
      </c>
      <c r="CO46" s="72">
        <f t="shared" si="329"/>
        <v>168</v>
      </c>
      <c r="CP46" s="72">
        <f t="shared" si="330"/>
        <v>208</v>
      </c>
      <c r="CQ46" s="72">
        <f t="shared" si="331"/>
        <v>259</v>
      </c>
      <c r="CR46" s="72">
        <f t="shared" si="332"/>
        <v>291</v>
      </c>
      <c r="CS46" s="72">
        <f t="shared" si="333"/>
        <v>306</v>
      </c>
      <c r="CT46" s="23">
        <f t="shared" si="334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aa2ar_human_5IUB</v>
      </c>
      <c r="B47" s="3" t="s">
        <v>139</v>
      </c>
      <c r="C47" s="3" t="s">
        <v>1343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S</v>
      </c>
      <c r="AY47" s="3">
        <v>305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309"/>
        <v>261</v>
      </c>
      <c r="BD47" s="4" t="s">
        <v>23</v>
      </c>
      <c r="BE47" s="3" t="s">
        <v>1368</v>
      </c>
      <c r="BF47" s="118">
        <v>2.1</v>
      </c>
      <c r="BG47" s="49" t="s">
        <v>1371</v>
      </c>
      <c r="BH47" s="49" t="s">
        <v>1371</v>
      </c>
      <c r="BI47" s="1"/>
      <c r="BJ47" s="70" t="s">
        <v>1281</v>
      </c>
      <c r="BK47" s="57" t="s">
        <v>1281</v>
      </c>
      <c r="BL47" s="57" t="s">
        <v>1281</v>
      </c>
      <c r="BM47" s="57" t="s">
        <v>1281</v>
      </c>
      <c r="BN47" s="57" t="s">
        <v>1281</v>
      </c>
      <c r="BO47" s="57" t="s">
        <v>1281</v>
      </c>
      <c r="BP47" s="57" t="s">
        <v>1281</v>
      </c>
      <c r="BQ47" s="57" t="s">
        <v>1281</v>
      </c>
      <c r="BR47" s="57" t="s">
        <v>1281</v>
      </c>
      <c r="BS47" s="57" t="s">
        <v>1281</v>
      </c>
      <c r="BT47" s="57" t="s">
        <v>1281</v>
      </c>
      <c r="BU47" s="57" t="s">
        <v>1281</v>
      </c>
      <c r="BV47" s="70">
        <f t="shared" si="310"/>
        <v>2</v>
      </c>
      <c r="BW47" s="71">
        <f t="shared" si="311"/>
        <v>35</v>
      </c>
      <c r="BX47" s="72">
        <f t="shared" si="312"/>
        <v>39</v>
      </c>
      <c r="BY47" s="71">
        <f t="shared" si="313"/>
        <v>70</v>
      </c>
      <c r="BZ47" s="72">
        <f t="shared" si="314"/>
        <v>73</v>
      </c>
      <c r="CA47" s="71">
        <f t="shared" si="315"/>
        <v>109</v>
      </c>
      <c r="CB47" s="72">
        <f t="shared" si="316"/>
        <v>117</v>
      </c>
      <c r="CC47" s="71">
        <f t="shared" si="317"/>
        <v>166</v>
      </c>
      <c r="CD47" s="72">
        <f t="shared" si="318"/>
        <v>173</v>
      </c>
      <c r="CE47" s="71">
        <f t="shared" si="319"/>
        <v>219</v>
      </c>
      <c r="CF47" s="72">
        <f t="shared" si="320"/>
        <v>266</v>
      </c>
      <c r="CG47" s="71">
        <f t="shared" si="321"/>
        <v>292</v>
      </c>
      <c r="CH47" s="70">
        <f t="shared" si="322"/>
        <v>34</v>
      </c>
      <c r="CI47" s="71">
        <f t="shared" si="323"/>
        <v>38</v>
      </c>
      <c r="CJ47" s="72">
        <f t="shared" si="324"/>
        <v>69</v>
      </c>
      <c r="CK47" s="72">
        <f t="shared" si="325"/>
        <v>72</v>
      </c>
      <c r="CL47" s="72">
        <f t="shared" si="326"/>
        <v>108</v>
      </c>
      <c r="CM47" s="72">
        <f t="shared" si="327"/>
        <v>116</v>
      </c>
      <c r="CN47" s="72">
        <f t="shared" si="328"/>
        <v>142</v>
      </c>
      <c r="CO47" s="72">
        <f t="shared" si="329"/>
        <v>168</v>
      </c>
      <c r="CP47" s="72">
        <f t="shared" si="330"/>
        <v>208</v>
      </c>
      <c r="CQ47" s="72">
        <f t="shared" si="331"/>
        <v>259</v>
      </c>
      <c r="CR47" s="72">
        <f t="shared" si="332"/>
        <v>291</v>
      </c>
      <c r="CS47" s="72">
        <f t="shared" si="333"/>
        <v>305</v>
      </c>
      <c r="CT47" s="23">
        <f t="shared" si="334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si="0"/>
        <v>aa2ar_human_5K2A</v>
      </c>
      <c r="B48" s="3" t="s">
        <v>139</v>
      </c>
      <c r="C48" s="3" t="s">
        <v>1333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9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V</v>
      </c>
      <c r="AY48" s="3">
        <v>307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"/>
        <v>1</v>
      </c>
      <c r="BC48" s="23">
        <f t="shared" si="309"/>
        <v>263</v>
      </c>
      <c r="BD48" s="1" t="s">
        <v>23</v>
      </c>
      <c r="BE48" s="3" t="s">
        <v>1368</v>
      </c>
      <c r="BF48" s="118">
        <v>2.5</v>
      </c>
      <c r="BG48" s="49" t="s">
        <v>1371</v>
      </c>
      <c r="BH48" s="49" t="s">
        <v>1371</v>
      </c>
      <c r="BI48" s="1"/>
      <c r="BJ48" s="70" t="s">
        <v>1281</v>
      </c>
      <c r="BK48" s="57" t="s">
        <v>1281</v>
      </c>
      <c r="BL48" s="57" t="s">
        <v>1281</v>
      </c>
      <c r="BM48" s="57" t="s">
        <v>1281</v>
      </c>
      <c r="BN48" s="57" t="s">
        <v>1281</v>
      </c>
      <c r="BO48" s="57" t="s">
        <v>1281</v>
      </c>
      <c r="BP48" s="57" t="s">
        <v>1281</v>
      </c>
      <c r="BQ48" s="57" t="s">
        <v>1281</v>
      </c>
      <c r="BR48" s="57" t="s">
        <v>1281</v>
      </c>
      <c r="BS48" s="57" t="s">
        <v>1281</v>
      </c>
      <c r="BT48" s="57" t="s">
        <v>1281</v>
      </c>
      <c r="BU48" s="57" t="s">
        <v>1281</v>
      </c>
      <c r="BV48" s="70">
        <f t="shared" si="310"/>
        <v>2</v>
      </c>
      <c r="BW48" s="71">
        <f t="shared" si="311"/>
        <v>35</v>
      </c>
      <c r="BX48" s="72">
        <f t="shared" si="312"/>
        <v>39</v>
      </c>
      <c r="BY48" s="71">
        <f t="shared" si="313"/>
        <v>70</v>
      </c>
      <c r="BZ48" s="72">
        <f t="shared" si="314"/>
        <v>73</v>
      </c>
      <c r="CA48" s="71">
        <f t="shared" si="315"/>
        <v>109</v>
      </c>
      <c r="CB48" s="72">
        <f t="shared" si="316"/>
        <v>117</v>
      </c>
      <c r="CC48" s="71">
        <f t="shared" si="317"/>
        <v>166</v>
      </c>
      <c r="CD48" s="72">
        <f t="shared" si="318"/>
        <v>173</v>
      </c>
      <c r="CE48" s="71">
        <f t="shared" si="319"/>
        <v>219</v>
      </c>
      <c r="CF48" s="72">
        <f t="shared" si="320"/>
        <v>266</v>
      </c>
      <c r="CG48" s="71">
        <f t="shared" si="321"/>
        <v>292</v>
      </c>
      <c r="CH48" s="70">
        <f t="shared" si="322"/>
        <v>34</v>
      </c>
      <c r="CI48" s="71">
        <f t="shared" si="323"/>
        <v>38</v>
      </c>
      <c r="CJ48" s="72">
        <f t="shared" si="324"/>
        <v>69</v>
      </c>
      <c r="CK48" s="72">
        <f t="shared" si="325"/>
        <v>72</v>
      </c>
      <c r="CL48" s="72">
        <f t="shared" si="326"/>
        <v>108</v>
      </c>
      <c r="CM48" s="72">
        <f t="shared" si="327"/>
        <v>116</v>
      </c>
      <c r="CN48" s="72">
        <f t="shared" si="328"/>
        <v>142</v>
      </c>
      <c r="CO48" s="72">
        <f t="shared" si="329"/>
        <v>168</v>
      </c>
      <c r="CP48" s="72">
        <f t="shared" si="330"/>
        <v>208</v>
      </c>
      <c r="CQ48" s="72">
        <f t="shared" si="331"/>
        <v>259</v>
      </c>
      <c r="CR48" s="72">
        <f t="shared" si="332"/>
        <v>291</v>
      </c>
      <c r="CS48" s="72">
        <f t="shared" si="333"/>
        <v>307</v>
      </c>
      <c r="CT48" s="23">
        <f t="shared" si="334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0"/>
        <v>aa2ar_human_5K2B</v>
      </c>
      <c r="B49" s="3" t="s">
        <v>139</v>
      </c>
      <c r="C49" s="3" t="s">
        <v>1334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9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V</v>
      </c>
      <c r="AY49" s="3">
        <v>307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1"/>
        <v>1</v>
      </c>
      <c r="BC49" s="23">
        <f t="shared" si="309"/>
        <v>263</v>
      </c>
      <c r="BD49" s="4" t="s">
        <v>23</v>
      </c>
      <c r="BE49" s="3" t="s">
        <v>1368</v>
      </c>
      <c r="BF49" s="118">
        <v>2.5</v>
      </c>
      <c r="BG49" s="49" t="s">
        <v>1371</v>
      </c>
      <c r="BH49" s="49" t="s">
        <v>1371</v>
      </c>
      <c r="BI49" s="1"/>
      <c r="BJ49" s="70" t="s">
        <v>1281</v>
      </c>
      <c r="BK49" s="57" t="s">
        <v>1281</v>
      </c>
      <c r="BL49" s="57" t="s">
        <v>1281</v>
      </c>
      <c r="BM49" s="57" t="s">
        <v>1281</v>
      </c>
      <c r="BN49" s="57" t="s">
        <v>1281</v>
      </c>
      <c r="BO49" s="57" t="s">
        <v>1281</v>
      </c>
      <c r="BP49" s="57" t="s">
        <v>1281</v>
      </c>
      <c r="BQ49" s="57" t="s">
        <v>1281</v>
      </c>
      <c r="BR49" s="57" t="s">
        <v>1281</v>
      </c>
      <c r="BS49" s="57" t="s">
        <v>1281</v>
      </c>
      <c r="BT49" s="57" t="s">
        <v>1281</v>
      </c>
      <c r="BU49" s="57" t="s">
        <v>1281</v>
      </c>
      <c r="BV49" s="70">
        <f t="shared" si="310"/>
        <v>2</v>
      </c>
      <c r="BW49" s="71">
        <f t="shared" si="311"/>
        <v>35</v>
      </c>
      <c r="BX49" s="72">
        <f t="shared" si="312"/>
        <v>39</v>
      </c>
      <c r="BY49" s="71">
        <f t="shared" si="313"/>
        <v>70</v>
      </c>
      <c r="BZ49" s="72">
        <f t="shared" si="314"/>
        <v>73</v>
      </c>
      <c r="CA49" s="71">
        <f t="shared" si="315"/>
        <v>109</v>
      </c>
      <c r="CB49" s="72">
        <f t="shared" si="316"/>
        <v>117</v>
      </c>
      <c r="CC49" s="71">
        <f t="shared" si="317"/>
        <v>166</v>
      </c>
      <c r="CD49" s="72">
        <f t="shared" si="318"/>
        <v>173</v>
      </c>
      <c r="CE49" s="71">
        <f t="shared" si="319"/>
        <v>219</v>
      </c>
      <c r="CF49" s="72">
        <f t="shared" si="320"/>
        <v>266</v>
      </c>
      <c r="CG49" s="71">
        <f t="shared" si="321"/>
        <v>292</v>
      </c>
      <c r="CH49" s="70">
        <f t="shared" si="322"/>
        <v>34</v>
      </c>
      <c r="CI49" s="71">
        <f t="shared" si="323"/>
        <v>38</v>
      </c>
      <c r="CJ49" s="72">
        <f t="shared" si="324"/>
        <v>69</v>
      </c>
      <c r="CK49" s="72">
        <f t="shared" si="325"/>
        <v>72</v>
      </c>
      <c r="CL49" s="72">
        <f t="shared" si="326"/>
        <v>108</v>
      </c>
      <c r="CM49" s="72">
        <f t="shared" si="327"/>
        <v>116</v>
      </c>
      <c r="CN49" s="72">
        <f t="shared" si="328"/>
        <v>142</v>
      </c>
      <c r="CO49" s="72">
        <f t="shared" si="329"/>
        <v>168</v>
      </c>
      <c r="CP49" s="72">
        <f t="shared" si="330"/>
        <v>208</v>
      </c>
      <c r="CQ49" s="72">
        <f t="shared" si="331"/>
        <v>259</v>
      </c>
      <c r="CR49" s="72">
        <f t="shared" si="332"/>
        <v>291</v>
      </c>
      <c r="CS49" s="72">
        <f t="shared" si="333"/>
        <v>307</v>
      </c>
      <c r="CT49" s="23">
        <f t="shared" si="334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0"/>
        <v>aa2ar_human_5K2C</v>
      </c>
      <c r="B50" s="3" t="s">
        <v>139</v>
      </c>
      <c r="C50" s="3" t="s">
        <v>1335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9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V</v>
      </c>
      <c r="AY50" s="3">
        <v>307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1"/>
        <v>1</v>
      </c>
      <c r="BC50" s="23">
        <f t="shared" si="309"/>
        <v>263</v>
      </c>
      <c r="BD50" s="4" t="s">
        <v>23</v>
      </c>
      <c r="BE50" s="3" t="s">
        <v>1368</v>
      </c>
      <c r="BF50" s="118">
        <v>1.9</v>
      </c>
      <c r="BG50" s="49" t="s">
        <v>1371</v>
      </c>
      <c r="BH50" s="49" t="s">
        <v>1371</v>
      </c>
      <c r="BI50" s="1"/>
      <c r="BJ50" s="70" t="s">
        <v>1281</v>
      </c>
      <c r="BK50" s="57" t="s">
        <v>1281</v>
      </c>
      <c r="BL50" s="57" t="s">
        <v>1281</v>
      </c>
      <c r="BM50" s="57" t="s">
        <v>1281</v>
      </c>
      <c r="BN50" s="57" t="s">
        <v>1281</v>
      </c>
      <c r="BO50" s="57" t="s">
        <v>1281</v>
      </c>
      <c r="BP50" s="57" t="s">
        <v>1281</v>
      </c>
      <c r="BQ50" s="57" t="s">
        <v>1281</v>
      </c>
      <c r="BR50" s="57" t="s">
        <v>1281</v>
      </c>
      <c r="BS50" s="57" t="s">
        <v>1281</v>
      </c>
      <c r="BT50" s="57" t="s">
        <v>1281</v>
      </c>
      <c r="BU50" s="57" t="s">
        <v>1281</v>
      </c>
      <c r="BV50" s="70">
        <f t="shared" si="310"/>
        <v>2</v>
      </c>
      <c r="BW50" s="71">
        <f t="shared" si="311"/>
        <v>35</v>
      </c>
      <c r="BX50" s="72">
        <f t="shared" si="312"/>
        <v>39</v>
      </c>
      <c r="BY50" s="71">
        <f t="shared" si="313"/>
        <v>70</v>
      </c>
      <c r="BZ50" s="72">
        <f t="shared" si="314"/>
        <v>73</v>
      </c>
      <c r="CA50" s="71">
        <f t="shared" si="315"/>
        <v>109</v>
      </c>
      <c r="CB50" s="72">
        <f t="shared" si="316"/>
        <v>117</v>
      </c>
      <c r="CC50" s="71">
        <f t="shared" si="317"/>
        <v>166</v>
      </c>
      <c r="CD50" s="72">
        <f t="shared" si="318"/>
        <v>173</v>
      </c>
      <c r="CE50" s="71">
        <f t="shared" si="319"/>
        <v>219</v>
      </c>
      <c r="CF50" s="72">
        <f t="shared" si="320"/>
        <v>266</v>
      </c>
      <c r="CG50" s="71">
        <f t="shared" si="321"/>
        <v>292</v>
      </c>
      <c r="CH50" s="70">
        <f t="shared" si="322"/>
        <v>34</v>
      </c>
      <c r="CI50" s="71">
        <f t="shared" si="323"/>
        <v>38</v>
      </c>
      <c r="CJ50" s="72">
        <f t="shared" si="324"/>
        <v>69</v>
      </c>
      <c r="CK50" s="72">
        <f t="shared" si="325"/>
        <v>72</v>
      </c>
      <c r="CL50" s="72">
        <f t="shared" si="326"/>
        <v>108</v>
      </c>
      <c r="CM50" s="72">
        <f t="shared" si="327"/>
        <v>116</v>
      </c>
      <c r="CN50" s="72">
        <f t="shared" si="328"/>
        <v>142</v>
      </c>
      <c r="CO50" s="72">
        <f t="shared" si="329"/>
        <v>168</v>
      </c>
      <c r="CP50" s="72">
        <f t="shared" si="330"/>
        <v>208</v>
      </c>
      <c r="CQ50" s="72">
        <f t="shared" si="331"/>
        <v>259</v>
      </c>
      <c r="CR50" s="72">
        <f t="shared" si="332"/>
        <v>291</v>
      </c>
      <c r="CS50" s="72">
        <f t="shared" si="333"/>
        <v>307</v>
      </c>
      <c r="CT50" s="23">
        <f t="shared" si="334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0"/>
        <v>aa2ar_human_5K2D</v>
      </c>
      <c r="B51" s="3" t="s">
        <v>139</v>
      </c>
      <c r="C51" s="3" t="s">
        <v>1336</v>
      </c>
      <c r="D51" s="3" t="str">
        <f>IFERROR(MID(VLOOKUP($B51,Seqs!$A:$B,2,0),E51,1),"")</f>
        <v>P</v>
      </c>
      <c r="E51" s="3">
        <v>2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9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V</v>
      </c>
      <c r="AY51" s="3">
        <v>307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1"/>
        <v>1</v>
      </c>
      <c r="BC51" s="23">
        <f t="shared" si="309"/>
        <v>263</v>
      </c>
      <c r="BD51" s="5" t="s">
        <v>23</v>
      </c>
      <c r="BE51" s="3" t="s">
        <v>1368</v>
      </c>
      <c r="BF51" s="118">
        <v>1.9</v>
      </c>
      <c r="BG51" s="49" t="s">
        <v>1371</v>
      </c>
      <c r="BH51" s="49" t="s">
        <v>1371</v>
      </c>
      <c r="BI51" s="1"/>
      <c r="BJ51" s="70" t="s">
        <v>1281</v>
      </c>
      <c r="BK51" s="57" t="s">
        <v>1281</v>
      </c>
      <c r="BL51" s="57" t="s">
        <v>1281</v>
      </c>
      <c r="BM51" s="57" t="s">
        <v>1281</v>
      </c>
      <c r="BN51" s="57" t="s">
        <v>1281</v>
      </c>
      <c r="BO51" s="57" t="s">
        <v>1281</v>
      </c>
      <c r="BP51" s="57" t="s">
        <v>1281</v>
      </c>
      <c r="BQ51" s="57" t="s">
        <v>1281</v>
      </c>
      <c r="BR51" s="57" t="s">
        <v>1281</v>
      </c>
      <c r="BS51" s="57" t="s">
        <v>1281</v>
      </c>
      <c r="BT51" s="57" t="s">
        <v>1281</v>
      </c>
      <c r="BU51" s="57" t="s">
        <v>1281</v>
      </c>
      <c r="BV51" s="70">
        <f t="shared" si="310"/>
        <v>2</v>
      </c>
      <c r="BW51" s="71">
        <f t="shared" si="311"/>
        <v>35</v>
      </c>
      <c r="BX51" s="72">
        <f t="shared" si="312"/>
        <v>39</v>
      </c>
      <c r="BY51" s="71">
        <f t="shared" si="313"/>
        <v>70</v>
      </c>
      <c r="BZ51" s="72">
        <f t="shared" si="314"/>
        <v>73</v>
      </c>
      <c r="CA51" s="71">
        <f t="shared" si="315"/>
        <v>109</v>
      </c>
      <c r="CB51" s="72">
        <f t="shared" si="316"/>
        <v>117</v>
      </c>
      <c r="CC51" s="71">
        <f t="shared" si="317"/>
        <v>166</v>
      </c>
      <c r="CD51" s="72">
        <f t="shared" si="318"/>
        <v>173</v>
      </c>
      <c r="CE51" s="71">
        <f t="shared" si="319"/>
        <v>219</v>
      </c>
      <c r="CF51" s="72">
        <f t="shared" si="320"/>
        <v>266</v>
      </c>
      <c r="CG51" s="71">
        <f t="shared" si="321"/>
        <v>292</v>
      </c>
      <c r="CH51" s="70">
        <f t="shared" si="322"/>
        <v>34</v>
      </c>
      <c r="CI51" s="71">
        <f t="shared" si="323"/>
        <v>38</v>
      </c>
      <c r="CJ51" s="72">
        <f t="shared" si="324"/>
        <v>69</v>
      </c>
      <c r="CK51" s="72">
        <f t="shared" si="325"/>
        <v>72</v>
      </c>
      <c r="CL51" s="72">
        <f t="shared" si="326"/>
        <v>108</v>
      </c>
      <c r="CM51" s="72">
        <f t="shared" si="327"/>
        <v>116</v>
      </c>
      <c r="CN51" s="72">
        <f t="shared" si="328"/>
        <v>142</v>
      </c>
      <c r="CO51" s="72">
        <f t="shared" si="329"/>
        <v>168</v>
      </c>
      <c r="CP51" s="72">
        <f t="shared" si="330"/>
        <v>208</v>
      </c>
      <c r="CQ51" s="72">
        <f t="shared" si="331"/>
        <v>259</v>
      </c>
      <c r="CR51" s="72">
        <f t="shared" si="332"/>
        <v>291</v>
      </c>
      <c r="CS51" s="72">
        <f t="shared" si="333"/>
        <v>307</v>
      </c>
      <c r="CT51" s="23">
        <f t="shared" si="334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ref="A52:A72" si="335">CONCATENATE(B52,"_",C52)</f>
        <v>aa2ar_human_5MZJ</v>
      </c>
      <c r="B52" s="3" t="s">
        <v>139</v>
      </c>
      <c r="C52" s="3" t="s">
        <v>1429</v>
      </c>
      <c r="D52" s="3" t="str">
        <f>IFERROR(MID(VLOOKUP($B52,Seqs!$A:$B,2,0),E52,1),"")</f>
        <v>P</v>
      </c>
      <c r="E52" s="3">
        <v>2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S</v>
      </c>
      <c r="AY52" s="3">
        <v>305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ref="BB52:BB72" si="336">AND(E52&lt;G52,OR(G52&lt;I52,I52="-"),OR(I52&lt;K52,I52="-"),OR(K52&lt;M52,K52="-"),M52&lt;O52,OR(O52&lt;Q52,Q52="-"),OR(Q52&lt;S52,Q52="-"),OR(S52&lt;U52,S52="-"),U52&lt;W52,OR(W52&lt;Y52,Y52="-"),OR(Y52&lt;AA52,Y52="-"),OR(AA52&lt;AC52,AA52="-"),AC52&lt;AE52,OR(AE52&lt;AG52,AG52="-"),OR(AG52&lt;AI52,AG52="-"),OR(AI52&lt;AK52,AI52="-"),AK52&lt;AM52,AM52&lt;AO52,AO52&lt;AQ52,AQ52&lt;AS52,AS52&lt;AU52,OR(AU52&lt;AW52,AW52="-"),OR(AW52&lt;AY52,AW52="-"))</f>
        <v>1</v>
      </c>
      <c r="BC52" s="23">
        <f t="shared" ref="BC52:BC72" si="337">_xlfn.AGGREGATE(9,6,CH52:CS52)-_xlfn.AGGREGATE(9,6,BV52:CG52)+12</f>
        <v>261</v>
      </c>
      <c r="BD52" s="5" t="s">
        <v>23</v>
      </c>
      <c r="BE52" s="3" t="s">
        <v>1368</v>
      </c>
      <c r="BF52" s="118">
        <v>2</v>
      </c>
      <c r="BG52" s="49" t="s">
        <v>1</v>
      </c>
      <c r="BH52" s="49" t="s">
        <v>1</v>
      </c>
      <c r="BI52" s="1"/>
      <c r="BJ52" s="70" t="s">
        <v>1281</v>
      </c>
      <c r="BK52" s="57" t="s">
        <v>1281</v>
      </c>
      <c r="BL52" s="57" t="s">
        <v>1281</v>
      </c>
      <c r="BM52" s="57" t="s">
        <v>1281</v>
      </c>
      <c r="BN52" s="57" t="s">
        <v>1281</v>
      </c>
      <c r="BO52" s="57" t="s">
        <v>1281</v>
      </c>
      <c r="BP52" s="57" t="s">
        <v>1281</v>
      </c>
      <c r="BQ52" s="57" t="s">
        <v>1281</v>
      </c>
      <c r="BR52" s="57" t="s">
        <v>1281</v>
      </c>
      <c r="BS52" s="57" t="s">
        <v>1281</v>
      </c>
      <c r="BT52" s="57" t="s">
        <v>1281</v>
      </c>
      <c r="BU52" s="57" t="s">
        <v>1281</v>
      </c>
      <c r="BV52" s="70">
        <f t="shared" ref="BV52:BV72" si="338">E52</f>
        <v>2</v>
      </c>
      <c r="BW52" s="71">
        <f t="shared" ref="BW52:BW72" si="339">I52</f>
        <v>35</v>
      </c>
      <c r="BX52" s="72">
        <f t="shared" ref="BX52:BX72" si="340">M52</f>
        <v>39</v>
      </c>
      <c r="BY52" s="71">
        <f t="shared" ref="BY52:BY72" si="341">Q52</f>
        <v>70</v>
      </c>
      <c r="BZ52" s="72">
        <f t="shared" ref="BZ52:BZ72" si="342">U52</f>
        <v>73</v>
      </c>
      <c r="CA52" s="71">
        <f t="shared" ref="CA52:CA72" si="343">Y52</f>
        <v>109</v>
      </c>
      <c r="CB52" s="72">
        <f t="shared" ref="CB52:CB72" si="344">AC52</f>
        <v>117</v>
      </c>
      <c r="CC52" s="71">
        <f t="shared" ref="CC52:CC72" si="345">AG52</f>
        <v>166</v>
      </c>
      <c r="CD52" s="72">
        <f t="shared" ref="CD52:CD72" si="346">AK52</f>
        <v>173</v>
      </c>
      <c r="CE52" s="71">
        <f t="shared" ref="CE52:CE72" si="347">AO52</f>
        <v>219</v>
      </c>
      <c r="CF52" s="72">
        <f t="shared" ref="CF52:CF72" si="348">AS52</f>
        <v>266</v>
      </c>
      <c r="CG52" s="71">
        <f t="shared" ref="CG52:CG72" si="349">AW52</f>
        <v>292</v>
      </c>
      <c r="CH52" s="70">
        <f t="shared" ref="CH52:CH72" si="350">G52</f>
        <v>34</v>
      </c>
      <c r="CI52" s="71">
        <f t="shared" ref="CI52:CI72" si="351">K52</f>
        <v>38</v>
      </c>
      <c r="CJ52" s="72">
        <f t="shared" ref="CJ52:CJ72" si="352">O52</f>
        <v>69</v>
      </c>
      <c r="CK52" s="72">
        <f t="shared" ref="CK52:CK72" si="353">S52</f>
        <v>72</v>
      </c>
      <c r="CL52" s="72">
        <f t="shared" ref="CL52:CL72" si="354">W52</f>
        <v>108</v>
      </c>
      <c r="CM52" s="72">
        <f t="shared" ref="CM52:CM72" si="355">AA52</f>
        <v>116</v>
      </c>
      <c r="CN52" s="72">
        <f t="shared" ref="CN52:CN72" si="356">AE52</f>
        <v>142</v>
      </c>
      <c r="CO52" s="72">
        <f t="shared" ref="CO52:CO72" si="357">AI52</f>
        <v>168</v>
      </c>
      <c r="CP52" s="72">
        <f t="shared" ref="CP52:CP72" si="358">AM52</f>
        <v>208</v>
      </c>
      <c r="CQ52" s="72">
        <f t="shared" ref="CQ52:CQ72" si="359">AQ52</f>
        <v>259</v>
      </c>
      <c r="CR52" s="72">
        <f t="shared" ref="CR52:CR72" si="360">AU52</f>
        <v>291</v>
      </c>
      <c r="CS52" s="72">
        <f t="shared" ref="CS52:CS72" si="361">AY52</f>
        <v>305</v>
      </c>
      <c r="CT52" s="23">
        <f t="shared" ref="CT52:CT72" si="362">M52-K52</f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335"/>
        <v>aa2ar_human_5MZP</v>
      </c>
      <c r="B53" s="3" t="s">
        <v>139</v>
      </c>
      <c r="C53" s="3" t="s">
        <v>1430</v>
      </c>
      <c r="D53" s="3" t="str">
        <f>IFERROR(MID(VLOOKUP($B53,Seqs!$A:$B,2,0),E53,1),"")</f>
        <v>P</v>
      </c>
      <c r="E53" s="3">
        <v>2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S</v>
      </c>
      <c r="AY53" s="3">
        <v>305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336"/>
        <v>1</v>
      </c>
      <c r="BC53" s="23">
        <f t="shared" si="337"/>
        <v>261</v>
      </c>
      <c r="BD53" s="5" t="s">
        <v>23</v>
      </c>
      <c r="BE53" s="3" t="s">
        <v>1368</v>
      </c>
      <c r="BF53" s="118">
        <v>3</v>
      </c>
      <c r="BG53" s="49" t="s">
        <v>1</v>
      </c>
      <c r="BH53" s="49" t="s">
        <v>1</v>
      </c>
      <c r="BI53" s="1"/>
      <c r="BJ53" s="70" t="s">
        <v>1281</v>
      </c>
      <c r="BK53" s="57" t="s">
        <v>1281</v>
      </c>
      <c r="BL53" s="57" t="s">
        <v>1281</v>
      </c>
      <c r="BM53" s="57" t="s">
        <v>1281</v>
      </c>
      <c r="BN53" s="57" t="s">
        <v>1281</v>
      </c>
      <c r="BO53" s="57" t="s">
        <v>1281</v>
      </c>
      <c r="BP53" s="57" t="s">
        <v>1281</v>
      </c>
      <c r="BQ53" s="57" t="s">
        <v>1281</v>
      </c>
      <c r="BR53" s="57" t="s">
        <v>1281</v>
      </c>
      <c r="BS53" s="57" t="s">
        <v>1281</v>
      </c>
      <c r="BT53" s="57" t="s">
        <v>1281</v>
      </c>
      <c r="BU53" s="57" t="s">
        <v>1281</v>
      </c>
      <c r="BV53" s="70">
        <f t="shared" si="338"/>
        <v>2</v>
      </c>
      <c r="BW53" s="71">
        <f t="shared" si="339"/>
        <v>35</v>
      </c>
      <c r="BX53" s="72">
        <f t="shared" si="340"/>
        <v>39</v>
      </c>
      <c r="BY53" s="71">
        <f t="shared" si="341"/>
        <v>70</v>
      </c>
      <c r="BZ53" s="72">
        <f t="shared" si="342"/>
        <v>73</v>
      </c>
      <c r="CA53" s="71">
        <f t="shared" si="343"/>
        <v>109</v>
      </c>
      <c r="CB53" s="72">
        <f t="shared" si="344"/>
        <v>117</v>
      </c>
      <c r="CC53" s="71">
        <f t="shared" si="345"/>
        <v>166</v>
      </c>
      <c r="CD53" s="72">
        <f t="shared" si="346"/>
        <v>173</v>
      </c>
      <c r="CE53" s="71">
        <f t="shared" si="347"/>
        <v>219</v>
      </c>
      <c r="CF53" s="72">
        <f t="shared" si="348"/>
        <v>266</v>
      </c>
      <c r="CG53" s="71">
        <f t="shared" si="349"/>
        <v>292</v>
      </c>
      <c r="CH53" s="70">
        <f t="shared" si="350"/>
        <v>34</v>
      </c>
      <c r="CI53" s="71">
        <f t="shared" si="351"/>
        <v>38</v>
      </c>
      <c r="CJ53" s="72">
        <f t="shared" si="352"/>
        <v>69</v>
      </c>
      <c r="CK53" s="72">
        <f t="shared" si="353"/>
        <v>72</v>
      </c>
      <c r="CL53" s="72">
        <f t="shared" si="354"/>
        <v>108</v>
      </c>
      <c r="CM53" s="72">
        <f t="shared" si="355"/>
        <v>116</v>
      </c>
      <c r="CN53" s="72">
        <f t="shared" si="356"/>
        <v>142</v>
      </c>
      <c r="CO53" s="72">
        <f t="shared" si="357"/>
        <v>168</v>
      </c>
      <c r="CP53" s="72">
        <f t="shared" si="358"/>
        <v>208</v>
      </c>
      <c r="CQ53" s="72">
        <f t="shared" si="359"/>
        <v>259</v>
      </c>
      <c r="CR53" s="72">
        <f t="shared" si="360"/>
        <v>291</v>
      </c>
      <c r="CS53" s="72">
        <f t="shared" si="361"/>
        <v>305</v>
      </c>
      <c r="CT53" s="23">
        <f t="shared" si="362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335"/>
        <v>aa2ar_human_5N2R</v>
      </c>
      <c r="B54" s="3" t="s">
        <v>139</v>
      </c>
      <c r="C54" s="3" t="s">
        <v>1424</v>
      </c>
      <c r="D54" s="3" t="str">
        <f>IFERROR(MID(VLOOKUP($B54,Seqs!$A:$B,2,0),E54,1),"")</f>
        <v>P</v>
      </c>
      <c r="E54" s="3">
        <v>2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336"/>
        <v>1</v>
      </c>
      <c r="BC54" s="23">
        <f t="shared" si="337"/>
        <v>261</v>
      </c>
      <c r="BD54" s="5" t="s">
        <v>23</v>
      </c>
      <c r="BE54" s="3" t="s">
        <v>1368</v>
      </c>
      <c r="BF54" s="118">
        <v>2.9</v>
      </c>
      <c r="BG54" s="49" t="s">
        <v>1</v>
      </c>
      <c r="BH54" s="49" t="s">
        <v>1</v>
      </c>
      <c r="BI54" s="1"/>
      <c r="BJ54" s="70" t="s">
        <v>1281</v>
      </c>
      <c r="BK54" s="57" t="s">
        <v>1281</v>
      </c>
      <c r="BL54" s="57" t="s">
        <v>1281</v>
      </c>
      <c r="BM54" s="57" t="s">
        <v>1281</v>
      </c>
      <c r="BN54" s="57" t="s">
        <v>1281</v>
      </c>
      <c r="BO54" s="57" t="s">
        <v>1281</v>
      </c>
      <c r="BP54" s="57" t="s">
        <v>1281</v>
      </c>
      <c r="BQ54" s="57" t="s">
        <v>1281</v>
      </c>
      <c r="BR54" s="57" t="s">
        <v>1281</v>
      </c>
      <c r="BS54" s="57" t="s">
        <v>1281</v>
      </c>
      <c r="BT54" s="57" t="s">
        <v>1281</v>
      </c>
      <c r="BU54" s="57" t="s">
        <v>1281</v>
      </c>
      <c r="BV54" s="70">
        <f t="shared" si="338"/>
        <v>2</v>
      </c>
      <c r="BW54" s="71">
        <f t="shared" si="339"/>
        <v>35</v>
      </c>
      <c r="BX54" s="72">
        <f t="shared" si="340"/>
        <v>39</v>
      </c>
      <c r="BY54" s="71">
        <f t="shared" si="341"/>
        <v>70</v>
      </c>
      <c r="BZ54" s="72">
        <f t="shared" si="342"/>
        <v>73</v>
      </c>
      <c r="CA54" s="71">
        <f t="shared" si="343"/>
        <v>109</v>
      </c>
      <c r="CB54" s="72">
        <f t="shared" si="344"/>
        <v>117</v>
      </c>
      <c r="CC54" s="71">
        <f t="shared" si="345"/>
        <v>166</v>
      </c>
      <c r="CD54" s="72">
        <f t="shared" si="346"/>
        <v>173</v>
      </c>
      <c r="CE54" s="71">
        <f t="shared" si="347"/>
        <v>219</v>
      </c>
      <c r="CF54" s="72">
        <f t="shared" si="348"/>
        <v>266</v>
      </c>
      <c r="CG54" s="71">
        <f t="shared" si="349"/>
        <v>292</v>
      </c>
      <c r="CH54" s="70">
        <f t="shared" si="350"/>
        <v>34</v>
      </c>
      <c r="CI54" s="71">
        <f t="shared" si="351"/>
        <v>38</v>
      </c>
      <c r="CJ54" s="72">
        <f t="shared" si="352"/>
        <v>69</v>
      </c>
      <c r="CK54" s="72">
        <f t="shared" si="353"/>
        <v>72</v>
      </c>
      <c r="CL54" s="72">
        <f t="shared" si="354"/>
        <v>108</v>
      </c>
      <c r="CM54" s="72">
        <f t="shared" si="355"/>
        <v>116</v>
      </c>
      <c r="CN54" s="72">
        <f t="shared" si="356"/>
        <v>142</v>
      </c>
      <c r="CO54" s="72">
        <f t="shared" si="357"/>
        <v>168</v>
      </c>
      <c r="CP54" s="72">
        <f t="shared" si="358"/>
        <v>208</v>
      </c>
      <c r="CQ54" s="72">
        <f t="shared" si="359"/>
        <v>259</v>
      </c>
      <c r="CR54" s="72">
        <f t="shared" si="360"/>
        <v>291</v>
      </c>
      <c r="CS54" s="72">
        <f t="shared" si="361"/>
        <v>305</v>
      </c>
      <c r="CT54" s="23">
        <f t="shared" si="362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335"/>
        <v>aa2ar_human_5UIG</v>
      </c>
      <c r="B55" s="3" t="s">
        <v>139</v>
      </c>
      <c r="C55" s="3" t="s">
        <v>1381</v>
      </c>
      <c r="D55" s="3" t="str">
        <f>IFERROR(MID(VLOOKUP($B55,Seqs!$A:$B,2,0),E55,1),"")</f>
        <v>M</v>
      </c>
      <c r="E55" s="3">
        <v>4</v>
      </c>
      <c r="F55" s="3" t="str">
        <f>IFERROR(MID(VLOOKUP($B55,Seqs!$A:$B,2,0),G55,1),"")</f>
        <v>N</v>
      </c>
      <c r="G55" s="3">
        <v>34</v>
      </c>
      <c r="H55" s="3" t="str">
        <f>IFERROR(MID(VLOOKUP($B55,Seqs!$A:$B,2,0),I55,1),"")</f>
        <v>S</v>
      </c>
      <c r="I55" s="23">
        <v>35</v>
      </c>
      <c r="J55" s="3" t="str">
        <f>IFERROR(MID(VLOOKUP($B55,Seqs!$A:$B,2,0),K55,1),"")</f>
        <v>Q</v>
      </c>
      <c r="K55" s="23">
        <v>38</v>
      </c>
      <c r="L55" s="3" t="str">
        <f>IFERROR(MID(VLOOKUP($B55,Seqs!$A:$B,2,0),M55,1),"")</f>
        <v>N</v>
      </c>
      <c r="M55" s="3">
        <v>39</v>
      </c>
      <c r="N55" s="3" t="str">
        <f>IFERROR(MID(VLOOKUP($B55,Seqs!$A:$B,2,0),O55,1),"")</f>
        <v>G</v>
      </c>
      <c r="O55" s="3">
        <v>69</v>
      </c>
      <c r="P55" s="3" t="str">
        <f>IFERROR(MID(VLOOKUP($B55,Seqs!$A:$B,2,0),Q55,1),"")</f>
        <v>F</v>
      </c>
      <c r="Q55" s="3">
        <v>70</v>
      </c>
      <c r="R55" s="3" t="str">
        <f>IFERROR(MID(VLOOKUP($B55,Seqs!$A:$B,2,0),S55,1),"")</f>
        <v>A</v>
      </c>
      <c r="S55" s="3">
        <v>72</v>
      </c>
      <c r="T55" s="3" t="str">
        <f>IFERROR(MID(VLOOKUP($B55,Seqs!$A:$B,2,0),U55,1),"")</f>
        <v>A</v>
      </c>
      <c r="U55" s="3">
        <v>73</v>
      </c>
      <c r="V55" s="3" t="str">
        <f>IFERROR(MID(VLOOKUP($B55,Seqs!$A:$B,2,0),W55,1),"")</f>
        <v>I</v>
      </c>
      <c r="W55" s="3">
        <v>108</v>
      </c>
      <c r="X55" s="3" t="str">
        <f>IFERROR(MID(VLOOKUP($B55,Seqs!$A:$B,2,0),Y55,1),"")</f>
        <v>P</v>
      </c>
      <c r="Y55" s="3">
        <v>109</v>
      </c>
      <c r="Z55" s="3" t="str">
        <f>IFERROR(MID(VLOOKUP($B55,Seqs!$A:$B,2,0),AA55,1),"")</f>
        <v>V</v>
      </c>
      <c r="AA55" s="3">
        <v>116</v>
      </c>
      <c r="AB55" s="3" t="str">
        <f>IFERROR(MID(VLOOKUP($B55,Seqs!$A:$B,2,0),AC55,1),"")</f>
        <v>T</v>
      </c>
      <c r="AC55" s="3">
        <v>117</v>
      </c>
      <c r="AD55" s="3" t="str">
        <f>IFERROR(MID(VLOOKUP($B55,Seqs!$A:$B,2,0),AE55,1),"")</f>
        <v>G</v>
      </c>
      <c r="AE55" s="3">
        <v>142</v>
      </c>
      <c r="AF55" s="3" t="str">
        <f>IFERROR(MID(VLOOKUP($B55,Seqs!$A:$B,2,0),AG55,1),"")</f>
        <v>C</v>
      </c>
      <c r="AG55" s="3">
        <v>166</v>
      </c>
      <c r="AH55" s="3" t="str">
        <f>IFERROR(MID(VLOOKUP($B55,Seqs!$A:$B,2,0),AI55,1),"")</f>
        <v>F</v>
      </c>
      <c r="AI55" s="3">
        <v>168</v>
      </c>
      <c r="AJ55" s="3" t="str">
        <f>IFERROR(MID(VLOOKUP($B55,Seqs!$A:$B,2,0),AK55,1),"")</f>
        <v>P</v>
      </c>
      <c r="AK55" s="3">
        <v>173</v>
      </c>
      <c r="AL55" s="3" t="str">
        <f>IFERROR(MID(VLOOKUP($B55,Seqs!$A:$B,2,0),AM55,1),"")</f>
        <v>L</v>
      </c>
      <c r="AM55" s="3">
        <v>208</v>
      </c>
      <c r="AN55" s="3" t="str">
        <f>IFERROR(MID(VLOOKUP($B55,Seqs!$A:$B,2,0),AO55,1),"")</f>
        <v>E</v>
      </c>
      <c r="AO55" s="3">
        <v>219</v>
      </c>
      <c r="AP55" s="3" t="str">
        <f>IFERROR(MID(VLOOKUP($B55,Seqs!$A:$B,2,0),AQ55,1),"")</f>
        <v>C</v>
      </c>
      <c r="AQ55" s="3">
        <v>259</v>
      </c>
      <c r="AR55" s="3" t="str">
        <f>IFERROR(MID(VLOOKUP($B55,Seqs!$A:$B,2,0),AS55,1),"")</f>
        <v>P</v>
      </c>
      <c r="AS55" s="3">
        <v>266</v>
      </c>
      <c r="AT55" s="3" t="str">
        <f>IFERROR(MID(VLOOKUP($B55,Seqs!$A:$B,2,0),AU55,1),"")</f>
        <v>R</v>
      </c>
      <c r="AU55" s="3">
        <v>291</v>
      </c>
      <c r="AV55" s="3" t="str">
        <f>IFERROR(MID(VLOOKUP($B55,Seqs!$A:$B,2,0),AW55,1),"")</f>
        <v>I</v>
      </c>
      <c r="AW55" s="3">
        <v>292</v>
      </c>
      <c r="AX55" s="3" t="str">
        <f>IFERROR(MID(VLOOKUP($B55,Seqs!$A:$B,2,0),AY55,1),"")</f>
        <v>Q</v>
      </c>
      <c r="AY55" s="3">
        <v>297</v>
      </c>
      <c r="AZ55" s="77" t="str">
        <f>VLOOKUP(B55,Classification!A:D,2,0)</f>
        <v>A</v>
      </c>
      <c r="BA55" s="94" t="str">
        <f>VLOOKUP(B55,Classification!A:D,4,0)</f>
        <v>Adenosine</v>
      </c>
      <c r="BB55" s="27" t="b">
        <f t="shared" si="336"/>
        <v>1</v>
      </c>
      <c r="BC55" s="23">
        <f t="shared" si="337"/>
        <v>251</v>
      </c>
      <c r="BD55" s="5" t="s">
        <v>23</v>
      </c>
      <c r="BE55" s="3" t="s">
        <v>1368</v>
      </c>
      <c r="BF55" s="118">
        <v>3.5</v>
      </c>
      <c r="BG55" s="49" t="s">
        <v>1371</v>
      </c>
      <c r="BH55" s="49" t="s">
        <v>1371</v>
      </c>
      <c r="BI55" s="1"/>
      <c r="BJ55" s="70" t="s">
        <v>1281</v>
      </c>
      <c r="BK55" s="57" t="s">
        <v>1281</v>
      </c>
      <c r="BL55" s="57" t="s">
        <v>1281</v>
      </c>
      <c r="BM55" s="57" t="s">
        <v>1281</v>
      </c>
      <c r="BN55" s="57" t="s">
        <v>1281</v>
      </c>
      <c r="BO55" s="57" t="s">
        <v>1281</v>
      </c>
      <c r="BP55" s="57" t="s">
        <v>1281</v>
      </c>
      <c r="BQ55" s="57" t="s">
        <v>1281</v>
      </c>
      <c r="BR55" s="57" t="s">
        <v>1281</v>
      </c>
      <c r="BS55" s="57" t="s">
        <v>1281</v>
      </c>
      <c r="BT55" s="57" t="s">
        <v>1281</v>
      </c>
      <c r="BU55" s="57" t="s">
        <v>1281</v>
      </c>
      <c r="BV55" s="70">
        <f t="shared" si="338"/>
        <v>4</v>
      </c>
      <c r="BW55" s="71">
        <f t="shared" si="339"/>
        <v>35</v>
      </c>
      <c r="BX55" s="72">
        <f t="shared" si="340"/>
        <v>39</v>
      </c>
      <c r="BY55" s="71">
        <f t="shared" si="341"/>
        <v>70</v>
      </c>
      <c r="BZ55" s="72">
        <f t="shared" si="342"/>
        <v>73</v>
      </c>
      <c r="CA55" s="71">
        <f t="shared" si="343"/>
        <v>109</v>
      </c>
      <c r="CB55" s="72">
        <f t="shared" si="344"/>
        <v>117</v>
      </c>
      <c r="CC55" s="71">
        <f t="shared" si="345"/>
        <v>166</v>
      </c>
      <c r="CD55" s="72">
        <f t="shared" si="346"/>
        <v>173</v>
      </c>
      <c r="CE55" s="71">
        <f t="shared" si="347"/>
        <v>219</v>
      </c>
      <c r="CF55" s="72">
        <f t="shared" si="348"/>
        <v>266</v>
      </c>
      <c r="CG55" s="71">
        <f t="shared" si="349"/>
        <v>292</v>
      </c>
      <c r="CH55" s="70">
        <f t="shared" si="350"/>
        <v>34</v>
      </c>
      <c r="CI55" s="71">
        <f t="shared" si="351"/>
        <v>38</v>
      </c>
      <c r="CJ55" s="72">
        <f t="shared" si="352"/>
        <v>69</v>
      </c>
      <c r="CK55" s="72">
        <f t="shared" si="353"/>
        <v>72</v>
      </c>
      <c r="CL55" s="72">
        <f t="shared" si="354"/>
        <v>108</v>
      </c>
      <c r="CM55" s="72">
        <f t="shared" si="355"/>
        <v>116</v>
      </c>
      <c r="CN55" s="72">
        <f t="shared" si="356"/>
        <v>142</v>
      </c>
      <c r="CO55" s="72">
        <f t="shared" si="357"/>
        <v>168</v>
      </c>
      <c r="CP55" s="72">
        <f t="shared" si="358"/>
        <v>208</v>
      </c>
      <c r="CQ55" s="72">
        <f t="shared" si="359"/>
        <v>259</v>
      </c>
      <c r="CR55" s="72">
        <f t="shared" si="360"/>
        <v>291</v>
      </c>
      <c r="CS55" s="72">
        <f t="shared" si="361"/>
        <v>297</v>
      </c>
      <c r="CT55" s="23">
        <f t="shared" si="362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335"/>
        <v>aa2ar_human_5UVI</v>
      </c>
      <c r="B56" s="3" t="s">
        <v>139</v>
      </c>
      <c r="C56" s="3" t="s">
        <v>1405</v>
      </c>
      <c r="D56" s="3" t="str">
        <f>IFERROR(MID(VLOOKUP($B56,Seqs!$A:$B,2,0),E56,1),"")</f>
        <v>M</v>
      </c>
      <c r="E56" s="3">
        <v>1</v>
      </c>
      <c r="F56" s="3" t="str">
        <f>IFERROR(MID(VLOOKUP($B56,Seqs!$A:$B,2,0),G56,1),"")</f>
        <v>N</v>
      </c>
      <c r="G56" s="3">
        <v>34</v>
      </c>
      <c r="H56" s="3" t="str">
        <f>IFERROR(MID(VLOOKUP($B56,Seqs!$A:$B,2,0),I56,1),"")</f>
        <v>S</v>
      </c>
      <c r="I56" s="23">
        <v>35</v>
      </c>
      <c r="J56" s="3" t="str">
        <f>IFERROR(MID(VLOOKUP($B56,Seqs!$A:$B,2,0),K56,1),"")</f>
        <v>Q</v>
      </c>
      <c r="K56" s="23">
        <v>38</v>
      </c>
      <c r="L56" s="3" t="str">
        <f>IFERROR(MID(VLOOKUP($B56,Seqs!$A:$B,2,0),M56,1),"")</f>
        <v>N</v>
      </c>
      <c r="M56" s="3">
        <v>39</v>
      </c>
      <c r="N56" s="3" t="str">
        <f>IFERROR(MID(VLOOKUP($B56,Seqs!$A:$B,2,0),O56,1),"")</f>
        <v>G</v>
      </c>
      <c r="O56" s="3">
        <v>69</v>
      </c>
      <c r="P56" s="3" t="str">
        <f>IFERROR(MID(VLOOKUP($B56,Seqs!$A:$B,2,0),Q56,1),"")</f>
        <v>F</v>
      </c>
      <c r="Q56" s="3">
        <v>70</v>
      </c>
      <c r="R56" s="3" t="str">
        <f>IFERROR(MID(VLOOKUP($B56,Seqs!$A:$B,2,0),S56,1),"")</f>
        <v>A</v>
      </c>
      <c r="S56" s="3">
        <v>72</v>
      </c>
      <c r="T56" s="3" t="str">
        <f>IFERROR(MID(VLOOKUP($B56,Seqs!$A:$B,2,0),U56,1),"")</f>
        <v>A</v>
      </c>
      <c r="U56" s="3">
        <v>73</v>
      </c>
      <c r="V56" s="3" t="str">
        <f>IFERROR(MID(VLOOKUP($B56,Seqs!$A:$B,2,0),W56,1),"")</f>
        <v>I</v>
      </c>
      <c r="W56" s="3">
        <v>108</v>
      </c>
      <c r="X56" s="3" t="str">
        <f>IFERROR(MID(VLOOKUP($B56,Seqs!$A:$B,2,0),Y56,1),"")</f>
        <v>P</v>
      </c>
      <c r="Y56" s="3">
        <v>109</v>
      </c>
      <c r="Z56" s="3" t="str">
        <f>IFERROR(MID(VLOOKUP($B56,Seqs!$A:$B,2,0),AA56,1),"")</f>
        <v>V</v>
      </c>
      <c r="AA56" s="3">
        <v>116</v>
      </c>
      <c r="AB56" s="3" t="str">
        <f>IFERROR(MID(VLOOKUP($B56,Seqs!$A:$B,2,0),AC56,1),"")</f>
        <v>T</v>
      </c>
      <c r="AC56" s="3">
        <v>117</v>
      </c>
      <c r="AD56" s="3" t="str">
        <f>IFERROR(MID(VLOOKUP($B56,Seqs!$A:$B,2,0),AE56,1),"")</f>
        <v>G</v>
      </c>
      <c r="AE56" s="3">
        <v>142</v>
      </c>
      <c r="AF56" s="3" t="str">
        <f>IFERROR(MID(VLOOKUP($B56,Seqs!$A:$B,2,0),AG56,1),"")</f>
        <v>C</v>
      </c>
      <c r="AG56" s="3">
        <v>166</v>
      </c>
      <c r="AH56" s="3" t="str">
        <f>IFERROR(MID(VLOOKUP($B56,Seqs!$A:$B,2,0),AI56,1),"")</f>
        <v>F</v>
      </c>
      <c r="AI56" s="3">
        <v>168</v>
      </c>
      <c r="AJ56" s="3" t="str">
        <f>IFERROR(MID(VLOOKUP($B56,Seqs!$A:$B,2,0),AK56,1),"")</f>
        <v>P</v>
      </c>
      <c r="AK56" s="3">
        <v>173</v>
      </c>
      <c r="AL56" s="3" t="str">
        <f>IFERROR(MID(VLOOKUP($B56,Seqs!$A:$B,2,0),AM56,1),"")</f>
        <v>L</v>
      </c>
      <c r="AM56" s="3">
        <v>208</v>
      </c>
      <c r="AN56" s="3" t="str">
        <f>IFERROR(MID(VLOOKUP($B56,Seqs!$A:$B,2,0),AO56,1),"")</f>
        <v>E</v>
      </c>
      <c r="AO56" s="3">
        <v>219</v>
      </c>
      <c r="AP56" s="3" t="str">
        <f>IFERROR(MID(VLOOKUP($B56,Seqs!$A:$B,2,0),AQ56,1),"")</f>
        <v>C</v>
      </c>
      <c r="AQ56" s="3">
        <v>259</v>
      </c>
      <c r="AR56" s="3" t="str">
        <f>IFERROR(MID(VLOOKUP($B56,Seqs!$A:$B,2,0),AS56,1),"")</f>
        <v>P</v>
      </c>
      <c r="AS56" s="3">
        <v>266</v>
      </c>
      <c r="AT56" s="3" t="str">
        <f>IFERROR(MID(VLOOKUP($B56,Seqs!$A:$B,2,0),AU56,1),"")</f>
        <v>R</v>
      </c>
      <c r="AU56" s="3">
        <v>291</v>
      </c>
      <c r="AV56" s="3" t="str">
        <f>IFERROR(MID(VLOOKUP($B56,Seqs!$A:$B,2,0),AW56,1),"")</f>
        <v>I</v>
      </c>
      <c r="AW56" s="3">
        <v>292</v>
      </c>
      <c r="AX56" s="3" t="str">
        <f>IFERROR(MID(VLOOKUP($B56,Seqs!$A:$B,2,0),AY56,1),"")</f>
        <v>H</v>
      </c>
      <c r="AY56" s="3">
        <v>306</v>
      </c>
      <c r="AZ56" s="77" t="str">
        <f>VLOOKUP(B56,Classification!A:D,2,0)</f>
        <v>A</v>
      </c>
      <c r="BA56" s="94" t="str">
        <f>VLOOKUP(B56,Classification!A:D,4,0)</f>
        <v>Adenosine</v>
      </c>
      <c r="BB56" s="27" t="b">
        <f t="shared" si="336"/>
        <v>1</v>
      </c>
      <c r="BC56" s="23">
        <f t="shared" si="337"/>
        <v>263</v>
      </c>
      <c r="BD56" s="5" t="s">
        <v>23</v>
      </c>
      <c r="BE56" s="3" t="s">
        <v>1368</v>
      </c>
      <c r="BF56" s="118">
        <v>3.2</v>
      </c>
      <c r="BG56" s="49" t="s">
        <v>1</v>
      </c>
      <c r="BH56" s="49" t="s">
        <v>1</v>
      </c>
      <c r="BI56" s="1"/>
      <c r="BJ56" s="70" t="s">
        <v>1281</v>
      </c>
      <c r="BK56" s="57" t="s">
        <v>1281</v>
      </c>
      <c r="BL56" s="57" t="s">
        <v>1281</v>
      </c>
      <c r="BM56" s="57" t="s">
        <v>1281</v>
      </c>
      <c r="BN56" s="57" t="s">
        <v>1281</v>
      </c>
      <c r="BO56" s="57" t="s">
        <v>1281</v>
      </c>
      <c r="BP56" s="57" t="s">
        <v>1281</v>
      </c>
      <c r="BQ56" s="57" t="s">
        <v>1281</v>
      </c>
      <c r="BR56" s="57" t="s">
        <v>1281</v>
      </c>
      <c r="BS56" s="57" t="s">
        <v>1281</v>
      </c>
      <c r="BT56" s="57" t="s">
        <v>1281</v>
      </c>
      <c r="BU56" s="57" t="s">
        <v>1281</v>
      </c>
      <c r="BV56" s="70">
        <f t="shared" si="338"/>
        <v>1</v>
      </c>
      <c r="BW56" s="71">
        <f t="shared" si="339"/>
        <v>35</v>
      </c>
      <c r="BX56" s="72">
        <f t="shared" si="340"/>
        <v>39</v>
      </c>
      <c r="BY56" s="71">
        <f t="shared" si="341"/>
        <v>70</v>
      </c>
      <c r="BZ56" s="72">
        <f t="shared" si="342"/>
        <v>73</v>
      </c>
      <c r="CA56" s="71">
        <f t="shared" si="343"/>
        <v>109</v>
      </c>
      <c r="CB56" s="72">
        <f t="shared" si="344"/>
        <v>117</v>
      </c>
      <c r="CC56" s="71">
        <f t="shared" si="345"/>
        <v>166</v>
      </c>
      <c r="CD56" s="72">
        <f t="shared" si="346"/>
        <v>173</v>
      </c>
      <c r="CE56" s="71">
        <f t="shared" si="347"/>
        <v>219</v>
      </c>
      <c r="CF56" s="72">
        <f t="shared" si="348"/>
        <v>266</v>
      </c>
      <c r="CG56" s="71">
        <f t="shared" si="349"/>
        <v>292</v>
      </c>
      <c r="CH56" s="70">
        <f t="shared" si="350"/>
        <v>34</v>
      </c>
      <c r="CI56" s="71">
        <f t="shared" si="351"/>
        <v>38</v>
      </c>
      <c r="CJ56" s="72">
        <f t="shared" si="352"/>
        <v>69</v>
      </c>
      <c r="CK56" s="72">
        <f t="shared" si="353"/>
        <v>72</v>
      </c>
      <c r="CL56" s="72">
        <f t="shared" si="354"/>
        <v>108</v>
      </c>
      <c r="CM56" s="72">
        <f t="shared" si="355"/>
        <v>116</v>
      </c>
      <c r="CN56" s="72">
        <f t="shared" si="356"/>
        <v>142</v>
      </c>
      <c r="CO56" s="72">
        <f t="shared" si="357"/>
        <v>168</v>
      </c>
      <c r="CP56" s="72">
        <f t="shared" si="358"/>
        <v>208</v>
      </c>
      <c r="CQ56" s="72">
        <f t="shared" si="359"/>
        <v>259</v>
      </c>
      <c r="CR56" s="72">
        <f t="shared" si="360"/>
        <v>291</v>
      </c>
      <c r="CS56" s="72">
        <f t="shared" si="361"/>
        <v>306</v>
      </c>
      <c r="CT56" s="23">
        <f t="shared" si="362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335"/>
        <v>aa2ar_human_5JTB</v>
      </c>
      <c r="B57" s="3" t="s">
        <v>139</v>
      </c>
      <c r="C57" s="3" t="s">
        <v>1406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V</v>
      </c>
      <c r="AY57" s="3">
        <v>307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336"/>
        <v>1</v>
      </c>
      <c r="BC57" s="23">
        <f t="shared" si="337"/>
        <v>264</v>
      </c>
      <c r="BD57" s="5" t="s">
        <v>23</v>
      </c>
      <c r="BE57" s="3" t="s">
        <v>1368</v>
      </c>
      <c r="BF57" s="118">
        <v>2.8</v>
      </c>
      <c r="BG57" s="49" t="s">
        <v>1</v>
      </c>
      <c r="BH57" s="49" t="s">
        <v>1</v>
      </c>
      <c r="BI57" s="1"/>
      <c r="BJ57" s="70" t="s">
        <v>1281</v>
      </c>
      <c r="BK57" s="57" t="s">
        <v>1281</v>
      </c>
      <c r="BL57" s="57" t="s">
        <v>1281</v>
      </c>
      <c r="BM57" s="57" t="s">
        <v>1281</v>
      </c>
      <c r="BN57" s="57" t="s">
        <v>1281</v>
      </c>
      <c r="BO57" s="57" t="s">
        <v>1281</v>
      </c>
      <c r="BP57" s="57" t="s">
        <v>1281</v>
      </c>
      <c r="BQ57" s="57" t="s">
        <v>1281</v>
      </c>
      <c r="BR57" s="57" t="s">
        <v>1281</v>
      </c>
      <c r="BS57" s="57" t="s">
        <v>1281</v>
      </c>
      <c r="BT57" s="57" t="s">
        <v>1281</v>
      </c>
      <c r="BU57" s="57" t="s">
        <v>1281</v>
      </c>
      <c r="BV57" s="70">
        <f t="shared" si="338"/>
        <v>1</v>
      </c>
      <c r="BW57" s="71">
        <f t="shared" si="339"/>
        <v>35</v>
      </c>
      <c r="BX57" s="72">
        <f t="shared" si="340"/>
        <v>39</v>
      </c>
      <c r="BY57" s="71">
        <f t="shared" si="341"/>
        <v>70</v>
      </c>
      <c r="BZ57" s="72">
        <f t="shared" si="342"/>
        <v>73</v>
      </c>
      <c r="CA57" s="71">
        <f t="shared" si="343"/>
        <v>109</v>
      </c>
      <c r="CB57" s="72">
        <f t="shared" si="344"/>
        <v>117</v>
      </c>
      <c r="CC57" s="71">
        <f t="shared" si="345"/>
        <v>166</v>
      </c>
      <c r="CD57" s="72">
        <f t="shared" si="346"/>
        <v>173</v>
      </c>
      <c r="CE57" s="71">
        <f t="shared" si="347"/>
        <v>219</v>
      </c>
      <c r="CF57" s="72">
        <f t="shared" si="348"/>
        <v>266</v>
      </c>
      <c r="CG57" s="71">
        <f t="shared" si="349"/>
        <v>292</v>
      </c>
      <c r="CH57" s="70">
        <f t="shared" si="350"/>
        <v>34</v>
      </c>
      <c r="CI57" s="71">
        <f t="shared" si="351"/>
        <v>38</v>
      </c>
      <c r="CJ57" s="72">
        <f t="shared" si="352"/>
        <v>69</v>
      </c>
      <c r="CK57" s="72">
        <f t="shared" si="353"/>
        <v>72</v>
      </c>
      <c r="CL57" s="72">
        <f t="shared" si="354"/>
        <v>108</v>
      </c>
      <c r="CM57" s="72">
        <f t="shared" si="355"/>
        <v>116</v>
      </c>
      <c r="CN57" s="72">
        <f t="shared" si="356"/>
        <v>142</v>
      </c>
      <c r="CO57" s="72">
        <f t="shared" si="357"/>
        <v>168</v>
      </c>
      <c r="CP57" s="72">
        <f t="shared" si="358"/>
        <v>208</v>
      </c>
      <c r="CQ57" s="72">
        <f t="shared" si="359"/>
        <v>259</v>
      </c>
      <c r="CR57" s="72">
        <f t="shared" si="360"/>
        <v>291</v>
      </c>
      <c r="CS57" s="72">
        <f t="shared" si="361"/>
        <v>307</v>
      </c>
      <c r="CT57" s="23">
        <f t="shared" si="362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335"/>
        <v>aa2ar_human_5NM2</v>
      </c>
      <c r="B58" s="3" t="s">
        <v>139</v>
      </c>
      <c r="C58" s="3" t="s">
        <v>1437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336"/>
        <v>1</v>
      </c>
      <c r="BC58" s="23">
        <f t="shared" si="337"/>
        <v>262</v>
      </c>
      <c r="BD58" s="5" t="s">
        <v>23</v>
      </c>
      <c r="BE58" s="3" t="s">
        <v>1368</v>
      </c>
      <c r="BF58" s="118">
        <v>1.95</v>
      </c>
      <c r="BG58" s="49" t="s">
        <v>1</v>
      </c>
      <c r="BH58" s="49" t="s">
        <v>1</v>
      </c>
      <c r="BI58" s="1"/>
      <c r="BJ58" s="70" t="s">
        <v>1281</v>
      </c>
      <c r="BK58" s="57" t="s">
        <v>1281</v>
      </c>
      <c r="BL58" s="57" t="s">
        <v>1281</v>
      </c>
      <c r="BM58" s="57" t="s">
        <v>1281</v>
      </c>
      <c r="BN58" s="57" t="s">
        <v>1281</v>
      </c>
      <c r="BO58" s="57" t="s">
        <v>1281</v>
      </c>
      <c r="BP58" s="57" t="s">
        <v>1281</v>
      </c>
      <c r="BQ58" s="57" t="s">
        <v>1281</v>
      </c>
      <c r="BR58" s="57" t="s">
        <v>1281</v>
      </c>
      <c r="BS58" s="57" t="s">
        <v>1281</v>
      </c>
      <c r="BT58" s="57" t="s">
        <v>1281</v>
      </c>
      <c r="BU58" s="57" t="s">
        <v>1281</v>
      </c>
      <c r="BV58" s="70">
        <f t="shared" si="338"/>
        <v>1</v>
      </c>
      <c r="BW58" s="71">
        <f t="shared" si="339"/>
        <v>35</v>
      </c>
      <c r="BX58" s="72">
        <f t="shared" si="340"/>
        <v>39</v>
      </c>
      <c r="BY58" s="71">
        <f t="shared" si="341"/>
        <v>70</v>
      </c>
      <c r="BZ58" s="72">
        <f t="shared" si="342"/>
        <v>73</v>
      </c>
      <c r="CA58" s="71">
        <f t="shared" si="343"/>
        <v>109</v>
      </c>
      <c r="CB58" s="72">
        <f t="shared" si="344"/>
        <v>117</v>
      </c>
      <c r="CC58" s="71">
        <f t="shared" si="345"/>
        <v>166</v>
      </c>
      <c r="CD58" s="72">
        <f t="shared" si="346"/>
        <v>173</v>
      </c>
      <c r="CE58" s="71">
        <f t="shared" si="347"/>
        <v>219</v>
      </c>
      <c r="CF58" s="72">
        <f t="shared" si="348"/>
        <v>266</v>
      </c>
      <c r="CG58" s="71">
        <f t="shared" si="349"/>
        <v>292</v>
      </c>
      <c r="CH58" s="70">
        <f t="shared" si="350"/>
        <v>34</v>
      </c>
      <c r="CI58" s="71">
        <f t="shared" si="351"/>
        <v>38</v>
      </c>
      <c r="CJ58" s="72">
        <f t="shared" si="352"/>
        <v>69</v>
      </c>
      <c r="CK58" s="72">
        <f t="shared" si="353"/>
        <v>72</v>
      </c>
      <c r="CL58" s="72">
        <f t="shared" si="354"/>
        <v>108</v>
      </c>
      <c r="CM58" s="72">
        <f t="shared" si="355"/>
        <v>116</v>
      </c>
      <c r="CN58" s="72">
        <f t="shared" si="356"/>
        <v>142</v>
      </c>
      <c r="CO58" s="72">
        <f t="shared" si="357"/>
        <v>168</v>
      </c>
      <c r="CP58" s="72">
        <f t="shared" si="358"/>
        <v>208</v>
      </c>
      <c r="CQ58" s="72">
        <f t="shared" si="359"/>
        <v>259</v>
      </c>
      <c r="CR58" s="72">
        <f t="shared" si="360"/>
        <v>291</v>
      </c>
      <c r="CS58" s="72">
        <f t="shared" si="361"/>
        <v>305</v>
      </c>
      <c r="CT58" s="23">
        <f t="shared" si="362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ref="A59" si="363">CONCATENATE(B59,"_",C59)</f>
        <v>aa2ar_human_5NM4</v>
      </c>
      <c r="B59" s="3" t="s">
        <v>139</v>
      </c>
      <c r="C59" s="3" t="s">
        <v>1554</v>
      </c>
      <c r="D59" s="3" t="str">
        <f>IFERROR(MID(VLOOKUP($B59,Seqs!$A:$B,2,0),E59,1),"")</f>
        <v>I</v>
      </c>
      <c r="E59" s="3">
        <v>10</v>
      </c>
      <c r="F59" s="3" t="str">
        <f>IFERROR(MID(VLOOKUP($B59,Seqs!$A:$B,2,0),G59,1),"")</f>
        <v>Y</v>
      </c>
      <c r="G59" s="3">
        <v>43</v>
      </c>
      <c r="H59" s="3" t="str">
        <f>IFERROR(MID(VLOOKUP($B59,Seqs!$A:$B,2,0),I59,1),"")</f>
        <v>F</v>
      </c>
      <c r="I59" s="23">
        <v>44</v>
      </c>
      <c r="J59" s="3" t="str">
        <f>IFERROR(MID(VLOOKUP($B59,Seqs!$A:$B,2,0),K59,1),"")</f>
        <v>S</v>
      </c>
      <c r="K59" s="23">
        <v>47</v>
      </c>
      <c r="L59" s="3" t="str">
        <f>IFERROR(MID(VLOOKUP($B59,Seqs!$A:$B,2,0),M59,1),"")</f>
        <v>L</v>
      </c>
      <c r="M59" s="3">
        <v>48</v>
      </c>
      <c r="N59" s="3" t="str">
        <f>IFERROR(MID(VLOOKUP($B59,Seqs!$A:$B,2,0),O59,1),"")</f>
        <v>L</v>
      </c>
      <c r="O59" s="3">
        <v>78</v>
      </c>
      <c r="P59" s="3" t="str">
        <f>IFERROR(MID(VLOOKUP($B59,Seqs!$A:$B,2,0),Q59,1),"")</f>
        <v>F</v>
      </c>
      <c r="Q59" s="3">
        <v>79</v>
      </c>
      <c r="R59" s="3" t="str">
        <f>IFERROR(MID(VLOOKUP($B59,Seqs!$A:$B,2,0),S59,1),"")</f>
        <v>A</v>
      </c>
      <c r="S59" s="3">
        <v>81</v>
      </c>
      <c r="T59" s="3" t="str">
        <f>IFERROR(MID(VLOOKUP($B59,Seqs!$A:$B,2,0),U59,1),"")</f>
        <v>C</v>
      </c>
      <c r="U59" s="3">
        <v>82</v>
      </c>
      <c r="V59" s="3" t="str">
        <f>IFERROR(MID(VLOOKUP($B59,Seqs!$A:$B,2,0),W59,1),"")</f>
        <v>T</v>
      </c>
      <c r="W59" s="3">
        <v>117</v>
      </c>
      <c r="X59" s="3" t="str">
        <f>IFERROR(MID(VLOOKUP($B59,Seqs!$A:$B,2,0),Y59,1),"")</f>
        <v>G</v>
      </c>
      <c r="Y59" s="3">
        <v>118</v>
      </c>
      <c r="Z59" s="3" t="str">
        <f>IFERROR(MID(VLOOKUP($B59,Seqs!$A:$B,2,0),AA59,1),"")</f>
        <v>I</v>
      </c>
      <c r="AA59" s="3">
        <v>125</v>
      </c>
      <c r="AB59" s="3" t="str">
        <f>IFERROR(MID(VLOOKUP($B59,Seqs!$A:$B,2,0),AC59,1),"")</f>
        <v>A</v>
      </c>
      <c r="AC59" s="3">
        <v>126</v>
      </c>
      <c r="AD59" s="3" t="str">
        <f>IFERROR(MID(VLOOKUP($B59,Seqs!$A:$B,2,0),AE59,1),"")</f>
        <v>E</v>
      </c>
      <c r="AE59" s="3">
        <v>151</v>
      </c>
      <c r="AF59" s="3" t="str">
        <f>IFERROR(MID(VLOOKUP($B59,Seqs!$A:$B,2,0),AG59,1),"")</f>
        <v>N</v>
      </c>
      <c r="AG59" s="3">
        <v>175</v>
      </c>
      <c r="AH59" s="3" t="str">
        <f>IFERROR(MID(VLOOKUP($B59,Seqs!$A:$B,2,0),AI59,1),"")</f>
        <v>M</v>
      </c>
      <c r="AI59" s="3">
        <v>177</v>
      </c>
      <c r="AJ59" s="3" t="str">
        <f>IFERROR(MID(VLOOKUP($B59,Seqs!$A:$B,2,0),AK59,1),"")</f>
        <v>F</v>
      </c>
      <c r="AK59" s="3">
        <v>182</v>
      </c>
      <c r="AL59" s="3" t="str">
        <f>IFERROR(MID(VLOOKUP($B59,Seqs!$A:$B,2,0),AM59,1),"")</f>
        <v>R</v>
      </c>
      <c r="AM59" s="3">
        <v>222</v>
      </c>
      <c r="AN59" s="3" t="str">
        <f>IFERROR(MID(VLOOKUP($B59,Seqs!$A:$B,2,0),AO59,1),"")</f>
        <v>L</v>
      </c>
      <c r="AO59" s="3">
        <v>324</v>
      </c>
      <c r="AP59" s="3" t="str">
        <f>IFERROR(MID(VLOOKUP($B59,Seqs!$A:$B,2,0),AQ59,1),"")</f>
        <v>G</v>
      </c>
      <c r="AQ59" s="3">
        <v>364</v>
      </c>
      <c r="AR59" s="3" t="str">
        <f>IFERROR(MID(VLOOKUP($B59,Seqs!$A:$B,2,0),AS59,1),"")</f>
        <v>A</v>
      </c>
      <c r="AS59" s="3">
        <v>371</v>
      </c>
      <c r="AT59" s="3" t="str">
        <f>IFERROR(MID(VLOOKUP($B59,Seqs!$A:$B,2,0),AU59,1),"")</f>
        <v>E</v>
      </c>
      <c r="AU59" s="3">
        <v>396</v>
      </c>
      <c r="AV59" s="3" t="str">
        <f>IFERROR(MID(VLOOKUP($B59,Seqs!$A:$B,2,0),AW59,1),"")</f>
        <v>P</v>
      </c>
      <c r="AW59" s="3">
        <v>397</v>
      </c>
      <c r="AX59" s="3" t="str">
        <f>IFERROR(MID(VLOOKUP($B59,Seqs!$A:$B,2,0),AY59,1),"")</f>
        <v>A</v>
      </c>
      <c r="AY59" s="3">
        <v>409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ref="BB59" si="364">AND(E59&lt;G59,OR(G59&lt;I59,I59="-"),OR(I59&lt;K59,I59="-"),OR(K59&lt;M59,K59="-"),M59&lt;O59,OR(O59&lt;Q59,Q59="-"),OR(Q59&lt;S59,Q59="-"),OR(S59&lt;U59,S59="-"),U59&lt;W59,OR(W59&lt;Y59,Y59="-"),OR(Y59&lt;AA59,Y59="-"),OR(AA59&lt;AC59,AA59="-"),AC59&lt;AE59,OR(AE59&lt;AG59,AG59="-"),OR(AG59&lt;AI59,AG59="-"),OR(AI59&lt;AK59,AI59="-"),AK59&lt;AM59,AM59&lt;AO59,AO59&lt;AQ59,AQ59&lt;AS59,AS59&lt;AU59,OR(AU59&lt;AW59,AW59="-"),OR(AW59&lt;AY59,AW59="-"))</f>
        <v>1</v>
      </c>
      <c r="BC59" s="23">
        <f t="shared" ref="BC59" si="365">_xlfn.AGGREGATE(9,6,CH59:CS59)-_xlfn.AGGREGATE(9,6,BV59:CG59)+12</f>
        <v>266</v>
      </c>
      <c r="BD59" s="5" t="s">
        <v>23</v>
      </c>
      <c r="BE59" s="3" t="s">
        <v>1368</v>
      </c>
      <c r="BF59" s="118">
        <v>1.7</v>
      </c>
      <c r="BG59" s="49" t="s">
        <v>1</v>
      </c>
      <c r="BH59" s="49" t="s">
        <v>1</v>
      </c>
      <c r="BI59" s="1"/>
      <c r="BJ59" s="70" t="s">
        <v>1281</v>
      </c>
      <c r="BK59" s="57" t="s">
        <v>1281</v>
      </c>
      <c r="BL59" s="57" t="s">
        <v>1281</v>
      </c>
      <c r="BM59" s="57" t="s">
        <v>1281</v>
      </c>
      <c r="BN59" s="57" t="s">
        <v>1281</v>
      </c>
      <c r="BO59" s="57" t="s">
        <v>1281</v>
      </c>
      <c r="BP59" s="57" t="s">
        <v>1281</v>
      </c>
      <c r="BQ59" s="57" t="s">
        <v>1281</v>
      </c>
      <c r="BR59" s="57" t="s">
        <v>1281</v>
      </c>
      <c r="BS59" s="57" t="s">
        <v>1281</v>
      </c>
      <c r="BT59" s="57" t="s">
        <v>1281</v>
      </c>
      <c r="BU59" s="57" t="s">
        <v>1281</v>
      </c>
      <c r="BV59" s="70">
        <f t="shared" ref="BV59" si="366">E59</f>
        <v>10</v>
      </c>
      <c r="BW59" s="71">
        <f t="shared" ref="BW59" si="367">I59</f>
        <v>44</v>
      </c>
      <c r="BX59" s="72">
        <f t="shared" ref="BX59" si="368">M59</f>
        <v>48</v>
      </c>
      <c r="BY59" s="71">
        <f t="shared" ref="BY59" si="369">Q59</f>
        <v>79</v>
      </c>
      <c r="BZ59" s="72">
        <f t="shared" ref="BZ59" si="370">U59</f>
        <v>82</v>
      </c>
      <c r="CA59" s="71">
        <f t="shared" ref="CA59" si="371">Y59</f>
        <v>118</v>
      </c>
      <c r="CB59" s="72">
        <f t="shared" ref="CB59" si="372">AC59</f>
        <v>126</v>
      </c>
      <c r="CC59" s="71">
        <f t="shared" ref="CC59" si="373">AG59</f>
        <v>175</v>
      </c>
      <c r="CD59" s="72">
        <f t="shared" ref="CD59" si="374">AK59</f>
        <v>182</v>
      </c>
      <c r="CE59" s="71">
        <f t="shared" ref="CE59" si="375">AO59</f>
        <v>324</v>
      </c>
      <c r="CF59" s="72">
        <f t="shared" ref="CF59" si="376">AS59</f>
        <v>371</v>
      </c>
      <c r="CG59" s="71">
        <f t="shared" ref="CG59" si="377">AW59</f>
        <v>397</v>
      </c>
      <c r="CH59" s="70">
        <f t="shared" ref="CH59" si="378">G59</f>
        <v>43</v>
      </c>
      <c r="CI59" s="71">
        <f t="shared" ref="CI59" si="379">K59</f>
        <v>47</v>
      </c>
      <c r="CJ59" s="72">
        <f t="shared" ref="CJ59" si="380">O59</f>
        <v>78</v>
      </c>
      <c r="CK59" s="72">
        <f t="shared" ref="CK59" si="381">S59</f>
        <v>81</v>
      </c>
      <c r="CL59" s="72">
        <f t="shared" ref="CL59" si="382">W59</f>
        <v>117</v>
      </c>
      <c r="CM59" s="72">
        <f t="shared" ref="CM59" si="383">AA59</f>
        <v>125</v>
      </c>
      <c r="CN59" s="72">
        <f t="shared" ref="CN59" si="384">AE59</f>
        <v>151</v>
      </c>
      <c r="CO59" s="72">
        <f t="shared" ref="CO59" si="385">AI59</f>
        <v>177</v>
      </c>
      <c r="CP59" s="72">
        <f t="shared" ref="CP59" si="386">AM59</f>
        <v>222</v>
      </c>
      <c r="CQ59" s="72">
        <f t="shared" ref="CQ59" si="387">AQ59</f>
        <v>364</v>
      </c>
      <c r="CR59" s="72">
        <f t="shared" ref="CR59" si="388">AU59</f>
        <v>396</v>
      </c>
      <c r="CS59" s="72">
        <f t="shared" ref="CS59" si="389">AY59</f>
        <v>409</v>
      </c>
      <c r="CT59" s="23">
        <f t="shared" ref="CT59" si="390">M59-K59</f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ref="A60" si="391">CONCATENATE(B60,"_",C60)</f>
        <v>aa2ar_human_5NLX</v>
      </c>
      <c r="B60" s="3" t="s">
        <v>139</v>
      </c>
      <c r="C60" s="3" t="s">
        <v>1555</v>
      </c>
      <c r="D60" s="3" t="str">
        <f>IFERROR(MID(VLOOKUP($B60,Seqs!$A:$B,2,0),E60,1),"")</f>
        <v>I</v>
      </c>
      <c r="E60" s="3">
        <v>10</v>
      </c>
      <c r="F60" s="3" t="str">
        <f>IFERROR(MID(VLOOKUP($B60,Seqs!$A:$B,2,0),G60,1),"")</f>
        <v>Y</v>
      </c>
      <c r="G60" s="3">
        <v>43</v>
      </c>
      <c r="H60" s="3" t="str">
        <f>IFERROR(MID(VLOOKUP($B60,Seqs!$A:$B,2,0),I60,1),"")</f>
        <v>F</v>
      </c>
      <c r="I60" s="23">
        <v>44</v>
      </c>
      <c r="J60" s="3" t="str">
        <f>IFERROR(MID(VLOOKUP($B60,Seqs!$A:$B,2,0),K60,1),"")</f>
        <v>S</v>
      </c>
      <c r="K60" s="23">
        <v>47</v>
      </c>
      <c r="L60" s="3" t="str">
        <f>IFERROR(MID(VLOOKUP($B60,Seqs!$A:$B,2,0),M60,1),"")</f>
        <v>L</v>
      </c>
      <c r="M60" s="3">
        <v>48</v>
      </c>
      <c r="N60" s="3" t="str">
        <f>IFERROR(MID(VLOOKUP($B60,Seqs!$A:$B,2,0),O60,1),"")</f>
        <v>L</v>
      </c>
      <c r="O60" s="3">
        <v>78</v>
      </c>
      <c r="P60" s="3" t="str">
        <f>IFERROR(MID(VLOOKUP($B60,Seqs!$A:$B,2,0),Q60,1),"")</f>
        <v>F</v>
      </c>
      <c r="Q60" s="3">
        <v>79</v>
      </c>
      <c r="R60" s="3" t="str">
        <f>IFERROR(MID(VLOOKUP($B60,Seqs!$A:$B,2,0),S60,1),"")</f>
        <v>A</v>
      </c>
      <c r="S60" s="3">
        <v>81</v>
      </c>
      <c r="T60" s="3" t="str">
        <f>IFERROR(MID(VLOOKUP($B60,Seqs!$A:$B,2,0),U60,1),"")</f>
        <v>C</v>
      </c>
      <c r="U60" s="3">
        <v>82</v>
      </c>
      <c r="V60" s="3" t="str">
        <f>IFERROR(MID(VLOOKUP($B60,Seqs!$A:$B,2,0),W60,1),"")</f>
        <v>T</v>
      </c>
      <c r="W60" s="3">
        <v>117</v>
      </c>
      <c r="X60" s="3" t="str">
        <f>IFERROR(MID(VLOOKUP($B60,Seqs!$A:$B,2,0),Y60,1),"")</f>
        <v>G</v>
      </c>
      <c r="Y60" s="3">
        <v>118</v>
      </c>
      <c r="Z60" s="3" t="str">
        <f>IFERROR(MID(VLOOKUP($B60,Seqs!$A:$B,2,0),AA60,1),"")</f>
        <v>I</v>
      </c>
      <c r="AA60" s="3">
        <v>125</v>
      </c>
      <c r="AB60" s="3" t="str">
        <f>IFERROR(MID(VLOOKUP($B60,Seqs!$A:$B,2,0),AC60,1),"")</f>
        <v>A</v>
      </c>
      <c r="AC60" s="3">
        <v>126</v>
      </c>
      <c r="AD60" s="3" t="str">
        <f>IFERROR(MID(VLOOKUP($B60,Seqs!$A:$B,2,0),AE60,1),"")</f>
        <v>E</v>
      </c>
      <c r="AE60" s="3">
        <v>151</v>
      </c>
      <c r="AF60" s="3" t="str">
        <f>IFERROR(MID(VLOOKUP($B60,Seqs!$A:$B,2,0),AG60,1),"")</f>
        <v>N</v>
      </c>
      <c r="AG60" s="3">
        <v>175</v>
      </c>
      <c r="AH60" s="3" t="str">
        <f>IFERROR(MID(VLOOKUP($B60,Seqs!$A:$B,2,0),AI60,1),"")</f>
        <v>M</v>
      </c>
      <c r="AI60" s="3">
        <v>177</v>
      </c>
      <c r="AJ60" s="3" t="str">
        <f>IFERROR(MID(VLOOKUP($B60,Seqs!$A:$B,2,0),AK60,1),"")</f>
        <v>F</v>
      </c>
      <c r="AK60" s="3">
        <v>182</v>
      </c>
      <c r="AL60" s="3" t="str">
        <f>IFERROR(MID(VLOOKUP($B60,Seqs!$A:$B,2,0),AM60,1),"")</f>
        <v>R</v>
      </c>
      <c r="AM60" s="3">
        <v>222</v>
      </c>
      <c r="AN60" s="3" t="str">
        <f>IFERROR(MID(VLOOKUP($B60,Seqs!$A:$B,2,0),AO60,1),"")</f>
        <v>L</v>
      </c>
      <c r="AO60" s="3">
        <v>324</v>
      </c>
      <c r="AP60" s="3" t="str">
        <f>IFERROR(MID(VLOOKUP($B60,Seqs!$A:$B,2,0),AQ60,1),"")</f>
        <v>G</v>
      </c>
      <c r="AQ60" s="3">
        <v>364</v>
      </c>
      <c r="AR60" s="3" t="str">
        <f>IFERROR(MID(VLOOKUP($B60,Seqs!$A:$B,2,0),AS60,1),"")</f>
        <v>A</v>
      </c>
      <c r="AS60" s="3">
        <v>371</v>
      </c>
      <c r="AT60" s="3" t="str">
        <f>IFERROR(MID(VLOOKUP($B60,Seqs!$A:$B,2,0),AU60,1),"")</f>
        <v>E</v>
      </c>
      <c r="AU60" s="3">
        <v>396</v>
      </c>
      <c r="AV60" s="3" t="str">
        <f>IFERROR(MID(VLOOKUP($B60,Seqs!$A:$B,2,0),AW60,1),"")</f>
        <v>P</v>
      </c>
      <c r="AW60" s="3">
        <v>397</v>
      </c>
      <c r="AX60" s="3" t="str">
        <f>IFERROR(MID(VLOOKUP($B60,Seqs!$A:$B,2,0),AY60,1),"")</f>
        <v>A</v>
      </c>
      <c r="AY60" s="3">
        <v>409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ref="BB60" si="392">AND(E60&lt;G60,OR(G60&lt;I60,I60="-"),OR(I60&lt;K60,I60="-"),OR(K60&lt;M60,K60="-"),M60&lt;O60,OR(O60&lt;Q60,Q60="-"),OR(Q60&lt;S60,Q60="-"),OR(S60&lt;U60,S60="-"),U60&lt;W60,OR(W60&lt;Y60,Y60="-"),OR(Y60&lt;AA60,Y60="-"),OR(AA60&lt;AC60,AA60="-"),AC60&lt;AE60,OR(AE60&lt;AG60,AG60="-"),OR(AG60&lt;AI60,AG60="-"),OR(AI60&lt;AK60,AI60="-"),AK60&lt;AM60,AM60&lt;AO60,AO60&lt;AQ60,AQ60&lt;AS60,AS60&lt;AU60,OR(AU60&lt;AW60,AW60="-"),OR(AW60&lt;AY60,AW60="-"))</f>
        <v>1</v>
      </c>
      <c r="BC60" s="23">
        <f t="shared" ref="BC60" si="393">_xlfn.AGGREGATE(9,6,CH60:CS60)-_xlfn.AGGREGATE(9,6,BV60:CG60)+12</f>
        <v>266</v>
      </c>
      <c r="BD60" s="5" t="s">
        <v>23</v>
      </c>
      <c r="BE60" s="3" t="s">
        <v>1368</v>
      </c>
      <c r="BF60" s="118">
        <v>2.14</v>
      </c>
      <c r="BG60" s="49" t="s">
        <v>1</v>
      </c>
      <c r="BH60" s="49" t="s">
        <v>1</v>
      </c>
      <c r="BI60" s="1"/>
      <c r="BJ60" s="70" t="s">
        <v>1281</v>
      </c>
      <c r="BK60" s="57" t="s">
        <v>1281</v>
      </c>
      <c r="BL60" s="57" t="s">
        <v>1281</v>
      </c>
      <c r="BM60" s="57" t="s">
        <v>1281</v>
      </c>
      <c r="BN60" s="57" t="s">
        <v>1281</v>
      </c>
      <c r="BO60" s="57" t="s">
        <v>1281</v>
      </c>
      <c r="BP60" s="57" t="s">
        <v>1281</v>
      </c>
      <c r="BQ60" s="57" t="s">
        <v>1281</v>
      </c>
      <c r="BR60" s="57" t="s">
        <v>1281</v>
      </c>
      <c r="BS60" s="57" t="s">
        <v>1281</v>
      </c>
      <c r="BT60" s="57" t="s">
        <v>1281</v>
      </c>
      <c r="BU60" s="57" t="s">
        <v>1281</v>
      </c>
      <c r="BV60" s="70">
        <f t="shared" ref="BV60" si="394">E60</f>
        <v>10</v>
      </c>
      <c r="BW60" s="71">
        <f t="shared" ref="BW60" si="395">I60</f>
        <v>44</v>
      </c>
      <c r="BX60" s="72">
        <f t="shared" ref="BX60" si="396">M60</f>
        <v>48</v>
      </c>
      <c r="BY60" s="71">
        <f t="shared" ref="BY60" si="397">Q60</f>
        <v>79</v>
      </c>
      <c r="BZ60" s="72">
        <f t="shared" ref="BZ60" si="398">U60</f>
        <v>82</v>
      </c>
      <c r="CA60" s="71">
        <f t="shared" ref="CA60" si="399">Y60</f>
        <v>118</v>
      </c>
      <c r="CB60" s="72">
        <f t="shared" ref="CB60" si="400">AC60</f>
        <v>126</v>
      </c>
      <c r="CC60" s="71">
        <f t="shared" ref="CC60" si="401">AG60</f>
        <v>175</v>
      </c>
      <c r="CD60" s="72">
        <f t="shared" ref="CD60" si="402">AK60</f>
        <v>182</v>
      </c>
      <c r="CE60" s="71">
        <f t="shared" ref="CE60" si="403">AO60</f>
        <v>324</v>
      </c>
      <c r="CF60" s="72">
        <f t="shared" ref="CF60" si="404">AS60</f>
        <v>371</v>
      </c>
      <c r="CG60" s="71">
        <f t="shared" ref="CG60" si="405">AW60</f>
        <v>397</v>
      </c>
      <c r="CH60" s="70">
        <f t="shared" ref="CH60" si="406">G60</f>
        <v>43</v>
      </c>
      <c r="CI60" s="71">
        <f t="shared" ref="CI60" si="407">K60</f>
        <v>47</v>
      </c>
      <c r="CJ60" s="72">
        <f t="shared" ref="CJ60" si="408">O60</f>
        <v>78</v>
      </c>
      <c r="CK60" s="72">
        <f t="shared" ref="CK60" si="409">S60</f>
        <v>81</v>
      </c>
      <c r="CL60" s="72">
        <f t="shared" ref="CL60" si="410">W60</f>
        <v>117</v>
      </c>
      <c r="CM60" s="72">
        <f t="shared" ref="CM60" si="411">AA60</f>
        <v>125</v>
      </c>
      <c r="CN60" s="72">
        <f t="shared" ref="CN60" si="412">AE60</f>
        <v>151</v>
      </c>
      <c r="CO60" s="72">
        <f t="shared" ref="CO60" si="413">AI60</f>
        <v>177</v>
      </c>
      <c r="CP60" s="72">
        <f t="shared" ref="CP60" si="414">AM60</f>
        <v>222</v>
      </c>
      <c r="CQ60" s="72">
        <f t="shared" ref="CQ60" si="415">AQ60</f>
        <v>364</v>
      </c>
      <c r="CR60" s="72">
        <f t="shared" ref="CR60" si="416">AU60</f>
        <v>396</v>
      </c>
      <c r="CS60" s="72">
        <f t="shared" ref="CS60" si="417">AY60</f>
        <v>409</v>
      </c>
      <c r="CT60" s="23">
        <f t="shared" ref="CT60" si="418">M60-K60</f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335"/>
        <v>aa2ar_human_5VRA</v>
      </c>
      <c r="B61" s="3" t="s">
        <v>139</v>
      </c>
      <c r="C61" s="3" t="s">
        <v>1443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H</v>
      </c>
      <c r="AY61" s="3">
        <v>306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336"/>
        <v>1</v>
      </c>
      <c r="BC61" s="23">
        <f t="shared" si="337"/>
        <v>263</v>
      </c>
      <c r="BD61" s="5" t="s">
        <v>23</v>
      </c>
      <c r="BE61" s="3" t="s">
        <v>1368</v>
      </c>
      <c r="BF61" s="118">
        <v>2.35</v>
      </c>
      <c r="BG61" s="49" t="s">
        <v>1</v>
      </c>
      <c r="BH61" s="49" t="s">
        <v>1</v>
      </c>
      <c r="BI61" s="1"/>
      <c r="BJ61" s="70" t="s">
        <v>1281</v>
      </c>
      <c r="BK61" s="57" t="s">
        <v>1281</v>
      </c>
      <c r="BL61" s="57" t="s">
        <v>1281</v>
      </c>
      <c r="BM61" s="57" t="s">
        <v>1281</v>
      </c>
      <c r="BN61" s="57" t="s">
        <v>1281</v>
      </c>
      <c r="BO61" s="57" t="s">
        <v>1281</v>
      </c>
      <c r="BP61" s="57" t="s">
        <v>1281</v>
      </c>
      <c r="BQ61" s="57" t="s">
        <v>1281</v>
      </c>
      <c r="BR61" s="57" t="s">
        <v>1281</v>
      </c>
      <c r="BS61" s="57" t="s">
        <v>1281</v>
      </c>
      <c r="BT61" s="57" t="s">
        <v>1281</v>
      </c>
      <c r="BU61" s="57" t="s">
        <v>1281</v>
      </c>
      <c r="BV61" s="70">
        <f t="shared" si="338"/>
        <v>1</v>
      </c>
      <c r="BW61" s="71">
        <f t="shared" si="339"/>
        <v>35</v>
      </c>
      <c r="BX61" s="72">
        <f t="shared" si="340"/>
        <v>39</v>
      </c>
      <c r="BY61" s="71">
        <f t="shared" si="341"/>
        <v>70</v>
      </c>
      <c r="BZ61" s="72">
        <f t="shared" si="342"/>
        <v>73</v>
      </c>
      <c r="CA61" s="71">
        <f t="shared" si="343"/>
        <v>109</v>
      </c>
      <c r="CB61" s="72">
        <f t="shared" si="344"/>
        <v>117</v>
      </c>
      <c r="CC61" s="71">
        <f t="shared" si="345"/>
        <v>166</v>
      </c>
      <c r="CD61" s="72">
        <f t="shared" si="346"/>
        <v>173</v>
      </c>
      <c r="CE61" s="71">
        <f t="shared" si="347"/>
        <v>219</v>
      </c>
      <c r="CF61" s="72">
        <f t="shared" si="348"/>
        <v>266</v>
      </c>
      <c r="CG61" s="71">
        <f t="shared" si="349"/>
        <v>292</v>
      </c>
      <c r="CH61" s="70">
        <f t="shared" si="350"/>
        <v>34</v>
      </c>
      <c r="CI61" s="71">
        <f t="shared" si="351"/>
        <v>38</v>
      </c>
      <c r="CJ61" s="72">
        <f t="shared" si="352"/>
        <v>69</v>
      </c>
      <c r="CK61" s="72">
        <f t="shared" si="353"/>
        <v>72</v>
      </c>
      <c r="CL61" s="72">
        <f t="shared" si="354"/>
        <v>108</v>
      </c>
      <c r="CM61" s="72">
        <f t="shared" si="355"/>
        <v>116</v>
      </c>
      <c r="CN61" s="72">
        <f t="shared" si="356"/>
        <v>142</v>
      </c>
      <c r="CO61" s="72">
        <f t="shared" si="357"/>
        <v>168</v>
      </c>
      <c r="CP61" s="72">
        <f t="shared" si="358"/>
        <v>208</v>
      </c>
      <c r="CQ61" s="72">
        <f t="shared" si="359"/>
        <v>259</v>
      </c>
      <c r="CR61" s="72">
        <f t="shared" si="360"/>
        <v>291</v>
      </c>
      <c r="CS61" s="72">
        <f t="shared" si="361"/>
        <v>306</v>
      </c>
      <c r="CT61" s="23">
        <f t="shared" si="362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335"/>
        <v>aa2ar_human_5OLG</v>
      </c>
      <c r="B62" s="3" t="s">
        <v>139</v>
      </c>
      <c r="C62" s="3" t="s">
        <v>1448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336"/>
        <v>1</v>
      </c>
      <c r="BC62" s="23">
        <f t="shared" si="337"/>
        <v>262</v>
      </c>
      <c r="BD62" s="5" t="s">
        <v>23</v>
      </c>
      <c r="BE62" s="3" t="s">
        <v>1368</v>
      </c>
      <c r="BF62" s="118">
        <v>1.87</v>
      </c>
      <c r="BG62" s="49" t="s">
        <v>1</v>
      </c>
      <c r="BH62" s="49" t="s">
        <v>1</v>
      </c>
      <c r="BI62" s="1"/>
      <c r="BJ62" s="70" t="s">
        <v>1281</v>
      </c>
      <c r="BK62" s="57" t="s">
        <v>1281</v>
      </c>
      <c r="BL62" s="57" t="s">
        <v>1281</v>
      </c>
      <c r="BM62" s="57" t="s">
        <v>1281</v>
      </c>
      <c r="BN62" s="57" t="s">
        <v>1281</v>
      </c>
      <c r="BO62" s="57" t="s">
        <v>1281</v>
      </c>
      <c r="BP62" s="57" t="s">
        <v>1281</v>
      </c>
      <c r="BQ62" s="57" t="s">
        <v>1281</v>
      </c>
      <c r="BR62" s="57" t="s">
        <v>1281</v>
      </c>
      <c r="BS62" s="57" t="s">
        <v>1281</v>
      </c>
      <c r="BT62" s="57" t="s">
        <v>1281</v>
      </c>
      <c r="BU62" s="57" t="s">
        <v>1281</v>
      </c>
      <c r="BV62" s="70">
        <f t="shared" si="338"/>
        <v>1</v>
      </c>
      <c r="BW62" s="71">
        <f t="shared" si="339"/>
        <v>35</v>
      </c>
      <c r="BX62" s="72">
        <f t="shared" si="340"/>
        <v>39</v>
      </c>
      <c r="BY62" s="71">
        <f t="shared" si="341"/>
        <v>70</v>
      </c>
      <c r="BZ62" s="72">
        <f t="shared" si="342"/>
        <v>73</v>
      </c>
      <c r="CA62" s="71">
        <f t="shared" si="343"/>
        <v>109</v>
      </c>
      <c r="CB62" s="72">
        <f t="shared" si="344"/>
        <v>117</v>
      </c>
      <c r="CC62" s="71">
        <f t="shared" si="345"/>
        <v>166</v>
      </c>
      <c r="CD62" s="72">
        <f t="shared" si="346"/>
        <v>173</v>
      </c>
      <c r="CE62" s="71">
        <f t="shared" si="347"/>
        <v>219</v>
      </c>
      <c r="CF62" s="72">
        <f t="shared" si="348"/>
        <v>266</v>
      </c>
      <c r="CG62" s="71">
        <f t="shared" si="349"/>
        <v>292</v>
      </c>
      <c r="CH62" s="70">
        <f t="shared" si="350"/>
        <v>34</v>
      </c>
      <c r="CI62" s="71">
        <f t="shared" si="351"/>
        <v>38</v>
      </c>
      <c r="CJ62" s="72">
        <f t="shared" si="352"/>
        <v>69</v>
      </c>
      <c r="CK62" s="72">
        <f t="shared" si="353"/>
        <v>72</v>
      </c>
      <c r="CL62" s="72">
        <f t="shared" si="354"/>
        <v>108</v>
      </c>
      <c r="CM62" s="72">
        <f t="shared" si="355"/>
        <v>116</v>
      </c>
      <c r="CN62" s="72">
        <f t="shared" si="356"/>
        <v>142</v>
      </c>
      <c r="CO62" s="72">
        <f t="shared" si="357"/>
        <v>168</v>
      </c>
      <c r="CP62" s="72">
        <f t="shared" si="358"/>
        <v>208</v>
      </c>
      <c r="CQ62" s="72">
        <f t="shared" si="359"/>
        <v>259</v>
      </c>
      <c r="CR62" s="72">
        <f t="shared" si="360"/>
        <v>291</v>
      </c>
      <c r="CS62" s="72">
        <f t="shared" si="361"/>
        <v>305</v>
      </c>
      <c r="CT62" s="23">
        <f t="shared" si="362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335"/>
        <v>aa2ar_human_5OLH</v>
      </c>
      <c r="B63" s="3" t="s">
        <v>139</v>
      </c>
      <c r="C63" s="3" t="s">
        <v>1449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336"/>
        <v>1</v>
      </c>
      <c r="BC63" s="23">
        <f t="shared" si="337"/>
        <v>262</v>
      </c>
      <c r="BD63" s="5" t="s">
        <v>23</v>
      </c>
      <c r="BE63" s="3" t="s">
        <v>1368</v>
      </c>
      <c r="BF63" s="118">
        <v>2.6</v>
      </c>
      <c r="BG63" s="49" t="s">
        <v>1</v>
      </c>
      <c r="BH63" s="49" t="s">
        <v>1</v>
      </c>
      <c r="BI63" s="1"/>
      <c r="BJ63" s="70" t="s">
        <v>1281</v>
      </c>
      <c r="BK63" s="57" t="s">
        <v>1281</v>
      </c>
      <c r="BL63" s="57" t="s">
        <v>1281</v>
      </c>
      <c r="BM63" s="57" t="s">
        <v>1281</v>
      </c>
      <c r="BN63" s="57" t="s">
        <v>1281</v>
      </c>
      <c r="BO63" s="57" t="s">
        <v>1281</v>
      </c>
      <c r="BP63" s="57" t="s">
        <v>1281</v>
      </c>
      <c r="BQ63" s="57" t="s">
        <v>1281</v>
      </c>
      <c r="BR63" s="57" t="s">
        <v>1281</v>
      </c>
      <c r="BS63" s="57" t="s">
        <v>1281</v>
      </c>
      <c r="BT63" s="57" t="s">
        <v>1281</v>
      </c>
      <c r="BU63" s="57" t="s">
        <v>1281</v>
      </c>
      <c r="BV63" s="70">
        <f t="shared" si="338"/>
        <v>1</v>
      </c>
      <c r="BW63" s="71">
        <f t="shared" si="339"/>
        <v>35</v>
      </c>
      <c r="BX63" s="72">
        <f t="shared" si="340"/>
        <v>39</v>
      </c>
      <c r="BY63" s="71">
        <f t="shared" si="341"/>
        <v>70</v>
      </c>
      <c r="BZ63" s="72">
        <f t="shared" si="342"/>
        <v>73</v>
      </c>
      <c r="CA63" s="71">
        <f t="shared" si="343"/>
        <v>109</v>
      </c>
      <c r="CB63" s="72">
        <f t="shared" si="344"/>
        <v>117</v>
      </c>
      <c r="CC63" s="71">
        <f t="shared" si="345"/>
        <v>166</v>
      </c>
      <c r="CD63" s="72">
        <f t="shared" si="346"/>
        <v>173</v>
      </c>
      <c r="CE63" s="71">
        <f t="shared" si="347"/>
        <v>219</v>
      </c>
      <c r="CF63" s="72">
        <f t="shared" si="348"/>
        <v>266</v>
      </c>
      <c r="CG63" s="71">
        <f t="shared" si="349"/>
        <v>292</v>
      </c>
      <c r="CH63" s="70">
        <f t="shared" si="350"/>
        <v>34</v>
      </c>
      <c r="CI63" s="71">
        <f t="shared" si="351"/>
        <v>38</v>
      </c>
      <c r="CJ63" s="72">
        <f t="shared" si="352"/>
        <v>69</v>
      </c>
      <c r="CK63" s="72">
        <f t="shared" si="353"/>
        <v>72</v>
      </c>
      <c r="CL63" s="72">
        <f t="shared" si="354"/>
        <v>108</v>
      </c>
      <c r="CM63" s="72">
        <f t="shared" si="355"/>
        <v>116</v>
      </c>
      <c r="CN63" s="72">
        <f t="shared" si="356"/>
        <v>142</v>
      </c>
      <c r="CO63" s="72">
        <f t="shared" si="357"/>
        <v>168</v>
      </c>
      <c r="CP63" s="72">
        <f t="shared" si="358"/>
        <v>208</v>
      </c>
      <c r="CQ63" s="72">
        <f t="shared" si="359"/>
        <v>259</v>
      </c>
      <c r="CR63" s="72">
        <f t="shared" si="360"/>
        <v>291</v>
      </c>
      <c r="CS63" s="72">
        <f t="shared" si="361"/>
        <v>305</v>
      </c>
      <c r="CT63" s="23">
        <f t="shared" si="362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335"/>
        <v>aa2ar_human_5OLO</v>
      </c>
      <c r="B64" s="3" t="s">
        <v>139</v>
      </c>
      <c r="C64" s="3" t="s">
        <v>1450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S</v>
      </c>
      <c r="AY64" s="3">
        <v>305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336"/>
        <v>1</v>
      </c>
      <c r="BC64" s="23">
        <f t="shared" si="337"/>
        <v>262</v>
      </c>
      <c r="BD64" s="5" t="s">
        <v>23</v>
      </c>
      <c r="BE64" s="3" t="s">
        <v>1368</v>
      </c>
      <c r="BF64" s="118">
        <v>3.1</v>
      </c>
      <c r="BG64" s="49" t="s">
        <v>1</v>
      </c>
      <c r="BH64" s="49" t="s">
        <v>1</v>
      </c>
      <c r="BI64" s="1"/>
      <c r="BJ64" s="70" t="s">
        <v>1281</v>
      </c>
      <c r="BK64" s="57" t="s">
        <v>1281</v>
      </c>
      <c r="BL64" s="57" t="s">
        <v>1281</v>
      </c>
      <c r="BM64" s="57" t="s">
        <v>1281</v>
      </c>
      <c r="BN64" s="57" t="s">
        <v>1281</v>
      </c>
      <c r="BO64" s="57" t="s">
        <v>1281</v>
      </c>
      <c r="BP64" s="57" t="s">
        <v>1281</v>
      </c>
      <c r="BQ64" s="57" t="s">
        <v>1281</v>
      </c>
      <c r="BR64" s="57" t="s">
        <v>1281</v>
      </c>
      <c r="BS64" s="57" t="s">
        <v>1281</v>
      </c>
      <c r="BT64" s="57" t="s">
        <v>1281</v>
      </c>
      <c r="BU64" s="57" t="s">
        <v>1281</v>
      </c>
      <c r="BV64" s="70">
        <f t="shared" si="338"/>
        <v>1</v>
      </c>
      <c r="BW64" s="71">
        <f t="shared" si="339"/>
        <v>35</v>
      </c>
      <c r="BX64" s="72">
        <f t="shared" si="340"/>
        <v>39</v>
      </c>
      <c r="BY64" s="71">
        <f t="shared" si="341"/>
        <v>70</v>
      </c>
      <c r="BZ64" s="72">
        <f t="shared" si="342"/>
        <v>73</v>
      </c>
      <c r="CA64" s="71">
        <f t="shared" si="343"/>
        <v>109</v>
      </c>
      <c r="CB64" s="72">
        <f t="shared" si="344"/>
        <v>117</v>
      </c>
      <c r="CC64" s="71">
        <f t="shared" si="345"/>
        <v>166</v>
      </c>
      <c r="CD64" s="72">
        <f t="shared" si="346"/>
        <v>173</v>
      </c>
      <c r="CE64" s="71">
        <f t="shared" si="347"/>
        <v>219</v>
      </c>
      <c r="CF64" s="72">
        <f t="shared" si="348"/>
        <v>266</v>
      </c>
      <c r="CG64" s="71">
        <f t="shared" si="349"/>
        <v>292</v>
      </c>
      <c r="CH64" s="70">
        <f t="shared" si="350"/>
        <v>34</v>
      </c>
      <c r="CI64" s="71">
        <f t="shared" si="351"/>
        <v>38</v>
      </c>
      <c r="CJ64" s="72">
        <f t="shared" si="352"/>
        <v>69</v>
      </c>
      <c r="CK64" s="72">
        <f t="shared" si="353"/>
        <v>72</v>
      </c>
      <c r="CL64" s="72">
        <f t="shared" si="354"/>
        <v>108</v>
      </c>
      <c r="CM64" s="72">
        <f t="shared" si="355"/>
        <v>116</v>
      </c>
      <c r="CN64" s="72">
        <f t="shared" si="356"/>
        <v>142</v>
      </c>
      <c r="CO64" s="72">
        <f t="shared" si="357"/>
        <v>168</v>
      </c>
      <c r="CP64" s="72">
        <f t="shared" si="358"/>
        <v>208</v>
      </c>
      <c r="CQ64" s="72">
        <f t="shared" si="359"/>
        <v>259</v>
      </c>
      <c r="CR64" s="72">
        <f t="shared" si="360"/>
        <v>291</v>
      </c>
      <c r="CS64" s="72">
        <f t="shared" si="361"/>
        <v>305</v>
      </c>
      <c r="CT64" s="23">
        <f t="shared" si="362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335"/>
        <v>aa2ar_human_5OLV</v>
      </c>
      <c r="B65" s="3" t="s">
        <v>139</v>
      </c>
      <c r="C65" s="3" t="s">
        <v>1451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S</v>
      </c>
      <c r="AY65" s="3">
        <v>305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336"/>
        <v>1</v>
      </c>
      <c r="BC65" s="23">
        <f t="shared" si="337"/>
        <v>262</v>
      </c>
      <c r="BD65" s="5" t="s">
        <v>23</v>
      </c>
      <c r="BE65" s="3" t="s">
        <v>1368</v>
      </c>
      <c r="BF65" s="118">
        <v>2</v>
      </c>
      <c r="BG65" s="49" t="s">
        <v>1</v>
      </c>
      <c r="BH65" s="49" t="s">
        <v>1</v>
      </c>
      <c r="BI65" s="1"/>
      <c r="BJ65" s="70" t="s">
        <v>1281</v>
      </c>
      <c r="BK65" s="57" t="s">
        <v>1281</v>
      </c>
      <c r="BL65" s="57" t="s">
        <v>1281</v>
      </c>
      <c r="BM65" s="57" t="s">
        <v>1281</v>
      </c>
      <c r="BN65" s="57" t="s">
        <v>1281</v>
      </c>
      <c r="BO65" s="57" t="s">
        <v>1281</v>
      </c>
      <c r="BP65" s="57" t="s">
        <v>1281</v>
      </c>
      <c r="BQ65" s="57" t="s">
        <v>1281</v>
      </c>
      <c r="BR65" s="57" t="s">
        <v>1281</v>
      </c>
      <c r="BS65" s="57" t="s">
        <v>1281</v>
      </c>
      <c r="BT65" s="57" t="s">
        <v>1281</v>
      </c>
      <c r="BU65" s="57" t="s">
        <v>1281</v>
      </c>
      <c r="BV65" s="70">
        <f t="shared" si="338"/>
        <v>1</v>
      </c>
      <c r="BW65" s="71">
        <f t="shared" si="339"/>
        <v>35</v>
      </c>
      <c r="BX65" s="72">
        <f t="shared" si="340"/>
        <v>39</v>
      </c>
      <c r="BY65" s="71">
        <f t="shared" si="341"/>
        <v>70</v>
      </c>
      <c r="BZ65" s="72">
        <f t="shared" si="342"/>
        <v>73</v>
      </c>
      <c r="CA65" s="71">
        <f t="shared" si="343"/>
        <v>109</v>
      </c>
      <c r="CB65" s="72">
        <f t="shared" si="344"/>
        <v>117</v>
      </c>
      <c r="CC65" s="71">
        <f t="shared" si="345"/>
        <v>166</v>
      </c>
      <c r="CD65" s="72">
        <f t="shared" si="346"/>
        <v>173</v>
      </c>
      <c r="CE65" s="71">
        <f t="shared" si="347"/>
        <v>219</v>
      </c>
      <c r="CF65" s="72">
        <f t="shared" si="348"/>
        <v>266</v>
      </c>
      <c r="CG65" s="71">
        <f t="shared" si="349"/>
        <v>292</v>
      </c>
      <c r="CH65" s="70">
        <f t="shared" si="350"/>
        <v>34</v>
      </c>
      <c r="CI65" s="71">
        <f t="shared" si="351"/>
        <v>38</v>
      </c>
      <c r="CJ65" s="72">
        <f t="shared" si="352"/>
        <v>69</v>
      </c>
      <c r="CK65" s="72">
        <f t="shared" si="353"/>
        <v>72</v>
      </c>
      <c r="CL65" s="72">
        <f t="shared" si="354"/>
        <v>108</v>
      </c>
      <c r="CM65" s="72">
        <f t="shared" si="355"/>
        <v>116</v>
      </c>
      <c r="CN65" s="72">
        <f t="shared" si="356"/>
        <v>142</v>
      </c>
      <c r="CO65" s="72">
        <f t="shared" si="357"/>
        <v>168</v>
      </c>
      <c r="CP65" s="72">
        <f t="shared" si="358"/>
        <v>208</v>
      </c>
      <c r="CQ65" s="72">
        <f t="shared" si="359"/>
        <v>259</v>
      </c>
      <c r="CR65" s="72">
        <f t="shared" si="360"/>
        <v>291</v>
      </c>
      <c r="CS65" s="72">
        <f t="shared" si="361"/>
        <v>305</v>
      </c>
      <c r="CT65" s="23">
        <f t="shared" si="362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335"/>
        <v>aa2ar_human_5OLZ</v>
      </c>
      <c r="B66" s="3" t="s">
        <v>139</v>
      </c>
      <c r="C66" s="3" t="s">
        <v>1452</v>
      </c>
      <c r="D66" s="3" t="str">
        <f>IFERROR(MID(VLOOKUP($B66,Seqs!$A:$B,2,0),E66,1),"")</f>
        <v>M</v>
      </c>
      <c r="E66" s="3">
        <v>1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G</v>
      </c>
      <c r="O66" s="3">
        <v>69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L</v>
      </c>
      <c r="AM66" s="3">
        <v>208</v>
      </c>
      <c r="AN66" s="3" t="str">
        <f>IFERROR(MID(VLOOKUP($B66,Seqs!$A:$B,2,0),AO66,1),"")</f>
        <v>E</v>
      </c>
      <c r="AO66" s="3">
        <v>219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S</v>
      </c>
      <c r="AY66" s="3">
        <v>305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336"/>
        <v>1</v>
      </c>
      <c r="BC66" s="23">
        <f t="shared" si="337"/>
        <v>262</v>
      </c>
      <c r="BD66" s="5" t="s">
        <v>23</v>
      </c>
      <c r="BE66" s="3" t="s">
        <v>1368</v>
      </c>
      <c r="BF66" s="118">
        <v>1.9</v>
      </c>
      <c r="BG66" s="49" t="s">
        <v>1</v>
      </c>
      <c r="BH66" s="49" t="s">
        <v>1</v>
      </c>
      <c r="BI66" s="1"/>
      <c r="BJ66" s="70" t="s">
        <v>1281</v>
      </c>
      <c r="BK66" s="57" t="s">
        <v>1281</v>
      </c>
      <c r="BL66" s="57" t="s">
        <v>1281</v>
      </c>
      <c r="BM66" s="57" t="s">
        <v>1281</v>
      </c>
      <c r="BN66" s="57" t="s">
        <v>1281</v>
      </c>
      <c r="BO66" s="57" t="s">
        <v>1281</v>
      </c>
      <c r="BP66" s="57" t="s">
        <v>1281</v>
      </c>
      <c r="BQ66" s="57" t="s">
        <v>1281</v>
      </c>
      <c r="BR66" s="57" t="s">
        <v>1281</v>
      </c>
      <c r="BS66" s="57" t="s">
        <v>1281</v>
      </c>
      <c r="BT66" s="57" t="s">
        <v>1281</v>
      </c>
      <c r="BU66" s="57" t="s">
        <v>1281</v>
      </c>
      <c r="BV66" s="70">
        <f t="shared" si="338"/>
        <v>1</v>
      </c>
      <c r="BW66" s="71">
        <f t="shared" si="339"/>
        <v>35</v>
      </c>
      <c r="BX66" s="72">
        <f t="shared" si="340"/>
        <v>39</v>
      </c>
      <c r="BY66" s="71">
        <f t="shared" si="341"/>
        <v>70</v>
      </c>
      <c r="BZ66" s="72">
        <f t="shared" si="342"/>
        <v>73</v>
      </c>
      <c r="CA66" s="71">
        <f t="shared" si="343"/>
        <v>109</v>
      </c>
      <c r="CB66" s="72">
        <f t="shared" si="344"/>
        <v>117</v>
      </c>
      <c r="CC66" s="71">
        <f t="shared" si="345"/>
        <v>166</v>
      </c>
      <c r="CD66" s="72">
        <f t="shared" si="346"/>
        <v>173</v>
      </c>
      <c r="CE66" s="71">
        <f t="shared" si="347"/>
        <v>219</v>
      </c>
      <c r="CF66" s="72">
        <f t="shared" si="348"/>
        <v>266</v>
      </c>
      <c r="CG66" s="71">
        <f t="shared" si="349"/>
        <v>292</v>
      </c>
      <c r="CH66" s="70">
        <f t="shared" si="350"/>
        <v>34</v>
      </c>
      <c r="CI66" s="71">
        <f t="shared" si="351"/>
        <v>38</v>
      </c>
      <c r="CJ66" s="72">
        <f t="shared" si="352"/>
        <v>69</v>
      </c>
      <c r="CK66" s="72">
        <f t="shared" si="353"/>
        <v>72</v>
      </c>
      <c r="CL66" s="72">
        <f t="shared" si="354"/>
        <v>108</v>
      </c>
      <c r="CM66" s="72">
        <f t="shared" si="355"/>
        <v>116</v>
      </c>
      <c r="CN66" s="72">
        <f t="shared" si="356"/>
        <v>142</v>
      </c>
      <c r="CO66" s="72">
        <f t="shared" si="357"/>
        <v>168</v>
      </c>
      <c r="CP66" s="72">
        <f t="shared" si="358"/>
        <v>208</v>
      </c>
      <c r="CQ66" s="72">
        <f t="shared" si="359"/>
        <v>259</v>
      </c>
      <c r="CR66" s="72">
        <f t="shared" si="360"/>
        <v>291</v>
      </c>
      <c r="CS66" s="72">
        <f t="shared" si="361"/>
        <v>305</v>
      </c>
      <c r="CT66" s="23">
        <f t="shared" si="362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335"/>
        <v>aa2ar_human_5OM1</v>
      </c>
      <c r="B67" s="3" t="s">
        <v>139</v>
      </c>
      <c r="C67" s="3" t="s">
        <v>1453</v>
      </c>
      <c r="D67" s="3" t="str">
        <f>IFERROR(MID(VLOOKUP($B67,Seqs!$A:$B,2,0),E67,1),"")</f>
        <v>M</v>
      </c>
      <c r="E67" s="3">
        <v>1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G</v>
      </c>
      <c r="O67" s="3">
        <v>69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L</v>
      </c>
      <c r="AM67" s="3">
        <v>208</v>
      </c>
      <c r="AN67" s="3" t="str">
        <f>IFERROR(MID(VLOOKUP($B67,Seqs!$A:$B,2,0),AO67,1),"")</f>
        <v>E</v>
      </c>
      <c r="AO67" s="3">
        <v>219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S</v>
      </c>
      <c r="AY67" s="3">
        <v>305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336"/>
        <v>1</v>
      </c>
      <c r="BC67" s="23">
        <f t="shared" si="337"/>
        <v>262</v>
      </c>
      <c r="BD67" s="5" t="s">
        <v>23</v>
      </c>
      <c r="BE67" s="3" t="s">
        <v>1368</v>
      </c>
      <c r="BF67" s="118">
        <v>2.1</v>
      </c>
      <c r="BG67" s="49" t="s">
        <v>1</v>
      </c>
      <c r="BH67" s="49" t="s">
        <v>1</v>
      </c>
      <c r="BI67" s="1"/>
      <c r="BJ67" s="70" t="s">
        <v>1281</v>
      </c>
      <c r="BK67" s="57" t="s">
        <v>1281</v>
      </c>
      <c r="BL67" s="57" t="s">
        <v>1281</v>
      </c>
      <c r="BM67" s="57" t="s">
        <v>1281</v>
      </c>
      <c r="BN67" s="57" t="s">
        <v>1281</v>
      </c>
      <c r="BO67" s="57" t="s">
        <v>1281</v>
      </c>
      <c r="BP67" s="57" t="s">
        <v>1281</v>
      </c>
      <c r="BQ67" s="57" t="s">
        <v>1281</v>
      </c>
      <c r="BR67" s="57" t="s">
        <v>1281</v>
      </c>
      <c r="BS67" s="57" t="s">
        <v>1281</v>
      </c>
      <c r="BT67" s="57" t="s">
        <v>1281</v>
      </c>
      <c r="BU67" s="57" t="s">
        <v>1281</v>
      </c>
      <c r="BV67" s="70">
        <f t="shared" si="338"/>
        <v>1</v>
      </c>
      <c r="BW67" s="71">
        <f t="shared" si="339"/>
        <v>35</v>
      </c>
      <c r="BX67" s="72">
        <f t="shared" si="340"/>
        <v>39</v>
      </c>
      <c r="BY67" s="71">
        <f t="shared" si="341"/>
        <v>70</v>
      </c>
      <c r="BZ67" s="72">
        <f t="shared" si="342"/>
        <v>73</v>
      </c>
      <c r="CA67" s="71">
        <f t="shared" si="343"/>
        <v>109</v>
      </c>
      <c r="CB67" s="72">
        <f t="shared" si="344"/>
        <v>117</v>
      </c>
      <c r="CC67" s="71">
        <f t="shared" si="345"/>
        <v>166</v>
      </c>
      <c r="CD67" s="72">
        <f t="shared" si="346"/>
        <v>173</v>
      </c>
      <c r="CE67" s="71">
        <f t="shared" si="347"/>
        <v>219</v>
      </c>
      <c r="CF67" s="72">
        <f t="shared" si="348"/>
        <v>266</v>
      </c>
      <c r="CG67" s="71">
        <f t="shared" si="349"/>
        <v>292</v>
      </c>
      <c r="CH67" s="70">
        <f t="shared" si="350"/>
        <v>34</v>
      </c>
      <c r="CI67" s="71">
        <f t="shared" si="351"/>
        <v>38</v>
      </c>
      <c r="CJ67" s="72">
        <f t="shared" si="352"/>
        <v>69</v>
      </c>
      <c r="CK67" s="72">
        <f t="shared" si="353"/>
        <v>72</v>
      </c>
      <c r="CL67" s="72">
        <f t="shared" si="354"/>
        <v>108</v>
      </c>
      <c r="CM67" s="72">
        <f t="shared" si="355"/>
        <v>116</v>
      </c>
      <c r="CN67" s="72">
        <f t="shared" si="356"/>
        <v>142</v>
      </c>
      <c r="CO67" s="72">
        <f t="shared" si="357"/>
        <v>168</v>
      </c>
      <c r="CP67" s="72">
        <f t="shared" si="358"/>
        <v>208</v>
      </c>
      <c r="CQ67" s="72">
        <f t="shared" si="359"/>
        <v>259</v>
      </c>
      <c r="CR67" s="72">
        <f t="shared" si="360"/>
        <v>291</v>
      </c>
      <c r="CS67" s="72">
        <f t="shared" si="361"/>
        <v>305</v>
      </c>
      <c r="CT67" s="23">
        <f t="shared" si="362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335"/>
        <v>aa2ar_human_5OM4</v>
      </c>
      <c r="B68" s="3" t="s">
        <v>139</v>
      </c>
      <c r="C68" s="3" t="s">
        <v>1454</v>
      </c>
      <c r="D68" s="3" t="str">
        <f>IFERROR(MID(VLOOKUP($B68,Seqs!$A:$B,2,0),E68,1),"")</f>
        <v>M</v>
      </c>
      <c r="E68" s="3">
        <v>1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G</v>
      </c>
      <c r="AE68" s="3">
        <v>142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E</v>
      </c>
      <c r="AO68" s="3">
        <v>219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V</v>
      </c>
      <c r="AY68" s="3">
        <v>307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336"/>
        <v>1</v>
      </c>
      <c r="BC68" s="23">
        <f t="shared" si="337"/>
        <v>264</v>
      </c>
      <c r="BD68" s="5" t="s">
        <v>23</v>
      </c>
      <c r="BE68" s="3" t="s">
        <v>1368</v>
      </c>
      <c r="BF68" s="118">
        <v>2</v>
      </c>
      <c r="BG68" s="49" t="s">
        <v>1</v>
      </c>
      <c r="BH68" s="49" t="s">
        <v>1</v>
      </c>
      <c r="BI68" s="1"/>
      <c r="BJ68" s="70" t="s">
        <v>1281</v>
      </c>
      <c r="BK68" s="57" t="s">
        <v>1281</v>
      </c>
      <c r="BL68" s="57" t="s">
        <v>1281</v>
      </c>
      <c r="BM68" s="57" t="s">
        <v>1281</v>
      </c>
      <c r="BN68" s="57" t="s">
        <v>1281</v>
      </c>
      <c r="BO68" s="57" t="s">
        <v>1281</v>
      </c>
      <c r="BP68" s="57" t="s">
        <v>1281</v>
      </c>
      <c r="BQ68" s="57" t="s">
        <v>1281</v>
      </c>
      <c r="BR68" s="57" t="s">
        <v>1281</v>
      </c>
      <c r="BS68" s="57" t="s">
        <v>1281</v>
      </c>
      <c r="BT68" s="57" t="s">
        <v>1281</v>
      </c>
      <c r="BU68" s="57" t="s">
        <v>1281</v>
      </c>
      <c r="BV68" s="70">
        <f t="shared" si="338"/>
        <v>1</v>
      </c>
      <c r="BW68" s="71">
        <f t="shared" si="339"/>
        <v>35</v>
      </c>
      <c r="BX68" s="72">
        <f t="shared" si="340"/>
        <v>39</v>
      </c>
      <c r="BY68" s="71">
        <f t="shared" si="341"/>
        <v>70</v>
      </c>
      <c r="BZ68" s="72">
        <f t="shared" si="342"/>
        <v>73</v>
      </c>
      <c r="CA68" s="71">
        <f t="shared" si="343"/>
        <v>109</v>
      </c>
      <c r="CB68" s="72">
        <f t="shared" si="344"/>
        <v>117</v>
      </c>
      <c r="CC68" s="71">
        <f t="shared" si="345"/>
        <v>166</v>
      </c>
      <c r="CD68" s="72">
        <f t="shared" si="346"/>
        <v>173</v>
      </c>
      <c r="CE68" s="71">
        <f t="shared" si="347"/>
        <v>219</v>
      </c>
      <c r="CF68" s="72">
        <f t="shared" si="348"/>
        <v>266</v>
      </c>
      <c r="CG68" s="71">
        <f t="shared" si="349"/>
        <v>292</v>
      </c>
      <c r="CH68" s="70">
        <f t="shared" si="350"/>
        <v>34</v>
      </c>
      <c r="CI68" s="71">
        <f t="shared" si="351"/>
        <v>38</v>
      </c>
      <c r="CJ68" s="72">
        <f t="shared" si="352"/>
        <v>69</v>
      </c>
      <c r="CK68" s="72">
        <f t="shared" si="353"/>
        <v>72</v>
      </c>
      <c r="CL68" s="72">
        <f t="shared" si="354"/>
        <v>108</v>
      </c>
      <c r="CM68" s="72">
        <f t="shared" si="355"/>
        <v>116</v>
      </c>
      <c r="CN68" s="72">
        <f t="shared" si="356"/>
        <v>142</v>
      </c>
      <c r="CO68" s="72">
        <f t="shared" si="357"/>
        <v>168</v>
      </c>
      <c r="CP68" s="72">
        <f t="shared" si="358"/>
        <v>208</v>
      </c>
      <c r="CQ68" s="72">
        <f t="shared" si="359"/>
        <v>259</v>
      </c>
      <c r="CR68" s="72">
        <f t="shared" si="360"/>
        <v>291</v>
      </c>
      <c r="CS68" s="72">
        <f t="shared" si="361"/>
        <v>307</v>
      </c>
      <c r="CT68" s="23">
        <f t="shared" si="362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335"/>
        <v>aa2ar_human_6AQF</v>
      </c>
      <c r="B69" s="3" t="s">
        <v>139</v>
      </c>
      <c r="C69" s="3" t="s">
        <v>1455</v>
      </c>
      <c r="D69" s="3" t="str">
        <f>IFERROR(MID(VLOOKUP($B69,Seqs!$A:$B,2,0),E69,1),"")</f>
        <v>M</v>
      </c>
      <c r="E69" s="3">
        <v>1</v>
      </c>
      <c r="F69" s="3" t="str">
        <f>IFERROR(MID(VLOOKUP($B69,Seqs!$A:$B,2,0),G69,1),"")</f>
        <v>N</v>
      </c>
      <c r="G69" s="3">
        <v>34</v>
      </c>
      <c r="H69" s="3" t="str">
        <f>IFERROR(MID(VLOOKUP($B69,Seqs!$A:$B,2,0),I69,1),"")</f>
        <v>S</v>
      </c>
      <c r="I69" s="23">
        <v>35</v>
      </c>
      <c r="J69" s="3" t="str">
        <f>IFERROR(MID(VLOOKUP($B69,Seqs!$A:$B,2,0),K69,1),"")</f>
        <v>Q</v>
      </c>
      <c r="K69" s="23">
        <v>38</v>
      </c>
      <c r="L69" s="3" t="str">
        <f>IFERROR(MID(VLOOKUP($B69,Seqs!$A:$B,2,0),M69,1),"")</f>
        <v>N</v>
      </c>
      <c r="M69" s="3">
        <v>39</v>
      </c>
      <c r="N69" s="3" t="str">
        <f>IFERROR(MID(VLOOKUP($B69,Seqs!$A:$B,2,0),O69,1),"")</f>
        <v>G</v>
      </c>
      <c r="O69" s="3">
        <v>69</v>
      </c>
      <c r="P69" s="3" t="str">
        <f>IFERROR(MID(VLOOKUP($B69,Seqs!$A:$B,2,0),Q69,1),"")</f>
        <v>F</v>
      </c>
      <c r="Q69" s="3">
        <v>70</v>
      </c>
      <c r="R69" s="3" t="str">
        <f>IFERROR(MID(VLOOKUP($B69,Seqs!$A:$B,2,0),S69,1),"")</f>
        <v>A</v>
      </c>
      <c r="S69" s="3">
        <v>72</v>
      </c>
      <c r="T69" s="3" t="str">
        <f>IFERROR(MID(VLOOKUP($B69,Seqs!$A:$B,2,0),U69,1),"")</f>
        <v>A</v>
      </c>
      <c r="U69" s="3">
        <v>73</v>
      </c>
      <c r="V69" s="3" t="str">
        <f>IFERROR(MID(VLOOKUP($B69,Seqs!$A:$B,2,0),W69,1),"")</f>
        <v>I</v>
      </c>
      <c r="W69" s="3">
        <v>108</v>
      </c>
      <c r="X69" s="3" t="str">
        <f>IFERROR(MID(VLOOKUP($B69,Seqs!$A:$B,2,0),Y69,1),"")</f>
        <v>P</v>
      </c>
      <c r="Y69" s="3">
        <v>109</v>
      </c>
      <c r="Z69" s="3" t="str">
        <f>IFERROR(MID(VLOOKUP($B69,Seqs!$A:$B,2,0),AA69,1),"")</f>
        <v>V</v>
      </c>
      <c r="AA69" s="3">
        <v>116</v>
      </c>
      <c r="AB69" s="3" t="str">
        <f>IFERROR(MID(VLOOKUP($B69,Seqs!$A:$B,2,0),AC69,1),"")</f>
        <v>T</v>
      </c>
      <c r="AC69" s="3">
        <v>117</v>
      </c>
      <c r="AD69" s="3" t="str">
        <f>IFERROR(MID(VLOOKUP($B69,Seqs!$A:$B,2,0),AE69,1),"")</f>
        <v>G</v>
      </c>
      <c r="AE69" s="3">
        <v>142</v>
      </c>
      <c r="AF69" s="3" t="str">
        <f>IFERROR(MID(VLOOKUP($B69,Seqs!$A:$B,2,0),AG69,1),"")</f>
        <v>C</v>
      </c>
      <c r="AG69" s="3">
        <v>166</v>
      </c>
      <c r="AH69" s="3" t="str">
        <f>IFERROR(MID(VLOOKUP($B69,Seqs!$A:$B,2,0),AI69,1),"")</f>
        <v>F</v>
      </c>
      <c r="AI69" s="3">
        <v>168</v>
      </c>
      <c r="AJ69" s="3" t="str">
        <f>IFERROR(MID(VLOOKUP($B69,Seqs!$A:$B,2,0),AK69,1),"")</f>
        <v>P</v>
      </c>
      <c r="AK69" s="3">
        <v>173</v>
      </c>
      <c r="AL69" s="3" t="str">
        <f>IFERROR(MID(VLOOKUP($B69,Seqs!$A:$B,2,0),AM69,1),"")</f>
        <v>L</v>
      </c>
      <c r="AM69" s="3">
        <v>208</v>
      </c>
      <c r="AN69" s="3" t="str">
        <f>IFERROR(MID(VLOOKUP($B69,Seqs!$A:$B,2,0),AO69,1),"")</f>
        <v>E</v>
      </c>
      <c r="AO69" s="3">
        <v>219</v>
      </c>
      <c r="AP69" s="3" t="str">
        <f>IFERROR(MID(VLOOKUP($B69,Seqs!$A:$B,2,0),AQ69,1),"")</f>
        <v>C</v>
      </c>
      <c r="AQ69" s="3">
        <v>259</v>
      </c>
      <c r="AR69" s="3" t="str">
        <f>IFERROR(MID(VLOOKUP($B69,Seqs!$A:$B,2,0),AS69,1),"")</f>
        <v>P</v>
      </c>
      <c r="AS69" s="3">
        <v>266</v>
      </c>
      <c r="AT69" s="3" t="str">
        <f>IFERROR(MID(VLOOKUP($B69,Seqs!$A:$B,2,0),AU69,1),"")</f>
        <v>R</v>
      </c>
      <c r="AU69" s="3">
        <v>291</v>
      </c>
      <c r="AV69" s="3" t="str">
        <f>IFERROR(MID(VLOOKUP($B69,Seqs!$A:$B,2,0),AW69,1),"")</f>
        <v>I</v>
      </c>
      <c r="AW69" s="3">
        <v>292</v>
      </c>
      <c r="AX69" s="3" t="str">
        <f>IFERROR(MID(VLOOKUP($B69,Seqs!$A:$B,2,0),AY69,1),"")</f>
        <v>H</v>
      </c>
      <c r="AY69" s="3">
        <v>306</v>
      </c>
      <c r="AZ69" s="77" t="str">
        <f>VLOOKUP(B69,Classification!A:D,2,0)</f>
        <v>A</v>
      </c>
      <c r="BA69" s="94" t="str">
        <f>VLOOKUP(B69,Classification!A:D,4,0)</f>
        <v>Adenosine</v>
      </c>
      <c r="BB69" s="27" t="b">
        <f t="shared" si="336"/>
        <v>1</v>
      </c>
      <c r="BC69" s="23">
        <f t="shared" si="337"/>
        <v>263</v>
      </c>
      <c r="BD69" s="5" t="s">
        <v>23</v>
      </c>
      <c r="BE69" s="3" t="s">
        <v>1368</v>
      </c>
      <c r="BF69" s="118">
        <v>2.5099999999999998</v>
      </c>
      <c r="BG69" s="49" t="s">
        <v>1</v>
      </c>
      <c r="BH69" s="49" t="s">
        <v>1</v>
      </c>
      <c r="BI69" s="1"/>
      <c r="BJ69" s="70" t="s">
        <v>1281</v>
      </c>
      <c r="BK69" s="57" t="s">
        <v>1281</v>
      </c>
      <c r="BL69" s="57" t="s">
        <v>1281</v>
      </c>
      <c r="BM69" s="57" t="s">
        <v>1281</v>
      </c>
      <c r="BN69" s="57" t="s">
        <v>1281</v>
      </c>
      <c r="BO69" s="57" t="s">
        <v>1281</v>
      </c>
      <c r="BP69" s="57" t="s">
        <v>1281</v>
      </c>
      <c r="BQ69" s="57" t="s">
        <v>1281</v>
      </c>
      <c r="BR69" s="57" t="s">
        <v>1281</v>
      </c>
      <c r="BS69" s="57" t="s">
        <v>1281</v>
      </c>
      <c r="BT69" s="57" t="s">
        <v>1281</v>
      </c>
      <c r="BU69" s="57" t="s">
        <v>1281</v>
      </c>
      <c r="BV69" s="70">
        <f t="shared" si="338"/>
        <v>1</v>
      </c>
      <c r="BW69" s="71">
        <f t="shared" si="339"/>
        <v>35</v>
      </c>
      <c r="BX69" s="72">
        <f t="shared" si="340"/>
        <v>39</v>
      </c>
      <c r="BY69" s="71">
        <f t="shared" si="341"/>
        <v>70</v>
      </c>
      <c r="BZ69" s="72">
        <f t="shared" si="342"/>
        <v>73</v>
      </c>
      <c r="CA69" s="71">
        <f t="shared" si="343"/>
        <v>109</v>
      </c>
      <c r="CB69" s="72">
        <f t="shared" si="344"/>
        <v>117</v>
      </c>
      <c r="CC69" s="71">
        <f t="shared" si="345"/>
        <v>166</v>
      </c>
      <c r="CD69" s="72">
        <f t="shared" si="346"/>
        <v>173</v>
      </c>
      <c r="CE69" s="71">
        <f t="shared" si="347"/>
        <v>219</v>
      </c>
      <c r="CF69" s="72">
        <f t="shared" si="348"/>
        <v>266</v>
      </c>
      <c r="CG69" s="71">
        <f t="shared" si="349"/>
        <v>292</v>
      </c>
      <c r="CH69" s="70">
        <f t="shared" si="350"/>
        <v>34</v>
      </c>
      <c r="CI69" s="71">
        <f t="shared" si="351"/>
        <v>38</v>
      </c>
      <c r="CJ69" s="72">
        <f t="shared" si="352"/>
        <v>69</v>
      </c>
      <c r="CK69" s="72">
        <f t="shared" si="353"/>
        <v>72</v>
      </c>
      <c r="CL69" s="72">
        <f t="shared" si="354"/>
        <v>108</v>
      </c>
      <c r="CM69" s="72">
        <f t="shared" si="355"/>
        <v>116</v>
      </c>
      <c r="CN69" s="72">
        <f t="shared" si="356"/>
        <v>142</v>
      </c>
      <c r="CO69" s="72">
        <f t="shared" si="357"/>
        <v>168</v>
      </c>
      <c r="CP69" s="72">
        <f t="shared" si="358"/>
        <v>208</v>
      </c>
      <c r="CQ69" s="72">
        <f t="shared" si="359"/>
        <v>259</v>
      </c>
      <c r="CR69" s="72">
        <f t="shared" si="360"/>
        <v>291</v>
      </c>
      <c r="CS69" s="72">
        <f t="shared" si="361"/>
        <v>306</v>
      </c>
      <c r="CT69" s="23">
        <f t="shared" si="362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335"/>
        <v>aa2ar_human_5WF5</v>
      </c>
      <c r="B70" s="3" t="s">
        <v>139</v>
      </c>
      <c r="C70" s="3" t="s">
        <v>1464</v>
      </c>
      <c r="D70" s="3" t="str">
        <f>IFERROR(MID(VLOOKUP($B70,Seqs!$A:$B,2,0),E70,1),"")</f>
        <v>M</v>
      </c>
      <c r="E70" s="3">
        <v>4</v>
      </c>
      <c r="F70" s="3" t="str">
        <f>IFERROR(MID(VLOOKUP($B70,Seqs!$A:$B,2,0),G70,1),"")</f>
        <v>N</v>
      </c>
      <c r="G70" s="3">
        <v>34</v>
      </c>
      <c r="H70" s="3" t="str">
        <f>IFERROR(MID(VLOOKUP($B70,Seqs!$A:$B,2,0),I70,1),"")</f>
        <v>S</v>
      </c>
      <c r="I70" s="23">
        <v>35</v>
      </c>
      <c r="J70" s="3" t="str">
        <f>IFERROR(MID(VLOOKUP($B70,Seqs!$A:$B,2,0),K70,1),"")</f>
        <v>Q</v>
      </c>
      <c r="K70" s="23">
        <v>38</v>
      </c>
      <c r="L70" s="3" t="str">
        <f>IFERROR(MID(VLOOKUP($B70,Seqs!$A:$B,2,0),M70,1),"")</f>
        <v>N</v>
      </c>
      <c r="M70" s="3">
        <v>39</v>
      </c>
      <c r="N70" s="3" t="str">
        <f>IFERROR(MID(VLOOKUP($B70,Seqs!$A:$B,2,0),O70,1),"")</f>
        <v>A</v>
      </c>
      <c r="O70" s="3">
        <v>63</v>
      </c>
      <c r="P70" s="3" t="str">
        <f>IFERROR(MID(VLOOKUP($B70,Seqs!$A:$B,2,0),Q70,1),"")</f>
        <v>F</v>
      </c>
      <c r="Q70" s="3">
        <v>70</v>
      </c>
      <c r="R70" s="3" t="str">
        <f>IFERROR(MID(VLOOKUP($B70,Seqs!$A:$B,2,0),S70,1),"")</f>
        <v>A</v>
      </c>
      <c r="S70" s="3">
        <v>72</v>
      </c>
      <c r="T70" s="3" t="str">
        <f>IFERROR(MID(VLOOKUP($B70,Seqs!$A:$B,2,0),U70,1),"")</f>
        <v>A</v>
      </c>
      <c r="U70" s="3">
        <v>73</v>
      </c>
      <c r="V70" s="3" t="str">
        <f>IFERROR(MID(VLOOKUP($B70,Seqs!$A:$B,2,0),W70,1),"")</f>
        <v>I</v>
      </c>
      <c r="W70" s="3">
        <v>108</v>
      </c>
      <c r="X70" s="3" t="str">
        <f>IFERROR(MID(VLOOKUP($B70,Seqs!$A:$B,2,0),Y70,1),"")</f>
        <v>P</v>
      </c>
      <c r="Y70" s="3">
        <v>109</v>
      </c>
      <c r="Z70" s="3" t="str">
        <f>IFERROR(MID(VLOOKUP($B70,Seqs!$A:$B,2,0),AA70,1),"")</f>
        <v>V</v>
      </c>
      <c r="AA70" s="3">
        <v>116</v>
      </c>
      <c r="AB70" s="3" t="str">
        <f>IFERROR(MID(VLOOKUP($B70,Seqs!$A:$B,2,0),AC70,1),"")</f>
        <v>T</v>
      </c>
      <c r="AC70" s="3">
        <v>117</v>
      </c>
      <c r="AD70" s="3" t="str">
        <f>IFERROR(MID(VLOOKUP($B70,Seqs!$A:$B,2,0),AE70,1),"")</f>
        <v>G</v>
      </c>
      <c r="AE70" s="3">
        <v>142</v>
      </c>
      <c r="AF70" s="3" t="str">
        <f>IFERROR(MID(VLOOKUP($B70,Seqs!$A:$B,2,0),AG70,1),"")</f>
        <v>C</v>
      </c>
      <c r="AG70" s="3">
        <v>166</v>
      </c>
      <c r="AH70" s="3" t="str">
        <f>IFERROR(MID(VLOOKUP($B70,Seqs!$A:$B,2,0),AI70,1),"")</f>
        <v>F</v>
      </c>
      <c r="AI70" s="3">
        <v>168</v>
      </c>
      <c r="AJ70" s="3" t="str">
        <f>IFERROR(MID(VLOOKUP($B70,Seqs!$A:$B,2,0),AK70,1),"")</f>
        <v>P</v>
      </c>
      <c r="AK70" s="3">
        <v>173</v>
      </c>
      <c r="AL70" s="3" t="str">
        <f>IFERROR(MID(VLOOKUP($B70,Seqs!$A:$B,2,0),AM70,1),"")</f>
        <v>R</v>
      </c>
      <c r="AM70" s="3">
        <v>205</v>
      </c>
      <c r="AN70" s="3" t="str">
        <f>IFERROR(MID(VLOOKUP($B70,Seqs!$A:$B,2,0),AO70,1),"")</f>
        <v>L</v>
      </c>
      <c r="AO70" s="3">
        <v>225</v>
      </c>
      <c r="AP70" s="3" t="str">
        <f>IFERROR(MID(VLOOKUP($B70,Seqs!$A:$B,2,0),AQ70,1),"")</f>
        <v>C</v>
      </c>
      <c r="AQ70" s="3">
        <v>259</v>
      </c>
      <c r="AR70" s="3" t="str">
        <f>IFERROR(MID(VLOOKUP($B70,Seqs!$A:$B,2,0),AS70,1),"")</f>
        <v>P</v>
      </c>
      <c r="AS70" s="3">
        <v>266</v>
      </c>
      <c r="AT70" s="3" t="str">
        <f>IFERROR(MID(VLOOKUP($B70,Seqs!$A:$B,2,0),AU70,1),"")</f>
        <v>R</v>
      </c>
      <c r="AU70" s="3">
        <v>291</v>
      </c>
      <c r="AV70" s="3" t="str">
        <f>IFERROR(MID(VLOOKUP($B70,Seqs!$A:$B,2,0),AW70,1),"")</f>
        <v>I</v>
      </c>
      <c r="AW70" s="3">
        <v>292</v>
      </c>
      <c r="AX70" s="3" t="str">
        <f>IFERROR(MID(VLOOKUP($B70,Seqs!$A:$B,2,0),AY70,1),"")</f>
        <v>V</v>
      </c>
      <c r="AY70" s="3">
        <v>307</v>
      </c>
      <c r="AZ70" s="77" t="str">
        <f>VLOOKUP(B70,Classification!A:D,2,0)</f>
        <v>A</v>
      </c>
      <c r="BA70" s="94" t="str">
        <f>VLOOKUP(B70,Classification!A:D,4,0)</f>
        <v>Adenosine</v>
      </c>
      <c r="BB70" s="27" t="b">
        <f t="shared" si="336"/>
        <v>1</v>
      </c>
      <c r="BC70" s="23">
        <f t="shared" si="337"/>
        <v>246</v>
      </c>
      <c r="BD70" s="5" t="s">
        <v>23</v>
      </c>
      <c r="BE70" s="3" t="s">
        <v>1465</v>
      </c>
      <c r="BF70" s="118">
        <v>2.6</v>
      </c>
      <c r="BG70" s="49" t="s">
        <v>1</v>
      </c>
      <c r="BH70" s="49" t="s">
        <v>1</v>
      </c>
      <c r="BI70" s="1"/>
      <c r="BJ70" s="70" t="s">
        <v>1281</v>
      </c>
      <c r="BK70" s="57" t="s">
        <v>1281</v>
      </c>
      <c r="BL70" s="57" t="s">
        <v>1281</v>
      </c>
      <c r="BM70" s="57" t="s">
        <v>1281</v>
      </c>
      <c r="BN70" s="57" t="s">
        <v>1281</v>
      </c>
      <c r="BO70" s="57" t="s">
        <v>1281</v>
      </c>
      <c r="BP70" s="57" t="s">
        <v>1281</v>
      </c>
      <c r="BQ70" s="57" t="s">
        <v>1281</v>
      </c>
      <c r="BR70" s="57" t="s">
        <v>1281</v>
      </c>
      <c r="BS70" s="57" t="s">
        <v>1281</v>
      </c>
      <c r="BT70" s="57" t="s">
        <v>1281</v>
      </c>
      <c r="BU70" s="57" t="s">
        <v>1281</v>
      </c>
      <c r="BV70" s="70">
        <f t="shared" si="338"/>
        <v>4</v>
      </c>
      <c r="BW70" s="71">
        <f t="shared" si="339"/>
        <v>35</v>
      </c>
      <c r="BX70" s="72">
        <f t="shared" si="340"/>
        <v>39</v>
      </c>
      <c r="BY70" s="71">
        <f t="shared" si="341"/>
        <v>70</v>
      </c>
      <c r="BZ70" s="72">
        <f t="shared" si="342"/>
        <v>73</v>
      </c>
      <c r="CA70" s="71">
        <f t="shared" si="343"/>
        <v>109</v>
      </c>
      <c r="CB70" s="72">
        <f t="shared" si="344"/>
        <v>117</v>
      </c>
      <c r="CC70" s="71">
        <f t="shared" si="345"/>
        <v>166</v>
      </c>
      <c r="CD70" s="72">
        <f t="shared" si="346"/>
        <v>173</v>
      </c>
      <c r="CE70" s="71">
        <f t="shared" si="347"/>
        <v>225</v>
      </c>
      <c r="CF70" s="72">
        <f t="shared" si="348"/>
        <v>266</v>
      </c>
      <c r="CG70" s="71">
        <f t="shared" si="349"/>
        <v>292</v>
      </c>
      <c r="CH70" s="70">
        <f t="shared" si="350"/>
        <v>34</v>
      </c>
      <c r="CI70" s="71">
        <f t="shared" si="351"/>
        <v>38</v>
      </c>
      <c r="CJ70" s="72">
        <f t="shared" si="352"/>
        <v>63</v>
      </c>
      <c r="CK70" s="72">
        <f t="shared" si="353"/>
        <v>72</v>
      </c>
      <c r="CL70" s="72">
        <f t="shared" si="354"/>
        <v>108</v>
      </c>
      <c r="CM70" s="72">
        <f t="shared" si="355"/>
        <v>116</v>
      </c>
      <c r="CN70" s="72">
        <f t="shared" si="356"/>
        <v>142</v>
      </c>
      <c r="CO70" s="72">
        <f t="shared" si="357"/>
        <v>168</v>
      </c>
      <c r="CP70" s="72">
        <f t="shared" si="358"/>
        <v>205</v>
      </c>
      <c r="CQ70" s="72">
        <f t="shared" si="359"/>
        <v>259</v>
      </c>
      <c r="CR70" s="72">
        <f t="shared" si="360"/>
        <v>291</v>
      </c>
      <c r="CS70" s="72">
        <f t="shared" si="361"/>
        <v>307</v>
      </c>
      <c r="CT70" s="23">
        <f t="shared" si="362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335"/>
        <v>aa2ar_human_5WF6</v>
      </c>
      <c r="B71" s="3" t="s">
        <v>139</v>
      </c>
      <c r="C71" s="3" t="s">
        <v>1466</v>
      </c>
      <c r="D71" s="3" t="str">
        <f>IFERROR(MID(VLOOKUP($B71,Seqs!$A:$B,2,0),E71,1),"")</f>
        <v>M</v>
      </c>
      <c r="E71" s="3">
        <v>4</v>
      </c>
      <c r="F71" s="3" t="str">
        <f>IFERROR(MID(VLOOKUP($B71,Seqs!$A:$B,2,0),G71,1),"")</f>
        <v>N</v>
      </c>
      <c r="G71" s="3">
        <v>34</v>
      </c>
      <c r="H71" s="3" t="str">
        <f>IFERROR(MID(VLOOKUP($B71,Seqs!$A:$B,2,0),I71,1),"")</f>
        <v>S</v>
      </c>
      <c r="I71" s="23">
        <v>35</v>
      </c>
      <c r="J71" s="3" t="str">
        <f>IFERROR(MID(VLOOKUP($B71,Seqs!$A:$B,2,0),K71,1),"")</f>
        <v>Q</v>
      </c>
      <c r="K71" s="23">
        <v>38</v>
      </c>
      <c r="L71" s="3" t="str">
        <f>IFERROR(MID(VLOOKUP($B71,Seqs!$A:$B,2,0),M71,1),"")</f>
        <v>N</v>
      </c>
      <c r="M71" s="3">
        <v>39</v>
      </c>
      <c r="N71" s="3" t="str">
        <f>IFERROR(MID(VLOOKUP($B71,Seqs!$A:$B,2,0),O71,1),"")</f>
        <v>A</v>
      </c>
      <c r="O71" s="3">
        <v>63</v>
      </c>
      <c r="P71" s="3" t="str">
        <f>IFERROR(MID(VLOOKUP($B71,Seqs!$A:$B,2,0),Q71,1),"")</f>
        <v>F</v>
      </c>
      <c r="Q71" s="3">
        <v>70</v>
      </c>
      <c r="R71" s="3" t="str">
        <f>IFERROR(MID(VLOOKUP($B71,Seqs!$A:$B,2,0),S71,1),"")</f>
        <v>A</v>
      </c>
      <c r="S71" s="3">
        <v>72</v>
      </c>
      <c r="T71" s="3" t="str">
        <f>IFERROR(MID(VLOOKUP($B71,Seqs!$A:$B,2,0),U71,1),"")</f>
        <v>A</v>
      </c>
      <c r="U71" s="3">
        <v>73</v>
      </c>
      <c r="V71" s="3" t="str">
        <f>IFERROR(MID(VLOOKUP($B71,Seqs!$A:$B,2,0),W71,1),"")</f>
        <v>I</v>
      </c>
      <c r="W71" s="3">
        <v>108</v>
      </c>
      <c r="X71" s="3" t="str">
        <f>IFERROR(MID(VLOOKUP($B71,Seqs!$A:$B,2,0),Y71,1),"")</f>
        <v>P</v>
      </c>
      <c r="Y71" s="3">
        <v>109</v>
      </c>
      <c r="Z71" s="3" t="str">
        <f>IFERROR(MID(VLOOKUP($B71,Seqs!$A:$B,2,0),AA71,1),"")</f>
        <v>V</v>
      </c>
      <c r="AA71" s="3">
        <v>116</v>
      </c>
      <c r="AB71" s="3" t="str">
        <f>IFERROR(MID(VLOOKUP($B71,Seqs!$A:$B,2,0),AC71,1),"")</f>
        <v>T</v>
      </c>
      <c r="AC71" s="3">
        <v>117</v>
      </c>
      <c r="AD71" s="3" t="str">
        <f>IFERROR(MID(VLOOKUP($B71,Seqs!$A:$B,2,0),AE71,1),"")</f>
        <v>G</v>
      </c>
      <c r="AE71" s="3">
        <v>142</v>
      </c>
      <c r="AF71" s="3" t="str">
        <f>IFERROR(MID(VLOOKUP($B71,Seqs!$A:$B,2,0),AG71,1),"")</f>
        <v>C</v>
      </c>
      <c r="AG71" s="3">
        <v>166</v>
      </c>
      <c r="AH71" s="3" t="str">
        <f>IFERROR(MID(VLOOKUP($B71,Seqs!$A:$B,2,0),AI71,1),"")</f>
        <v>F</v>
      </c>
      <c r="AI71" s="3">
        <v>168</v>
      </c>
      <c r="AJ71" s="3" t="str">
        <f>IFERROR(MID(VLOOKUP($B71,Seqs!$A:$B,2,0),AK71,1),"")</f>
        <v>P</v>
      </c>
      <c r="AK71" s="3">
        <v>173</v>
      </c>
      <c r="AL71" s="3" t="str">
        <f>IFERROR(MID(VLOOKUP($B71,Seqs!$A:$B,2,0),AM71,1),"")</f>
        <v>R</v>
      </c>
      <c r="AM71" s="3">
        <v>205</v>
      </c>
      <c r="AN71" s="3" t="str">
        <f>IFERROR(MID(VLOOKUP($B71,Seqs!$A:$B,2,0),AO71,1),"")</f>
        <v>L</v>
      </c>
      <c r="AO71" s="3">
        <v>225</v>
      </c>
      <c r="AP71" s="3" t="str">
        <f>IFERROR(MID(VLOOKUP($B71,Seqs!$A:$B,2,0),AQ71,1),"")</f>
        <v>C</v>
      </c>
      <c r="AQ71" s="3">
        <v>259</v>
      </c>
      <c r="AR71" s="3" t="str">
        <f>IFERROR(MID(VLOOKUP($B71,Seqs!$A:$B,2,0),AS71,1),"")</f>
        <v>P</v>
      </c>
      <c r="AS71" s="3">
        <v>266</v>
      </c>
      <c r="AT71" s="3" t="str">
        <f>IFERROR(MID(VLOOKUP($B71,Seqs!$A:$B,2,0),AU71,1),"")</f>
        <v>R</v>
      </c>
      <c r="AU71" s="3">
        <v>291</v>
      </c>
      <c r="AV71" s="3" t="str">
        <f>IFERROR(MID(VLOOKUP($B71,Seqs!$A:$B,2,0),AW71,1),"")</f>
        <v>I</v>
      </c>
      <c r="AW71" s="3">
        <v>292</v>
      </c>
      <c r="AX71" s="3" t="str">
        <f>IFERROR(MID(VLOOKUP($B71,Seqs!$A:$B,2,0),AY71,1),"")</f>
        <v>V</v>
      </c>
      <c r="AY71" s="3">
        <v>307</v>
      </c>
      <c r="AZ71" s="77" t="str">
        <f>VLOOKUP(B71,Classification!A:D,2,0)</f>
        <v>A</v>
      </c>
      <c r="BA71" s="94" t="str">
        <f>VLOOKUP(B71,Classification!A:D,4,0)</f>
        <v>Adenosine</v>
      </c>
      <c r="BB71" s="27" t="b">
        <f t="shared" si="336"/>
        <v>1</v>
      </c>
      <c r="BC71" s="23">
        <f t="shared" si="337"/>
        <v>246</v>
      </c>
      <c r="BD71" s="5" t="s">
        <v>23</v>
      </c>
      <c r="BE71" s="3" t="s">
        <v>1465</v>
      </c>
      <c r="BF71" s="118">
        <v>2.9</v>
      </c>
      <c r="BG71" s="49" t="s">
        <v>1</v>
      </c>
      <c r="BH71" s="49" t="s">
        <v>1</v>
      </c>
      <c r="BI71" s="1"/>
      <c r="BJ71" s="70" t="s">
        <v>1281</v>
      </c>
      <c r="BK71" s="57" t="s">
        <v>1281</v>
      </c>
      <c r="BL71" s="57" t="s">
        <v>1281</v>
      </c>
      <c r="BM71" s="57" t="s">
        <v>1281</v>
      </c>
      <c r="BN71" s="57" t="s">
        <v>1281</v>
      </c>
      <c r="BO71" s="57" t="s">
        <v>1281</v>
      </c>
      <c r="BP71" s="57" t="s">
        <v>1281</v>
      </c>
      <c r="BQ71" s="57" t="s">
        <v>1281</v>
      </c>
      <c r="BR71" s="57" t="s">
        <v>1281</v>
      </c>
      <c r="BS71" s="57" t="s">
        <v>1281</v>
      </c>
      <c r="BT71" s="57" t="s">
        <v>1281</v>
      </c>
      <c r="BU71" s="57" t="s">
        <v>1281</v>
      </c>
      <c r="BV71" s="70">
        <f t="shared" si="338"/>
        <v>4</v>
      </c>
      <c r="BW71" s="71">
        <f t="shared" si="339"/>
        <v>35</v>
      </c>
      <c r="BX71" s="72">
        <f t="shared" si="340"/>
        <v>39</v>
      </c>
      <c r="BY71" s="71">
        <f t="shared" si="341"/>
        <v>70</v>
      </c>
      <c r="BZ71" s="72">
        <f t="shared" si="342"/>
        <v>73</v>
      </c>
      <c r="CA71" s="71">
        <f t="shared" si="343"/>
        <v>109</v>
      </c>
      <c r="CB71" s="72">
        <f t="shared" si="344"/>
        <v>117</v>
      </c>
      <c r="CC71" s="71">
        <f t="shared" si="345"/>
        <v>166</v>
      </c>
      <c r="CD71" s="72">
        <f t="shared" si="346"/>
        <v>173</v>
      </c>
      <c r="CE71" s="71">
        <f t="shared" si="347"/>
        <v>225</v>
      </c>
      <c r="CF71" s="72">
        <f t="shared" si="348"/>
        <v>266</v>
      </c>
      <c r="CG71" s="71">
        <f t="shared" si="349"/>
        <v>292</v>
      </c>
      <c r="CH71" s="70">
        <f t="shared" si="350"/>
        <v>34</v>
      </c>
      <c r="CI71" s="71">
        <f t="shared" si="351"/>
        <v>38</v>
      </c>
      <c r="CJ71" s="72">
        <f t="shared" si="352"/>
        <v>63</v>
      </c>
      <c r="CK71" s="72">
        <f t="shared" si="353"/>
        <v>72</v>
      </c>
      <c r="CL71" s="72">
        <f t="shared" si="354"/>
        <v>108</v>
      </c>
      <c r="CM71" s="72">
        <f t="shared" si="355"/>
        <v>116</v>
      </c>
      <c r="CN71" s="72">
        <f t="shared" si="356"/>
        <v>142</v>
      </c>
      <c r="CO71" s="72">
        <f t="shared" si="357"/>
        <v>168</v>
      </c>
      <c r="CP71" s="72">
        <f t="shared" si="358"/>
        <v>205</v>
      </c>
      <c r="CQ71" s="72">
        <f t="shared" si="359"/>
        <v>259</v>
      </c>
      <c r="CR71" s="72">
        <f t="shared" si="360"/>
        <v>291</v>
      </c>
      <c r="CS71" s="72">
        <f t="shared" si="361"/>
        <v>307</v>
      </c>
      <c r="CT71" s="23">
        <f t="shared" si="362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335"/>
        <v>aa2ar_human_6GDG</v>
      </c>
      <c r="B72" s="3" t="s">
        <v>139</v>
      </c>
      <c r="C72" s="3" t="s">
        <v>1486</v>
      </c>
      <c r="D72" s="3" t="str">
        <f>IFERROR(MID(VLOOKUP($B72,Seqs!$A:$B,2,0),E72,1),"")</f>
        <v>V</v>
      </c>
      <c r="E72" s="3">
        <v>8</v>
      </c>
      <c r="F72" s="3" t="str">
        <f>IFERROR(MID(VLOOKUP($B72,Seqs!$A:$B,2,0),G72,1),"")</f>
        <v>N</v>
      </c>
      <c r="G72" s="3">
        <v>34</v>
      </c>
      <c r="H72" s="3" t="str">
        <f>IFERROR(MID(VLOOKUP($B72,Seqs!$A:$B,2,0),I72,1),"")</f>
        <v>S</v>
      </c>
      <c r="I72" s="23">
        <v>35</v>
      </c>
      <c r="J72" s="3" t="str">
        <f>IFERROR(MID(VLOOKUP($B72,Seqs!$A:$B,2,0),K72,1),"")</f>
        <v>Q</v>
      </c>
      <c r="K72" s="23">
        <v>38</v>
      </c>
      <c r="L72" s="3" t="str">
        <f>IFERROR(MID(VLOOKUP($B72,Seqs!$A:$B,2,0),M72,1),"")</f>
        <v>N</v>
      </c>
      <c r="M72" s="3">
        <v>39</v>
      </c>
      <c r="N72" s="3" t="str">
        <f>IFERROR(MID(VLOOKUP($B72,Seqs!$A:$B,2,0),O72,1),"")</f>
        <v>G</v>
      </c>
      <c r="O72" s="3">
        <v>69</v>
      </c>
      <c r="P72" s="3" t="str">
        <f>IFERROR(MID(VLOOKUP($B72,Seqs!$A:$B,2,0),Q72,1),"")</f>
        <v>F</v>
      </c>
      <c r="Q72" s="3">
        <v>70</v>
      </c>
      <c r="R72" s="3" t="str">
        <f>IFERROR(MID(VLOOKUP($B72,Seqs!$A:$B,2,0),S72,1),"")</f>
        <v>A</v>
      </c>
      <c r="S72" s="3">
        <v>72</v>
      </c>
      <c r="T72" s="3" t="str">
        <f>IFERROR(MID(VLOOKUP($B72,Seqs!$A:$B,2,0),U72,1),"")</f>
        <v>A</v>
      </c>
      <c r="U72" s="3">
        <v>73</v>
      </c>
      <c r="V72" s="3" t="str">
        <f>IFERROR(MID(VLOOKUP($B72,Seqs!$A:$B,2,0),W72,1),"")</f>
        <v>I</v>
      </c>
      <c r="W72" s="3">
        <v>108</v>
      </c>
      <c r="X72" s="3" t="str">
        <f>IFERROR(MID(VLOOKUP($B72,Seqs!$A:$B,2,0),Y72,1),"")</f>
        <v>P</v>
      </c>
      <c r="Y72" s="3">
        <v>109</v>
      </c>
      <c r="Z72" s="3" t="str">
        <f>IFERROR(MID(VLOOKUP($B72,Seqs!$A:$B,2,0),AA72,1),"")</f>
        <v>V</v>
      </c>
      <c r="AA72" s="3">
        <v>116</v>
      </c>
      <c r="AB72" s="3" t="str">
        <f>IFERROR(MID(VLOOKUP($B72,Seqs!$A:$B,2,0),AC72,1),"")</f>
        <v>T</v>
      </c>
      <c r="AC72" s="3">
        <v>117</v>
      </c>
      <c r="AD72" s="3" t="str">
        <f>IFERROR(MID(VLOOKUP($B72,Seqs!$A:$B,2,0),AE72,1),"")</f>
        <v>L</v>
      </c>
      <c r="AE72" s="3">
        <v>141</v>
      </c>
      <c r="AF72" s="3" t="str">
        <f>IFERROR(MID(VLOOKUP($B72,Seqs!$A:$B,2,0),AG72,1),"")</f>
        <v>C</v>
      </c>
      <c r="AG72" s="3">
        <v>166</v>
      </c>
      <c r="AH72" s="3" t="str">
        <f>IFERROR(MID(VLOOKUP($B72,Seqs!$A:$B,2,0),AI72,1),"")</f>
        <v>F</v>
      </c>
      <c r="AI72" s="3">
        <v>168</v>
      </c>
      <c r="AJ72" s="3" t="str">
        <f>IFERROR(MID(VLOOKUP($B72,Seqs!$A:$B,2,0),AK72,1),"")</f>
        <v>P</v>
      </c>
      <c r="AK72" s="3">
        <v>173</v>
      </c>
      <c r="AL72" s="3" t="str">
        <f>IFERROR(MID(VLOOKUP($B72,Seqs!$A:$B,2,0),AM72,1),"")</f>
        <v>L</v>
      </c>
      <c r="AM72" s="3">
        <v>208</v>
      </c>
      <c r="AN72" s="3" t="str">
        <f>IFERROR(MID(VLOOKUP($B72,Seqs!$A:$B,2,0),AO72,1),"")</f>
        <v>T</v>
      </c>
      <c r="AO72" s="3">
        <v>224</v>
      </c>
      <c r="AP72" s="3" t="str">
        <f>IFERROR(MID(VLOOKUP($B72,Seqs!$A:$B,2,0),AQ72,1),"")</f>
        <v>C</v>
      </c>
      <c r="AQ72" s="3">
        <v>259</v>
      </c>
      <c r="AR72" s="3" t="str">
        <f>IFERROR(MID(VLOOKUP($B72,Seqs!$A:$B,2,0),AS72,1),"")</f>
        <v>P</v>
      </c>
      <c r="AS72" s="3">
        <v>266</v>
      </c>
      <c r="AT72" s="3" t="str">
        <f>IFERROR(MID(VLOOKUP($B72,Seqs!$A:$B,2,0),AU72,1),"")</f>
        <v>R</v>
      </c>
      <c r="AU72" s="3">
        <v>291</v>
      </c>
      <c r="AV72" s="3" t="str">
        <f>IFERROR(MID(VLOOKUP($B72,Seqs!$A:$B,2,0),AW72,1),"")</f>
        <v>I</v>
      </c>
      <c r="AW72" s="3">
        <v>292</v>
      </c>
      <c r="AX72" s="3" t="str">
        <f>IFERROR(MID(VLOOKUP($B72,Seqs!$A:$B,2,0),AY72,1),"")</f>
        <v>F</v>
      </c>
      <c r="AY72" s="3">
        <v>299</v>
      </c>
      <c r="AZ72" s="77" t="str">
        <f>VLOOKUP(B72,Classification!A:D,2,0)</f>
        <v>A</v>
      </c>
      <c r="BA72" s="94" t="str">
        <f>VLOOKUP(B72,Classification!A:D,4,0)</f>
        <v>Adenosine</v>
      </c>
      <c r="BB72" s="27" t="b">
        <f t="shared" si="336"/>
        <v>1</v>
      </c>
      <c r="BC72" s="23">
        <f t="shared" si="337"/>
        <v>243</v>
      </c>
      <c r="BD72" s="5" t="s">
        <v>23</v>
      </c>
      <c r="BE72" s="3" t="s">
        <v>1285</v>
      </c>
      <c r="BF72" s="118">
        <v>4.1100000000000003</v>
      </c>
      <c r="BG72" s="49" t="s">
        <v>1</v>
      </c>
      <c r="BH72" s="49" t="s">
        <v>1</v>
      </c>
      <c r="BI72" s="1"/>
      <c r="BJ72" s="70" t="s">
        <v>1281</v>
      </c>
      <c r="BK72" s="57" t="s">
        <v>1281</v>
      </c>
      <c r="BL72" s="57" t="s">
        <v>1281</v>
      </c>
      <c r="BM72" s="57" t="s">
        <v>1281</v>
      </c>
      <c r="BN72" s="57" t="s">
        <v>1281</v>
      </c>
      <c r="BO72" s="57" t="s">
        <v>1281</v>
      </c>
      <c r="BP72" s="57" t="s">
        <v>1281</v>
      </c>
      <c r="BQ72" s="57" t="s">
        <v>1281</v>
      </c>
      <c r="BR72" s="57" t="s">
        <v>1281</v>
      </c>
      <c r="BS72" s="57" t="s">
        <v>1281</v>
      </c>
      <c r="BT72" s="57" t="s">
        <v>1281</v>
      </c>
      <c r="BU72" s="57" t="s">
        <v>1281</v>
      </c>
      <c r="BV72" s="70">
        <f t="shared" si="338"/>
        <v>8</v>
      </c>
      <c r="BW72" s="71">
        <f t="shared" si="339"/>
        <v>35</v>
      </c>
      <c r="BX72" s="72">
        <f t="shared" si="340"/>
        <v>39</v>
      </c>
      <c r="BY72" s="71">
        <f t="shared" si="341"/>
        <v>70</v>
      </c>
      <c r="BZ72" s="72">
        <f t="shared" si="342"/>
        <v>73</v>
      </c>
      <c r="CA72" s="71">
        <f t="shared" si="343"/>
        <v>109</v>
      </c>
      <c r="CB72" s="72">
        <f t="shared" si="344"/>
        <v>117</v>
      </c>
      <c r="CC72" s="71">
        <f t="shared" si="345"/>
        <v>166</v>
      </c>
      <c r="CD72" s="72">
        <f t="shared" si="346"/>
        <v>173</v>
      </c>
      <c r="CE72" s="71">
        <f t="shared" si="347"/>
        <v>224</v>
      </c>
      <c r="CF72" s="72">
        <f t="shared" si="348"/>
        <v>266</v>
      </c>
      <c r="CG72" s="71">
        <f t="shared" si="349"/>
        <v>292</v>
      </c>
      <c r="CH72" s="70">
        <f t="shared" si="350"/>
        <v>34</v>
      </c>
      <c r="CI72" s="71">
        <f t="shared" si="351"/>
        <v>38</v>
      </c>
      <c r="CJ72" s="72">
        <f t="shared" si="352"/>
        <v>69</v>
      </c>
      <c r="CK72" s="72">
        <f t="shared" si="353"/>
        <v>72</v>
      </c>
      <c r="CL72" s="72">
        <f t="shared" si="354"/>
        <v>108</v>
      </c>
      <c r="CM72" s="72">
        <f t="shared" si="355"/>
        <v>116</v>
      </c>
      <c r="CN72" s="72">
        <f t="shared" si="356"/>
        <v>141</v>
      </c>
      <c r="CO72" s="72">
        <f t="shared" si="357"/>
        <v>168</v>
      </c>
      <c r="CP72" s="72">
        <f t="shared" si="358"/>
        <v>208</v>
      </c>
      <c r="CQ72" s="72">
        <f t="shared" si="359"/>
        <v>259</v>
      </c>
      <c r="CR72" s="72">
        <f t="shared" si="360"/>
        <v>291</v>
      </c>
      <c r="CS72" s="72">
        <f t="shared" si="361"/>
        <v>299</v>
      </c>
      <c r="CT72" s="23">
        <f t="shared" si="362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ref="A73" si="419">CONCATENATE(B73,"_",C73)</f>
        <v>aa2ar_human_6MH8</v>
      </c>
      <c r="B73" s="3" t="s">
        <v>139</v>
      </c>
      <c r="C73" s="3" t="s">
        <v>1566</v>
      </c>
      <c r="D73" s="3" t="str">
        <f>IFERROR(MID(VLOOKUP($B73,Seqs!$A:$B,2,0),E73,1),"")</f>
        <v>M</v>
      </c>
      <c r="E73" s="3">
        <v>1</v>
      </c>
      <c r="F73" s="3" t="str">
        <f>IFERROR(MID(VLOOKUP($B73,Seqs!$A:$B,2,0),G73,1),"")</f>
        <v>N</v>
      </c>
      <c r="G73" s="3">
        <v>34</v>
      </c>
      <c r="H73" s="3" t="str">
        <f>IFERROR(MID(VLOOKUP($B73,Seqs!$A:$B,2,0),I73,1),"")</f>
        <v>S</v>
      </c>
      <c r="I73" s="23">
        <v>35</v>
      </c>
      <c r="J73" s="3" t="str">
        <f>IFERROR(MID(VLOOKUP($B73,Seqs!$A:$B,2,0),K73,1),"")</f>
        <v>Q</v>
      </c>
      <c r="K73" s="23">
        <v>38</v>
      </c>
      <c r="L73" s="3" t="str">
        <f>IFERROR(MID(VLOOKUP($B73,Seqs!$A:$B,2,0),M73,1),"")</f>
        <v>N</v>
      </c>
      <c r="M73" s="3">
        <v>39</v>
      </c>
      <c r="N73" s="3" t="str">
        <f>IFERROR(MID(VLOOKUP($B73,Seqs!$A:$B,2,0),O73,1),"")</f>
        <v>G</v>
      </c>
      <c r="O73" s="3">
        <v>69</v>
      </c>
      <c r="P73" s="3" t="str">
        <f>IFERROR(MID(VLOOKUP($B73,Seqs!$A:$B,2,0),Q73,1),"")</f>
        <v>F</v>
      </c>
      <c r="Q73" s="3">
        <v>70</v>
      </c>
      <c r="R73" s="3" t="str">
        <f>IFERROR(MID(VLOOKUP($B73,Seqs!$A:$B,2,0),S73,1),"")</f>
        <v>A</v>
      </c>
      <c r="S73" s="3">
        <v>72</v>
      </c>
      <c r="T73" s="3" t="str">
        <f>IFERROR(MID(VLOOKUP($B73,Seqs!$A:$B,2,0),U73,1),"")</f>
        <v>A</v>
      </c>
      <c r="U73" s="3">
        <v>73</v>
      </c>
      <c r="V73" s="3" t="str">
        <f>IFERROR(MID(VLOOKUP($B73,Seqs!$A:$B,2,0),W73,1),"")</f>
        <v>I</v>
      </c>
      <c r="W73" s="3">
        <v>108</v>
      </c>
      <c r="X73" s="3" t="str">
        <f>IFERROR(MID(VLOOKUP($B73,Seqs!$A:$B,2,0),Y73,1),"")</f>
        <v>P</v>
      </c>
      <c r="Y73" s="3">
        <v>109</v>
      </c>
      <c r="Z73" s="3" t="str">
        <f>IFERROR(MID(VLOOKUP($B73,Seqs!$A:$B,2,0),AA73,1),"")</f>
        <v>V</v>
      </c>
      <c r="AA73" s="3">
        <v>116</v>
      </c>
      <c r="AB73" s="3" t="str">
        <f>IFERROR(MID(VLOOKUP($B73,Seqs!$A:$B,2,0),AC73,1),"")</f>
        <v>T</v>
      </c>
      <c r="AC73" s="3">
        <v>117</v>
      </c>
      <c r="AD73" s="3" t="str">
        <f>IFERROR(MID(VLOOKUP($B73,Seqs!$A:$B,2,0),AE73,1),"")</f>
        <v>G</v>
      </c>
      <c r="AE73" s="3">
        <v>142</v>
      </c>
      <c r="AF73" s="3" t="str">
        <f>IFERROR(MID(VLOOKUP($B73,Seqs!$A:$B,2,0),AG73,1),"")</f>
        <v>C</v>
      </c>
      <c r="AG73" s="3">
        <v>166</v>
      </c>
      <c r="AH73" s="3" t="str">
        <f>IFERROR(MID(VLOOKUP($B73,Seqs!$A:$B,2,0),AI73,1),"")</f>
        <v>F</v>
      </c>
      <c r="AI73" s="3">
        <v>168</v>
      </c>
      <c r="AJ73" s="3" t="str">
        <f>IFERROR(MID(VLOOKUP($B73,Seqs!$A:$B,2,0),AK73,1),"")</f>
        <v>P</v>
      </c>
      <c r="AK73" s="3">
        <v>173</v>
      </c>
      <c r="AL73" s="3" t="str">
        <f>IFERROR(MID(VLOOKUP($B73,Seqs!$A:$B,2,0),AM73,1),"")</f>
        <v>L</v>
      </c>
      <c r="AM73" s="3">
        <v>208</v>
      </c>
      <c r="AN73" s="3" t="str">
        <f>IFERROR(MID(VLOOKUP($B73,Seqs!$A:$B,2,0),AO73,1),"")</f>
        <v>E</v>
      </c>
      <c r="AO73" s="3">
        <v>219</v>
      </c>
      <c r="AP73" s="3" t="str">
        <f>IFERROR(MID(VLOOKUP($B73,Seqs!$A:$B,2,0),AQ73,1),"")</f>
        <v>C</v>
      </c>
      <c r="AQ73" s="3">
        <v>259</v>
      </c>
      <c r="AR73" s="3" t="str">
        <f>IFERROR(MID(VLOOKUP($B73,Seqs!$A:$B,2,0),AS73,1),"")</f>
        <v>P</v>
      </c>
      <c r="AS73" s="3">
        <v>266</v>
      </c>
      <c r="AT73" s="3" t="str">
        <f>IFERROR(MID(VLOOKUP($B73,Seqs!$A:$B,2,0),AU73,1),"")</f>
        <v>R</v>
      </c>
      <c r="AU73" s="3">
        <v>291</v>
      </c>
      <c r="AV73" s="3" t="str">
        <f>IFERROR(MID(VLOOKUP($B73,Seqs!$A:$B,2,0),AW73,1),"")</f>
        <v>I</v>
      </c>
      <c r="AW73" s="3">
        <v>292</v>
      </c>
      <c r="AX73" s="3" t="str">
        <f>IFERROR(MID(VLOOKUP($B73,Seqs!$A:$B,2,0),AY73,1),"")</f>
        <v>H</v>
      </c>
      <c r="AY73" s="3">
        <v>306</v>
      </c>
      <c r="AZ73" s="77" t="str">
        <f>VLOOKUP(B73,Classification!A:D,2,0)</f>
        <v>A</v>
      </c>
      <c r="BA73" s="94" t="str">
        <f>VLOOKUP(B73,Classification!A:D,4,0)</f>
        <v>Adenosine</v>
      </c>
      <c r="BB73" s="27" t="b">
        <f t="shared" ref="BB73" si="420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23">
        <f t="shared" ref="BC73" si="421">_xlfn.AGGREGATE(9,6,CH73:CS73)-_xlfn.AGGREGATE(9,6,BV73:CG73)+12</f>
        <v>263</v>
      </c>
      <c r="BD73" s="5" t="s">
        <v>23</v>
      </c>
      <c r="BE73" s="3" t="s">
        <v>1368</v>
      </c>
      <c r="BF73" s="118">
        <v>4.2</v>
      </c>
      <c r="BG73" s="49" t="s">
        <v>1</v>
      </c>
      <c r="BH73" s="49" t="s">
        <v>1</v>
      </c>
      <c r="BI73" s="1"/>
      <c r="BJ73" s="70" t="s">
        <v>1281</v>
      </c>
      <c r="BK73" s="57" t="s">
        <v>1281</v>
      </c>
      <c r="BL73" s="57" t="s">
        <v>1281</v>
      </c>
      <c r="BM73" s="57" t="s">
        <v>1281</v>
      </c>
      <c r="BN73" s="57" t="s">
        <v>1281</v>
      </c>
      <c r="BO73" s="57" t="s">
        <v>1281</v>
      </c>
      <c r="BP73" s="57" t="s">
        <v>1281</v>
      </c>
      <c r="BQ73" s="57" t="s">
        <v>1281</v>
      </c>
      <c r="BR73" s="57" t="s">
        <v>1281</v>
      </c>
      <c r="BS73" s="57" t="s">
        <v>1281</v>
      </c>
      <c r="BT73" s="57" t="s">
        <v>1281</v>
      </c>
      <c r="BU73" s="57" t="s">
        <v>1281</v>
      </c>
      <c r="BV73" s="70">
        <f t="shared" ref="BV73" si="422">E73</f>
        <v>1</v>
      </c>
      <c r="BW73" s="71">
        <f t="shared" ref="BW73" si="423">I73</f>
        <v>35</v>
      </c>
      <c r="BX73" s="72">
        <f t="shared" ref="BX73" si="424">M73</f>
        <v>39</v>
      </c>
      <c r="BY73" s="71">
        <f t="shared" ref="BY73" si="425">Q73</f>
        <v>70</v>
      </c>
      <c r="BZ73" s="72">
        <f t="shared" ref="BZ73" si="426">U73</f>
        <v>73</v>
      </c>
      <c r="CA73" s="71">
        <f t="shared" ref="CA73" si="427">Y73</f>
        <v>109</v>
      </c>
      <c r="CB73" s="72">
        <f t="shared" ref="CB73" si="428">AC73</f>
        <v>117</v>
      </c>
      <c r="CC73" s="71">
        <f t="shared" ref="CC73" si="429">AG73</f>
        <v>166</v>
      </c>
      <c r="CD73" s="72">
        <f t="shared" ref="CD73" si="430">AK73</f>
        <v>173</v>
      </c>
      <c r="CE73" s="71">
        <f t="shared" ref="CE73" si="431">AO73</f>
        <v>219</v>
      </c>
      <c r="CF73" s="72">
        <f t="shared" ref="CF73" si="432">AS73</f>
        <v>266</v>
      </c>
      <c r="CG73" s="71">
        <f t="shared" ref="CG73" si="433">AW73</f>
        <v>292</v>
      </c>
      <c r="CH73" s="70">
        <f t="shared" ref="CH73" si="434">G73</f>
        <v>34</v>
      </c>
      <c r="CI73" s="71">
        <f t="shared" ref="CI73" si="435">K73</f>
        <v>38</v>
      </c>
      <c r="CJ73" s="72">
        <f t="shared" ref="CJ73" si="436">O73</f>
        <v>69</v>
      </c>
      <c r="CK73" s="72">
        <f t="shared" ref="CK73" si="437">S73</f>
        <v>72</v>
      </c>
      <c r="CL73" s="72">
        <f t="shared" ref="CL73" si="438">W73</f>
        <v>108</v>
      </c>
      <c r="CM73" s="72">
        <f t="shared" ref="CM73" si="439">AA73</f>
        <v>116</v>
      </c>
      <c r="CN73" s="72">
        <f t="shared" ref="CN73" si="440">AE73</f>
        <v>142</v>
      </c>
      <c r="CO73" s="72">
        <f t="shared" ref="CO73" si="441">AI73</f>
        <v>168</v>
      </c>
      <c r="CP73" s="72">
        <f t="shared" ref="CP73" si="442">AM73</f>
        <v>208</v>
      </c>
      <c r="CQ73" s="72">
        <f t="shared" ref="CQ73" si="443">AQ73</f>
        <v>259</v>
      </c>
      <c r="CR73" s="72">
        <f t="shared" ref="CR73" si="444">AU73</f>
        <v>291</v>
      </c>
      <c r="CS73" s="72">
        <f t="shared" ref="CS73" si="445">AY73</f>
        <v>306</v>
      </c>
      <c r="CT73" s="23">
        <f t="shared" ref="CT73" si="446">M73-K73</f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ref="A74" si="447">CONCATENATE(B74,"_",C74)</f>
        <v>aa2ar_human_6MH9</v>
      </c>
      <c r="B74" s="3" t="s">
        <v>139</v>
      </c>
      <c r="C74" s="3" t="s">
        <v>1576</v>
      </c>
      <c r="D74" s="3" t="str">
        <f>IFERROR(MID(VLOOKUP($B74,Seqs!$A:$B,2,0),E74,1),"")</f>
        <v>M</v>
      </c>
      <c r="E74" s="3">
        <v>1</v>
      </c>
      <c r="F74" s="3" t="str">
        <f>IFERROR(MID(VLOOKUP($B74,Seqs!$A:$B,2,0),G74,1),"")</f>
        <v>N</v>
      </c>
      <c r="G74" s="3">
        <v>34</v>
      </c>
      <c r="H74" s="3" t="str">
        <f>IFERROR(MID(VLOOKUP($B74,Seqs!$A:$B,2,0),I74,1),"")</f>
        <v>S</v>
      </c>
      <c r="I74" s="23">
        <v>35</v>
      </c>
      <c r="J74" s="3" t="str">
        <f>IFERROR(MID(VLOOKUP($B74,Seqs!$A:$B,2,0),K74,1),"")</f>
        <v>Q</v>
      </c>
      <c r="K74" s="23">
        <v>38</v>
      </c>
      <c r="L74" s="3" t="str">
        <f>IFERROR(MID(VLOOKUP($B74,Seqs!$A:$B,2,0),M74,1),"")</f>
        <v>N</v>
      </c>
      <c r="M74" s="3">
        <v>39</v>
      </c>
      <c r="N74" s="3" t="str">
        <f>IFERROR(MID(VLOOKUP($B74,Seqs!$A:$B,2,0),O74,1),"")</f>
        <v>G</v>
      </c>
      <c r="O74" s="3">
        <v>69</v>
      </c>
      <c r="P74" s="3" t="str">
        <f>IFERROR(MID(VLOOKUP($B74,Seqs!$A:$B,2,0),Q74,1),"")</f>
        <v>F</v>
      </c>
      <c r="Q74" s="3">
        <v>70</v>
      </c>
      <c r="R74" s="3" t="str">
        <f>IFERROR(MID(VLOOKUP($B74,Seqs!$A:$B,2,0),S74,1),"")</f>
        <v>A</v>
      </c>
      <c r="S74" s="3">
        <v>72</v>
      </c>
      <c r="T74" s="3" t="str">
        <f>IFERROR(MID(VLOOKUP($B74,Seqs!$A:$B,2,0),U74,1),"")</f>
        <v>A</v>
      </c>
      <c r="U74" s="3">
        <v>73</v>
      </c>
      <c r="V74" s="3" t="str">
        <f>IFERROR(MID(VLOOKUP($B74,Seqs!$A:$B,2,0),W74,1),"")</f>
        <v>I</v>
      </c>
      <c r="W74" s="3">
        <v>108</v>
      </c>
      <c r="X74" s="3" t="str">
        <f>IFERROR(MID(VLOOKUP($B74,Seqs!$A:$B,2,0),Y74,1),"")</f>
        <v>P</v>
      </c>
      <c r="Y74" s="3">
        <v>109</v>
      </c>
      <c r="Z74" s="3" t="str">
        <f>IFERROR(MID(VLOOKUP($B74,Seqs!$A:$B,2,0),AA74,1),"")</f>
        <v>V</v>
      </c>
      <c r="AA74" s="3">
        <v>116</v>
      </c>
      <c r="AB74" s="3" t="str">
        <f>IFERROR(MID(VLOOKUP($B74,Seqs!$A:$B,2,0),AC74,1),"")</f>
        <v>T</v>
      </c>
      <c r="AC74" s="3">
        <v>117</v>
      </c>
      <c r="AD74" s="3" t="str">
        <f>IFERROR(MID(VLOOKUP($B74,Seqs!$A:$B,2,0),AE74,1),"")</f>
        <v>G</v>
      </c>
      <c r="AE74" s="3">
        <v>142</v>
      </c>
      <c r="AF74" s="3" t="str">
        <f>IFERROR(MID(VLOOKUP($B74,Seqs!$A:$B,2,0),AG74,1),"")</f>
        <v>C</v>
      </c>
      <c r="AG74" s="3">
        <v>166</v>
      </c>
      <c r="AH74" s="3" t="str">
        <f>IFERROR(MID(VLOOKUP($B74,Seqs!$A:$B,2,0),AI74,1),"")</f>
        <v>F</v>
      </c>
      <c r="AI74" s="3">
        <v>168</v>
      </c>
      <c r="AJ74" s="3" t="str">
        <f>IFERROR(MID(VLOOKUP($B74,Seqs!$A:$B,2,0),AK74,1),"")</f>
        <v>P</v>
      </c>
      <c r="AK74" s="3">
        <v>173</v>
      </c>
      <c r="AL74" s="3" t="str">
        <f>IFERROR(MID(VLOOKUP($B74,Seqs!$A:$B,2,0),AM74,1),"")</f>
        <v>L</v>
      </c>
      <c r="AM74" s="3">
        <v>208</v>
      </c>
      <c r="AN74" s="3" t="str">
        <f>IFERROR(MID(VLOOKUP($B74,Seqs!$A:$B,2,0),AO74,1),"")</f>
        <v>E</v>
      </c>
      <c r="AO74" s="3">
        <v>219</v>
      </c>
      <c r="AP74" s="3" t="str">
        <f>IFERROR(MID(VLOOKUP($B74,Seqs!$A:$B,2,0),AQ74,1),"")</f>
        <v>C</v>
      </c>
      <c r="AQ74" s="3">
        <v>259</v>
      </c>
      <c r="AR74" s="3" t="str">
        <f>IFERROR(MID(VLOOKUP($B74,Seqs!$A:$B,2,0),AS74,1),"")</f>
        <v>P</v>
      </c>
      <c r="AS74" s="3">
        <v>266</v>
      </c>
      <c r="AT74" s="3" t="str">
        <f>IFERROR(MID(VLOOKUP($B74,Seqs!$A:$B,2,0),AU74,1),"")</f>
        <v>R</v>
      </c>
      <c r="AU74" s="3">
        <v>291</v>
      </c>
      <c r="AV74" s="3" t="str">
        <f>IFERROR(MID(VLOOKUP($B74,Seqs!$A:$B,2,0),AW74,1),"")</f>
        <v>I</v>
      </c>
      <c r="AW74" s="3">
        <v>292</v>
      </c>
      <c r="AX74" s="3" t="str">
        <f>IFERROR(MID(VLOOKUP($B74,Seqs!$A:$B,2,0),AY74,1),"")</f>
        <v>H</v>
      </c>
      <c r="AY74" s="3">
        <v>306</v>
      </c>
      <c r="AZ74" s="77" t="str">
        <f>VLOOKUP(B74,Classification!A:D,2,0)</f>
        <v>A</v>
      </c>
      <c r="BA74" s="94" t="str">
        <f>VLOOKUP(B74,Classification!A:D,4,0)</f>
        <v>Adenosine</v>
      </c>
      <c r="BB74" s="27" t="b">
        <f t="shared" ref="BB74" si="44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23">
        <f t="shared" ref="BC74" si="449">_xlfn.AGGREGATE(9,6,CH74:CS74)-_xlfn.AGGREGATE(9,6,BV74:CG74)+12</f>
        <v>263</v>
      </c>
      <c r="BD74" s="5" t="s">
        <v>23</v>
      </c>
      <c r="BE74" s="3" t="s">
        <v>1368</v>
      </c>
      <c r="BF74" s="118">
        <v>2</v>
      </c>
      <c r="BG74" s="49" t="s">
        <v>1</v>
      </c>
      <c r="BH74" s="49" t="s">
        <v>1</v>
      </c>
      <c r="BI74" s="1"/>
      <c r="BJ74" s="70" t="s">
        <v>1281</v>
      </c>
      <c r="BK74" s="57" t="s">
        <v>1281</v>
      </c>
      <c r="BL74" s="57" t="s">
        <v>1281</v>
      </c>
      <c r="BM74" s="57" t="s">
        <v>1281</v>
      </c>
      <c r="BN74" s="57" t="s">
        <v>1281</v>
      </c>
      <c r="BO74" s="57" t="s">
        <v>1281</v>
      </c>
      <c r="BP74" s="57" t="s">
        <v>1281</v>
      </c>
      <c r="BQ74" s="57" t="s">
        <v>1281</v>
      </c>
      <c r="BR74" s="57" t="s">
        <v>1281</v>
      </c>
      <c r="BS74" s="57" t="s">
        <v>1281</v>
      </c>
      <c r="BT74" s="57" t="s">
        <v>1281</v>
      </c>
      <c r="BU74" s="57" t="s">
        <v>1281</v>
      </c>
      <c r="BV74" s="70">
        <f t="shared" ref="BV74" si="450">E74</f>
        <v>1</v>
      </c>
      <c r="BW74" s="71">
        <f t="shared" ref="BW74" si="451">I74</f>
        <v>35</v>
      </c>
      <c r="BX74" s="72">
        <f t="shared" ref="BX74" si="452">M74</f>
        <v>39</v>
      </c>
      <c r="BY74" s="71">
        <f t="shared" ref="BY74" si="453">Q74</f>
        <v>70</v>
      </c>
      <c r="BZ74" s="72">
        <f t="shared" ref="BZ74" si="454">U74</f>
        <v>73</v>
      </c>
      <c r="CA74" s="71">
        <f t="shared" ref="CA74" si="455">Y74</f>
        <v>109</v>
      </c>
      <c r="CB74" s="72">
        <f t="shared" ref="CB74" si="456">AC74</f>
        <v>117</v>
      </c>
      <c r="CC74" s="71">
        <f t="shared" ref="CC74" si="457">AG74</f>
        <v>166</v>
      </c>
      <c r="CD74" s="72">
        <f t="shared" ref="CD74" si="458">AK74</f>
        <v>173</v>
      </c>
      <c r="CE74" s="71">
        <f t="shared" ref="CE74" si="459">AO74</f>
        <v>219</v>
      </c>
      <c r="CF74" s="72">
        <f t="shared" ref="CF74" si="460">AS74</f>
        <v>266</v>
      </c>
      <c r="CG74" s="71">
        <f t="shared" ref="CG74" si="461">AW74</f>
        <v>292</v>
      </c>
      <c r="CH74" s="70">
        <f t="shared" ref="CH74" si="462">G74</f>
        <v>34</v>
      </c>
      <c r="CI74" s="71">
        <f t="shared" ref="CI74" si="463">K74</f>
        <v>38</v>
      </c>
      <c r="CJ74" s="72">
        <f t="shared" ref="CJ74" si="464">O74</f>
        <v>69</v>
      </c>
      <c r="CK74" s="72">
        <f t="shared" ref="CK74" si="465">S74</f>
        <v>72</v>
      </c>
      <c r="CL74" s="72">
        <f t="shared" ref="CL74" si="466">W74</f>
        <v>108</v>
      </c>
      <c r="CM74" s="72">
        <f t="shared" ref="CM74" si="467">AA74</f>
        <v>116</v>
      </c>
      <c r="CN74" s="72">
        <f t="shared" ref="CN74" si="468">AE74</f>
        <v>142</v>
      </c>
      <c r="CO74" s="72">
        <f t="shared" ref="CO74" si="469">AI74</f>
        <v>168</v>
      </c>
      <c r="CP74" s="72">
        <f t="shared" ref="CP74" si="470">AM74</f>
        <v>208</v>
      </c>
      <c r="CQ74" s="72">
        <f t="shared" ref="CQ74" si="471">AQ74</f>
        <v>259</v>
      </c>
      <c r="CR74" s="72">
        <f t="shared" ref="CR74" si="472">AU74</f>
        <v>291</v>
      </c>
      <c r="CS74" s="72">
        <f t="shared" ref="CS74" si="473">AY74</f>
        <v>306</v>
      </c>
      <c r="CT74" s="23">
        <f t="shared" ref="CT74" si="474">M74-K74</f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ref="A75" si="475">CONCATENATE(B75,"_",C75)</f>
        <v>aa2ar_human_6GT3</v>
      </c>
      <c r="B75" s="3" t="s">
        <v>139</v>
      </c>
      <c r="C75" s="3" t="s">
        <v>1583</v>
      </c>
      <c r="D75" s="3" t="str">
        <f>IFERROR(MID(VLOOKUP($B75,Seqs!$A:$B,2,0),E75,1),"")</f>
        <v>M</v>
      </c>
      <c r="E75" s="3">
        <v>1</v>
      </c>
      <c r="F75" s="3" t="str">
        <f>IFERROR(MID(VLOOKUP($B75,Seqs!$A:$B,2,0),G75,1),"")</f>
        <v>N</v>
      </c>
      <c r="G75" s="3">
        <v>34</v>
      </c>
      <c r="H75" s="3" t="str">
        <f>IFERROR(MID(VLOOKUP($B75,Seqs!$A:$B,2,0),I75,1),"")</f>
        <v>S</v>
      </c>
      <c r="I75" s="23">
        <v>35</v>
      </c>
      <c r="J75" s="3" t="str">
        <f>IFERROR(MID(VLOOKUP($B75,Seqs!$A:$B,2,0),K75,1),"")</f>
        <v>Q</v>
      </c>
      <c r="K75" s="23">
        <v>38</v>
      </c>
      <c r="L75" s="3" t="str">
        <f>IFERROR(MID(VLOOKUP($B75,Seqs!$A:$B,2,0),M75,1),"")</f>
        <v>N</v>
      </c>
      <c r="M75" s="3">
        <v>39</v>
      </c>
      <c r="N75" s="3" t="str">
        <f>IFERROR(MID(VLOOKUP($B75,Seqs!$A:$B,2,0),O75,1),"")</f>
        <v>G</v>
      </c>
      <c r="O75" s="3">
        <v>69</v>
      </c>
      <c r="P75" s="3" t="str">
        <f>IFERROR(MID(VLOOKUP($B75,Seqs!$A:$B,2,0),Q75,1),"")</f>
        <v>F</v>
      </c>
      <c r="Q75" s="3">
        <v>70</v>
      </c>
      <c r="R75" s="3" t="str">
        <f>IFERROR(MID(VLOOKUP($B75,Seqs!$A:$B,2,0),S75,1),"")</f>
        <v>A</v>
      </c>
      <c r="S75" s="3">
        <v>72</v>
      </c>
      <c r="T75" s="3" t="str">
        <f>IFERROR(MID(VLOOKUP($B75,Seqs!$A:$B,2,0),U75,1),"")</f>
        <v>A</v>
      </c>
      <c r="U75" s="3">
        <v>73</v>
      </c>
      <c r="V75" s="3" t="str">
        <f>IFERROR(MID(VLOOKUP($B75,Seqs!$A:$B,2,0),W75,1),"")</f>
        <v>I</v>
      </c>
      <c r="W75" s="3">
        <v>108</v>
      </c>
      <c r="X75" s="3" t="str">
        <f>IFERROR(MID(VLOOKUP($B75,Seqs!$A:$B,2,0),Y75,1),"")</f>
        <v>P</v>
      </c>
      <c r="Y75" s="3">
        <v>109</v>
      </c>
      <c r="Z75" s="3" t="str">
        <f>IFERROR(MID(VLOOKUP($B75,Seqs!$A:$B,2,0),AA75,1),"")</f>
        <v>V</v>
      </c>
      <c r="AA75" s="3">
        <v>116</v>
      </c>
      <c r="AB75" s="3" t="str">
        <f>IFERROR(MID(VLOOKUP($B75,Seqs!$A:$B,2,0),AC75,1),"")</f>
        <v>T</v>
      </c>
      <c r="AC75" s="3">
        <v>117</v>
      </c>
      <c r="AD75" s="3" t="str">
        <f>IFERROR(MID(VLOOKUP($B75,Seqs!$A:$B,2,0),AE75,1),"")</f>
        <v>G</v>
      </c>
      <c r="AE75" s="3">
        <v>142</v>
      </c>
      <c r="AF75" s="3" t="str">
        <f>IFERROR(MID(VLOOKUP($B75,Seqs!$A:$B,2,0),AG75,1),"")</f>
        <v>C</v>
      </c>
      <c r="AG75" s="3">
        <v>166</v>
      </c>
      <c r="AH75" s="3" t="str">
        <f>IFERROR(MID(VLOOKUP($B75,Seqs!$A:$B,2,0),AI75,1),"")</f>
        <v>F</v>
      </c>
      <c r="AI75" s="3">
        <v>168</v>
      </c>
      <c r="AJ75" s="3" t="str">
        <f>IFERROR(MID(VLOOKUP($B75,Seqs!$A:$B,2,0),AK75,1),"")</f>
        <v>P</v>
      </c>
      <c r="AK75" s="3">
        <v>173</v>
      </c>
      <c r="AL75" s="3" t="str">
        <f>IFERROR(MID(VLOOKUP($B75,Seqs!$A:$B,2,0),AM75,1),"")</f>
        <v>L</v>
      </c>
      <c r="AM75" s="3">
        <v>208</v>
      </c>
      <c r="AN75" s="3" t="str">
        <f>IFERROR(MID(VLOOKUP($B75,Seqs!$A:$B,2,0),AO75,1),"")</f>
        <v>E</v>
      </c>
      <c r="AO75" s="3">
        <v>219</v>
      </c>
      <c r="AP75" s="3" t="str">
        <f>IFERROR(MID(VLOOKUP($B75,Seqs!$A:$B,2,0),AQ75,1),"")</f>
        <v>C</v>
      </c>
      <c r="AQ75" s="3">
        <v>259</v>
      </c>
      <c r="AR75" s="3" t="str">
        <f>IFERROR(MID(VLOOKUP($B75,Seqs!$A:$B,2,0),AS75,1),"")</f>
        <v>P</v>
      </c>
      <c r="AS75" s="3">
        <v>266</v>
      </c>
      <c r="AT75" s="3" t="str">
        <f>IFERROR(MID(VLOOKUP($B75,Seqs!$A:$B,2,0),AU75,1),"")</f>
        <v>R</v>
      </c>
      <c r="AU75" s="3">
        <v>291</v>
      </c>
      <c r="AV75" s="3" t="str">
        <f>IFERROR(MID(VLOOKUP($B75,Seqs!$A:$B,2,0),AW75,1),"")</f>
        <v>I</v>
      </c>
      <c r="AW75" s="3">
        <v>292</v>
      </c>
      <c r="AX75" s="3" t="str">
        <f>IFERROR(MID(VLOOKUP($B75,Seqs!$A:$B,2,0),AY75,1),"")</f>
        <v>S</v>
      </c>
      <c r="AY75" s="3">
        <v>305</v>
      </c>
      <c r="AZ75" s="77" t="str">
        <f>VLOOKUP(B75,Classification!A:D,2,0)</f>
        <v>A</v>
      </c>
      <c r="BA75" s="94" t="str">
        <f>VLOOKUP(B75,Classification!A:D,4,0)</f>
        <v>Adenosine</v>
      </c>
      <c r="BB75" s="27" t="b">
        <f t="shared" ref="BB75" si="476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23">
        <f t="shared" ref="BC75" si="477">_xlfn.AGGREGATE(9,6,CH75:CS75)-_xlfn.AGGREGATE(9,6,BV75:CG75)+12</f>
        <v>262</v>
      </c>
      <c r="BD75" s="5" t="s">
        <v>23</v>
      </c>
      <c r="BE75" s="3" t="s">
        <v>1368</v>
      </c>
      <c r="BF75" s="118">
        <v>2</v>
      </c>
      <c r="BG75" s="49" t="s">
        <v>1</v>
      </c>
      <c r="BH75" s="49" t="s">
        <v>1</v>
      </c>
      <c r="BI75" s="1"/>
      <c r="BJ75" s="70" t="s">
        <v>1281</v>
      </c>
      <c r="BK75" s="57" t="s">
        <v>1281</v>
      </c>
      <c r="BL75" s="57" t="s">
        <v>1281</v>
      </c>
      <c r="BM75" s="57" t="s">
        <v>1281</v>
      </c>
      <c r="BN75" s="57" t="s">
        <v>1281</v>
      </c>
      <c r="BO75" s="57" t="s">
        <v>1281</v>
      </c>
      <c r="BP75" s="57" t="s">
        <v>1281</v>
      </c>
      <c r="BQ75" s="57" t="s">
        <v>1281</v>
      </c>
      <c r="BR75" s="57" t="s">
        <v>1281</v>
      </c>
      <c r="BS75" s="57" t="s">
        <v>1281</v>
      </c>
      <c r="BT75" s="57" t="s">
        <v>1281</v>
      </c>
      <c r="BU75" s="57" t="s">
        <v>1281</v>
      </c>
      <c r="BV75" s="70">
        <f t="shared" ref="BV75" si="478">E75</f>
        <v>1</v>
      </c>
      <c r="BW75" s="71">
        <f t="shared" ref="BW75" si="479">I75</f>
        <v>35</v>
      </c>
      <c r="BX75" s="72">
        <f t="shared" ref="BX75" si="480">M75</f>
        <v>39</v>
      </c>
      <c r="BY75" s="71">
        <f t="shared" ref="BY75" si="481">Q75</f>
        <v>70</v>
      </c>
      <c r="BZ75" s="72">
        <f t="shared" ref="BZ75" si="482">U75</f>
        <v>73</v>
      </c>
      <c r="CA75" s="71">
        <f t="shared" ref="CA75" si="483">Y75</f>
        <v>109</v>
      </c>
      <c r="CB75" s="72">
        <f t="shared" ref="CB75" si="484">AC75</f>
        <v>117</v>
      </c>
      <c r="CC75" s="71">
        <f t="shared" ref="CC75" si="485">AG75</f>
        <v>166</v>
      </c>
      <c r="CD75" s="72">
        <f t="shared" ref="CD75" si="486">AK75</f>
        <v>173</v>
      </c>
      <c r="CE75" s="71">
        <f t="shared" ref="CE75" si="487">AO75</f>
        <v>219</v>
      </c>
      <c r="CF75" s="72">
        <f t="shared" ref="CF75" si="488">AS75</f>
        <v>266</v>
      </c>
      <c r="CG75" s="71">
        <f t="shared" ref="CG75" si="489">AW75</f>
        <v>292</v>
      </c>
      <c r="CH75" s="70">
        <f t="shared" ref="CH75" si="490">G75</f>
        <v>34</v>
      </c>
      <c r="CI75" s="71">
        <f t="shared" ref="CI75" si="491">K75</f>
        <v>38</v>
      </c>
      <c r="CJ75" s="72">
        <f t="shared" ref="CJ75" si="492">O75</f>
        <v>69</v>
      </c>
      <c r="CK75" s="72">
        <f t="shared" ref="CK75" si="493">S75</f>
        <v>72</v>
      </c>
      <c r="CL75" s="72">
        <f t="shared" ref="CL75" si="494">W75</f>
        <v>108</v>
      </c>
      <c r="CM75" s="72">
        <f t="shared" ref="CM75" si="495">AA75</f>
        <v>116</v>
      </c>
      <c r="CN75" s="72">
        <f t="shared" ref="CN75" si="496">AE75</f>
        <v>142</v>
      </c>
      <c r="CO75" s="72">
        <f t="shared" ref="CO75" si="497">AI75</f>
        <v>168</v>
      </c>
      <c r="CP75" s="72">
        <f t="shared" ref="CP75" si="498">AM75</f>
        <v>208</v>
      </c>
      <c r="CQ75" s="72">
        <f t="shared" ref="CQ75" si="499">AQ75</f>
        <v>259</v>
      </c>
      <c r="CR75" s="72">
        <f t="shared" ref="CR75" si="500">AU75</f>
        <v>291</v>
      </c>
      <c r="CS75" s="72">
        <f t="shared" ref="CS75" si="501">AY75</f>
        <v>305</v>
      </c>
      <c r="CT75" s="23">
        <f t="shared" ref="CT75" si="502">M75-K75</f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ref="A76" si="503">CONCATENATE(B76,"_",C76)</f>
        <v>aa2ar_human_6JZH</v>
      </c>
      <c r="B76" s="3" t="s">
        <v>139</v>
      </c>
      <c r="C76" s="3" t="s">
        <v>1597</v>
      </c>
      <c r="D76" s="3" t="str">
        <f>IFERROR(MID(VLOOKUP($B76,Seqs!$A:$B,2,0),E76,1),"")</f>
        <v>M</v>
      </c>
      <c r="E76" s="3">
        <v>1</v>
      </c>
      <c r="F76" s="3" t="str">
        <f>IFERROR(MID(VLOOKUP($B76,Seqs!$A:$B,2,0),G76,1),"")</f>
        <v>N</v>
      </c>
      <c r="G76" s="3">
        <v>34</v>
      </c>
      <c r="H76" s="3" t="str">
        <f>IFERROR(MID(VLOOKUP($B76,Seqs!$A:$B,2,0),I76,1),"")</f>
        <v>S</v>
      </c>
      <c r="I76" s="23">
        <v>35</v>
      </c>
      <c r="J76" s="3" t="str">
        <f>IFERROR(MID(VLOOKUP($B76,Seqs!$A:$B,2,0),K76,1),"")</f>
        <v>Q</v>
      </c>
      <c r="K76" s="23">
        <v>38</v>
      </c>
      <c r="L76" s="3" t="str">
        <f>IFERROR(MID(VLOOKUP($B76,Seqs!$A:$B,2,0),M76,1),"")</f>
        <v>N</v>
      </c>
      <c r="M76" s="3">
        <v>39</v>
      </c>
      <c r="N76" s="3" t="str">
        <f>IFERROR(MID(VLOOKUP($B76,Seqs!$A:$B,2,0),O76,1),"")</f>
        <v>G</v>
      </c>
      <c r="O76" s="3">
        <v>69</v>
      </c>
      <c r="P76" s="3" t="str">
        <f>IFERROR(MID(VLOOKUP($B76,Seqs!$A:$B,2,0),Q76,1),"")</f>
        <v>F</v>
      </c>
      <c r="Q76" s="3">
        <v>70</v>
      </c>
      <c r="R76" s="3" t="str">
        <f>IFERROR(MID(VLOOKUP($B76,Seqs!$A:$B,2,0),S76,1),"")</f>
        <v>A</v>
      </c>
      <c r="S76" s="3">
        <v>72</v>
      </c>
      <c r="T76" s="3" t="str">
        <f>IFERROR(MID(VLOOKUP($B76,Seqs!$A:$B,2,0),U76,1),"")</f>
        <v>A</v>
      </c>
      <c r="U76" s="3">
        <v>73</v>
      </c>
      <c r="V76" s="3" t="str">
        <f>IFERROR(MID(VLOOKUP($B76,Seqs!$A:$B,2,0),W76,1),"")</f>
        <v>I</v>
      </c>
      <c r="W76" s="3">
        <v>108</v>
      </c>
      <c r="X76" s="3" t="str">
        <f>IFERROR(MID(VLOOKUP($B76,Seqs!$A:$B,2,0),Y76,1),"")</f>
        <v>P</v>
      </c>
      <c r="Y76" s="3">
        <v>109</v>
      </c>
      <c r="Z76" s="3" t="str">
        <f>IFERROR(MID(VLOOKUP($B76,Seqs!$A:$B,2,0),AA76,1),"")</f>
        <v>V</v>
      </c>
      <c r="AA76" s="3">
        <v>116</v>
      </c>
      <c r="AB76" s="3" t="str">
        <f>IFERROR(MID(VLOOKUP($B76,Seqs!$A:$B,2,0),AC76,1),"")</f>
        <v>T</v>
      </c>
      <c r="AC76" s="3">
        <v>117</v>
      </c>
      <c r="AD76" s="3" t="str">
        <f>IFERROR(MID(VLOOKUP($B76,Seqs!$A:$B,2,0),AE76,1),"")</f>
        <v>G</v>
      </c>
      <c r="AE76" s="3">
        <v>142</v>
      </c>
      <c r="AF76" s="3" t="str">
        <f>IFERROR(MID(VLOOKUP($B76,Seqs!$A:$B,2,0),AG76,1),"")</f>
        <v>C</v>
      </c>
      <c r="AG76" s="3">
        <v>166</v>
      </c>
      <c r="AH76" s="3" t="str">
        <f>IFERROR(MID(VLOOKUP($B76,Seqs!$A:$B,2,0),AI76,1),"")</f>
        <v>F</v>
      </c>
      <c r="AI76" s="3">
        <v>168</v>
      </c>
      <c r="AJ76" s="3" t="str">
        <f>IFERROR(MID(VLOOKUP($B76,Seqs!$A:$B,2,0),AK76,1),"")</f>
        <v>P</v>
      </c>
      <c r="AK76" s="3">
        <v>173</v>
      </c>
      <c r="AL76" s="3" t="str">
        <f>IFERROR(MID(VLOOKUP($B76,Seqs!$A:$B,2,0),AM76,1),"")</f>
        <v>L</v>
      </c>
      <c r="AM76" s="3">
        <v>208</v>
      </c>
      <c r="AN76" s="3" t="str">
        <f>IFERROR(MID(VLOOKUP($B76,Seqs!$A:$B,2,0),AO76,1),"")</f>
        <v>E</v>
      </c>
      <c r="AO76" s="3">
        <v>219</v>
      </c>
      <c r="AP76" s="3" t="str">
        <f>IFERROR(MID(VLOOKUP($B76,Seqs!$A:$B,2,0),AQ76,1),"")</f>
        <v>C</v>
      </c>
      <c r="AQ76" s="3">
        <v>259</v>
      </c>
      <c r="AR76" s="3" t="str">
        <f>IFERROR(MID(VLOOKUP($B76,Seqs!$A:$B,2,0),AS76,1),"")</f>
        <v>P</v>
      </c>
      <c r="AS76" s="3">
        <v>266</v>
      </c>
      <c r="AT76" s="3" t="str">
        <f>IFERROR(MID(VLOOKUP($B76,Seqs!$A:$B,2,0),AU76,1),"")</f>
        <v>R</v>
      </c>
      <c r="AU76" s="3">
        <v>291</v>
      </c>
      <c r="AV76" s="3" t="str">
        <f>IFERROR(MID(VLOOKUP($B76,Seqs!$A:$B,2,0),AW76,1),"")</f>
        <v>I</v>
      </c>
      <c r="AW76" s="3">
        <v>292</v>
      </c>
      <c r="AX76" s="3" t="str">
        <f>IFERROR(MID(VLOOKUP($B76,Seqs!$A:$B,2,0),AY76,1),"")</f>
        <v>V</v>
      </c>
      <c r="AY76" s="3">
        <v>307</v>
      </c>
      <c r="AZ76" s="77" t="str">
        <f>VLOOKUP(B76,Classification!A:D,2,0)</f>
        <v>A</v>
      </c>
      <c r="BA76" s="94" t="str">
        <f>VLOOKUP(B76,Classification!A:D,4,0)</f>
        <v>Adenosine</v>
      </c>
      <c r="BB76" s="27" t="b">
        <f t="shared" ref="BB76" si="504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23">
        <f t="shared" ref="BC76" si="505">_xlfn.AGGREGATE(9,6,CH76:CS76)-_xlfn.AGGREGATE(9,6,BV76:CG76)+12</f>
        <v>264</v>
      </c>
      <c r="BD76" s="5" t="s">
        <v>23</v>
      </c>
      <c r="BE76" s="3" t="s">
        <v>1368</v>
      </c>
      <c r="BF76" s="118">
        <v>2.25</v>
      </c>
      <c r="BG76" s="49" t="s">
        <v>1</v>
      </c>
      <c r="BH76" s="49" t="s">
        <v>1</v>
      </c>
      <c r="BI76" s="1"/>
      <c r="BJ76" s="70" t="s">
        <v>1281</v>
      </c>
      <c r="BK76" s="57" t="s">
        <v>1281</v>
      </c>
      <c r="BL76" s="57" t="s">
        <v>1281</v>
      </c>
      <c r="BM76" s="57" t="s">
        <v>1281</v>
      </c>
      <c r="BN76" s="57" t="s">
        <v>1281</v>
      </c>
      <c r="BO76" s="57" t="s">
        <v>1281</v>
      </c>
      <c r="BP76" s="57" t="s">
        <v>1281</v>
      </c>
      <c r="BQ76" s="57" t="s">
        <v>1281</v>
      </c>
      <c r="BR76" s="57" t="s">
        <v>1281</v>
      </c>
      <c r="BS76" s="57" t="s">
        <v>1281</v>
      </c>
      <c r="BT76" s="57" t="s">
        <v>1281</v>
      </c>
      <c r="BU76" s="57" t="s">
        <v>1281</v>
      </c>
      <c r="BV76" s="70">
        <f t="shared" ref="BV76" si="506">E76</f>
        <v>1</v>
      </c>
      <c r="BW76" s="71">
        <f t="shared" ref="BW76" si="507">I76</f>
        <v>35</v>
      </c>
      <c r="BX76" s="72">
        <f t="shared" ref="BX76" si="508">M76</f>
        <v>39</v>
      </c>
      <c r="BY76" s="71">
        <f t="shared" ref="BY76" si="509">Q76</f>
        <v>70</v>
      </c>
      <c r="BZ76" s="72">
        <f t="shared" ref="BZ76" si="510">U76</f>
        <v>73</v>
      </c>
      <c r="CA76" s="71">
        <f t="shared" ref="CA76" si="511">Y76</f>
        <v>109</v>
      </c>
      <c r="CB76" s="72">
        <f t="shared" ref="CB76" si="512">AC76</f>
        <v>117</v>
      </c>
      <c r="CC76" s="71">
        <f t="shared" ref="CC76" si="513">AG76</f>
        <v>166</v>
      </c>
      <c r="CD76" s="72">
        <f t="shared" ref="CD76" si="514">AK76</f>
        <v>173</v>
      </c>
      <c r="CE76" s="71">
        <f t="shared" ref="CE76" si="515">AO76</f>
        <v>219</v>
      </c>
      <c r="CF76" s="72">
        <f t="shared" ref="CF76" si="516">AS76</f>
        <v>266</v>
      </c>
      <c r="CG76" s="71">
        <f t="shared" ref="CG76" si="517">AW76</f>
        <v>292</v>
      </c>
      <c r="CH76" s="70">
        <f t="shared" ref="CH76" si="518">G76</f>
        <v>34</v>
      </c>
      <c r="CI76" s="71">
        <f t="shared" ref="CI76" si="519">K76</f>
        <v>38</v>
      </c>
      <c r="CJ76" s="72">
        <f t="shared" ref="CJ76" si="520">O76</f>
        <v>69</v>
      </c>
      <c r="CK76" s="72">
        <f t="shared" ref="CK76" si="521">S76</f>
        <v>72</v>
      </c>
      <c r="CL76" s="72">
        <f t="shared" ref="CL76" si="522">W76</f>
        <v>108</v>
      </c>
      <c r="CM76" s="72">
        <f t="shared" ref="CM76" si="523">AA76</f>
        <v>116</v>
      </c>
      <c r="CN76" s="72">
        <f t="shared" ref="CN76" si="524">AE76</f>
        <v>142</v>
      </c>
      <c r="CO76" s="72">
        <f t="shared" ref="CO76" si="525">AI76</f>
        <v>168</v>
      </c>
      <c r="CP76" s="72">
        <f t="shared" ref="CP76" si="526">AM76</f>
        <v>208</v>
      </c>
      <c r="CQ76" s="72">
        <f t="shared" ref="CQ76" si="527">AQ76</f>
        <v>259</v>
      </c>
      <c r="CR76" s="72">
        <f t="shared" ref="CR76" si="528">AU76</f>
        <v>291</v>
      </c>
      <c r="CS76" s="72">
        <f t="shared" ref="CS76" si="529">AY76</f>
        <v>307</v>
      </c>
      <c r="CT76" s="23">
        <f t="shared" ref="CT76" si="530">M76-K76</f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ref="A77" si="531">CONCATENATE(B77,"_",C77)</f>
        <v>aa2ar_human_6PS7</v>
      </c>
      <c r="B77" s="3" t="s">
        <v>139</v>
      </c>
      <c r="C77" s="3" t="s">
        <v>1609</v>
      </c>
      <c r="D77" s="3" t="str">
        <f>IFERROR(MID(VLOOKUP($B77,Seqs!$A:$B,2,0),E77,1),"")</f>
        <v>M</v>
      </c>
      <c r="E77" s="3">
        <v>1</v>
      </c>
      <c r="F77" s="3" t="str">
        <f>IFERROR(MID(VLOOKUP($B77,Seqs!$A:$B,2,0),G77,1),"")</f>
        <v>N</v>
      </c>
      <c r="G77" s="3">
        <v>34</v>
      </c>
      <c r="H77" s="3" t="str">
        <f>IFERROR(MID(VLOOKUP($B77,Seqs!$A:$B,2,0),I77,1),"")</f>
        <v>S</v>
      </c>
      <c r="I77" s="23">
        <v>35</v>
      </c>
      <c r="J77" s="3" t="str">
        <f>IFERROR(MID(VLOOKUP($B77,Seqs!$A:$B,2,0),K77,1),"")</f>
        <v>Q</v>
      </c>
      <c r="K77" s="23">
        <v>38</v>
      </c>
      <c r="L77" s="3" t="str">
        <f>IFERROR(MID(VLOOKUP($B77,Seqs!$A:$B,2,0),M77,1),"")</f>
        <v>N</v>
      </c>
      <c r="M77" s="3">
        <v>39</v>
      </c>
      <c r="N77" s="3" t="str">
        <f>IFERROR(MID(VLOOKUP($B77,Seqs!$A:$B,2,0),O77,1),"")</f>
        <v>G</v>
      </c>
      <c r="O77" s="3">
        <v>69</v>
      </c>
      <c r="P77" s="3" t="str">
        <f>IFERROR(MID(VLOOKUP($B77,Seqs!$A:$B,2,0),Q77,1),"")</f>
        <v>F</v>
      </c>
      <c r="Q77" s="3">
        <v>70</v>
      </c>
      <c r="R77" s="3" t="str">
        <f>IFERROR(MID(VLOOKUP($B77,Seqs!$A:$B,2,0),S77,1),"")</f>
        <v>A</v>
      </c>
      <c r="S77" s="3">
        <v>72</v>
      </c>
      <c r="T77" s="3" t="str">
        <f>IFERROR(MID(VLOOKUP($B77,Seqs!$A:$B,2,0),U77,1),"")</f>
        <v>A</v>
      </c>
      <c r="U77" s="3">
        <v>73</v>
      </c>
      <c r="V77" s="3" t="str">
        <f>IFERROR(MID(VLOOKUP($B77,Seqs!$A:$B,2,0),W77,1),"")</f>
        <v>I</v>
      </c>
      <c r="W77" s="3">
        <v>108</v>
      </c>
      <c r="X77" s="3" t="str">
        <f>IFERROR(MID(VLOOKUP($B77,Seqs!$A:$B,2,0),Y77,1),"")</f>
        <v>P</v>
      </c>
      <c r="Y77" s="3">
        <v>109</v>
      </c>
      <c r="Z77" s="3" t="str">
        <f>IFERROR(MID(VLOOKUP($B77,Seqs!$A:$B,2,0),AA77,1),"")</f>
        <v>V</v>
      </c>
      <c r="AA77" s="3">
        <v>116</v>
      </c>
      <c r="AB77" s="3" t="str">
        <f>IFERROR(MID(VLOOKUP($B77,Seqs!$A:$B,2,0),AC77,1),"")</f>
        <v>T</v>
      </c>
      <c r="AC77" s="3">
        <v>117</v>
      </c>
      <c r="AD77" s="3" t="str">
        <f>IFERROR(MID(VLOOKUP($B77,Seqs!$A:$B,2,0),AE77,1),"")</f>
        <v>G</v>
      </c>
      <c r="AE77" s="3">
        <v>142</v>
      </c>
      <c r="AF77" s="3" t="str">
        <f>IFERROR(MID(VLOOKUP($B77,Seqs!$A:$B,2,0),AG77,1),"")</f>
        <v>C</v>
      </c>
      <c r="AG77" s="3">
        <v>166</v>
      </c>
      <c r="AH77" s="3" t="str">
        <f>IFERROR(MID(VLOOKUP($B77,Seqs!$A:$B,2,0),AI77,1),"")</f>
        <v>F</v>
      </c>
      <c r="AI77" s="3">
        <v>168</v>
      </c>
      <c r="AJ77" s="3" t="str">
        <f>IFERROR(MID(VLOOKUP($B77,Seqs!$A:$B,2,0),AK77,1),"")</f>
        <v>P</v>
      </c>
      <c r="AK77" s="3">
        <v>173</v>
      </c>
      <c r="AL77" s="3" t="str">
        <f>IFERROR(MID(VLOOKUP($B77,Seqs!$A:$B,2,0),AM77,1),"")</f>
        <v>L</v>
      </c>
      <c r="AM77" s="3">
        <v>208</v>
      </c>
      <c r="AN77" s="3" t="str">
        <f>IFERROR(MID(VLOOKUP($B77,Seqs!$A:$B,2,0),AO77,1),"")</f>
        <v>E</v>
      </c>
      <c r="AO77" s="3">
        <v>219</v>
      </c>
      <c r="AP77" s="3" t="str">
        <f>IFERROR(MID(VLOOKUP($B77,Seqs!$A:$B,2,0),AQ77,1),"")</f>
        <v>C</v>
      </c>
      <c r="AQ77" s="3">
        <v>259</v>
      </c>
      <c r="AR77" s="3" t="str">
        <f>IFERROR(MID(VLOOKUP($B77,Seqs!$A:$B,2,0),AS77,1),"")</f>
        <v>P</v>
      </c>
      <c r="AS77" s="3">
        <v>266</v>
      </c>
      <c r="AT77" s="3" t="str">
        <f>IFERROR(MID(VLOOKUP($B77,Seqs!$A:$B,2,0),AU77,1),"")</f>
        <v>R</v>
      </c>
      <c r="AU77" s="3">
        <v>291</v>
      </c>
      <c r="AV77" s="3" t="str">
        <f>IFERROR(MID(VLOOKUP($B77,Seqs!$A:$B,2,0),AW77,1),"")</f>
        <v>I</v>
      </c>
      <c r="AW77" s="3">
        <v>292</v>
      </c>
      <c r="AX77" s="3" t="str">
        <f>IFERROR(MID(VLOOKUP($B77,Seqs!$A:$B,2,0),AY77,1),"")</f>
        <v>V</v>
      </c>
      <c r="AY77" s="3">
        <v>307</v>
      </c>
      <c r="AZ77" s="77" t="str">
        <f>VLOOKUP(B77,Classification!A:D,2,0)</f>
        <v>A</v>
      </c>
      <c r="BA77" s="94" t="str">
        <f>VLOOKUP(B77,Classification!A:D,4,0)</f>
        <v>Adenosine</v>
      </c>
      <c r="BB77" s="27" t="b">
        <f t="shared" ref="BB77" si="532">AND(E77&lt;G77,OR(G77&lt;I77,I77="-"),OR(I77&lt;K77,I77="-"),OR(K77&lt;M77,K77="-"),M77&lt;O77,OR(O77&lt;Q77,Q77="-"),OR(Q77&lt;S77,Q77="-"),OR(S77&lt;U77,S77="-"),U77&lt;W77,OR(W77&lt;Y77,Y77="-"),OR(Y77&lt;AA77,Y77="-"),OR(AA77&lt;AC77,AA77="-"),AC77&lt;AE77,OR(AE77&lt;AG77,AG77="-"),OR(AG77&lt;AI77,AG77="-"),OR(AI77&lt;AK77,AI77="-"),AK77&lt;AM77,AM77&lt;AO77,AO77&lt;AQ77,AQ77&lt;AS77,AS77&lt;AU77,OR(AU77&lt;AW77,AW77="-"),OR(AW77&lt;AY77,AW77="-"))</f>
        <v>1</v>
      </c>
      <c r="BC77" s="23">
        <f t="shared" ref="BC77" si="533">_xlfn.AGGREGATE(9,6,CH77:CS77)-_xlfn.AGGREGATE(9,6,BV77:CG77)+12</f>
        <v>264</v>
      </c>
      <c r="BD77" s="5" t="s">
        <v>23</v>
      </c>
      <c r="BE77" s="3" t="s">
        <v>1368</v>
      </c>
      <c r="BF77" s="118">
        <v>1.85</v>
      </c>
      <c r="BG77" s="49" t="s">
        <v>1</v>
      </c>
      <c r="BH77" s="49" t="s">
        <v>1</v>
      </c>
      <c r="BI77" s="1"/>
      <c r="BJ77" s="70" t="s">
        <v>1281</v>
      </c>
      <c r="BK77" s="57" t="s">
        <v>1281</v>
      </c>
      <c r="BL77" s="57" t="s">
        <v>1281</v>
      </c>
      <c r="BM77" s="57" t="s">
        <v>1281</v>
      </c>
      <c r="BN77" s="57" t="s">
        <v>1281</v>
      </c>
      <c r="BO77" s="57" t="s">
        <v>1281</v>
      </c>
      <c r="BP77" s="57" t="s">
        <v>1281</v>
      </c>
      <c r="BQ77" s="57" t="s">
        <v>1281</v>
      </c>
      <c r="BR77" s="57" t="s">
        <v>1281</v>
      </c>
      <c r="BS77" s="57" t="s">
        <v>1281</v>
      </c>
      <c r="BT77" s="57" t="s">
        <v>1281</v>
      </c>
      <c r="BU77" s="57" t="s">
        <v>1281</v>
      </c>
      <c r="BV77" s="70">
        <f t="shared" ref="BV77" si="534">E77</f>
        <v>1</v>
      </c>
      <c r="BW77" s="71">
        <f t="shared" ref="BW77" si="535">I77</f>
        <v>35</v>
      </c>
      <c r="BX77" s="72">
        <f t="shared" ref="BX77" si="536">M77</f>
        <v>39</v>
      </c>
      <c r="BY77" s="71">
        <f t="shared" ref="BY77" si="537">Q77</f>
        <v>70</v>
      </c>
      <c r="BZ77" s="72">
        <f t="shared" ref="BZ77" si="538">U77</f>
        <v>73</v>
      </c>
      <c r="CA77" s="71">
        <f t="shared" ref="CA77" si="539">Y77</f>
        <v>109</v>
      </c>
      <c r="CB77" s="72">
        <f t="shared" ref="CB77" si="540">AC77</f>
        <v>117</v>
      </c>
      <c r="CC77" s="71">
        <f t="shared" ref="CC77" si="541">AG77</f>
        <v>166</v>
      </c>
      <c r="CD77" s="72">
        <f t="shared" ref="CD77" si="542">AK77</f>
        <v>173</v>
      </c>
      <c r="CE77" s="71">
        <f t="shared" ref="CE77" si="543">AO77</f>
        <v>219</v>
      </c>
      <c r="CF77" s="72">
        <f t="shared" ref="CF77" si="544">AS77</f>
        <v>266</v>
      </c>
      <c r="CG77" s="71">
        <f t="shared" ref="CG77" si="545">AW77</f>
        <v>292</v>
      </c>
      <c r="CH77" s="70">
        <f t="shared" ref="CH77" si="546">G77</f>
        <v>34</v>
      </c>
      <c r="CI77" s="71">
        <f t="shared" ref="CI77" si="547">K77</f>
        <v>38</v>
      </c>
      <c r="CJ77" s="72">
        <f t="shared" ref="CJ77" si="548">O77</f>
        <v>69</v>
      </c>
      <c r="CK77" s="72">
        <f t="shared" ref="CK77" si="549">S77</f>
        <v>72</v>
      </c>
      <c r="CL77" s="72">
        <f t="shared" ref="CL77" si="550">W77</f>
        <v>108</v>
      </c>
      <c r="CM77" s="72">
        <f t="shared" ref="CM77" si="551">AA77</f>
        <v>116</v>
      </c>
      <c r="CN77" s="72">
        <f t="shared" ref="CN77" si="552">AE77</f>
        <v>142</v>
      </c>
      <c r="CO77" s="72">
        <f t="shared" ref="CO77" si="553">AI77</f>
        <v>168</v>
      </c>
      <c r="CP77" s="72">
        <f t="shared" ref="CP77" si="554">AM77</f>
        <v>208</v>
      </c>
      <c r="CQ77" s="72">
        <f t="shared" ref="CQ77" si="555">AQ77</f>
        <v>259</v>
      </c>
      <c r="CR77" s="72">
        <f t="shared" ref="CR77" si="556">AU77</f>
        <v>291</v>
      </c>
      <c r="CS77" s="72">
        <f t="shared" ref="CS77" si="557">AY77</f>
        <v>307</v>
      </c>
      <c r="CT77" s="23">
        <f t="shared" ref="CT77" si="558">M77-K77</f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s="12" customFormat="1" x14ac:dyDescent="0.2">
      <c r="A78" s="9" t="str">
        <f t="shared" ref="A78" si="559">CONCATENATE(B78,"_",C78)</f>
        <v>aa2ar_human_6S0Q</v>
      </c>
      <c r="B78" s="9" t="s">
        <v>139</v>
      </c>
      <c r="C78" s="9" t="s">
        <v>1684</v>
      </c>
      <c r="D78" s="9" t="str">
        <f>IFERROR(MID(VLOOKUP($B78,Seqs!$A:$B,2,0),E78,1),"")</f>
        <v>M</v>
      </c>
      <c r="E78" s="9">
        <v>1</v>
      </c>
      <c r="F78" s="9" t="str">
        <f>IFERROR(MID(VLOOKUP($B78,Seqs!$A:$B,2,0),G78,1),"")</f>
        <v>N</v>
      </c>
      <c r="G78" s="9">
        <v>34</v>
      </c>
      <c r="H78" s="9" t="str">
        <f>IFERROR(MID(VLOOKUP($B78,Seqs!$A:$B,2,0),I78,1),"")</f>
        <v>S</v>
      </c>
      <c r="I78" s="109">
        <v>35</v>
      </c>
      <c r="J78" s="9" t="str">
        <f>IFERROR(MID(VLOOKUP($B78,Seqs!$A:$B,2,0),K78,1),"")</f>
        <v>Q</v>
      </c>
      <c r="K78" s="109">
        <v>38</v>
      </c>
      <c r="L78" s="9" t="str">
        <f>IFERROR(MID(VLOOKUP($B78,Seqs!$A:$B,2,0),M78,1),"")</f>
        <v>N</v>
      </c>
      <c r="M78" s="9">
        <v>39</v>
      </c>
      <c r="N78" s="9" t="str">
        <f>IFERROR(MID(VLOOKUP($B78,Seqs!$A:$B,2,0),O78,1),"")</f>
        <v>G</v>
      </c>
      <c r="O78" s="9">
        <v>69</v>
      </c>
      <c r="P78" s="9" t="str">
        <f>IFERROR(MID(VLOOKUP($B78,Seqs!$A:$B,2,0),Q78,1),"")</f>
        <v>F</v>
      </c>
      <c r="Q78" s="9">
        <v>70</v>
      </c>
      <c r="R78" s="9" t="str">
        <f>IFERROR(MID(VLOOKUP($B78,Seqs!$A:$B,2,0),S78,1),"")</f>
        <v>A</v>
      </c>
      <c r="S78" s="9">
        <v>72</v>
      </c>
      <c r="T78" s="9" t="str">
        <f>IFERROR(MID(VLOOKUP($B78,Seqs!$A:$B,2,0),U78,1),"")</f>
        <v>A</v>
      </c>
      <c r="U78" s="9">
        <v>73</v>
      </c>
      <c r="V78" s="9" t="str">
        <f>IFERROR(MID(VLOOKUP($B78,Seqs!$A:$B,2,0),W78,1),"")</f>
        <v>I</v>
      </c>
      <c r="W78" s="9">
        <v>108</v>
      </c>
      <c r="X78" s="9" t="str">
        <f>IFERROR(MID(VLOOKUP($B78,Seqs!$A:$B,2,0),Y78,1),"")</f>
        <v>P</v>
      </c>
      <c r="Y78" s="9">
        <v>109</v>
      </c>
      <c r="Z78" s="9" t="str">
        <f>IFERROR(MID(VLOOKUP($B78,Seqs!$A:$B,2,0),AA78,1),"")</f>
        <v>V</v>
      </c>
      <c r="AA78" s="9">
        <v>116</v>
      </c>
      <c r="AB78" s="9" t="str">
        <f>IFERROR(MID(VLOOKUP($B78,Seqs!$A:$B,2,0),AC78,1),"")</f>
        <v>T</v>
      </c>
      <c r="AC78" s="9">
        <v>117</v>
      </c>
      <c r="AD78" s="9" t="str">
        <f>IFERROR(MID(VLOOKUP($B78,Seqs!$A:$B,2,0),AE78,1),"")</f>
        <v>G</v>
      </c>
      <c r="AE78" s="9">
        <v>142</v>
      </c>
      <c r="AF78" s="9" t="str">
        <f>IFERROR(MID(VLOOKUP($B78,Seqs!$A:$B,2,0),AG78,1),"")</f>
        <v>C</v>
      </c>
      <c r="AG78" s="9">
        <v>166</v>
      </c>
      <c r="AH78" s="9" t="str">
        <f>IFERROR(MID(VLOOKUP($B78,Seqs!$A:$B,2,0),AI78,1),"")</f>
        <v>F</v>
      </c>
      <c r="AI78" s="9">
        <v>168</v>
      </c>
      <c r="AJ78" s="9" t="str">
        <f>IFERROR(MID(VLOOKUP($B78,Seqs!$A:$B,2,0),AK78,1),"")</f>
        <v>P</v>
      </c>
      <c r="AK78" s="9">
        <v>173</v>
      </c>
      <c r="AL78" s="9" t="str">
        <f>IFERROR(MID(VLOOKUP($B78,Seqs!$A:$B,2,0),AM78,1),"")</f>
        <v>L</v>
      </c>
      <c r="AM78" s="9">
        <v>208</v>
      </c>
      <c r="AN78" s="9" t="str">
        <f>IFERROR(MID(VLOOKUP($B78,Seqs!$A:$B,2,0),AO78,1),"")</f>
        <v>E</v>
      </c>
      <c r="AO78" s="9">
        <v>219</v>
      </c>
      <c r="AP78" s="9" t="str">
        <f>IFERROR(MID(VLOOKUP($B78,Seqs!$A:$B,2,0),AQ78,1),"")</f>
        <v>C</v>
      </c>
      <c r="AQ78" s="9">
        <v>259</v>
      </c>
      <c r="AR78" s="9" t="str">
        <f>IFERROR(MID(VLOOKUP($B78,Seqs!$A:$B,2,0),AS78,1),"")</f>
        <v>P</v>
      </c>
      <c r="AS78" s="9">
        <v>266</v>
      </c>
      <c r="AT78" s="9" t="str">
        <f>IFERROR(MID(VLOOKUP($B78,Seqs!$A:$B,2,0),AU78,1),"")</f>
        <v>R</v>
      </c>
      <c r="AU78" s="9">
        <v>291</v>
      </c>
      <c r="AV78" s="9" t="str">
        <f>IFERROR(MID(VLOOKUP($B78,Seqs!$A:$B,2,0),AW78,1),"")</f>
        <v>I</v>
      </c>
      <c r="AW78" s="9">
        <v>292</v>
      </c>
      <c r="AX78" s="9" t="str">
        <f>IFERROR(MID(VLOOKUP($B78,Seqs!$A:$B,2,0),AY78,1),"")</f>
        <v>S</v>
      </c>
      <c r="AY78" s="9">
        <v>305</v>
      </c>
      <c r="AZ78" s="110" t="str">
        <f>VLOOKUP(B78,Classification!A:D,2,0)</f>
        <v>A</v>
      </c>
      <c r="BA78" s="98" t="str">
        <f>VLOOKUP(B78,Classification!A:D,4,0)</f>
        <v>Adenosine</v>
      </c>
      <c r="BB78" s="36" t="b">
        <f t="shared" ref="BB78" si="560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109">
        <f t="shared" ref="BC78" si="561">_xlfn.AGGREGATE(9,6,CH78:CS78)-_xlfn.AGGREGATE(9,6,BV78:CG78)+12</f>
        <v>262</v>
      </c>
      <c r="BD78" s="13" t="s">
        <v>23</v>
      </c>
      <c r="BE78" s="9" t="s">
        <v>1368</v>
      </c>
      <c r="BF78" s="119">
        <v>2.65</v>
      </c>
      <c r="BG78" s="51" t="s">
        <v>1</v>
      </c>
      <c r="BH78" s="51" t="s">
        <v>1</v>
      </c>
      <c r="BJ78" s="111" t="s">
        <v>1281</v>
      </c>
      <c r="BK78" s="112" t="s">
        <v>1281</v>
      </c>
      <c r="BL78" s="112" t="s">
        <v>1281</v>
      </c>
      <c r="BM78" s="112" t="s">
        <v>1281</v>
      </c>
      <c r="BN78" s="112" t="s">
        <v>1281</v>
      </c>
      <c r="BO78" s="112" t="s">
        <v>1281</v>
      </c>
      <c r="BP78" s="112" t="s">
        <v>1281</v>
      </c>
      <c r="BQ78" s="112" t="s">
        <v>1281</v>
      </c>
      <c r="BR78" s="112" t="s">
        <v>1281</v>
      </c>
      <c r="BS78" s="112" t="s">
        <v>1281</v>
      </c>
      <c r="BT78" s="112" t="s">
        <v>1281</v>
      </c>
      <c r="BU78" s="112" t="s">
        <v>1281</v>
      </c>
      <c r="BV78" s="111">
        <f t="shared" ref="BV78" si="562">E78</f>
        <v>1</v>
      </c>
      <c r="BW78" s="113">
        <f t="shared" ref="BW78" si="563">I78</f>
        <v>35</v>
      </c>
      <c r="BX78" s="114">
        <f t="shared" ref="BX78" si="564">M78</f>
        <v>39</v>
      </c>
      <c r="BY78" s="113">
        <f t="shared" ref="BY78" si="565">Q78</f>
        <v>70</v>
      </c>
      <c r="BZ78" s="114">
        <f t="shared" ref="BZ78" si="566">U78</f>
        <v>73</v>
      </c>
      <c r="CA78" s="113">
        <f t="shared" ref="CA78" si="567">Y78</f>
        <v>109</v>
      </c>
      <c r="CB78" s="114">
        <f t="shared" ref="CB78" si="568">AC78</f>
        <v>117</v>
      </c>
      <c r="CC78" s="113">
        <f t="shared" ref="CC78" si="569">AG78</f>
        <v>166</v>
      </c>
      <c r="CD78" s="114">
        <f t="shared" ref="CD78" si="570">AK78</f>
        <v>173</v>
      </c>
      <c r="CE78" s="113">
        <f t="shared" ref="CE78" si="571">AO78</f>
        <v>219</v>
      </c>
      <c r="CF78" s="114">
        <f t="shared" ref="CF78" si="572">AS78</f>
        <v>266</v>
      </c>
      <c r="CG78" s="113">
        <f t="shared" ref="CG78" si="573">AW78</f>
        <v>292</v>
      </c>
      <c r="CH78" s="111">
        <f t="shared" ref="CH78" si="574">G78</f>
        <v>34</v>
      </c>
      <c r="CI78" s="113">
        <f t="shared" ref="CI78" si="575">K78</f>
        <v>38</v>
      </c>
      <c r="CJ78" s="114">
        <f t="shared" ref="CJ78" si="576">O78</f>
        <v>69</v>
      </c>
      <c r="CK78" s="114">
        <f t="shared" ref="CK78" si="577">S78</f>
        <v>72</v>
      </c>
      <c r="CL78" s="114">
        <f t="shared" ref="CL78" si="578">W78</f>
        <v>108</v>
      </c>
      <c r="CM78" s="114">
        <f t="shared" ref="CM78" si="579">AA78</f>
        <v>116</v>
      </c>
      <c r="CN78" s="114">
        <f t="shared" ref="CN78" si="580">AE78</f>
        <v>142</v>
      </c>
      <c r="CO78" s="114">
        <f t="shared" ref="CO78" si="581">AI78</f>
        <v>168</v>
      </c>
      <c r="CP78" s="114">
        <f t="shared" ref="CP78" si="582">AM78</f>
        <v>208</v>
      </c>
      <c r="CQ78" s="114">
        <f t="shared" ref="CQ78" si="583">AQ78</f>
        <v>259</v>
      </c>
      <c r="CR78" s="114">
        <f t="shared" ref="CR78" si="584">AU78</f>
        <v>291</v>
      </c>
      <c r="CS78" s="114">
        <f t="shared" ref="CS78" si="585">AY78</f>
        <v>305</v>
      </c>
      <c r="CT78" s="109">
        <f t="shared" ref="CT78" si="586">M78-K78</f>
        <v>1</v>
      </c>
    </row>
    <row r="79" spans="1:1029" s="12" customFormat="1" x14ac:dyDescent="0.2">
      <c r="A79" s="9" t="str">
        <f t="shared" ref="A79" si="587">CONCATENATE(B79,"_",C79)</f>
        <v>aa2ar_human_6ZDR</v>
      </c>
      <c r="B79" s="9" t="s">
        <v>139</v>
      </c>
      <c r="C79" s="9" t="s">
        <v>1726</v>
      </c>
      <c r="D79" s="9" t="str">
        <f>IFERROR(MID(VLOOKUP($B79,Seqs!$A:$B,2,0),E79,1),"")</f>
        <v>M</v>
      </c>
      <c r="E79" s="9">
        <v>1</v>
      </c>
      <c r="F79" s="9" t="str">
        <f>IFERROR(MID(VLOOKUP($B79,Seqs!$A:$B,2,0),G79,1),"")</f>
        <v>N</v>
      </c>
      <c r="G79" s="9">
        <v>34</v>
      </c>
      <c r="H79" s="9" t="str">
        <f>IFERROR(MID(VLOOKUP($B79,Seqs!$A:$B,2,0),I79,1),"")</f>
        <v>S</v>
      </c>
      <c r="I79" s="109">
        <v>35</v>
      </c>
      <c r="J79" s="9" t="str">
        <f>IFERROR(MID(VLOOKUP($B79,Seqs!$A:$B,2,0),K79,1),"")</f>
        <v>Q</v>
      </c>
      <c r="K79" s="109">
        <v>38</v>
      </c>
      <c r="L79" s="9" t="str">
        <f>IFERROR(MID(VLOOKUP($B79,Seqs!$A:$B,2,0),M79,1),"")</f>
        <v>N</v>
      </c>
      <c r="M79" s="9">
        <v>39</v>
      </c>
      <c r="N79" s="9" t="str">
        <f>IFERROR(MID(VLOOKUP($B79,Seqs!$A:$B,2,0),O79,1),"")</f>
        <v>G</v>
      </c>
      <c r="O79" s="9">
        <v>69</v>
      </c>
      <c r="P79" s="9" t="str">
        <f>IFERROR(MID(VLOOKUP($B79,Seqs!$A:$B,2,0),Q79,1),"")</f>
        <v>F</v>
      </c>
      <c r="Q79" s="9">
        <v>70</v>
      </c>
      <c r="R79" s="9" t="str">
        <f>IFERROR(MID(VLOOKUP($B79,Seqs!$A:$B,2,0),S79,1),"")</f>
        <v>A</v>
      </c>
      <c r="S79" s="9">
        <v>72</v>
      </c>
      <c r="T79" s="9" t="str">
        <f>IFERROR(MID(VLOOKUP($B79,Seqs!$A:$B,2,0),U79,1),"")</f>
        <v>A</v>
      </c>
      <c r="U79" s="9">
        <v>73</v>
      </c>
      <c r="V79" s="9" t="str">
        <f>IFERROR(MID(VLOOKUP($B79,Seqs!$A:$B,2,0),W79,1),"")</f>
        <v>I</v>
      </c>
      <c r="W79" s="9">
        <v>108</v>
      </c>
      <c r="X79" s="9" t="str">
        <f>IFERROR(MID(VLOOKUP($B79,Seqs!$A:$B,2,0),Y79,1),"")</f>
        <v>P</v>
      </c>
      <c r="Y79" s="9">
        <v>109</v>
      </c>
      <c r="Z79" s="9" t="str">
        <f>IFERROR(MID(VLOOKUP($B79,Seqs!$A:$B,2,0),AA79,1),"")</f>
        <v>V</v>
      </c>
      <c r="AA79" s="9">
        <v>116</v>
      </c>
      <c r="AB79" s="9" t="str">
        <f>IFERROR(MID(VLOOKUP($B79,Seqs!$A:$B,2,0),AC79,1),"")</f>
        <v>T</v>
      </c>
      <c r="AC79" s="9">
        <v>117</v>
      </c>
      <c r="AD79" s="9" t="str">
        <f>IFERROR(MID(VLOOKUP($B79,Seqs!$A:$B,2,0),AE79,1),"")</f>
        <v>G</v>
      </c>
      <c r="AE79" s="9">
        <v>142</v>
      </c>
      <c r="AF79" s="9" t="str">
        <f>IFERROR(MID(VLOOKUP($B79,Seqs!$A:$B,2,0),AG79,1),"")</f>
        <v>C</v>
      </c>
      <c r="AG79" s="9">
        <v>166</v>
      </c>
      <c r="AH79" s="9" t="str">
        <f>IFERROR(MID(VLOOKUP($B79,Seqs!$A:$B,2,0),AI79,1),"")</f>
        <v>F</v>
      </c>
      <c r="AI79" s="9">
        <v>168</v>
      </c>
      <c r="AJ79" s="9" t="str">
        <f>IFERROR(MID(VLOOKUP($B79,Seqs!$A:$B,2,0),AK79,1),"")</f>
        <v>P</v>
      </c>
      <c r="AK79" s="9">
        <v>173</v>
      </c>
      <c r="AL79" s="9" t="str">
        <f>IFERROR(MID(VLOOKUP($B79,Seqs!$A:$B,2,0),AM79,1),"")</f>
        <v>L</v>
      </c>
      <c r="AM79" s="9">
        <v>208</v>
      </c>
      <c r="AN79" s="9" t="str">
        <f>IFERROR(MID(VLOOKUP($B79,Seqs!$A:$B,2,0),AO79,1),"")</f>
        <v>E</v>
      </c>
      <c r="AO79" s="9">
        <v>219</v>
      </c>
      <c r="AP79" s="9" t="str">
        <f>IFERROR(MID(VLOOKUP($B79,Seqs!$A:$B,2,0),AQ79,1),"")</f>
        <v>C</v>
      </c>
      <c r="AQ79" s="9">
        <v>259</v>
      </c>
      <c r="AR79" s="9" t="str">
        <f>IFERROR(MID(VLOOKUP($B79,Seqs!$A:$B,2,0),AS79,1),"")</f>
        <v>P</v>
      </c>
      <c r="AS79" s="9">
        <v>266</v>
      </c>
      <c r="AT79" s="9" t="str">
        <f>IFERROR(MID(VLOOKUP($B79,Seqs!$A:$B,2,0),AU79,1),"")</f>
        <v>R</v>
      </c>
      <c r="AU79" s="9">
        <v>291</v>
      </c>
      <c r="AV79" s="9" t="str">
        <f>IFERROR(MID(VLOOKUP($B79,Seqs!$A:$B,2,0),AW79,1),"")</f>
        <v>I</v>
      </c>
      <c r="AW79" s="9">
        <v>292</v>
      </c>
      <c r="AX79" s="9" t="str">
        <f>IFERROR(MID(VLOOKUP($B79,Seqs!$A:$B,2,0),AY79,1),"")</f>
        <v>S</v>
      </c>
      <c r="AY79" s="9">
        <v>305</v>
      </c>
      <c r="AZ79" s="110" t="str">
        <f>VLOOKUP(B79,Classification!A:D,2,0)</f>
        <v>A</v>
      </c>
      <c r="BA79" s="98" t="str">
        <f>VLOOKUP(B79,Classification!A:D,4,0)</f>
        <v>Adenosine</v>
      </c>
      <c r="BB79" s="36" t="b">
        <f t="shared" ref="BB79" si="588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109">
        <f t="shared" ref="BC79" si="589">_xlfn.AGGREGATE(9,6,CH79:CS79)-_xlfn.AGGREGATE(9,6,BV79:CG79)+12</f>
        <v>262</v>
      </c>
      <c r="BD79" s="13" t="s">
        <v>23</v>
      </c>
      <c r="BE79" s="9" t="s">
        <v>1368</v>
      </c>
      <c r="BF79" s="119">
        <v>1.92</v>
      </c>
      <c r="BG79" s="51" t="s">
        <v>1</v>
      </c>
      <c r="BH79" s="51" t="s">
        <v>1</v>
      </c>
      <c r="BJ79" s="111" t="s">
        <v>1281</v>
      </c>
      <c r="BK79" s="112" t="s">
        <v>1281</v>
      </c>
      <c r="BL79" s="112" t="s">
        <v>1281</v>
      </c>
      <c r="BM79" s="112" t="s">
        <v>1281</v>
      </c>
      <c r="BN79" s="112" t="s">
        <v>1281</v>
      </c>
      <c r="BO79" s="112" t="s">
        <v>1281</v>
      </c>
      <c r="BP79" s="112" t="s">
        <v>1281</v>
      </c>
      <c r="BQ79" s="112" t="s">
        <v>1281</v>
      </c>
      <c r="BR79" s="112" t="s">
        <v>1281</v>
      </c>
      <c r="BS79" s="112" t="s">
        <v>1281</v>
      </c>
      <c r="BT79" s="112" t="s">
        <v>1281</v>
      </c>
      <c r="BU79" s="112" t="s">
        <v>1281</v>
      </c>
      <c r="BV79" s="111">
        <f t="shared" ref="BV79" si="590">E79</f>
        <v>1</v>
      </c>
      <c r="BW79" s="113">
        <f t="shared" ref="BW79" si="591">I79</f>
        <v>35</v>
      </c>
      <c r="BX79" s="114">
        <f t="shared" ref="BX79" si="592">M79</f>
        <v>39</v>
      </c>
      <c r="BY79" s="113">
        <f t="shared" ref="BY79" si="593">Q79</f>
        <v>70</v>
      </c>
      <c r="BZ79" s="114">
        <f t="shared" ref="BZ79" si="594">U79</f>
        <v>73</v>
      </c>
      <c r="CA79" s="113">
        <f t="shared" ref="CA79" si="595">Y79</f>
        <v>109</v>
      </c>
      <c r="CB79" s="114">
        <f t="shared" ref="CB79" si="596">AC79</f>
        <v>117</v>
      </c>
      <c r="CC79" s="113">
        <f t="shared" ref="CC79" si="597">AG79</f>
        <v>166</v>
      </c>
      <c r="CD79" s="114">
        <f t="shared" ref="CD79" si="598">AK79</f>
        <v>173</v>
      </c>
      <c r="CE79" s="113">
        <f t="shared" ref="CE79" si="599">AO79</f>
        <v>219</v>
      </c>
      <c r="CF79" s="114">
        <f t="shared" ref="CF79" si="600">AS79</f>
        <v>266</v>
      </c>
      <c r="CG79" s="113">
        <f t="shared" ref="CG79" si="601">AW79</f>
        <v>292</v>
      </c>
      <c r="CH79" s="111">
        <f t="shared" ref="CH79" si="602">G79</f>
        <v>34</v>
      </c>
      <c r="CI79" s="113">
        <f t="shared" ref="CI79" si="603">K79</f>
        <v>38</v>
      </c>
      <c r="CJ79" s="114">
        <f t="shared" ref="CJ79" si="604">O79</f>
        <v>69</v>
      </c>
      <c r="CK79" s="114">
        <f t="shared" ref="CK79" si="605">S79</f>
        <v>72</v>
      </c>
      <c r="CL79" s="114">
        <f t="shared" ref="CL79" si="606">W79</f>
        <v>108</v>
      </c>
      <c r="CM79" s="114">
        <f t="shared" ref="CM79" si="607">AA79</f>
        <v>116</v>
      </c>
      <c r="CN79" s="114">
        <f t="shared" ref="CN79" si="608">AE79</f>
        <v>142</v>
      </c>
      <c r="CO79" s="114">
        <f t="shared" ref="CO79" si="609">AI79</f>
        <v>168</v>
      </c>
      <c r="CP79" s="114">
        <f t="shared" ref="CP79" si="610">AM79</f>
        <v>208</v>
      </c>
      <c r="CQ79" s="114">
        <f t="shared" ref="CQ79" si="611">AQ79</f>
        <v>259</v>
      </c>
      <c r="CR79" s="114">
        <f t="shared" ref="CR79" si="612">AU79</f>
        <v>291</v>
      </c>
      <c r="CS79" s="114">
        <f t="shared" ref="CS79" si="613">AY79</f>
        <v>305</v>
      </c>
      <c r="CT79" s="109">
        <f t="shared" ref="CT79" si="614">M79-K79</f>
        <v>1</v>
      </c>
    </row>
    <row r="80" spans="1:1029" s="12" customFormat="1" x14ac:dyDescent="0.2">
      <c r="A80" s="9" t="str">
        <f t="shared" ref="A80" si="615">CONCATENATE(B80,"_",C80)</f>
        <v>aa2ar_human_6ZDV</v>
      </c>
      <c r="B80" s="9" t="s">
        <v>139</v>
      </c>
      <c r="C80" s="9" t="s">
        <v>1727</v>
      </c>
      <c r="D80" s="9" t="str">
        <f>IFERROR(MID(VLOOKUP($B80,Seqs!$A:$B,2,0),E80,1),"")</f>
        <v>M</v>
      </c>
      <c r="E80" s="9">
        <v>1</v>
      </c>
      <c r="F80" s="9" t="str">
        <f>IFERROR(MID(VLOOKUP($B80,Seqs!$A:$B,2,0),G80,1),"")</f>
        <v>N</v>
      </c>
      <c r="G80" s="9">
        <v>34</v>
      </c>
      <c r="H80" s="9" t="str">
        <f>IFERROR(MID(VLOOKUP($B80,Seqs!$A:$B,2,0),I80,1),"")</f>
        <v>S</v>
      </c>
      <c r="I80" s="109">
        <v>35</v>
      </c>
      <c r="J80" s="9" t="str">
        <f>IFERROR(MID(VLOOKUP($B80,Seqs!$A:$B,2,0),K80,1),"")</f>
        <v>Q</v>
      </c>
      <c r="K80" s="109">
        <v>38</v>
      </c>
      <c r="L80" s="9" t="str">
        <f>IFERROR(MID(VLOOKUP($B80,Seqs!$A:$B,2,0),M80,1),"")</f>
        <v>N</v>
      </c>
      <c r="M80" s="9">
        <v>39</v>
      </c>
      <c r="N80" s="9" t="str">
        <f>IFERROR(MID(VLOOKUP($B80,Seqs!$A:$B,2,0),O80,1),"")</f>
        <v>G</v>
      </c>
      <c r="O80" s="9">
        <v>69</v>
      </c>
      <c r="P80" s="9" t="str">
        <f>IFERROR(MID(VLOOKUP($B80,Seqs!$A:$B,2,0),Q80,1),"")</f>
        <v>F</v>
      </c>
      <c r="Q80" s="9">
        <v>70</v>
      </c>
      <c r="R80" s="9" t="str">
        <f>IFERROR(MID(VLOOKUP($B80,Seqs!$A:$B,2,0),S80,1),"")</f>
        <v>A</v>
      </c>
      <c r="S80" s="9">
        <v>72</v>
      </c>
      <c r="T80" s="9" t="str">
        <f>IFERROR(MID(VLOOKUP($B80,Seqs!$A:$B,2,0),U80,1),"")</f>
        <v>A</v>
      </c>
      <c r="U80" s="9">
        <v>73</v>
      </c>
      <c r="V80" s="9" t="str">
        <f>IFERROR(MID(VLOOKUP($B80,Seqs!$A:$B,2,0),W80,1),"")</f>
        <v>I</v>
      </c>
      <c r="W80" s="9">
        <v>108</v>
      </c>
      <c r="X80" s="9" t="str">
        <f>IFERROR(MID(VLOOKUP($B80,Seqs!$A:$B,2,0),Y80,1),"")</f>
        <v>P</v>
      </c>
      <c r="Y80" s="9">
        <v>109</v>
      </c>
      <c r="Z80" s="9" t="str">
        <f>IFERROR(MID(VLOOKUP($B80,Seqs!$A:$B,2,0),AA80,1),"")</f>
        <v>V</v>
      </c>
      <c r="AA80" s="9">
        <v>116</v>
      </c>
      <c r="AB80" s="9" t="str">
        <f>IFERROR(MID(VLOOKUP($B80,Seqs!$A:$B,2,0),AC80,1),"")</f>
        <v>T</v>
      </c>
      <c r="AC80" s="9">
        <v>117</v>
      </c>
      <c r="AD80" s="9" t="str">
        <f>IFERROR(MID(VLOOKUP($B80,Seqs!$A:$B,2,0),AE80,1),"")</f>
        <v>G</v>
      </c>
      <c r="AE80" s="9">
        <v>142</v>
      </c>
      <c r="AF80" s="9" t="str">
        <f>IFERROR(MID(VLOOKUP($B80,Seqs!$A:$B,2,0),AG80,1),"")</f>
        <v>C</v>
      </c>
      <c r="AG80" s="9">
        <v>166</v>
      </c>
      <c r="AH80" s="9" t="str">
        <f>IFERROR(MID(VLOOKUP($B80,Seqs!$A:$B,2,0),AI80,1),"")</f>
        <v>F</v>
      </c>
      <c r="AI80" s="9">
        <v>168</v>
      </c>
      <c r="AJ80" s="9" t="str">
        <f>IFERROR(MID(VLOOKUP($B80,Seqs!$A:$B,2,0),AK80,1),"")</f>
        <v>P</v>
      </c>
      <c r="AK80" s="9">
        <v>173</v>
      </c>
      <c r="AL80" s="9" t="str">
        <f>IFERROR(MID(VLOOKUP($B80,Seqs!$A:$B,2,0),AM80,1),"")</f>
        <v>L</v>
      </c>
      <c r="AM80" s="9">
        <v>208</v>
      </c>
      <c r="AN80" s="9" t="str">
        <f>IFERROR(MID(VLOOKUP($B80,Seqs!$A:$B,2,0),AO80,1),"")</f>
        <v>E</v>
      </c>
      <c r="AO80" s="9">
        <v>219</v>
      </c>
      <c r="AP80" s="9" t="str">
        <f>IFERROR(MID(VLOOKUP($B80,Seqs!$A:$B,2,0),AQ80,1),"")</f>
        <v>C</v>
      </c>
      <c r="AQ80" s="9">
        <v>259</v>
      </c>
      <c r="AR80" s="9" t="str">
        <f>IFERROR(MID(VLOOKUP($B80,Seqs!$A:$B,2,0),AS80,1),"")</f>
        <v>P</v>
      </c>
      <c r="AS80" s="9">
        <v>266</v>
      </c>
      <c r="AT80" s="9" t="str">
        <f>IFERROR(MID(VLOOKUP($B80,Seqs!$A:$B,2,0),AU80,1),"")</f>
        <v>R</v>
      </c>
      <c r="AU80" s="9">
        <v>291</v>
      </c>
      <c r="AV80" s="9" t="str">
        <f>IFERROR(MID(VLOOKUP($B80,Seqs!$A:$B,2,0),AW80,1),"")</f>
        <v>I</v>
      </c>
      <c r="AW80" s="9">
        <v>292</v>
      </c>
      <c r="AX80" s="9" t="str">
        <f>IFERROR(MID(VLOOKUP($B80,Seqs!$A:$B,2,0),AY80,1),"")</f>
        <v>S</v>
      </c>
      <c r="AY80" s="9">
        <v>305</v>
      </c>
      <c r="AZ80" s="110" t="str">
        <f>VLOOKUP(B80,Classification!A:D,2,0)</f>
        <v>A</v>
      </c>
      <c r="BA80" s="98" t="str">
        <f>VLOOKUP(B80,Classification!A:D,4,0)</f>
        <v>Adenosine</v>
      </c>
      <c r="BB80" s="36" t="b">
        <f t="shared" ref="BB80" si="616">AND(E80&lt;G80,OR(G80&lt;I80,I80="-"),OR(I80&lt;K80,I80="-"),OR(K80&lt;M80,K80="-"),M80&lt;O80,OR(O80&lt;Q80,Q80="-"),OR(Q80&lt;S80,Q80="-"),OR(S80&lt;U80,S80="-"),U80&lt;W80,OR(W80&lt;Y80,Y80="-"),OR(Y80&lt;AA80,Y80="-"),OR(AA80&lt;AC80,AA80="-"),AC80&lt;AE80,OR(AE80&lt;AG80,AG80="-"),OR(AG80&lt;AI80,AG80="-"),OR(AI80&lt;AK80,AI80="-"),AK80&lt;AM80,AM80&lt;AO80,AO80&lt;AQ80,AQ80&lt;AS80,AS80&lt;AU80,OR(AU80&lt;AW80,AW80="-"),OR(AW80&lt;AY80,AW80="-"))</f>
        <v>1</v>
      </c>
      <c r="BC80" s="109">
        <f t="shared" ref="BC80" si="617">_xlfn.AGGREGATE(9,6,CH80:CS80)-_xlfn.AGGREGATE(9,6,BV80:CG80)+12</f>
        <v>262</v>
      </c>
      <c r="BD80" s="13" t="s">
        <v>23</v>
      </c>
      <c r="BE80" s="9" t="s">
        <v>1368</v>
      </c>
      <c r="BF80" s="119">
        <v>2.13</v>
      </c>
      <c r="BG80" s="51" t="s">
        <v>1</v>
      </c>
      <c r="BH80" s="51" t="s">
        <v>1</v>
      </c>
      <c r="BJ80" s="111" t="s">
        <v>1281</v>
      </c>
      <c r="BK80" s="112" t="s">
        <v>1281</v>
      </c>
      <c r="BL80" s="112" t="s">
        <v>1281</v>
      </c>
      <c r="BM80" s="112" t="s">
        <v>1281</v>
      </c>
      <c r="BN80" s="112" t="s">
        <v>1281</v>
      </c>
      <c r="BO80" s="112" t="s">
        <v>1281</v>
      </c>
      <c r="BP80" s="112" t="s">
        <v>1281</v>
      </c>
      <c r="BQ80" s="112" t="s">
        <v>1281</v>
      </c>
      <c r="BR80" s="112" t="s">
        <v>1281</v>
      </c>
      <c r="BS80" s="112" t="s">
        <v>1281</v>
      </c>
      <c r="BT80" s="112" t="s">
        <v>1281</v>
      </c>
      <c r="BU80" s="112" t="s">
        <v>1281</v>
      </c>
      <c r="BV80" s="111">
        <f t="shared" ref="BV80" si="618">E80</f>
        <v>1</v>
      </c>
      <c r="BW80" s="113">
        <f t="shared" ref="BW80" si="619">I80</f>
        <v>35</v>
      </c>
      <c r="BX80" s="114">
        <f t="shared" ref="BX80" si="620">M80</f>
        <v>39</v>
      </c>
      <c r="BY80" s="113">
        <f t="shared" ref="BY80" si="621">Q80</f>
        <v>70</v>
      </c>
      <c r="BZ80" s="114">
        <f t="shared" ref="BZ80" si="622">U80</f>
        <v>73</v>
      </c>
      <c r="CA80" s="113">
        <f t="shared" ref="CA80" si="623">Y80</f>
        <v>109</v>
      </c>
      <c r="CB80" s="114">
        <f t="shared" ref="CB80" si="624">AC80</f>
        <v>117</v>
      </c>
      <c r="CC80" s="113">
        <f t="shared" ref="CC80" si="625">AG80</f>
        <v>166</v>
      </c>
      <c r="CD80" s="114">
        <f t="shared" ref="CD80" si="626">AK80</f>
        <v>173</v>
      </c>
      <c r="CE80" s="113">
        <f t="shared" ref="CE80" si="627">AO80</f>
        <v>219</v>
      </c>
      <c r="CF80" s="114">
        <f t="shared" ref="CF80" si="628">AS80</f>
        <v>266</v>
      </c>
      <c r="CG80" s="113">
        <f t="shared" ref="CG80" si="629">AW80</f>
        <v>292</v>
      </c>
      <c r="CH80" s="111">
        <f t="shared" ref="CH80" si="630">G80</f>
        <v>34</v>
      </c>
      <c r="CI80" s="113">
        <f t="shared" ref="CI80" si="631">K80</f>
        <v>38</v>
      </c>
      <c r="CJ80" s="114">
        <f t="shared" ref="CJ80" si="632">O80</f>
        <v>69</v>
      </c>
      <c r="CK80" s="114">
        <f t="shared" ref="CK80" si="633">S80</f>
        <v>72</v>
      </c>
      <c r="CL80" s="114">
        <f t="shared" ref="CL80" si="634">W80</f>
        <v>108</v>
      </c>
      <c r="CM80" s="114">
        <f t="shared" ref="CM80" si="635">AA80</f>
        <v>116</v>
      </c>
      <c r="CN80" s="114">
        <f t="shared" ref="CN80" si="636">AE80</f>
        <v>142</v>
      </c>
      <c r="CO80" s="114">
        <f t="shared" ref="CO80" si="637">AI80</f>
        <v>168</v>
      </c>
      <c r="CP80" s="114">
        <f t="shared" ref="CP80" si="638">AM80</f>
        <v>208</v>
      </c>
      <c r="CQ80" s="114">
        <f t="shared" ref="CQ80" si="639">AQ80</f>
        <v>259</v>
      </c>
      <c r="CR80" s="114">
        <f t="shared" ref="CR80" si="640">AU80</f>
        <v>291</v>
      </c>
      <c r="CS80" s="114">
        <f t="shared" ref="CS80" si="641">AY80</f>
        <v>305</v>
      </c>
      <c r="CT80" s="109">
        <f t="shared" ref="CT80" si="642">M80-K80</f>
        <v>1</v>
      </c>
    </row>
    <row r="81" spans="1:1029" x14ac:dyDescent="0.2">
      <c r="A81" s="3" t="str">
        <f t="shared" si="0"/>
        <v>acm1_human__wt</v>
      </c>
      <c r="B81" s="3" t="s">
        <v>146</v>
      </c>
      <c r="C81" s="3" t="s">
        <v>100</v>
      </c>
      <c r="D81" s="3" t="str">
        <f>IFERROR(MID(VLOOKUP($B81,Seqs!$A:$B,2,0),E81,1),"")</f>
        <v>P</v>
      </c>
      <c r="E81" s="3">
        <v>22</v>
      </c>
      <c r="F81" s="3" t="str">
        <f>IFERROR(MID(VLOOKUP($B81,Seqs!$A:$B,2,0),G81,1),"")</f>
        <v>N</v>
      </c>
      <c r="G81" s="3">
        <v>53</v>
      </c>
      <c r="H81" s="3" t="str">
        <f>IFERROR(MID(VLOOKUP($B81,Seqs!$A:$B,2,0),I81,1),"")</f>
        <v>T</v>
      </c>
      <c r="I81" s="23">
        <v>54</v>
      </c>
      <c r="J81" s="3" t="str">
        <f>IFERROR(MID(VLOOKUP($B81,Seqs!$A:$B,2,0),K81,1),"")</f>
        <v>K</v>
      </c>
      <c r="K81" s="23">
        <v>57</v>
      </c>
      <c r="L81" s="3" t="str">
        <f>IFERROR(MID(VLOOKUP($B81,Seqs!$A:$B,2,0),M81,1),"")</f>
        <v>T</v>
      </c>
      <c r="M81" s="3">
        <v>58</v>
      </c>
      <c r="N81" s="3" t="str">
        <f>IFERROR(MID(VLOOKUP($B81,Seqs!$A:$B,2,0),O81,1),"")</f>
        <v>G</v>
      </c>
      <c r="O81" s="3">
        <v>89</v>
      </c>
      <c r="P81" s="3" t="str">
        <f>IFERROR(MID(VLOOKUP($B81,Seqs!$A:$B,2,0),Q81,1),"")</f>
        <v>H</v>
      </c>
      <c r="Q81" s="3">
        <v>90</v>
      </c>
      <c r="R81" s="3" t="str">
        <f>IFERROR(MID(VLOOKUP($B81,Seqs!$A:$B,2,0),S81,1),"")</f>
        <v>L</v>
      </c>
      <c r="S81" s="3">
        <v>93</v>
      </c>
      <c r="T81" s="3" t="str">
        <f>IFERROR(MID(VLOOKUP($B81,Seqs!$A:$B,2,0),U81,1),"")</f>
        <v>G</v>
      </c>
      <c r="U81" s="3">
        <v>94</v>
      </c>
      <c r="V81" s="3" t="str">
        <f>IFERROR(MID(VLOOKUP($B81,Seqs!$A:$B,2,0),W81,1),"")</f>
        <v>R</v>
      </c>
      <c r="W81" s="3">
        <v>129</v>
      </c>
      <c r="X81" s="3" t="str">
        <f>IFERROR(MID(VLOOKUP($B81,Seqs!$A:$B,2,0),Y81,1),"")</f>
        <v>P</v>
      </c>
      <c r="Y81" s="3">
        <v>130</v>
      </c>
      <c r="Z81" s="3" t="str">
        <f>IFERROR(MID(VLOOKUP($B81,Seqs!$A:$B,2,0),AA81,1),"")</f>
        <v>R</v>
      </c>
      <c r="AA81" s="3">
        <v>137</v>
      </c>
      <c r="AB81" s="3" t="str">
        <f>IFERROR(MID(VLOOKUP($B81,Seqs!$A:$B,2,0),AC81,1),"")</f>
        <v>T</v>
      </c>
      <c r="AC81" s="3">
        <v>138</v>
      </c>
      <c r="AD81" s="3" t="str">
        <f>IFERROR(MID(VLOOKUP($B81,Seqs!$A:$B,2,0),AE81,1),"")</f>
        <v>G</v>
      </c>
      <c r="AE81" s="3">
        <v>169</v>
      </c>
      <c r="AF81" s="3" t="str">
        <f>IFERROR(MID(VLOOKUP($B81,Seqs!$A:$B,2,0),AG81,1),"")</f>
        <v>C</v>
      </c>
      <c r="AG81" s="3">
        <v>178</v>
      </c>
      <c r="AH81" s="3" t="str">
        <f>IFERROR(MID(VLOOKUP($B81,Seqs!$A:$B,2,0),AI81,1),"")</f>
        <v>I</v>
      </c>
      <c r="AI81" s="3">
        <v>180</v>
      </c>
      <c r="AJ81" s="3" t="str">
        <f>IFERROR(MID(VLOOKUP($B81,Seqs!$A:$B,2,0),AK81,1),"")</f>
        <v>Q</v>
      </c>
      <c r="AK81" s="3">
        <v>185</v>
      </c>
      <c r="AL81" s="3" t="str">
        <f>IFERROR(MID(VLOOKUP($B81,Seqs!$A:$B,2,0),AM81,1),"")</f>
        <v>L</v>
      </c>
      <c r="AM81" s="3">
        <v>225</v>
      </c>
      <c r="AN81" s="3" t="str">
        <f>IFERROR(MID(VLOOKUP($B81,Seqs!$A:$B,2,0),AO81,1),"")</f>
        <v>T</v>
      </c>
      <c r="AO81" s="3">
        <v>354</v>
      </c>
      <c r="AP81" s="3" t="str">
        <f>IFERROR(MID(VLOOKUP($B81,Seqs!$A:$B,2,0),AQ81,1),"")</f>
        <v>C</v>
      </c>
      <c r="AQ81" s="3">
        <v>391</v>
      </c>
      <c r="AR81" s="3" t="str">
        <f>IFERROR(MID(VLOOKUP($B81,Seqs!$A:$B,2,0),AS81,1),"")</f>
        <v>P</v>
      </c>
      <c r="AS81" s="3">
        <v>396</v>
      </c>
      <c r="AT81" s="3" t="str">
        <f>IFERROR(MID(VLOOKUP($B81,Seqs!$A:$B,2,0),AU81,1),"")</f>
        <v>C</v>
      </c>
      <c r="AU81" s="3">
        <v>421</v>
      </c>
      <c r="AV81" s="3" t="str">
        <f>IFERROR(MID(VLOOKUP($B81,Seqs!$A:$B,2,0),AW81,1),"")</f>
        <v>N</v>
      </c>
      <c r="AW81" s="3">
        <v>422</v>
      </c>
      <c r="AX81" s="3" t="str">
        <f>IFERROR(MID(VLOOKUP($B81,Seqs!$A:$B,2,0),AY81,1),"")</f>
        <v>C</v>
      </c>
      <c r="AY81" s="3">
        <v>435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si="1"/>
        <v>1</v>
      </c>
      <c r="BC81" s="23">
        <f t="shared" si="309"/>
        <v>270</v>
      </c>
      <c r="BD81" s="56" t="s">
        <v>23</v>
      </c>
      <c r="BE81" s="3" t="s">
        <v>23</v>
      </c>
      <c r="BF81" s="118" t="s">
        <v>23</v>
      </c>
      <c r="BG81" s="49" t="s">
        <v>1366</v>
      </c>
      <c r="BH81" s="49" t="s">
        <v>1371</v>
      </c>
      <c r="BI81" s="1"/>
      <c r="BJ81" s="70" t="s">
        <v>1281</v>
      </c>
      <c r="BK81" s="57" t="s">
        <v>1281</v>
      </c>
      <c r="BL81" s="57" t="s">
        <v>1281</v>
      </c>
      <c r="BM81" s="57" t="s">
        <v>1281</v>
      </c>
      <c r="BN81" s="57" t="s">
        <v>1281</v>
      </c>
      <c r="BO81" s="57" t="s">
        <v>1281</v>
      </c>
      <c r="BP81" s="57" t="s">
        <v>1281</v>
      </c>
      <c r="BQ81" s="57" t="s">
        <v>1281</v>
      </c>
      <c r="BR81" s="57" t="s">
        <v>1281</v>
      </c>
      <c r="BS81" s="57" t="s">
        <v>1281</v>
      </c>
      <c r="BT81" s="57" t="s">
        <v>1281</v>
      </c>
      <c r="BU81" s="57" t="s">
        <v>1281</v>
      </c>
      <c r="BV81" s="70">
        <f t="shared" si="310"/>
        <v>22</v>
      </c>
      <c r="BW81" s="71">
        <f t="shared" si="311"/>
        <v>54</v>
      </c>
      <c r="BX81" s="72">
        <f t="shared" si="312"/>
        <v>58</v>
      </c>
      <c r="BY81" s="71">
        <f t="shared" si="313"/>
        <v>90</v>
      </c>
      <c r="BZ81" s="72">
        <f t="shared" si="314"/>
        <v>94</v>
      </c>
      <c r="CA81" s="71">
        <f t="shared" si="315"/>
        <v>130</v>
      </c>
      <c r="CB81" s="72">
        <f t="shared" si="316"/>
        <v>138</v>
      </c>
      <c r="CC81" s="71">
        <f t="shared" si="317"/>
        <v>178</v>
      </c>
      <c r="CD81" s="72">
        <f t="shared" si="318"/>
        <v>185</v>
      </c>
      <c r="CE81" s="71">
        <f t="shared" si="319"/>
        <v>354</v>
      </c>
      <c r="CF81" s="72">
        <f t="shared" si="320"/>
        <v>396</v>
      </c>
      <c r="CG81" s="71">
        <f t="shared" si="321"/>
        <v>422</v>
      </c>
      <c r="CH81" s="70">
        <f t="shared" si="322"/>
        <v>53</v>
      </c>
      <c r="CI81" s="71">
        <f t="shared" si="323"/>
        <v>57</v>
      </c>
      <c r="CJ81" s="72">
        <f t="shared" si="324"/>
        <v>89</v>
      </c>
      <c r="CK81" s="72">
        <f t="shared" si="325"/>
        <v>93</v>
      </c>
      <c r="CL81" s="72">
        <f t="shared" si="326"/>
        <v>129</v>
      </c>
      <c r="CM81" s="72">
        <f t="shared" si="327"/>
        <v>137</v>
      </c>
      <c r="CN81" s="72">
        <f t="shared" si="328"/>
        <v>169</v>
      </c>
      <c r="CO81" s="72">
        <f t="shared" si="329"/>
        <v>180</v>
      </c>
      <c r="CP81" s="72">
        <f t="shared" si="330"/>
        <v>225</v>
      </c>
      <c r="CQ81" s="72">
        <f t="shared" si="331"/>
        <v>391</v>
      </c>
      <c r="CR81" s="72">
        <f t="shared" si="332"/>
        <v>421</v>
      </c>
      <c r="CS81" s="72">
        <f t="shared" si="333"/>
        <v>435</v>
      </c>
      <c r="CT81" s="23">
        <f t="shared" si="334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0"/>
        <v>acm1_human_5CXV</v>
      </c>
      <c r="B82" s="3" t="s">
        <v>146</v>
      </c>
      <c r="C82" s="3" t="s">
        <v>62</v>
      </c>
      <c r="D82" s="3" t="str">
        <f>IFERROR(MID(VLOOKUP($B82,Seqs!$A:$B,2,0),E82,1),"")</f>
        <v>P</v>
      </c>
      <c r="E82" s="3">
        <v>22</v>
      </c>
      <c r="F82" s="3" t="str">
        <f>IFERROR(MID(VLOOKUP($B82,Seqs!$A:$B,2,0),G82,1),"")</f>
        <v>N</v>
      </c>
      <c r="G82" s="3">
        <v>53</v>
      </c>
      <c r="H82" s="3" t="str">
        <f>IFERROR(MID(VLOOKUP($B82,Seqs!$A:$B,2,0),I82,1),"")</f>
        <v>T</v>
      </c>
      <c r="I82" s="23">
        <v>54</v>
      </c>
      <c r="J82" s="3" t="str">
        <f>IFERROR(MID(VLOOKUP($B82,Seqs!$A:$B,2,0),K82,1),"")</f>
        <v>K</v>
      </c>
      <c r="K82" s="23">
        <v>57</v>
      </c>
      <c r="L82" s="3" t="str">
        <f>IFERROR(MID(VLOOKUP($B82,Seqs!$A:$B,2,0),M82,1),"")</f>
        <v>T</v>
      </c>
      <c r="M82" s="3">
        <v>58</v>
      </c>
      <c r="N82" s="3" t="str">
        <f>IFERROR(MID(VLOOKUP($B82,Seqs!$A:$B,2,0),O82,1),"")</f>
        <v>G</v>
      </c>
      <c r="O82" s="3">
        <v>89</v>
      </c>
      <c r="P82" s="3" t="str">
        <f>IFERROR(MID(VLOOKUP($B82,Seqs!$A:$B,2,0),Q82,1),"")</f>
        <v>H</v>
      </c>
      <c r="Q82" s="3">
        <v>90</v>
      </c>
      <c r="R82" s="3" t="str">
        <f>IFERROR(MID(VLOOKUP($B82,Seqs!$A:$B,2,0),S82,1),"")</f>
        <v>L</v>
      </c>
      <c r="S82" s="3">
        <v>93</v>
      </c>
      <c r="T82" s="3" t="str">
        <f>IFERROR(MID(VLOOKUP($B82,Seqs!$A:$B,2,0),U82,1),"")</f>
        <v>G</v>
      </c>
      <c r="U82" s="3">
        <v>94</v>
      </c>
      <c r="V82" s="3" t="str">
        <f>IFERROR(MID(VLOOKUP($B82,Seqs!$A:$B,2,0),W82,1),"")</f>
        <v>R</v>
      </c>
      <c r="W82" s="3">
        <v>129</v>
      </c>
      <c r="X82" s="3" t="str">
        <f>IFERROR(MID(VLOOKUP($B82,Seqs!$A:$B,2,0),Y82,1),"")</f>
        <v>P</v>
      </c>
      <c r="Y82" s="3">
        <v>130</v>
      </c>
      <c r="Z82" s="3" t="str">
        <f>IFERROR(MID(VLOOKUP($B82,Seqs!$A:$B,2,0),AA82,1),"")</f>
        <v>R</v>
      </c>
      <c r="AA82" s="3">
        <v>137</v>
      </c>
      <c r="AB82" s="3" t="str">
        <f>IFERROR(MID(VLOOKUP($B82,Seqs!$A:$B,2,0),AC82,1),"")</f>
        <v>T</v>
      </c>
      <c r="AC82" s="9">
        <v>138</v>
      </c>
      <c r="AD82" s="3" t="str">
        <f>IFERROR(MID(VLOOKUP($B82,Seqs!$A:$B,2,0),AE82,1),"")</f>
        <v>G</v>
      </c>
      <c r="AE82" s="3">
        <v>169</v>
      </c>
      <c r="AF82" s="3" t="str">
        <f>IFERROR(MID(VLOOKUP($B82,Seqs!$A:$B,2,0),AG82,1),"")</f>
        <v>C</v>
      </c>
      <c r="AG82" s="3">
        <v>178</v>
      </c>
      <c r="AH82" s="3" t="str">
        <f>IFERROR(MID(VLOOKUP($B82,Seqs!$A:$B,2,0),AI82,1),"")</f>
        <v>I</v>
      </c>
      <c r="AI82" s="3">
        <v>180</v>
      </c>
      <c r="AJ82" s="3" t="str">
        <f>IFERROR(MID(VLOOKUP($B82,Seqs!$A:$B,2,0),AK82,1),"")</f>
        <v>Q</v>
      </c>
      <c r="AK82" s="3">
        <v>185</v>
      </c>
      <c r="AL82" s="3" t="str">
        <f>IFERROR(MID(VLOOKUP($B82,Seqs!$A:$B,2,0),AM82,1),"")</f>
        <v>R</v>
      </c>
      <c r="AM82" s="3">
        <v>213</v>
      </c>
      <c r="AN82" s="3" t="str">
        <f>IFERROR(MID(VLOOKUP($B82,Seqs!$A:$B,2,0),AO82,1),"")</f>
        <v>L</v>
      </c>
      <c r="AO82" s="3">
        <v>357</v>
      </c>
      <c r="AP82" s="3" t="str">
        <f>IFERROR(MID(VLOOKUP($B82,Seqs!$A:$B,2,0),AQ82,1),"")</f>
        <v>C</v>
      </c>
      <c r="AQ82" s="3">
        <v>391</v>
      </c>
      <c r="AR82" s="3" t="str">
        <f>IFERROR(MID(VLOOKUP($B82,Seqs!$A:$B,2,0),AS82,1),"")</f>
        <v>P</v>
      </c>
      <c r="AS82" s="3">
        <v>396</v>
      </c>
      <c r="AT82" s="3" t="str">
        <f>IFERROR(MID(VLOOKUP($B82,Seqs!$A:$B,2,0),AU82,1),"")</f>
        <v>C</v>
      </c>
      <c r="AU82" s="3">
        <v>421</v>
      </c>
      <c r="AV82" s="3" t="str">
        <f>IFERROR(MID(VLOOKUP($B82,Seqs!$A:$B,2,0),AW82,1),"")</f>
        <v>N</v>
      </c>
      <c r="AW82" s="3">
        <v>422</v>
      </c>
      <c r="AX82" s="3" t="str">
        <f>IFERROR(MID(VLOOKUP($B82,Seqs!$A:$B,2,0),AY82,1),"")</f>
        <v>C</v>
      </c>
      <c r="AY82" s="3">
        <v>435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1"/>
        <v>1</v>
      </c>
      <c r="BC82" s="23">
        <f t="shared" si="309"/>
        <v>255</v>
      </c>
      <c r="BD82" s="16" t="s">
        <v>23</v>
      </c>
      <c r="BE82" s="3" t="s">
        <v>1368</v>
      </c>
      <c r="BF82" s="118">
        <v>2.7</v>
      </c>
      <c r="BG82" s="49" t="s">
        <v>1371</v>
      </c>
      <c r="BH82" s="49" t="s">
        <v>1371</v>
      </c>
      <c r="BI82" s="1"/>
      <c r="BJ82" s="70" t="s">
        <v>1281</v>
      </c>
      <c r="BK82" s="57" t="s">
        <v>1281</v>
      </c>
      <c r="BL82" s="57" t="s">
        <v>1281</v>
      </c>
      <c r="BM82" s="57" t="s">
        <v>1281</v>
      </c>
      <c r="BN82" s="57" t="s">
        <v>1281</v>
      </c>
      <c r="BO82" s="57" t="s">
        <v>1281</v>
      </c>
      <c r="BP82" s="57" t="s">
        <v>1281</v>
      </c>
      <c r="BQ82" s="57" t="s">
        <v>1281</v>
      </c>
      <c r="BR82" s="57" t="s">
        <v>1281</v>
      </c>
      <c r="BS82" s="57" t="s">
        <v>1281</v>
      </c>
      <c r="BT82" s="57" t="s">
        <v>1281</v>
      </c>
      <c r="BU82" s="57" t="s">
        <v>1281</v>
      </c>
      <c r="BV82" s="70">
        <f t="shared" si="310"/>
        <v>22</v>
      </c>
      <c r="BW82" s="71">
        <f t="shared" si="311"/>
        <v>54</v>
      </c>
      <c r="BX82" s="72">
        <f t="shared" si="312"/>
        <v>58</v>
      </c>
      <c r="BY82" s="71">
        <f t="shared" si="313"/>
        <v>90</v>
      </c>
      <c r="BZ82" s="72">
        <f t="shared" si="314"/>
        <v>94</v>
      </c>
      <c r="CA82" s="71">
        <f t="shared" si="315"/>
        <v>130</v>
      </c>
      <c r="CB82" s="72">
        <f t="shared" si="316"/>
        <v>138</v>
      </c>
      <c r="CC82" s="71">
        <f t="shared" si="317"/>
        <v>178</v>
      </c>
      <c r="CD82" s="72">
        <f t="shared" si="318"/>
        <v>185</v>
      </c>
      <c r="CE82" s="71">
        <f t="shared" si="319"/>
        <v>357</v>
      </c>
      <c r="CF82" s="72">
        <f t="shared" si="320"/>
        <v>396</v>
      </c>
      <c r="CG82" s="71">
        <f t="shared" si="321"/>
        <v>422</v>
      </c>
      <c r="CH82" s="70">
        <f t="shared" si="322"/>
        <v>53</v>
      </c>
      <c r="CI82" s="71">
        <f t="shared" si="323"/>
        <v>57</v>
      </c>
      <c r="CJ82" s="72">
        <f t="shared" si="324"/>
        <v>89</v>
      </c>
      <c r="CK82" s="72">
        <f t="shared" si="325"/>
        <v>93</v>
      </c>
      <c r="CL82" s="72">
        <f t="shared" si="326"/>
        <v>129</v>
      </c>
      <c r="CM82" s="72">
        <f t="shared" si="327"/>
        <v>137</v>
      </c>
      <c r="CN82" s="72">
        <f t="shared" si="328"/>
        <v>169</v>
      </c>
      <c r="CO82" s="72">
        <f t="shared" si="329"/>
        <v>180</v>
      </c>
      <c r="CP82" s="72">
        <f t="shared" si="330"/>
        <v>213</v>
      </c>
      <c r="CQ82" s="72">
        <f t="shared" si="331"/>
        <v>391</v>
      </c>
      <c r="CR82" s="72">
        <f t="shared" si="332"/>
        <v>421</v>
      </c>
      <c r="CS82" s="72">
        <f t="shared" si="333"/>
        <v>435</v>
      </c>
      <c r="CT82" s="23">
        <f t="shared" si="334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643">CONCATENATE(B83,"_",C83)</f>
        <v>acm1_human_6OIJ</v>
      </c>
      <c r="B83" s="3" t="s">
        <v>146</v>
      </c>
      <c r="C83" s="3" t="s">
        <v>1571</v>
      </c>
      <c r="D83" s="3" t="str">
        <f>IFERROR(MID(VLOOKUP($B83,Seqs!$A:$B,2,0),E83,1),"")</f>
        <v>W</v>
      </c>
      <c r="E83" s="3">
        <v>23</v>
      </c>
      <c r="F83" s="3" t="str">
        <f>IFERROR(MID(VLOOKUP($B83,Seqs!$A:$B,2,0),G83,1),"")</f>
        <v>N</v>
      </c>
      <c r="G83" s="3">
        <v>53</v>
      </c>
      <c r="H83" s="3" t="str">
        <f>IFERROR(MID(VLOOKUP($B83,Seqs!$A:$B,2,0),I83,1),"")</f>
        <v>T</v>
      </c>
      <c r="I83" s="23">
        <v>54</v>
      </c>
      <c r="J83" s="3" t="str">
        <f>IFERROR(MID(VLOOKUP($B83,Seqs!$A:$B,2,0),K83,1),"")</f>
        <v>K</v>
      </c>
      <c r="K83" s="23">
        <v>57</v>
      </c>
      <c r="L83" s="3" t="str">
        <f>IFERROR(MID(VLOOKUP($B83,Seqs!$A:$B,2,0),M83,1),"")</f>
        <v>N</v>
      </c>
      <c r="M83" s="3">
        <v>60</v>
      </c>
      <c r="N83" s="3" t="str">
        <f>IFERROR(MID(VLOOKUP($B83,Seqs!$A:$B,2,0),O83,1),"")</f>
        <v>G</v>
      </c>
      <c r="O83" s="3">
        <v>89</v>
      </c>
      <c r="P83" s="3" t="str">
        <f>IFERROR(MID(VLOOKUP($B83,Seqs!$A:$B,2,0),Q83,1),"")</f>
        <v>H</v>
      </c>
      <c r="Q83" s="3">
        <v>90</v>
      </c>
      <c r="R83" s="3" t="str">
        <f>IFERROR(MID(VLOOKUP($B83,Seqs!$A:$B,2,0),S83,1),"")</f>
        <v>L</v>
      </c>
      <c r="S83" s="3">
        <v>93</v>
      </c>
      <c r="T83" s="3" t="str">
        <f>IFERROR(MID(VLOOKUP($B83,Seqs!$A:$B,2,0),U83,1),"")</f>
        <v>G</v>
      </c>
      <c r="U83" s="3">
        <v>94</v>
      </c>
      <c r="V83" s="3" t="str">
        <f>IFERROR(MID(VLOOKUP($B83,Seqs!$A:$B,2,0),W83,1),"")</f>
        <v>R</v>
      </c>
      <c r="W83" s="3">
        <v>129</v>
      </c>
      <c r="X83" s="3" t="str">
        <f>IFERROR(MID(VLOOKUP($B83,Seqs!$A:$B,2,0),Y83,1),"")</f>
        <v>P</v>
      </c>
      <c r="Y83" s="3">
        <v>130</v>
      </c>
      <c r="Z83" s="3" t="str">
        <f>IFERROR(MID(VLOOKUP($B83,Seqs!$A:$B,2,0),AA83,1),"")</f>
        <v>R</v>
      </c>
      <c r="AA83" s="3">
        <v>137</v>
      </c>
      <c r="AB83" s="3" t="str">
        <f>IFERROR(MID(VLOOKUP($B83,Seqs!$A:$B,2,0),AC83,1),"")</f>
        <v>T</v>
      </c>
      <c r="AC83" s="3">
        <v>138</v>
      </c>
      <c r="AD83" s="3" t="str">
        <f>IFERROR(MID(VLOOKUP($B83,Seqs!$A:$B,2,0),AE83,1),"")</f>
        <v>G</v>
      </c>
      <c r="AE83" s="3">
        <v>169</v>
      </c>
      <c r="AF83" s="3" t="str">
        <f>IFERROR(MID(VLOOKUP($B83,Seqs!$A:$B,2,0),AG83,1),"")</f>
        <v>C</v>
      </c>
      <c r="AG83" s="3">
        <v>178</v>
      </c>
      <c r="AH83" s="3" t="str">
        <f>IFERROR(MID(VLOOKUP($B83,Seqs!$A:$B,2,0),AI83,1),"")</f>
        <v>I</v>
      </c>
      <c r="AI83" s="3">
        <v>180</v>
      </c>
      <c r="AJ83" s="3" t="str">
        <f>IFERROR(MID(VLOOKUP($B83,Seqs!$A:$B,2,0),AK83,1),"")</f>
        <v>Q</v>
      </c>
      <c r="AK83" s="3">
        <v>185</v>
      </c>
      <c r="AL83" s="3" t="str">
        <f>IFERROR(MID(VLOOKUP($B83,Seqs!$A:$B,2,0),AM83,1),"")</f>
        <v>L</v>
      </c>
      <c r="AM83" s="3">
        <v>225</v>
      </c>
      <c r="AN83" s="3" t="str">
        <f>IFERROR(MID(VLOOKUP($B83,Seqs!$A:$B,2,0),AO83,1),"")</f>
        <v>K</v>
      </c>
      <c r="AO83" s="3">
        <v>362</v>
      </c>
      <c r="AP83" s="3" t="str">
        <f>IFERROR(MID(VLOOKUP($B83,Seqs!$A:$B,2,0),AQ83,1),"")</f>
        <v>C</v>
      </c>
      <c r="AQ83" s="3">
        <v>391</v>
      </c>
      <c r="AR83" s="3" t="str">
        <f>IFERROR(MID(VLOOKUP($B83,Seqs!$A:$B,2,0),AS83,1),"")</f>
        <v>E</v>
      </c>
      <c r="AS83" s="3">
        <v>397</v>
      </c>
      <c r="AT83" s="3" t="str">
        <f>IFERROR(MID(VLOOKUP($B83,Seqs!$A:$B,2,0),AU83,1),"")</f>
        <v>C</v>
      </c>
      <c r="AU83" s="3">
        <v>421</v>
      </c>
      <c r="AV83" s="3" t="str">
        <f>IFERROR(MID(VLOOKUP($B83,Seqs!$A:$B,2,0),AW83,1),"")</f>
        <v>N</v>
      </c>
      <c r="AW83" s="3">
        <v>422</v>
      </c>
      <c r="AX83" s="3" t="str">
        <f>IFERROR(MID(VLOOKUP($B83,Seqs!$A:$B,2,0),AY83,1),"")</f>
        <v>L</v>
      </c>
      <c r="AY83" s="3">
        <v>433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644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645">_xlfn.AGGREGATE(9,6,CH83:CS83)-_xlfn.AGGREGATE(9,6,BV83:CG83)+12</f>
        <v>256</v>
      </c>
      <c r="BD83" s="16" t="s">
        <v>1369</v>
      </c>
      <c r="BE83" s="3" t="s">
        <v>1285</v>
      </c>
      <c r="BF83" s="118">
        <v>3.3</v>
      </c>
      <c r="BG83" s="49" t="s">
        <v>1416</v>
      </c>
      <c r="BH83" s="49" t="s">
        <v>1416</v>
      </c>
      <c r="BI83" s="1"/>
      <c r="BJ83" s="70" t="s">
        <v>1281</v>
      </c>
      <c r="BK83" s="57" t="s">
        <v>1281</v>
      </c>
      <c r="BL83" s="57" t="s">
        <v>1281</v>
      </c>
      <c r="BM83" s="57" t="s">
        <v>1281</v>
      </c>
      <c r="BN83" s="57" t="s">
        <v>1281</v>
      </c>
      <c r="BO83" s="57" t="s">
        <v>1281</v>
      </c>
      <c r="BP83" s="57" t="s">
        <v>1281</v>
      </c>
      <c r="BQ83" s="57" t="s">
        <v>1281</v>
      </c>
      <c r="BR83" s="57" t="s">
        <v>1281</v>
      </c>
      <c r="BS83" s="57" t="s">
        <v>1281</v>
      </c>
      <c r="BT83" s="57" t="s">
        <v>1281</v>
      </c>
      <c r="BU83" s="57" t="s">
        <v>1281</v>
      </c>
      <c r="BV83" s="70">
        <f t="shared" ref="BV83" si="646">E83</f>
        <v>23</v>
      </c>
      <c r="BW83" s="71">
        <f t="shared" ref="BW83" si="647">I83</f>
        <v>54</v>
      </c>
      <c r="BX83" s="72">
        <f t="shared" ref="BX83" si="648">M83</f>
        <v>60</v>
      </c>
      <c r="BY83" s="71">
        <f t="shared" ref="BY83" si="649">Q83</f>
        <v>90</v>
      </c>
      <c r="BZ83" s="72">
        <f t="shared" ref="BZ83" si="650">U83</f>
        <v>94</v>
      </c>
      <c r="CA83" s="71">
        <f t="shared" ref="CA83" si="651">Y83</f>
        <v>130</v>
      </c>
      <c r="CB83" s="72">
        <f t="shared" ref="CB83" si="652">AC83</f>
        <v>138</v>
      </c>
      <c r="CC83" s="71">
        <f t="shared" ref="CC83" si="653">AG83</f>
        <v>178</v>
      </c>
      <c r="CD83" s="72">
        <f t="shared" ref="CD83" si="654">AK83</f>
        <v>185</v>
      </c>
      <c r="CE83" s="71">
        <f t="shared" ref="CE83" si="655">AO83</f>
        <v>362</v>
      </c>
      <c r="CF83" s="72">
        <f t="shared" ref="CF83" si="656">AS83</f>
        <v>397</v>
      </c>
      <c r="CG83" s="71">
        <f t="shared" ref="CG83" si="657">AW83</f>
        <v>422</v>
      </c>
      <c r="CH83" s="70">
        <f t="shared" ref="CH83" si="658">G83</f>
        <v>53</v>
      </c>
      <c r="CI83" s="71">
        <f t="shared" ref="CI83" si="659">K83</f>
        <v>57</v>
      </c>
      <c r="CJ83" s="72">
        <f t="shared" ref="CJ83" si="660">O83</f>
        <v>89</v>
      </c>
      <c r="CK83" s="72">
        <f t="shared" ref="CK83" si="661">S83</f>
        <v>93</v>
      </c>
      <c r="CL83" s="72">
        <f t="shared" ref="CL83" si="662">W83</f>
        <v>129</v>
      </c>
      <c r="CM83" s="72">
        <f t="shared" ref="CM83" si="663">AA83</f>
        <v>137</v>
      </c>
      <c r="CN83" s="72">
        <f t="shared" ref="CN83" si="664">AE83</f>
        <v>169</v>
      </c>
      <c r="CO83" s="72">
        <f t="shared" ref="CO83" si="665">AI83</f>
        <v>180</v>
      </c>
      <c r="CP83" s="72">
        <f t="shared" ref="CP83" si="666">AM83</f>
        <v>225</v>
      </c>
      <c r="CQ83" s="72">
        <f t="shared" ref="CQ83" si="667">AQ83</f>
        <v>391</v>
      </c>
      <c r="CR83" s="72">
        <f t="shared" ref="CR83" si="668">AU83</f>
        <v>421</v>
      </c>
      <c r="CS83" s="72">
        <f t="shared" ref="CS83" si="669">AY83</f>
        <v>433</v>
      </c>
      <c r="CT83" s="23">
        <f t="shared" ref="CT83" si="670">M83-K83</f>
        <v>3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s="12" customFormat="1" x14ac:dyDescent="0.2">
      <c r="A84" s="9" t="str">
        <f t="shared" ref="A84" si="671">CONCATENATE(B84,"_",C84)</f>
        <v>acm1_human_6WJC</v>
      </c>
      <c r="B84" s="9" t="s">
        <v>146</v>
      </c>
      <c r="C84" s="9" t="s">
        <v>1672</v>
      </c>
      <c r="D84" s="9" t="str">
        <f>IFERROR(MID(VLOOKUP($B84,Seqs!$A:$B,2,0),E84,1),"")</f>
        <v>P</v>
      </c>
      <c r="E84" s="9">
        <v>22</v>
      </c>
      <c r="F84" s="9" t="str">
        <f>IFERROR(MID(VLOOKUP($B84,Seqs!$A:$B,2,0),G84,1),"")</f>
        <v>N</v>
      </c>
      <c r="G84" s="9">
        <v>53</v>
      </c>
      <c r="H84" s="9" t="str">
        <f>IFERROR(MID(VLOOKUP($B84,Seqs!$A:$B,2,0),I84,1),"")</f>
        <v>T</v>
      </c>
      <c r="I84" s="109">
        <v>54</v>
      </c>
      <c r="J84" s="9" t="str">
        <f>IFERROR(MID(VLOOKUP($B84,Seqs!$A:$B,2,0),K84,1),"")</f>
        <v>K</v>
      </c>
      <c r="K84" s="109">
        <v>57</v>
      </c>
      <c r="L84" s="9" t="str">
        <f>IFERROR(MID(VLOOKUP($B84,Seqs!$A:$B,2,0),M84,1),"")</f>
        <v>T</v>
      </c>
      <c r="M84" s="9">
        <v>58</v>
      </c>
      <c r="N84" s="9" t="str">
        <f>IFERROR(MID(VLOOKUP($B84,Seqs!$A:$B,2,0),O84,1),"")</f>
        <v>G</v>
      </c>
      <c r="O84" s="9">
        <v>89</v>
      </c>
      <c r="P84" s="9" t="str">
        <f>IFERROR(MID(VLOOKUP($B84,Seqs!$A:$B,2,0),Q84,1),"")</f>
        <v>H</v>
      </c>
      <c r="Q84" s="9">
        <v>90</v>
      </c>
      <c r="R84" s="9" t="str">
        <f>IFERROR(MID(VLOOKUP($B84,Seqs!$A:$B,2,0),S84,1),"")</f>
        <v>L</v>
      </c>
      <c r="S84" s="9">
        <v>93</v>
      </c>
      <c r="T84" s="9" t="str">
        <f>IFERROR(MID(VLOOKUP($B84,Seqs!$A:$B,2,0),U84,1),"")</f>
        <v>G</v>
      </c>
      <c r="U84" s="9">
        <v>94</v>
      </c>
      <c r="V84" s="9" t="str">
        <f>IFERROR(MID(VLOOKUP($B84,Seqs!$A:$B,2,0),W84,1),"")</f>
        <v>R</v>
      </c>
      <c r="W84" s="9">
        <v>129</v>
      </c>
      <c r="X84" s="9" t="str">
        <f>IFERROR(MID(VLOOKUP($B84,Seqs!$A:$B,2,0),Y84,1),"")</f>
        <v>P</v>
      </c>
      <c r="Y84" s="9">
        <v>130</v>
      </c>
      <c r="Z84" s="9" t="str">
        <f>IFERROR(MID(VLOOKUP($B84,Seqs!$A:$B,2,0),AA84,1),"")</f>
        <v>R</v>
      </c>
      <c r="AA84" s="9">
        <v>137</v>
      </c>
      <c r="AB84" s="9" t="str">
        <f>IFERROR(MID(VLOOKUP($B84,Seqs!$A:$B,2,0),AC84,1),"")</f>
        <v>T</v>
      </c>
      <c r="AC84" s="9">
        <v>138</v>
      </c>
      <c r="AD84" s="9" t="str">
        <f>IFERROR(MID(VLOOKUP($B84,Seqs!$A:$B,2,0),AE84,1),"")</f>
        <v>G</v>
      </c>
      <c r="AE84" s="9">
        <v>169</v>
      </c>
      <c r="AF84" s="9" t="str">
        <f>IFERROR(MID(VLOOKUP($B84,Seqs!$A:$B,2,0),AG84,1),"")</f>
        <v>C</v>
      </c>
      <c r="AG84" s="9">
        <v>178</v>
      </c>
      <c r="AH84" s="9" t="str">
        <f>IFERROR(MID(VLOOKUP($B84,Seqs!$A:$B,2,0),AI84,1),"")</f>
        <v>I</v>
      </c>
      <c r="AI84" s="9">
        <v>180</v>
      </c>
      <c r="AJ84" s="9" t="str">
        <f>IFERROR(MID(VLOOKUP($B84,Seqs!$A:$B,2,0),AK84,1),"")</f>
        <v>Q</v>
      </c>
      <c r="AK84" s="9">
        <v>185</v>
      </c>
      <c r="AL84" s="9" t="str">
        <f>IFERROR(MID(VLOOKUP($B84,Seqs!$A:$B,2,0),AM84,1),"")</f>
        <v>T</v>
      </c>
      <c r="AM84" s="9">
        <v>215</v>
      </c>
      <c r="AN84" s="9" t="str">
        <f>IFERROR(MID(VLOOKUP($B84,Seqs!$A:$B,2,0),AO84,1),"")</f>
        <v>V</v>
      </c>
      <c r="AO84" s="9">
        <v>358</v>
      </c>
      <c r="AP84" s="9" t="str">
        <f>IFERROR(MID(VLOOKUP($B84,Seqs!$A:$B,2,0),AQ84,1),"")</f>
        <v>C</v>
      </c>
      <c r="AQ84" s="9">
        <v>391</v>
      </c>
      <c r="AR84" s="9" t="str">
        <f>IFERROR(MID(VLOOKUP($B84,Seqs!$A:$B,2,0),AS84,1),"")</f>
        <v>P</v>
      </c>
      <c r="AS84" s="9">
        <v>396</v>
      </c>
      <c r="AT84" s="9" t="str">
        <f>IFERROR(MID(VLOOKUP($B84,Seqs!$A:$B,2,0),AU84,1),"")</f>
        <v>C</v>
      </c>
      <c r="AU84" s="9">
        <v>421</v>
      </c>
      <c r="AV84" s="9" t="str">
        <f>IFERROR(MID(VLOOKUP($B84,Seqs!$A:$B,2,0),AW84,1),"")</f>
        <v>N</v>
      </c>
      <c r="AW84" s="9">
        <v>422</v>
      </c>
      <c r="AX84" s="9" t="str">
        <f>IFERROR(MID(VLOOKUP($B84,Seqs!$A:$B,2,0),AY84,1),"")</f>
        <v>C</v>
      </c>
      <c r="AY84" s="9">
        <v>435</v>
      </c>
      <c r="AZ84" s="110" t="str">
        <f>VLOOKUP(B84,Classification!A:D,2,0)</f>
        <v>A</v>
      </c>
      <c r="BA84" s="98" t="str">
        <f>VLOOKUP(B84,Classification!A:D,4,0)</f>
        <v>Acetylcholine(muscarinic)</v>
      </c>
      <c r="BB84" s="36" t="b">
        <f t="shared" ref="BB84" si="672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109">
        <f t="shared" ref="BC84" si="673">_xlfn.AGGREGATE(9,6,CH84:CS84)-_xlfn.AGGREGATE(9,6,BV84:CG84)+12</f>
        <v>256</v>
      </c>
      <c r="BD84" s="125" t="s">
        <v>1370</v>
      </c>
      <c r="BE84" s="9" t="s">
        <v>1368</v>
      </c>
      <c r="BF84" s="119">
        <v>2.5499999999999998</v>
      </c>
      <c r="BG84" s="51" t="s">
        <v>1</v>
      </c>
      <c r="BH84" s="51" t="s">
        <v>1</v>
      </c>
      <c r="BJ84" s="111" t="s">
        <v>1281</v>
      </c>
      <c r="BK84" s="112" t="s">
        <v>1281</v>
      </c>
      <c r="BL84" s="112" t="s">
        <v>1281</v>
      </c>
      <c r="BM84" s="112" t="s">
        <v>1281</v>
      </c>
      <c r="BN84" s="112" t="s">
        <v>1281</v>
      </c>
      <c r="BO84" s="112" t="s">
        <v>1281</v>
      </c>
      <c r="BP84" s="112" t="s">
        <v>1281</v>
      </c>
      <c r="BQ84" s="112" t="s">
        <v>1281</v>
      </c>
      <c r="BR84" s="112" t="s">
        <v>1281</v>
      </c>
      <c r="BS84" s="112" t="s">
        <v>1281</v>
      </c>
      <c r="BT84" s="112" t="s">
        <v>1281</v>
      </c>
      <c r="BU84" s="112" t="s">
        <v>1281</v>
      </c>
      <c r="BV84" s="111">
        <f t="shared" ref="BV84" si="674">E84</f>
        <v>22</v>
      </c>
      <c r="BW84" s="113">
        <f t="shared" ref="BW84" si="675">I84</f>
        <v>54</v>
      </c>
      <c r="BX84" s="114">
        <f t="shared" ref="BX84" si="676">M84</f>
        <v>58</v>
      </c>
      <c r="BY84" s="113">
        <f t="shared" ref="BY84" si="677">Q84</f>
        <v>90</v>
      </c>
      <c r="BZ84" s="114">
        <f t="shared" ref="BZ84" si="678">U84</f>
        <v>94</v>
      </c>
      <c r="CA84" s="113">
        <f t="shared" ref="CA84" si="679">Y84</f>
        <v>130</v>
      </c>
      <c r="CB84" s="114">
        <f t="shared" ref="CB84" si="680">AC84</f>
        <v>138</v>
      </c>
      <c r="CC84" s="113">
        <f t="shared" ref="CC84" si="681">AG84</f>
        <v>178</v>
      </c>
      <c r="CD84" s="114">
        <f t="shared" ref="CD84" si="682">AK84</f>
        <v>185</v>
      </c>
      <c r="CE84" s="113">
        <f t="shared" ref="CE84" si="683">AO84</f>
        <v>358</v>
      </c>
      <c r="CF84" s="114">
        <f t="shared" ref="CF84" si="684">AS84</f>
        <v>396</v>
      </c>
      <c r="CG84" s="113">
        <f t="shared" ref="CG84" si="685">AW84</f>
        <v>422</v>
      </c>
      <c r="CH84" s="111">
        <f t="shared" ref="CH84" si="686">G84</f>
        <v>53</v>
      </c>
      <c r="CI84" s="113">
        <f t="shared" ref="CI84" si="687">K84</f>
        <v>57</v>
      </c>
      <c r="CJ84" s="114">
        <f t="shared" ref="CJ84" si="688">O84</f>
        <v>89</v>
      </c>
      <c r="CK84" s="114">
        <f t="shared" ref="CK84" si="689">S84</f>
        <v>93</v>
      </c>
      <c r="CL84" s="114">
        <f t="shared" ref="CL84" si="690">W84</f>
        <v>129</v>
      </c>
      <c r="CM84" s="114">
        <f t="shared" ref="CM84" si="691">AA84</f>
        <v>137</v>
      </c>
      <c r="CN84" s="114">
        <f t="shared" ref="CN84" si="692">AE84</f>
        <v>169</v>
      </c>
      <c r="CO84" s="114">
        <f t="shared" ref="CO84" si="693">AI84</f>
        <v>180</v>
      </c>
      <c r="CP84" s="114">
        <f t="shared" ref="CP84" si="694">AM84</f>
        <v>215</v>
      </c>
      <c r="CQ84" s="114">
        <f t="shared" ref="CQ84" si="695">AQ84</f>
        <v>391</v>
      </c>
      <c r="CR84" s="114">
        <f t="shared" ref="CR84" si="696">AU84</f>
        <v>421</v>
      </c>
      <c r="CS84" s="114">
        <f t="shared" ref="CS84" si="697">AY84</f>
        <v>435</v>
      </c>
      <c r="CT84" s="109">
        <f t="shared" ref="CT84" si="698">M84-K84</f>
        <v>1</v>
      </c>
    </row>
    <row r="85" spans="1:1029" x14ac:dyDescent="0.2">
      <c r="A85" s="3" t="str">
        <f t="shared" si="0"/>
        <v>acm2_human__wt</v>
      </c>
      <c r="B85" s="3" t="s">
        <v>147</v>
      </c>
      <c r="C85" s="3" t="s">
        <v>100</v>
      </c>
      <c r="D85" s="3" t="str">
        <f>IFERROR(MID(VLOOKUP($B85,Seqs!$A:$B,2,0),E85,1),"")</f>
        <v>K</v>
      </c>
      <c r="E85" s="3">
        <v>19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105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9">
        <v>136</v>
      </c>
      <c r="AD85" s="3" t="str">
        <f>IFERROR(MID(VLOOKUP($B85,Seqs!$A:$B,2,0),AE85,1),"")</f>
        <v>G</v>
      </c>
      <c r="AE85" s="3">
        <v>167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E</v>
      </c>
      <c r="AM85" s="3">
        <v>223</v>
      </c>
      <c r="AN85" s="3" t="str">
        <f>IFERROR(MID(VLOOKUP($B85,Seqs!$A:$B,2,0),AO85,1),"")</f>
        <v>K</v>
      </c>
      <c r="AO85" s="3">
        <v>376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3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si="1"/>
        <v>1</v>
      </c>
      <c r="BC85" s="23">
        <f t="shared" si="309"/>
        <v>270</v>
      </c>
      <c r="BD85" s="56" t="s">
        <v>23</v>
      </c>
      <c r="BE85" s="3" t="s">
        <v>23</v>
      </c>
      <c r="BF85" s="118" t="s">
        <v>23</v>
      </c>
      <c r="BG85" s="49" t="s">
        <v>1366</v>
      </c>
      <c r="BH85" s="49" t="s">
        <v>1371</v>
      </c>
      <c r="BI85" s="1"/>
      <c r="BJ85" s="70" t="s">
        <v>1281</v>
      </c>
      <c r="BK85" s="57" t="s">
        <v>1281</v>
      </c>
      <c r="BL85" s="57" t="s">
        <v>1281</v>
      </c>
      <c r="BM85" s="57" t="s">
        <v>1281</v>
      </c>
      <c r="BN85" s="57" t="s">
        <v>1281</v>
      </c>
      <c r="BO85" s="57" t="s">
        <v>1281</v>
      </c>
      <c r="BP85" s="57" t="s">
        <v>1281</v>
      </c>
      <c r="BQ85" s="57" t="s">
        <v>1281</v>
      </c>
      <c r="BR85" s="57" t="s">
        <v>1281</v>
      </c>
      <c r="BS85" s="57" t="s">
        <v>1281</v>
      </c>
      <c r="BT85" s="57" t="s">
        <v>1281</v>
      </c>
      <c r="BU85" s="57" t="s">
        <v>1281</v>
      </c>
      <c r="BV85" s="70">
        <f t="shared" si="310"/>
        <v>19</v>
      </c>
      <c r="BW85" s="71">
        <f t="shared" si="311"/>
        <v>52</v>
      </c>
      <c r="BX85" s="72">
        <f t="shared" si="312"/>
        <v>56</v>
      </c>
      <c r="BY85" s="71">
        <f t="shared" si="313"/>
        <v>88</v>
      </c>
      <c r="BZ85" s="72">
        <f t="shared" si="314"/>
        <v>92</v>
      </c>
      <c r="CA85" s="71">
        <f t="shared" si="315"/>
        <v>128</v>
      </c>
      <c r="CB85" s="72">
        <f t="shared" si="316"/>
        <v>136</v>
      </c>
      <c r="CC85" s="71">
        <f t="shared" si="317"/>
        <v>176</v>
      </c>
      <c r="CD85" s="72">
        <f t="shared" si="318"/>
        <v>183</v>
      </c>
      <c r="CE85" s="71">
        <f t="shared" si="319"/>
        <v>376</v>
      </c>
      <c r="CF85" s="72">
        <f t="shared" si="320"/>
        <v>418</v>
      </c>
      <c r="CG85" s="71">
        <f t="shared" si="321"/>
        <v>444</v>
      </c>
      <c r="CH85" s="70">
        <f t="shared" si="322"/>
        <v>51</v>
      </c>
      <c r="CI85" s="71">
        <f t="shared" si="323"/>
        <v>55</v>
      </c>
      <c r="CJ85" s="72">
        <f t="shared" si="324"/>
        <v>87</v>
      </c>
      <c r="CK85" s="72">
        <f t="shared" si="325"/>
        <v>91</v>
      </c>
      <c r="CL85" s="72">
        <f t="shared" si="326"/>
        <v>127</v>
      </c>
      <c r="CM85" s="72">
        <f t="shared" si="327"/>
        <v>135</v>
      </c>
      <c r="CN85" s="72">
        <f t="shared" si="328"/>
        <v>167</v>
      </c>
      <c r="CO85" s="72">
        <f t="shared" si="329"/>
        <v>178</v>
      </c>
      <c r="CP85" s="72">
        <f t="shared" si="330"/>
        <v>223</v>
      </c>
      <c r="CQ85" s="72">
        <f t="shared" si="331"/>
        <v>413</v>
      </c>
      <c r="CR85" s="72">
        <f t="shared" si="332"/>
        <v>443</v>
      </c>
      <c r="CS85" s="72">
        <f t="shared" si="333"/>
        <v>456</v>
      </c>
      <c r="CT85" s="23">
        <f t="shared" si="334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ref="A86:A143" si="699">CONCATENATE(B86,"_",C86)</f>
        <v>acm2_human_3UON</v>
      </c>
      <c r="B86" s="3" t="s">
        <v>147</v>
      </c>
      <c r="C86" s="3" t="s">
        <v>79</v>
      </c>
      <c r="D86" s="3" t="str">
        <f>IFERROR(MID(VLOOKUP($B86,Seqs!$A:$B,2,0),E86,1),"")</f>
        <v>V</v>
      </c>
      <c r="E86" s="3">
        <v>23</v>
      </c>
      <c r="F86" s="3" t="str">
        <f>IFERROR(MID(VLOOKUP($B86,Seqs!$A:$B,2,0),G86,1),"")</f>
        <v>N</v>
      </c>
      <c r="G86" s="3">
        <v>51</v>
      </c>
      <c r="H86" s="3" t="str">
        <f>IFERROR(MID(VLOOKUP($B86,Seqs!$A:$B,2,0),I86,1),"")</f>
        <v>R</v>
      </c>
      <c r="I86" s="23">
        <v>52</v>
      </c>
      <c r="J86" s="3" t="str">
        <f>IFERROR(MID(VLOOKUP($B86,Seqs!$A:$B,2,0),K86,1),"")</f>
        <v>Q</v>
      </c>
      <c r="K86" s="23">
        <v>55</v>
      </c>
      <c r="L86" s="3" t="str">
        <f>IFERROR(MID(VLOOKUP($B86,Seqs!$A:$B,2,0),M86,1),"")</f>
        <v>T</v>
      </c>
      <c r="M86" s="3">
        <v>56</v>
      </c>
      <c r="N86" s="3" t="str">
        <f>IFERROR(MID(VLOOKUP($B86,Seqs!$A:$B,2,0),O86,1),"")</f>
        <v>I</v>
      </c>
      <c r="O86" s="3">
        <v>86</v>
      </c>
      <c r="P86" s="3" t="str">
        <f>IFERROR(MID(VLOOKUP($B86,Seqs!$A:$B,2,0),Q86,1),"")</f>
        <v>Y</v>
      </c>
      <c r="Q86" s="3">
        <v>88</v>
      </c>
      <c r="R86" s="3" t="str">
        <f>IFERROR(MID(VLOOKUP($B86,Seqs!$A:$B,2,0),S86,1),"")</f>
        <v>L</v>
      </c>
      <c r="S86" s="3">
        <v>91</v>
      </c>
      <c r="T86" s="3" t="str">
        <f>IFERROR(MID(VLOOKUP($B86,Seqs!$A:$B,2,0),U86,1),"")</f>
        <v>G</v>
      </c>
      <c r="U86" s="3">
        <v>92</v>
      </c>
      <c r="V86" s="3" t="str">
        <f>IFERROR(MID(VLOOKUP($B86,Seqs!$A:$B,2,0),W86,1),"")</f>
        <v>K</v>
      </c>
      <c r="W86" s="3">
        <v>127</v>
      </c>
      <c r="X86" s="3" t="str">
        <f>IFERROR(MID(VLOOKUP($B86,Seqs!$A:$B,2,0),Y86,1),"")</f>
        <v>P</v>
      </c>
      <c r="Y86" s="3">
        <v>128</v>
      </c>
      <c r="Z86" s="3" t="str">
        <f>IFERROR(MID(VLOOKUP($B86,Seqs!$A:$B,2,0),AA86,1),"")</f>
        <v>R</v>
      </c>
      <c r="AA86" s="3">
        <v>135</v>
      </c>
      <c r="AB86" s="3" t="str">
        <f>IFERROR(MID(VLOOKUP($B86,Seqs!$A:$B,2,0),AC86,1),"")</f>
        <v>T</v>
      </c>
      <c r="AC86" s="9">
        <v>136</v>
      </c>
      <c r="AD86" s="3" t="str">
        <f>IFERROR(MID(VLOOKUP($B86,Seqs!$A:$B,2,0),AE86,1),"")</f>
        <v>G</v>
      </c>
      <c r="AE86" s="3">
        <v>167</v>
      </c>
      <c r="AF86" s="3" t="str">
        <f>IFERROR(MID(VLOOKUP($B86,Seqs!$A:$B,2,0),AG86,1),"")</f>
        <v>C</v>
      </c>
      <c r="AG86" s="3">
        <v>176</v>
      </c>
      <c r="AH86" s="3" t="str">
        <f>IFERROR(MID(VLOOKUP($B86,Seqs!$A:$B,2,0),AI86,1),"")</f>
        <v>I</v>
      </c>
      <c r="AI86" s="3">
        <v>178</v>
      </c>
      <c r="AJ86" s="3" t="str">
        <f>IFERROR(MID(VLOOKUP($B86,Seqs!$A:$B,2,0),AK86,1),"")</f>
        <v>N</v>
      </c>
      <c r="AK86" s="3">
        <v>183</v>
      </c>
      <c r="AL86" s="3" t="str">
        <f>IFERROR(MID(VLOOKUP($B86,Seqs!$A:$B,2,0),AM86,1),"")</f>
        <v>S</v>
      </c>
      <c r="AM86" s="3">
        <v>213</v>
      </c>
      <c r="AN86" s="3" t="str">
        <f>IFERROR(MID(VLOOKUP($B86,Seqs!$A:$B,2,0),AO86,1),"")</f>
        <v>K</v>
      </c>
      <c r="AO86" s="3">
        <v>384</v>
      </c>
      <c r="AP86" s="3" t="str">
        <f>IFERROR(MID(VLOOKUP($B86,Seqs!$A:$B,2,0),AQ86,1),"")</f>
        <v>C</v>
      </c>
      <c r="AQ86" s="3">
        <v>413</v>
      </c>
      <c r="AR86" s="3" t="str">
        <f>IFERROR(MID(VLOOKUP($B86,Seqs!$A:$B,2,0),AS86,1),"")</f>
        <v>P</v>
      </c>
      <c r="AS86" s="3">
        <v>418</v>
      </c>
      <c r="AT86" s="3" t="str">
        <f>IFERROR(MID(VLOOKUP($B86,Seqs!$A:$B,2,0),AU86,1),"")</f>
        <v>C</v>
      </c>
      <c r="AU86" s="3">
        <v>443</v>
      </c>
      <c r="AV86" s="3" t="str">
        <f>IFERROR(MID(VLOOKUP($B86,Seqs!$A:$B,2,0),AW86,1),"")</f>
        <v>N</v>
      </c>
      <c r="AW86" s="3">
        <v>444</v>
      </c>
      <c r="AX86" s="3" t="str">
        <f>IFERROR(MID(VLOOKUP($B86,Seqs!$A:$B,2,0),AY86,1),"")</f>
        <v>M</v>
      </c>
      <c r="AY86" s="3">
        <v>456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ref="BB86:BB143" si="700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23">
        <f t="shared" si="309"/>
        <v>247</v>
      </c>
      <c r="BD86" s="16" t="s">
        <v>23</v>
      </c>
      <c r="BE86" s="3" t="s">
        <v>1368</v>
      </c>
      <c r="BF86" s="118">
        <v>3</v>
      </c>
      <c r="BG86" s="49" t="s">
        <v>1371</v>
      </c>
      <c r="BH86" s="49" t="s">
        <v>1371</v>
      </c>
      <c r="BI86" s="1"/>
      <c r="BJ86" s="70" t="s">
        <v>1281</v>
      </c>
      <c r="BK86" s="57" t="s">
        <v>1281</v>
      </c>
      <c r="BL86" s="57" t="s">
        <v>1281</v>
      </c>
      <c r="BM86" s="57" t="s">
        <v>1281</v>
      </c>
      <c r="BN86" s="57" t="s">
        <v>1281</v>
      </c>
      <c r="BO86" s="57" t="s">
        <v>1281</v>
      </c>
      <c r="BP86" s="57" t="s">
        <v>1281</v>
      </c>
      <c r="BQ86" s="57" t="s">
        <v>1281</v>
      </c>
      <c r="BR86" s="57" t="s">
        <v>1281</v>
      </c>
      <c r="BS86" s="57" t="s">
        <v>1281</v>
      </c>
      <c r="BT86" s="57" t="s">
        <v>1281</v>
      </c>
      <c r="BU86" s="57" t="s">
        <v>1281</v>
      </c>
      <c r="BV86" s="70">
        <f t="shared" si="310"/>
        <v>23</v>
      </c>
      <c r="BW86" s="71">
        <f t="shared" si="311"/>
        <v>52</v>
      </c>
      <c r="BX86" s="72">
        <f t="shared" si="312"/>
        <v>56</v>
      </c>
      <c r="BY86" s="71">
        <f t="shared" si="313"/>
        <v>88</v>
      </c>
      <c r="BZ86" s="72">
        <f t="shared" si="314"/>
        <v>92</v>
      </c>
      <c r="CA86" s="71">
        <f t="shared" si="315"/>
        <v>128</v>
      </c>
      <c r="CB86" s="72">
        <f t="shared" si="316"/>
        <v>136</v>
      </c>
      <c r="CC86" s="71">
        <f t="shared" si="317"/>
        <v>176</v>
      </c>
      <c r="CD86" s="72">
        <f t="shared" si="318"/>
        <v>183</v>
      </c>
      <c r="CE86" s="71">
        <f t="shared" si="319"/>
        <v>384</v>
      </c>
      <c r="CF86" s="72">
        <f t="shared" si="320"/>
        <v>418</v>
      </c>
      <c r="CG86" s="71">
        <f t="shared" si="321"/>
        <v>444</v>
      </c>
      <c r="CH86" s="70">
        <f t="shared" si="322"/>
        <v>51</v>
      </c>
      <c r="CI86" s="71">
        <f t="shared" si="323"/>
        <v>55</v>
      </c>
      <c r="CJ86" s="72">
        <f t="shared" si="324"/>
        <v>86</v>
      </c>
      <c r="CK86" s="72">
        <f t="shared" si="325"/>
        <v>91</v>
      </c>
      <c r="CL86" s="72">
        <f t="shared" si="326"/>
        <v>127</v>
      </c>
      <c r="CM86" s="72">
        <f t="shared" si="327"/>
        <v>135</v>
      </c>
      <c r="CN86" s="72">
        <f t="shared" si="328"/>
        <v>167</v>
      </c>
      <c r="CO86" s="72">
        <f t="shared" si="329"/>
        <v>178</v>
      </c>
      <c r="CP86" s="72">
        <f t="shared" si="330"/>
        <v>213</v>
      </c>
      <c r="CQ86" s="72">
        <f t="shared" si="331"/>
        <v>413</v>
      </c>
      <c r="CR86" s="72">
        <f t="shared" si="332"/>
        <v>443</v>
      </c>
      <c r="CS86" s="72">
        <f t="shared" si="333"/>
        <v>456</v>
      </c>
      <c r="CT86" s="23">
        <f t="shared" si="334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699"/>
        <v>acm2_human_4MQS</v>
      </c>
      <c r="B87" s="3" t="s">
        <v>147</v>
      </c>
      <c r="C87" s="3" t="s">
        <v>68</v>
      </c>
      <c r="D87" s="3" t="str">
        <f>IFERROR(MID(VLOOKUP($B87,Seqs!$A:$B,2,0),E87,1),"")</f>
        <v>K</v>
      </c>
      <c r="E87" s="3">
        <v>19</v>
      </c>
      <c r="F87" s="3" t="str">
        <f>IFERROR(MID(VLOOKUP($B87,Seqs!$A:$B,2,0),G87,1),"")</f>
        <v>N</v>
      </c>
      <c r="G87" s="3">
        <v>51</v>
      </c>
      <c r="H87" s="3" t="str">
        <f>IFERROR(MID(VLOOKUP($B87,Seqs!$A:$B,2,0),I87,1),"")</f>
        <v>R</v>
      </c>
      <c r="I87" s="23">
        <v>52</v>
      </c>
      <c r="J87" s="3" t="str">
        <f>IFERROR(MID(VLOOKUP($B87,Seqs!$A:$B,2,0),K87,1),"")</f>
        <v>Q</v>
      </c>
      <c r="K87" s="23">
        <v>55</v>
      </c>
      <c r="L87" s="3" t="str">
        <f>IFERROR(MID(VLOOKUP($B87,Seqs!$A:$B,2,0),M87,1),"")</f>
        <v>T</v>
      </c>
      <c r="M87" s="3">
        <v>56</v>
      </c>
      <c r="N87" s="3" t="str">
        <f>IFERROR(MID(VLOOKUP($B87,Seqs!$A:$B,2,0),O87,1),"")</f>
        <v>G</v>
      </c>
      <c r="O87" s="3">
        <v>87</v>
      </c>
      <c r="P87" s="3" t="str">
        <f>IFERROR(MID(VLOOKUP($B87,Seqs!$A:$B,2,0),Q87,1),"")</f>
        <v>Y</v>
      </c>
      <c r="Q87" s="3">
        <v>88</v>
      </c>
      <c r="R87" s="3" t="str">
        <f>IFERROR(MID(VLOOKUP($B87,Seqs!$A:$B,2,0),S87,1),"")</f>
        <v>L</v>
      </c>
      <c r="S87" s="3">
        <v>91</v>
      </c>
      <c r="T87" s="3" t="str">
        <f>IFERROR(MID(VLOOKUP($B87,Seqs!$A:$B,2,0),U87,1),"")</f>
        <v>G</v>
      </c>
      <c r="U87" s="3">
        <v>92</v>
      </c>
      <c r="V87" s="3" t="str">
        <f>IFERROR(MID(VLOOKUP($B87,Seqs!$A:$B,2,0),W87,1),"")</f>
        <v>K</v>
      </c>
      <c r="W87" s="3">
        <v>127</v>
      </c>
      <c r="X87" s="3" t="str">
        <f>IFERROR(MID(VLOOKUP($B87,Seqs!$A:$B,2,0),Y87,1),"")</f>
        <v>P</v>
      </c>
      <c r="Y87" s="3">
        <v>128</v>
      </c>
      <c r="Z87" s="3" t="str">
        <f>IFERROR(MID(VLOOKUP($B87,Seqs!$A:$B,2,0),AA87,1),"")</f>
        <v>R</v>
      </c>
      <c r="AA87" s="3">
        <v>135</v>
      </c>
      <c r="AB87" s="3" t="str">
        <f>IFERROR(MID(VLOOKUP($B87,Seqs!$A:$B,2,0),AC87,1),"")</f>
        <v>T</v>
      </c>
      <c r="AC87" s="9">
        <v>136</v>
      </c>
      <c r="AD87" s="3" t="str">
        <f>IFERROR(MID(VLOOKUP($B87,Seqs!$A:$B,2,0),AE87,1),"")</f>
        <v>G</v>
      </c>
      <c r="AE87" s="3">
        <v>167</v>
      </c>
      <c r="AF87" s="3" t="str">
        <f>IFERROR(MID(VLOOKUP($B87,Seqs!$A:$B,2,0),AG87,1),"")</f>
        <v>C</v>
      </c>
      <c r="AG87" s="3">
        <v>176</v>
      </c>
      <c r="AH87" s="3" t="str">
        <f>IFERROR(MID(VLOOKUP($B87,Seqs!$A:$B,2,0),AI87,1),"")</f>
        <v>I</v>
      </c>
      <c r="AI87" s="3">
        <v>178</v>
      </c>
      <c r="AJ87" s="3" t="str">
        <f>IFERROR(MID(VLOOKUP($B87,Seqs!$A:$B,2,0),AK87,1),"")</f>
        <v>N</v>
      </c>
      <c r="AK87" s="3">
        <v>183</v>
      </c>
      <c r="AL87" s="3" t="str">
        <f>IFERROR(MID(VLOOKUP($B87,Seqs!$A:$B,2,0),AM87,1),"")</f>
        <v>K</v>
      </c>
      <c r="AM87" s="3">
        <v>214</v>
      </c>
      <c r="AN87" s="3" t="str">
        <f>IFERROR(MID(VLOOKUP($B87,Seqs!$A:$B,2,0),AO87,1),"")</f>
        <v>S</v>
      </c>
      <c r="AO87" s="3">
        <v>380</v>
      </c>
      <c r="AP87" s="3" t="str">
        <f>IFERROR(MID(VLOOKUP($B87,Seqs!$A:$B,2,0),AQ87,1),"")</f>
        <v>C</v>
      </c>
      <c r="AQ87" s="3">
        <v>413</v>
      </c>
      <c r="AR87" s="3" t="str">
        <f>IFERROR(MID(VLOOKUP($B87,Seqs!$A:$B,2,0),AS87,1),"")</f>
        <v>P</v>
      </c>
      <c r="AS87" s="3">
        <v>418</v>
      </c>
      <c r="AT87" s="3" t="str">
        <f>IFERROR(MID(VLOOKUP($B87,Seqs!$A:$B,2,0),AU87,1),"")</f>
        <v>C</v>
      </c>
      <c r="AU87" s="3">
        <v>443</v>
      </c>
      <c r="AV87" s="3" t="str">
        <f>IFERROR(MID(VLOOKUP($B87,Seqs!$A:$B,2,0),AW87,1),"")</f>
        <v>N</v>
      </c>
      <c r="AW87" s="3">
        <v>444</v>
      </c>
      <c r="AX87" s="3" t="str">
        <f>IFERROR(MID(VLOOKUP($B87,Seqs!$A:$B,2,0),AY87,1),"")</f>
        <v>M</v>
      </c>
      <c r="AY87" s="3">
        <v>456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si="700"/>
        <v>1</v>
      </c>
      <c r="BC87" s="23">
        <f t="shared" si="309"/>
        <v>257</v>
      </c>
      <c r="BD87" s="4" t="s">
        <v>23</v>
      </c>
      <c r="BE87" s="3" t="s">
        <v>1285</v>
      </c>
      <c r="BF87" s="118">
        <v>3.5</v>
      </c>
      <c r="BG87" s="49" t="s">
        <v>1371</v>
      </c>
      <c r="BH87" s="49" t="s">
        <v>1371</v>
      </c>
      <c r="BI87" s="1"/>
      <c r="BJ87" s="70" t="s">
        <v>1281</v>
      </c>
      <c r="BK87" s="57" t="s">
        <v>1281</v>
      </c>
      <c r="BL87" s="57" t="s">
        <v>1281</v>
      </c>
      <c r="BM87" s="57" t="s">
        <v>1281</v>
      </c>
      <c r="BN87" s="57" t="s">
        <v>1281</v>
      </c>
      <c r="BO87" s="57" t="s">
        <v>1281</v>
      </c>
      <c r="BP87" s="57" t="s">
        <v>1281</v>
      </c>
      <c r="BQ87" s="57" t="s">
        <v>1281</v>
      </c>
      <c r="BR87" s="57" t="s">
        <v>1281</v>
      </c>
      <c r="BS87" s="57" t="s">
        <v>1281</v>
      </c>
      <c r="BT87" s="57" t="s">
        <v>1281</v>
      </c>
      <c r="BU87" s="57" t="s">
        <v>1281</v>
      </c>
      <c r="BV87" s="70">
        <f t="shared" si="310"/>
        <v>19</v>
      </c>
      <c r="BW87" s="71">
        <f t="shared" si="311"/>
        <v>52</v>
      </c>
      <c r="BX87" s="72">
        <f t="shared" si="312"/>
        <v>56</v>
      </c>
      <c r="BY87" s="71">
        <f t="shared" si="313"/>
        <v>88</v>
      </c>
      <c r="BZ87" s="72">
        <f t="shared" si="314"/>
        <v>92</v>
      </c>
      <c r="CA87" s="71">
        <f t="shared" si="315"/>
        <v>128</v>
      </c>
      <c r="CB87" s="72">
        <f t="shared" si="316"/>
        <v>136</v>
      </c>
      <c r="CC87" s="71">
        <f t="shared" si="317"/>
        <v>176</v>
      </c>
      <c r="CD87" s="72">
        <f t="shared" si="318"/>
        <v>183</v>
      </c>
      <c r="CE87" s="71">
        <f t="shared" si="319"/>
        <v>380</v>
      </c>
      <c r="CF87" s="72">
        <f t="shared" si="320"/>
        <v>418</v>
      </c>
      <c r="CG87" s="71">
        <f t="shared" si="321"/>
        <v>444</v>
      </c>
      <c r="CH87" s="70">
        <f t="shared" si="322"/>
        <v>51</v>
      </c>
      <c r="CI87" s="71">
        <f t="shared" si="323"/>
        <v>55</v>
      </c>
      <c r="CJ87" s="72">
        <f t="shared" si="324"/>
        <v>87</v>
      </c>
      <c r="CK87" s="72">
        <f t="shared" si="325"/>
        <v>91</v>
      </c>
      <c r="CL87" s="72">
        <f t="shared" si="326"/>
        <v>127</v>
      </c>
      <c r="CM87" s="72">
        <f t="shared" si="327"/>
        <v>135</v>
      </c>
      <c r="CN87" s="72">
        <f t="shared" si="328"/>
        <v>167</v>
      </c>
      <c r="CO87" s="72">
        <f t="shared" si="329"/>
        <v>178</v>
      </c>
      <c r="CP87" s="72">
        <f t="shared" si="330"/>
        <v>214</v>
      </c>
      <c r="CQ87" s="72">
        <f t="shared" si="331"/>
        <v>413</v>
      </c>
      <c r="CR87" s="72">
        <f t="shared" si="332"/>
        <v>443</v>
      </c>
      <c r="CS87" s="72">
        <f t="shared" si="333"/>
        <v>456</v>
      </c>
      <c r="CT87" s="23">
        <f t="shared" si="334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699"/>
        <v>acm2_human_4MQT</v>
      </c>
      <c r="B88" s="3" t="s">
        <v>147</v>
      </c>
      <c r="C88" s="3" t="s">
        <v>1040</v>
      </c>
      <c r="D88" s="3" t="str">
        <f>IFERROR(MID(VLOOKUP($B88,Seqs!$A:$B,2,0),E88,1),"")</f>
        <v>K</v>
      </c>
      <c r="E88" s="3">
        <v>19</v>
      </c>
      <c r="F88" s="3" t="str">
        <f>IFERROR(MID(VLOOKUP($B88,Seqs!$A:$B,2,0),G88,1),"")</f>
        <v>N</v>
      </c>
      <c r="G88" s="3">
        <v>51</v>
      </c>
      <c r="H88" s="3" t="str">
        <f>IFERROR(MID(VLOOKUP($B88,Seqs!$A:$B,2,0),I88,1),"")</f>
        <v>R</v>
      </c>
      <c r="I88" s="23">
        <v>52</v>
      </c>
      <c r="J88" s="3" t="str">
        <f>IFERROR(MID(VLOOKUP($B88,Seqs!$A:$B,2,0),K88,1),"")</f>
        <v>Q</v>
      </c>
      <c r="K88" s="23">
        <v>55</v>
      </c>
      <c r="L88" s="3" t="str">
        <f>IFERROR(MID(VLOOKUP($B88,Seqs!$A:$B,2,0),M88,1),"")</f>
        <v>T</v>
      </c>
      <c r="M88" s="3">
        <v>56</v>
      </c>
      <c r="N88" s="3" t="str">
        <f>IFERROR(MID(VLOOKUP($B88,Seqs!$A:$B,2,0),O88,1),"")</f>
        <v>G</v>
      </c>
      <c r="O88" s="3">
        <v>87</v>
      </c>
      <c r="P88" s="3" t="str">
        <f>IFERROR(MID(VLOOKUP($B88,Seqs!$A:$B,2,0),Q88,1),"")</f>
        <v>Y</v>
      </c>
      <c r="Q88" s="3">
        <v>88</v>
      </c>
      <c r="R88" s="3" t="str">
        <f>IFERROR(MID(VLOOKUP($B88,Seqs!$A:$B,2,0),S88,1),"")</f>
        <v>L</v>
      </c>
      <c r="S88" s="3">
        <v>91</v>
      </c>
      <c r="T88" s="3" t="str">
        <f>IFERROR(MID(VLOOKUP($B88,Seqs!$A:$B,2,0),U88,1),"")</f>
        <v>G</v>
      </c>
      <c r="U88" s="3">
        <v>92</v>
      </c>
      <c r="V88" s="3" t="str">
        <f>IFERROR(MID(VLOOKUP($B88,Seqs!$A:$B,2,0),W88,1),"")</f>
        <v>K</v>
      </c>
      <c r="W88" s="3">
        <v>127</v>
      </c>
      <c r="X88" s="3" t="str">
        <f>IFERROR(MID(VLOOKUP($B88,Seqs!$A:$B,2,0),Y88,1),"")</f>
        <v>P</v>
      </c>
      <c r="Y88" s="3">
        <v>128</v>
      </c>
      <c r="Z88" s="3" t="str">
        <f>IFERROR(MID(VLOOKUP($B88,Seqs!$A:$B,2,0),AA88,1),"")</f>
        <v>R</v>
      </c>
      <c r="AA88" s="3">
        <v>135</v>
      </c>
      <c r="AB88" s="3" t="str">
        <f>IFERROR(MID(VLOOKUP($B88,Seqs!$A:$B,2,0),AC88,1),"")</f>
        <v>T</v>
      </c>
      <c r="AC88" s="9">
        <v>136</v>
      </c>
      <c r="AD88" s="3" t="str">
        <f>IFERROR(MID(VLOOKUP($B88,Seqs!$A:$B,2,0),AE88,1),"")</f>
        <v>G</v>
      </c>
      <c r="AE88" s="3">
        <v>167</v>
      </c>
      <c r="AF88" s="3" t="str">
        <f>IFERROR(MID(VLOOKUP($B88,Seqs!$A:$B,2,0),AG88,1),"")</f>
        <v>C</v>
      </c>
      <c r="AG88" s="3">
        <v>176</v>
      </c>
      <c r="AH88" s="3" t="str">
        <f>IFERROR(MID(VLOOKUP($B88,Seqs!$A:$B,2,0),AI88,1),"")</f>
        <v>I</v>
      </c>
      <c r="AI88" s="3">
        <v>178</v>
      </c>
      <c r="AJ88" s="3" t="str">
        <f>IFERROR(MID(VLOOKUP($B88,Seqs!$A:$B,2,0),AK88,1),"")</f>
        <v>N</v>
      </c>
      <c r="AK88" s="3">
        <v>183</v>
      </c>
      <c r="AL88" s="3" t="str">
        <f>IFERROR(MID(VLOOKUP($B88,Seqs!$A:$B,2,0),AM88,1),"")</f>
        <v>S</v>
      </c>
      <c r="AM88" s="3">
        <v>215</v>
      </c>
      <c r="AN88" s="3" t="str">
        <f>IFERROR(MID(VLOOKUP($B88,Seqs!$A:$B,2,0),AO88,1),"")</f>
        <v>P</v>
      </c>
      <c r="AO88" s="3">
        <v>379</v>
      </c>
      <c r="AP88" s="3" t="str">
        <f>IFERROR(MID(VLOOKUP($B88,Seqs!$A:$B,2,0),AQ88,1),"")</f>
        <v>C</v>
      </c>
      <c r="AQ88" s="3">
        <v>413</v>
      </c>
      <c r="AR88" s="3" t="str">
        <f>IFERROR(MID(VLOOKUP($B88,Seqs!$A:$B,2,0),AS88,1),"")</f>
        <v>P</v>
      </c>
      <c r="AS88" s="3">
        <v>418</v>
      </c>
      <c r="AT88" s="3" t="str">
        <f>IFERROR(MID(VLOOKUP($B88,Seqs!$A:$B,2,0),AU88,1),"")</f>
        <v>C</v>
      </c>
      <c r="AU88" s="3">
        <v>443</v>
      </c>
      <c r="AV88" s="3" t="str">
        <f>IFERROR(MID(VLOOKUP($B88,Seqs!$A:$B,2,0),AW88,1),"")</f>
        <v>N</v>
      </c>
      <c r="AW88" s="3">
        <v>444</v>
      </c>
      <c r="AX88" s="3" t="str">
        <f>IFERROR(MID(VLOOKUP($B88,Seqs!$A:$B,2,0),AY88,1),"")</f>
        <v>C</v>
      </c>
      <c r="AY88" s="3">
        <v>457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700"/>
        <v>1</v>
      </c>
      <c r="BC88" s="23">
        <f t="shared" si="309"/>
        <v>260</v>
      </c>
      <c r="BD88" s="4" t="s">
        <v>1369</v>
      </c>
      <c r="BE88" s="3" t="s">
        <v>1285</v>
      </c>
      <c r="BF88" s="118">
        <v>3.7</v>
      </c>
      <c r="BG88" s="49" t="s">
        <v>1371</v>
      </c>
      <c r="BH88" s="49" t="s">
        <v>1371</v>
      </c>
      <c r="BI88" s="1"/>
      <c r="BJ88" s="70" t="s">
        <v>1281</v>
      </c>
      <c r="BK88" s="57" t="s">
        <v>1281</v>
      </c>
      <c r="BL88" s="57" t="s">
        <v>1281</v>
      </c>
      <c r="BM88" s="57" t="s">
        <v>1281</v>
      </c>
      <c r="BN88" s="57" t="s">
        <v>1281</v>
      </c>
      <c r="BO88" s="57" t="s">
        <v>1281</v>
      </c>
      <c r="BP88" s="57" t="s">
        <v>1281</v>
      </c>
      <c r="BQ88" s="57" t="s">
        <v>1281</v>
      </c>
      <c r="BR88" s="57" t="s">
        <v>1281</v>
      </c>
      <c r="BS88" s="57" t="s">
        <v>1281</v>
      </c>
      <c r="BT88" s="57" t="s">
        <v>1281</v>
      </c>
      <c r="BU88" s="57" t="s">
        <v>1281</v>
      </c>
      <c r="BV88" s="70">
        <f t="shared" si="310"/>
        <v>19</v>
      </c>
      <c r="BW88" s="71">
        <f t="shared" si="311"/>
        <v>52</v>
      </c>
      <c r="BX88" s="72">
        <f t="shared" si="312"/>
        <v>56</v>
      </c>
      <c r="BY88" s="71">
        <f t="shared" si="313"/>
        <v>88</v>
      </c>
      <c r="BZ88" s="72">
        <f t="shared" si="314"/>
        <v>92</v>
      </c>
      <c r="CA88" s="71">
        <f t="shared" si="315"/>
        <v>128</v>
      </c>
      <c r="CB88" s="72">
        <f t="shared" si="316"/>
        <v>136</v>
      </c>
      <c r="CC88" s="71">
        <f t="shared" si="317"/>
        <v>176</v>
      </c>
      <c r="CD88" s="72">
        <f t="shared" si="318"/>
        <v>183</v>
      </c>
      <c r="CE88" s="71">
        <f t="shared" si="319"/>
        <v>379</v>
      </c>
      <c r="CF88" s="72">
        <f t="shared" si="320"/>
        <v>418</v>
      </c>
      <c r="CG88" s="71">
        <f t="shared" si="321"/>
        <v>444</v>
      </c>
      <c r="CH88" s="70">
        <f t="shared" si="322"/>
        <v>51</v>
      </c>
      <c r="CI88" s="71">
        <f t="shared" si="323"/>
        <v>55</v>
      </c>
      <c r="CJ88" s="72">
        <f t="shared" si="324"/>
        <v>87</v>
      </c>
      <c r="CK88" s="72">
        <f t="shared" si="325"/>
        <v>91</v>
      </c>
      <c r="CL88" s="72">
        <f t="shared" si="326"/>
        <v>127</v>
      </c>
      <c r="CM88" s="72">
        <f t="shared" si="327"/>
        <v>135</v>
      </c>
      <c r="CN88" s="72">
        <f t="shared" si="328"/>
        <v>167</v>
      </c>
      <c r="CO88" s="72">
        <f t="shared" si="329"/>
        <v>178</v>
      </c>
      <c r="CP88" s="72">
        <f t="shared" si="330"/>
        <v>215</v>
      </c>
      <c r="CQ88" s="72">
        <f t="shared" si="331"/>
        <v>413</v>
      </c>
      <c r="CR88" s="72">
        <f t="shared" si="332"/>
        <v>443</v>
      </c>
      <c r="CS88" s="72">
        <f t="shared" si="333"/>
        <v>457</v>
      </c>
      <c r="CT88" s="23">
        <f t="shared" si="334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ref="A89" si="701">CONCATENATE(B89,"_",C89)</f>
        <v>acm2_human_5ZKC</v>
      </c>
      <c r="B89" s="3" t="s">
        <v>147</v>
      </c>
      <c r="C89" s="3" t="s">
        <v>1524</v>
      </c>
      <c r="D89" s="3" t="str">
        <f>IFERROR(MID(VLOOKUP($B89,Seqs!$A:$B,2,0),E89,1),"")</f>
        <v>P</v>
      </c>
      <c r="E89" s="3">
        <v>17</v>
      </c>
      <c r="F89" s="3" t="str">
        <f>IFERROR(MID(VLOOKUP($B89,Seqs!$A:$B,2,0),G89,1),"")</f>
        <v>N</v>
      </c>
      <c r="G89" s="3">
        <v>51</v>
      </c>
      <c r="H89" s="3" t="str">
        <f>IFERROR(MID(VLOOKUP($B89,Seqs!$A:$B,2,0),I89,1),"")</f>
        <v>R</v>
      </c>
      <c r="I89" s="23">
        <v>52</v>
      </c>
      <c r="J89" s="3" t="str">
        <f>IFERROR(MID(VLOOKUP($B89,Seqs!$A:$B,2,0),K89,1),"")</f>
        <v>Q</v>
      </c>
      <c r="K89" s="23">
        <v>55</v>
      </c>
      <c r="L89" s="3" t="str">
        <f>IFERROR(MID(VLOOKUP($B89,Seqs!$A:$B,2,0),M89,1),"")</f>
        <v>T</v>
      </c>
      <c r="M89" s="3">
        <v>56</v>
      </c>
      <c r="N89" s="3" t="str">
        <f>IFERROR(MID(VLOOKUP($B89,Seqs!$A:$B,2,0),O89,1),"")</f>
        <v>G</v>
      </c>
      <c r="O89" s="3">
        <v>87</v>
      </c>
      <c r="P89" s="3" t="str">
        <f>IFERROR(MID(VLOOKUP($B89,Seqs!$A:$B,2,0),Q89,1),"")</f>
        <v>Y</v>
      </c>
      <c r="Q89" s="3">
        <v>88</v>
      </c>
      <c r="R89" s="3" t="str">
        <f>IFERROR(MID(VLOOKUP($B89,Seqs!$A:$B,2,0),S89,1),"")</f>
        <v>L</v>
      </c>
      <c r="S89" s="3">
        <v>91</v>
      </c>
      <c r="T89" s="3" t="str">
        <f>IFERROR(MID(VLOOKUP($B89,Seqs!$A:$B,2,0),U89,1),"")</f>
        <v>G</v>
      </c>
      <c r="U89" s="3">
        <v>92</v>
      </c>
      <c r="V89" s="3" t="str">
        <f>IFERROR(MID(VLOOKUP($B89,Seqs!$A:$B,2,0),W89,1),"")</f>
        <v>K</v>
      </c>
      <c r="W89" s="3">
        <v>127</v>
      </c>
      <c r="X89" s="3" t="str">
        <f>IFERROR(MID(VLOOKUP($B89,Seqs!$A:$B,2,0),Y89,1),"")</f>
        <v>P</v>
      </c>
      <c r="Y89" s="3">
        <v>128</v>
      </c>
      <c r="Z89" s="3" t="str">
        <f>IFERROR(MID(VLOOKUP($B89,Seqs!$A:$B,2,0),AA89,1),"")</f>
        <v>R</v>
      </c>
      <c r="AA89" s="3">
        <v>135</v>
      </c>
      <c r="AB89" s="3" t="str">
        <f>IFERROR(MID(VLOOKUP($B89,Seqs!$A:$B,2,0),AC89,1),"")</f>
        <v>T</v>
      </c>
      <c r="AC89" s="3">
        <v>136</v>
      </c>
      <c r="AD89" s="3" t="str">
        <f>IFERROR(MID(VLOOKUP($B89,Seqs!$A:$B,2,0),AE89,1),"")</f>
        <v>V</v>
      </c>
      <c r="AE89" s="3">
        <v>166</v>
      </c>
      <c r="AF89" s="3" t="str">
        <f>IFERROR(MID(VLOOKUP($B89,Seqs!$A:$B,2,0),AG89,1),"")</f>
        <v>C</v>
      </c>
      <c r="AG89" s="3">
        <v>176</v>
      </c>
      <c r="AH89" s="3" t="str">
        <f>IFERROR(MID(VLOOKUP($B89,Seqs!$A:$B,2,0),AI89,1),"")</f>
        <v>I</v>
      </c>
      <c r="AI89" s="3">
        <v>178</v>
      </c>
      <c r="AJ89" s="3" t="str">
        <f>IFERROR(MID(VLOOKUP($B89,Seqs!$A:$B,2,0),AK89,1),"")</f>
        <v>N</v>
      </c>
      <c r="AK89" s="3">
        <v>183</v>
      </c>
      <c r="AL89" s="3" t="str">
        <f>IFERROR(MID(VLOOKUP($B89,Seqs!$A:$B,2,0),AM89,1),"")</f>
        <v>K</v>
      </c>
      <c r="AM89" s="3">
        <v>214</v>
      </c>
      <c r="AN89" s="3" t="str">
        <f>IFERROR(MID(VLOOKUP($B89,Seqs!$A:$B,2,0),AO89,1),"")</f>
        <v>R</v>
      </c>
      <c r="AO89" s="3">
        <v>381</v>
      </c>
      <c r="AP89" s="3" t="str">
        <f>IFERROR(MID(VLOOKUP($B89,Seqs!$A:$B,2,0),AQ89,1),"")</f>
        <v>C</v>
      </c>
      <c r="AQ89" s="3">
        <v>413</v>
      </c>
      <c r="AR89" s="3" t="str">
        <f>IFERROR(MID(VLOOKUP($B89,Seqs!$A:$B,2,0),AS89,1),"")</f>
        <v>P</v>
      </c>
      <c r="AS89" s="3">
        <v>418</v>
      </c>
      <c r="AT89" s="3" t="str">
        <f>IFERROR(MID(VLOOKUP($B89,Seqs!$A:$B,2,0),AU89,1),"")</f>
        <v>C</v>
      </c>
      <c r="AU89" s="105">
        <v>443</v>
      </c>
      <c r="AV89" s="3" t="str">
        <f>IFERROR(MID(VLOOKUP($B89,Seqs!$A:$B,2,0),AW89,1),"")</f>
        <v>N</v>
      </c>
      <c r="AW89" s="3">
        <v>444</v>
      </c>
      <c r="AX89" s="3" t="str">
        <f>IFERROR(MID(VLOOKUP($B89,Seqs!$A:$B,2,0),AY89,1),"")</f>
        <v>M</v>
      </c>
      <c r="AY89" s="3">
        <v>456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ref="BB89" si="702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703">_xlfn.AGGREGATE(9,6,CH89:CS89)-_xlfn.AGGREGATE(9,6,BV89:CG89)+12</f>
        <v>257</v>
      </c>
      <c r="BD89" s="4" t="s">
        <v>1370</v>
      </c>
      <c r="BE89" s="3" t="s">
        <v>1368</v>
      </c>
      <c r="BF89" s="118">
        <v>2.2999999999999998</v>
      </c>
      <c r="BG89" s="49" t="s">
        <v>1</v>
      </c>
      <c r="BH89" s="49" t="s">
        <v>1</v>
      </c>
      <c r="BI89" s="1"/>
      <c r="BJ89" s="70" t="s">
        <v>1281</v>
      </c>
      <c r="BK89" s="57" t="s">
        <v>1281</v>
      </c>
      <c r="BL89" s="57" t="s">
        <v>1281</v>
      </c>
      <c r="BM89" s="57" t="s">
        <v>1281</v>
      </c>
      <c r="BN89" s="57" t="s">
        <v>1281</v>
      </c>
      <c r="BO89" s="57" t="s">
        <v>1281</v>
      </c>
      <c r="BP89" s="57" t="s">
        <v>1281</v>
      </c>
      <c r="BQ89" s="57" t="s">
        <v>1281</v>
      </c>
      <c r="BR89" s="57" t="s">
        <v>1281</v>
      </c>
      <c r="BS89" s="57" t="s">
        <v>1281</v>
      </c>
      <c r="BT89" s="57" t="s">
        <v>1281</v>
      </c>
      <c r="BU89" s="57" t="s">
        <v>1281</v>
      </c>
      <c r="BV89" s="70">
        <f t="shared" ref="BV89" si="704">E89</f>
        <v>17</v>
      </c>
      <c r="BW89" s="71">
        <f t="shared" ref="BW89" si="705">I89</f>
        <v>52</v>
      </c>
      <c r="BX89" s="72">
        <f t="shared" ref="BX89" si="706">M89</f>
        <v>56</v>
      </c>
      <c r="BY89" s="71">
        <f t="shared" ref="BY89" si="707">Q89</f>
        <v>88</v>
      </c>
      <c r="BZ89" s="72">
        <f t="shared" ref="BZ89" si="708">U89</f>
        <v>92</v>
      </c>
      <c r="CA89" s="71">
        <f t="shared" ref="CA89" si="709">Y89</f>
        <v>128</v>
      </c>
      <c r="CB89" s="72">
        <f t="shared" ref="CB89" si="710">AC89</f>
        <v>136</v>
      </c>
      <c r="CC89" s="71">
        <f t="shared" ref="CC89" si="711">AG89</f>
        <v>176</v>
      </c>
      <c r="CD89" s="72">
        <f t="shared" ref="CD89" si="712">AK89</f>
        <v>183</v>
      </c>
      <c r="CE89" s="71">
        <f t="shared" ref="CE89" si="713">AO89</f>
        <v>381</v>
      </c>
      <c r="CF89" s="72">
        <f t="shared" ref="CF89" si="714">AS89</f>
        <v>418</v>
      </c>
      <c r="CG89" s="71">
        <f t="shared" ref="CG89" si="715">AW89</f>
        <v>444</v>
      </c>
      <c r="CH89" s="70">
        <f t="shared" ref="CH89" si="716">G89</f>
        <v>51</v>
      </c>
      <c r="CI89" s="71">
        <f t="shared" ref="CI89" si="717">K89</f>
        <v>55</v>
      </c>
      <c r="CJ89" s="72">
        <f t="shared" ref="CJ89" si="718">O89</f>
        <v>87</v>
      </c>
      <c r="CK89" s="72">
        <f t="shared" ref="CK89" si="719">S89</f>
        <v>91</v>
      </c>
      <c r="CL89" s="72">
        <f t="shared" ref="CL89" si="720">W89</f>
        <v>127</v>
      </c>
      <c r="CM89" s="72">
        <f t="shared" ref="CM89" si="721">AA89</f>
        <v>135</v>
      </c>
      <c r="CN89" s="72">
        <f t="shared" ref="CN89" si="722">AE89</f>
        <v>166</v>
      </c>
      <c r="CO89" s="72">
        <f t="shared" ref="CO89" si="723">AI89</f>
        <v>178</v>
      </c>
      <c r="CP89" s="72">
        <f t="shared" ref="CP89" si="724">AM89</f>
        <v>214</v>
      </c>
      <c r="CQ89" s="72">
        <f t="shared" ref="CQ89" si="725">AQ89</f>
        <v>413</v>
      </c>
      <c r="CR89" s="72">
        <f t="shared" ref="CR89" si="726">AU89</f>
        <v>443</v>
      </c>
      <c r="CS89" s="72">
        <f t="shared" ref="CS89" si="727">AY89</f>
        <v>456</v>
      </c>
      <c r="CT89" s="23">
        <f t="shared" ref="CT89" si="728">M89-K89</f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ref="A90" si="729">CONCATENATE(B90,"_",C90)</f>
        <v>acm2_human_5ZKB</v>
      </c>
      <c r="B90" s="3" t="s">
        <v>147</v>
      </c>
      <c r="C90" s="3" t="s">
        <v>1525</v>
      </c>
      <c r="D90" s="3" t="str">
        <f>IFERROR(MID(VLOOKUP($B90,Seqs!$A:$B,2,0),E90,1),"")</f>
        <v>Y</v>
      </c>
      <c r="E90" s="3">
        <v>18</v>
      </c>
      <c r="F90" s="3" t="str">
        <f>IFERROR(MID(VLOOKUP($B90,Seqs!$A:$B,2,0),G90,1),"")</f>
        <v>N</v>
      </c>
      <c r="G90" s="3">
        <v>51</v>
      </c>
      <c r="H90" s="3" t="str">
        <f>IFERROR(MID(VLOOKUP($B90,Seqs!$A:$B,2,0),I90,1),"")</f>
        <v>R</v>
      </c>
      <c r="I90" s="23">
        <v>52</v>
      </c>
      <c r="J90" s="3" t="str">
        <f>IFERROR(MID(VLOOKUP($B90,Seqs!$A:$B,2,0),K90,1),"")</f>
        <v>Q</v>
      </c>
      <c r="K90" s="23">
        <v>55</v>
      </c>
      <c r="L90" s="3" t="str">
        <f>IFERROR(MID(VLOOKUP($B90,Seqs!$A:$B,2,0),M90,1),"")</f>
        <v>T</v>
      </c>
      <c r="M90" s="3">
        <v>56</v>
      </c>
      <c r="N90" s="3" t="str">
        <f>IFERROR(MID(VLOOKUP($B90,Seqs!$A:$B,2,0),O90,1),"")</f>
        <v>G</v>
      </c>
      <c r="O90" s="3">
        <v>87</v>
      </c>
      <c r="P90" s="3" t="str">
        <f>IFERROR(MID(VLOOKUP($B90,Seqs!$A:$B,2,0),Q90,1),"")</f>
        <v>Y</v>
      </c>
      <c r="Q90" s="3">
        <v>88</v>
      </c>
      <c r="R90" s="3" t="str">
        <f>IFERROR(MID(VLOOKUP($B90,Seqs!$A:$B,2,0),S90,1),"")</f>
        <v>L</v>
      </c>
      <c r="S90" s="3">
        <v>91</v>
      </c>
      <c r="T90" s="3" t="str">
        <f>IFERROR(MID(VLOOKUP($B90,Seqs!$A:$B,2,0),U90,1),"")</f>
        <v>G</v>
      </c>
      <c r="U90" s="3">
        <v>92</v>
      </c>
      <c r="V90" s="3" t="str">
        <f>IFERROR(MID(VLOOKUP($B90,Seqs!$A:$B,2,0),W90,1),"")</f>
        <v>K</v>
      </c>
      <c r="W90" s="3">
        <v>127</v>
      </c>
      <c r="X90" s="3" t="str">
        <f>IFERROR(MID(VLOOKUP($B90,Seqs!$A:$B,2,0),Y90,1),"")</f>
        <v>P</v>
      </c>
      <c r="Y90" s="3">
        <v>128</v>
      </c>
      <c r="Z90" s="3" t="str">
        <f>IFERROR(MID(VLOOKUP($B90,Seqs!$A:$B,2,0),AA90,1),"")</f>
        <v>R</v>
      </c>
      <c r="AA90" s="3">
        <v>135</v>
      </c>
      <c r="AB90" s="3" t="str">
        <f>IFERROR(MID(VLOOKUP($B90,Seqs!$A:$B,2,0),AC90,1),"")</f>
        <v>T</v>
      </c>
      <c r="AC90" s="3">
        <v>136</v>
      </c>
      <c r="AD90" s="3" t="str">
        <f>IFERROR(MID(VLOOKUP($B90,Seqs!$A:$B,2,0),AE90,1),"")</f>
        <v>V</v>
      </c>
      <c r="AE90" s="3">
        <v>166</v>
      </c>
      <c r="AF90" s="3" t="str">
        <f>IFERROR(MID(VLOOKUP($B90,Seqs!$A:$B,2,0),AG90,1),"")</f>
        <v>C</v>
      </c>
      <c r="AG90" s="3">
        <v>176</v>
      </c>
      <c r="AH90" s="3" t="str">
        <f>IFERROR(MID(VLOOKUP($B90,Seqs!$A:$B,2,0),AI90,1),"")</f>
        <v>I</v>
      </c>
      <c r="AI90" s="3">
        <v>178</v>
      </c>
      <c r="AJ90" s="3" t="str">
        <f>IFERROR(MID(VLOOKUP($B90,Seqs!$A:$B,2,0),AK90,1),"")</f>
        <v>N</v>
      </c>
      <c r="AK90" s="3">
        <v>183</v>
      </c>
      <c r="AL90" s="3" t="str">
        <f>IFERROR(MID(VLOOKUP($B90,Seqs!$A:$B,2,0),AM90,1),"")</f>
        <v>K</v>
      </c>
      <c r="AM90" s="3">
        <v>214</v>
      </c>
      <c r="AN90" s="3" t="str">
        <f>IFERROR(MID(VLOOKUP($B90,Seqs!$A:$B,2,0),AO90,1),"")</f>
        <v>S</v>
      </c>
      <c r="AO90" s="3">
        <v>380</v>
      </c>
      <c r="AP90" s="3" t="str">
        <f>IFERROR(MID(VLOOKUP($B90,Seqs!$A:$B,2,0),AQ90,1),"")</f>
        <v>C</v>
      </c>
      <c r="AQ90" s="3">
        <v>413</v>
      </c>
      <c r="AR90" s="3" t="str">
        <f>IFERROR(MID(VLOOKUP($B90,Seqs!$A:$B,2,0),AS90,1),"")</f>
        <v>P</v>
      </c>
      <c r="AS90" s="3">
        <v>418</v>
      </c>
      <c r="AT90" s="3" t="str">
        <f>IFERROR(MID(VLOOKUP($B90,Seqs!$A:$B,2,0),AU90,1),"")</f>
        <v>C</v>
      </c>
      <c r="AU90" s="105">
        <v>443</v>
      </c>
      <c r="AV90" s="3" t="str">
        <f>IFERROR(MID(VLOOKUP($B90,Seqs!$A:$B,2,0),AW90,1),"")</f>
        <v>N</v>
      </c>
      <c r="AW90" s="3">
        <v>444</v>
      </c>
      <c r="AX90" s="3" t="str">
        <f>IFERROR(MID(VLOOKUP($B90,Seqs!$A:$B,2,0),AY90,1),"")</f>
        <v>M</v>
      </c>
      <c r="AY90" s="3">
        <v>456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ref="BB90" si="730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23">
        <f t="shared" ref="BC90" si="731">_xlfn.AGGREGATE(9,6,CH90:CS90)-_xlfn.AGGREGATE(9,6,BV90:CG90)+12</f>
        <v>257</v>
      </c>
      <c r="BD90" s="4" t="s">
        <v>23</v>
      </c>
      <c r="BE90" s="3" t="s">
        <v>1368</v>
      </c>
      <c r="BF90" s="118">
        <v>2.95</v>
      </c>
      <c r="BG90" s="49" t="s">
        <v>1</v>
      </c>
      <c r="BH90" s="49" t="s">
        <v>1</v>
      </c>
      <c r="BI90" s="1"/>
      <c r="BJ90" s="70" t="s">
        <v>1281</v>
      </c>
      <c r="BK90" s="57" t="s">
        <v>1281</v>
      </c>
      <c r="BL90" s="57" t="s">
        <v>1281</v>
      </c>
      <c r="BM90" s="57" t="s">
        <v>1281</v>
      </c>
      <c r="BN90" s="57" t="s">
        <v>1281</v>
      </c>
      <c r="BO90" s="57" t="s">
        <v>1281</v>
      </c>
      <c r="BP90" s="57" t="s">
        <v>1281</v>
      </c>
      <c r="BQ90" s="57" t="s">
        <v>1281</v>
      </c>
      <c r="BR90" s="57" t="s">
        <v>1281</v>
      </c>
      <c r="BS90" s="57" t="s">
        <v>1281</v>
      </c>
      <c r="BT90" s="57" t="s">
        <v>1281</v>
      </c>
      <c r="BU90" s="57" t="s">
        <v>1281</v>
      </c>
      <c r="BV90" s="70">
        <f t="shared" ref="BV90" si="732">E90</f>
        <v>18</v>
      </c>
      <c r="BW90" s="71">
        <f t="shared" ref="BW90" si="733">I90</f>
        <v>52</v>
      </c>
      <c r="BX90" s="72">
        <f t="shared" ref="BX90" si="734">M90</f>
        <v>56</v>
      </c>
      <c r="BY90" s="71">
        <f t="shared" ref="BY90" si="735">Q90</f>
        <v>88</v>
      </c>
      <c r="BZ90" s="72">
        <f t="shared" ref="BZ90" si="736">U90</f>
        <v>92</v>
      </c>
      <c r="CA90" s="71">
        <f t="shared" ref="CA90" si="737">Y90</f>
        <v>128</v>
      </c>
      <c r="CB90" s="72">
        <f t="shared" ref="CB90" si="738">AC90</f>
        <v>136</v>
      </c>
      <c r="CC90" s="71">
        <f t="shared" ref="CC90" si="739">AG90</f>
        <v>176</v>
      </c>
      <c r="CD90" s="72">
        <f t="shared" ref="CD90" si="740">AK90</f>
        <v>183</v>
      </c>
      <c r="CE90" s="71">
        <f t="shared" ref="CE90" si="741">AO90</f>
        <v>380</v>
      </c>
      <c r="CF90" s="72">
        <f t="shared" ref="CF90" si="742">AS90</f>
        <v>418</v>
      </c>
      <c r="CG90" s="71">
        <f t="shared" ref="CG90" si="743">AW90</f>
        <v>444</v>
      </c>
      <c r="CH90" s="70">
        <f t="shared" ref="CH90" si="744">G90</f>
        <v>51</v>
      </c>
      <c r="CI90" s="71">
        <f t="shared" ref="CI90" si="745">K90</f>
        <v>55</v>
      </c>
      <c r="CJ90" s="72">
        <f t="shared" ref="CJ90" si="746">O90</f>
        <v>87</v>
      </c>
      <c r="CK90" s="72">
        <f t="shared" ref="CK90" si="747">S90</f>
        <v>91</v>
      </c>
      <c r="CL90" s="72">
        <f t="shared" ref="CL90" si="748">W90</f>
        <v>127</v>
      </c>
      <c r="CM90" s="72">
        <f t="shared" ref="CM90" si="749">AA90</f>
        <v>135</v>
      </c>
      <c r="CN90" s="72">
        <f t="shared" ref="CN90" si="750">AE90</f>
        <v>166</v>
      </c>
      <c r="CO90" s="72">
        <f t="shared" ref="CO90" si="751">AI90</f>
        <v>178</v>
      </c>
      <c r="CP90" s="72">
        <f t="shared" ref="CP90" si="752">AM90</f>
        <v>214</v>
      </c>
      <c r="CQ90" s="72">
        <f t="shared" ref="CQ90" si="753">AQ90</f>
        <v>413</v>
      </c>
      <c r="CR90" s="72">
        <f t="shared" ref="CR90" si="754">AU90</f>
        <v>443</v>
      </c>
      <c r="CS90" s="72">
        <f t="shared" ref="CS90" si="755">AY90</f>
        <v>456</v>
      </c>
      <c r="CT90" s="23">
        <f t="shared" ref="CT90" si="756">M90-K90</f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ref="A91" si="757">CONCATENATE(B91,"_",C91)</f>
        <v>acm2_human_5ZK8</v>
      </c>
      <c r="B91" s="3" t="s">
        <v>147</v>
      </c>
      <c r="C91" s="3" t="s">
        <v>1526</v>
      </c>
      <c r="D91" s="3" t="str">
        <f>IFERROR(MID(VLOOKUP($B91,Seqs!$A:$B,2,0),E91,1),"")</f>
        <v>Y</v>
      </c>
      <c r="E91" s="3">
        <v>18</v>
      </c>
      <c r="F91" s="3" t="str">
        <f>IFERROR(MID(VLOOKUP($B91,Seqs!$A:$B,2,0),G91,1),"")</f>
        <v>N</v>
      </c>
      <c r="G91" s="3">
        <v>51</v>
      </c>
      <c r="H91" s="3" t="str">
        <f>IFERROR(MID(VLOOKUP($B91,Seqs!$A:$B,2,0),I91,1),"")</f>
        <v>R</v>
      </c>
      <c r="I91" s="23">
        <v>52</v>
      </c>
      <c r="J91" s="3" t="str">
        <f>IFERROR(MID(VLOOKUP($B91,Seqs!$A:$B,2,0),K91,1),"")</f>
        <v>Q</v>
      </c>
      <c r="K91" s="23">
        <v>55</v>
      </c>
      <c r="L91" s="3" t="str">
        <f>IFERROR(MID(VLOOKUP($B91,Seqs!$A:$B,2,0),M91,1),"")</f>
        <v>T</v>
      </c>
      <c r="M91" s="3">
        <v>56</v>
      </c>
      <c r="N91" s="3" t="str">
        <f>IFERROR(MID(VLOOKUP($B91,Seqs!$A:$B,2,0),O91,1),"")</f>
        <v>G</v>
      </c>
      <c r="O91" s="3">
        <v>87</v>
      </c>
      <c r="P91" s="3" t="str">
        <f>IFERROR(MID(VLOOKUP($B91,Seqs!$A:$B,2,0),Q91,1),"")</f>
        <v>Y</v>
      </c>
      <c r="Q91" s="3">
        <v>88</v>
      </c>
      <c r="R91" s="3" t="str">
        <f>IFERROR(MID(VLOOKUP($B91,Seqs!$A:$B,2,0),S91,1),"")</f>
        <v>L</v>
      </c>
      <c r="S91" s="3">
        <v>91</v>
      </c>
      <c r="T91" s="3" t="str">
        <f>IFERROR(MID(VLOOKUP($B91,Seqs!$A:$B,2,0),U91,1),"")</f>
        <v>G</v>
      </c>
      <c r="U91" s="3">
        <v>92</v>
      </c>
      <c r="V91" s="3" t="str">
        <f>IFERROR(MID(VLOOKUP($B91,Seqs!$A:$B,2,0),W91,1),"")</f>
        <v>K</v>
      </c>
      <c r="W91" s="3">
        <v>127</v>
      </c>
      <c r="X91" s="3" t="str">
        <f>IFERROR(MID(VLOOKUP($B91,Seqs!$A:$B,2,0),Y91,1),"")</f>
        <v>P</v>
      </c>
      <c r="Y91" s="3">
        <v>128</v>
      </c>
      <c r="Z91" s="3" t="str">
        <f>IFERROR(MID(VLOOKUP($B91,Seqs!$A:$B,2,0),AA91,1),"")</f>
        <v>R</v>
      </c>
      <c r="AA91" s="3">
        <v>135</v>
      </c>
      <c r="AB91" s="3" t="str">
        <f>IFERROR(MID(VLOOKUP($B91,Seqs!$A:$B,2,0),AC91,1),"")</f>
        <v>T</v>
      </c>
      <c r="AC91" s="3">
        <v>136</v>
      </c>
      <c r="AD91" s="3" t="str">
        <f>IFERROR(MID(VLOOKUP($B91,Seqs!$A:$B,2,0),AE91,1),"")</f>
        <v>G</v>
      </c>
      <c r="AE91" s="3">
        <v>167</v>
      </c>
      <c r="AF91" s="3" t="str">
        <f>IFERROR(MID(VLOOKUP($B91,Seqs!$A:$B,2,0),AG91,1),"")</f>
        <v>C</v>
      </c>
      <c r="AG91" s="3">
        <v>176</v>
      </c>
      <c r="AH91" s="3" t="str">
        <f>IFERROR(MID(VLOOKUP($B91,Seqs!$A:$B,2,0),AI91,1),"")</f>
        <v>I</v>
      </c>
      <c r="AI91" s="3">
        <v>178</v>
      </c>
      <c r="AJ91" s="3" t="str">
        <f>IFERROR(MID(VLOOKUP($B91,Seqs!$A:$B,2,0),AK91,1),"")</f>
        <v>N</v>
      </c>
      <c r="AK91" s="3">
        <v>183</v>
      </c>
      <c r="AL91" s="3" t="str">
        <f>IFERROR(MID(VLOOKUP($B91,Seqs!$A:$B,2,0),AM91,1),"")</f>
        <v>K</v>
      </c>
      <c r="AM91" s="3">
        <v>214</v>
      </c>
      <c r="AN91" s="3" t="str">
        <f>IFERROR(MID(VLOOKUP($B91,Seqs!$A:$B,2,0),AO91,1),"")</f>
        <v>K</v>
      </c>
      <c r="AO91" s="3">
        <v>383</v>
      </c>
      <c r="AP91" s="3" t="str">
        <f>IFERROR(MID(VLOOKUP($B91,Seqs!$A:$B,2,0),AQ91,1),"")</f>
        <v>C</v>
      </c>
      <c r="AQ91" s="3">
        <v>413</v>
      </c>
      <c r="AR91" s="3" t="str">
        <f>IFERROR(MID(VLOOKUP($B91,Seqs!$A:$B,2,0),AS91,1),"")</f>
        <v>P</v>
      </c>
      <c r="AS91" s="3">
        <v>418</v>
      </c>
      <c r="AT91" s="3" t="str">
        <f>IFERROR(MID(VLOOKUP($B91,Seqs!$A:$B,2,0),AU91,1),"")</f>
        <v>C</v>
      </c>
      <c r="AU91" s="105">
        <v>443</v>
      </c>
      <c r="AV91" s="3" t="str">
        <f>IFERROR(MID(VLOOKUP($B91,Seqs!$A:$B,2,0),AW91,1),"")</f>
        <v>N</v>
      </c>
      <c r="AW91" s="3">
        <v>444</v>
      </c>
      <c r="AX91" s="3" t="str">
        <f>IFERROR(MID(VLOOKUP($B91,Seqs!$A:$B,2,0),AY91,1),"")</f>
        <v>M</v>
      </c>
      <c r="AY91" s="3">
        <v>456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ref="BB91" si="758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23">
        <f t="shared" ref="BC91" si="759">_xlfn.AGGREGATE(9,6,CH91:CS91)-_xlfn.AGGREGATE(9,6,BV91:CG91)+12</f>
        <v>255</v>
      </c>
      <c r="BD91" s="4" t="s">
        <v>23</v>
      </c>
      <c r="BE91" s="3" t="s">
        <v>1368</v>
      </c>
      <c r="BF91" s="118">
        <v>3</v>
      </c>
      <c r="BG91" s="49" t="s">
        <v>1</v>
      </c>
      <c r="BH91" s="49" t="s">
        <v>1</v>
      </c>
      <c r="BI91" s="1"/>
      <c r="BJ91" s="70" t="s">
        <v>1281</v>
      </c>
      <c r="BK91" s="57" t="s">
        <v>1281</v>
      </c>
      <c r="BL91" s="57" t="s">
        <v>1281</v>
      </c>
      <c r="BM91" s="57" t="s">
        <v>1281</v>
      </c>
      <c r="BN91" s="57" t="s">
        <v>1281</v>
      </c>
      <c r="BO91" s="57" t="s">
        <v>1281</v>
      </c>
      <c r="BP91" s="57" t="s">
        <v>1281</v>
      </c>
      <c r="BQ91" s="57" t="s">
        <v>1281</v>
      </c>
      <c r="BR91" s="57" t="s">
        <v>1281</v>
      </c>
      <c r="BS91" s="57" t="s">
        <v>1281</v>
      </c>
      <c r="BT91" s="57" t="s">
        <v>1281</v>
      </c>
      <c r="BU91" s="57" t="s">
        <v>1281</v>
      </c>
      <c r="BV91" s="70">
        <f t="shared" ref="BV91" si="760">E91</f>
        <v>18</v>
      </c>
      <c r="BW91" s="71">
        <f t="shared" ref="BW91" si="761">I91</f>
        <v>52</v>
      </c>
      <c r="BX91" s="72">
        <f t="shared" ref="BX91" si="762">M91</f>
        <v>56</v>
      </c>
      <c r="BY91" s="71">
        <f t="shared" ref="BY91" si="763">Q91</f>
        <v>88</v>
      </c>
      <c r="BZ91" s="72">
        <f t="shared" ref="BZ91" si="764">U91</f>
        <v>92</v>
      </c>
      <c r="CA91" s="71">
        <f t="shared" ref="CA91" si="765">Y91</f>
        <v>128</v>
      </c>
      <c r="CB91" s="72">
        <f t="shared" ref="CB91" si="766">AC91</f>
        <v>136</v>
      </c>
      <c r="CC91" s="71">
        <f t="shared" ref="CC91" si="767">AG91</f>
        <v>176</v>
      </c>
      <c r="CD91" s="72">
        <f t="shared" ref="CD91" si="768">AK91</f>
        <v>183</v>
      </c>
      <c r="CE91" s="71">
        <f t="shared" ref="CE91" si="769">AO91</f>
        <v>383</v>
      </c>
      <c r="CF91" s="72">
        <f t="shared" ref="CF91" si="770">AS91</f>
        <v>418</v>
      </c>
      <c r="CG91" s="71">
        <f t="shared" ref="CG91" si="771">AW91</f>
        <v>444</v>
      </c>
      <c r="CH91" s="70">
        <f t="shared" ref="CH91" si="772">G91</f>
        <v>51</v>
      </c>
      <c r="CI91" s="71">
        <f t="shared" ref="CI91" si="773">K91</f>
        <v>55</v>
      </c>
      <c r="CJ91" s="72">
        <f t="shared" ref="CJ91" si="774">O91</f>
        <v>87</v>
      </c>
      <c r="CK91" s="72">
        <f t="shared" ref="CK91" si="775">S91</f>
        <v>91</v>
      </c>
      <c r="CL91" s="72">
        <f t="shared" ref="CL91" si="776">W91</f>
        <v>127</v>
      </c>
      <c r="CM91" s="72">
        <f t="shared" ref="CM91" si="777">AA91</f>
        <v>135</v>
      </c>
      <c r="CN91" s="72">
        <f t="shared" ref="CN91" si="778">AE91</f>
        <v>167</v>
      </c>
      <c r="CO91" s="72">
        <f t="shared" ref="CO91" si="779">AI91</f>
        <v>178</v>
      </c>
      <c r="CP91" s="72">
        <f t="shared" ref="CP91" si="780">AM91</f>
        <v>214</v>
      </c>
      <c r="CQ91" s="72">
        <f t="shared" ref="CQ91" si="781">AQ91</f>
        <v>413</v>
      </c>
      <c r="CR91" s="72">
        <f t="shared" ref="CR91" si="782">AU91</f>
        <v>443</v>
      </c>
      <c r="CS91" s="72">
        <f t="shared" ref="CS91" si="783">AY91</f>
        <v>456</v>
      </c>
      <c r="CT91" s="23">
        <f t="shared" ref="CT91" si="784">M91-K91</f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ref="A92" si="785">CONCATENATE(B92,"_",C92)</f>
        <v>acm2_human_5ZK3</v>
      </c>
      <c r="B92" s="3" t="s">
        <v>147</v>
      </c>
      <c r="C92" s="3" t="s">
        <v>1527</v>
      </c>
      <c r="D92" s="3" t="str">
        <f>IFERROR(MID(VLOOKUP($B92,Seqs!$A:$B,2,0),E92,1),"")</f>
        <v>Y</v>
      </c>
      <c r="E92" s="3">
        <v>18</v>
      </c>
      <c r="F92" s="3" t="str">
        <f>IFERROR(MID(VLOOKUP($B92,Seqs!$A:$B,2,0),G92,1),"")</f>
        <v>N</v>
      </c>
      <c r="G92" s="3">
        <v>51</v>
      </c>
      <c r="H92" s="3" t="str">
        <f>IFERROR(MID(VLOOKUP($B92,Seqs!$A:$B,2,0),I92,1),"")</f>
        <v>R</v>
      </c>
      <c r="I92" s="23">
        <v>52</v>
      </c>
      <c r="J92" s="3" t="str">
        <f>IFERROR(MID(VLOOKUP($B92,Seqs!$A:$B,2,0),K92,1),"")</f>
        <v>Q</v>
      </c>
      <c r="K92" s="23">
        <v>55</v>
      </c>
      <c r="L92" s="3" t="str">
        <f>IFERROR(MID(VLOOKUP($B92,Seqs!$A:$B,2,0),M92,1),"")</f>
        <v>T</v>
      </c>
      <c r="M92" s="3">
        <v>56</v>
      </c>
      <c r="N92" s="3" t="str">
        <f>IFERROR(MID(VLOOKUP($B92,Seqs!$A:$B,2,0),O92,1),"")</f>
        <v>G</v>
      </c>
      <c r="O92" s="3">
        <v>87</v>
      </c>
      <c r="P92" s="3" t="str">
        <f>IFERROR(MID(VLOOKUP($B92,Seqs!$A:$B,2,0),Q92,1),"")</f>
        <v>Y</v>
      </c>
      <c r="Q92" s="3">
        <v>88</v>
      </c>
      <c r="R92" s="3" t="str">
        <f>IFERROR(MID(VLOOKUP($B92,Seqs!$A:$B,2,0),S92,1),"")</f>
        <v>L</v>
      </c>
      <c r="S92" s="3">
        <v>91</v>
      </c>
      <c r="T92" s="3" t="str">
        <f>IFERROR(MID(VLOOKUP($B92,Seqs!$A:$B,2,0),U92,1),"")</f>
        <v>G</v>
      </c>
      <c r="U92" s="3">
        <v>92</v>
      </c>
      <c r="V92" s="3" t="str">
        <f>IFERROR(MID(VLOOKUP($B92,Seqs!$A:$B,2,0),W92,1),"")</f>
        <v>K</v>
      </c>
      <c r="W92" s="3">
        <v>127</v>
      </c>
      <c r="X92" s="3" t="str">
        <f>IFERROR(MID(VLOOKUP($B92,Seqs!$A:$B,2,0),Y92,1),"")</f>
        <v>P</v>
      </c>
      <c r="Y92" s="3">
        <v>128</v>
      </c>
      <c r="Z92" s="3" t="str">
        <f>IFERROR(MID(VLOOKUP($B92,Seqs!$A:$B,2,0),AA92,1),"")</f>
        <v>R</v>
      </c>
      <c r="AA92" s="3">
        <v>135</v>
      </c>
      <c r="AB92" s="3" t="str">
        <f>IFERROR(MID(VLOOKUP($B92,Seqs!$A:$B,2,0),AC92,1),"")</f>
        <v>T</v>
      </c>
      <c r="AC92" s="3">
        <v>136</v>
      </c>
      <c r="AD92" s="3" t="str">
        <f>IFERROR(MID(VLOOKUP($B92,Seqs!$A:$B,2,0),AE92,1),"")</f>
        <v>G</v>
      </c>
      <c r="AE92" s="3">
        <v>167</v>
      </c>
      <c r="AF92" s="3" t="str">
        <f>IFERROR(MID(VLOOKUP($B92,Seqs!$A:$B,2,0),AG92,1),"")</f>
        <v>C</v>
      </c>
      <c r="AG92" s="3">
        <v>176</v>
      </c>
      <c r="AH92" s="3" t="str">
        <f>IFERROR(MID(VLOOKUP($B92,Seqs!$A:$B,2,0),AI92,1),"")</f>
        <v>I</v>
      </c>
      <c r="AI92" s="3">
        <v>178</v>
      </c>
      <c r="AJ92" s="3" t="str">
        <f>IFERROR(MID(VLOOKUP($B92,Seqs!$A:$B,2,0),AK92,1),"")</f>
        <v>N</v>
      </c>
      <c r="AK92" s="3">
        <v>183</v>
      </c>
      <c r="AL92" s="3" t="str">
        <f>IFERROR(MID(VLOOKUP($B92,Seqs!$A:$B,2,0),AM92,1),"")</f>
        <v>K</v>
      </c>
      <c r="AM92" s="3">
        <v>214</v>
      </c>
      <c r="AN92" s="3" t="str">
        <f>IFERROR(MID(VLOOKUP($B92,Seqs!$A:$B,2,0),AO92,1),"")</f>
        <v>E</v>
      </c>
      <c r="AO92" s="3">
        <v>382</v>
      </c>
      <c r="AP92" s="3" t="str">
        <f>IFERROR(MID(VLOOKUP($B92,Seqs!$A:$B,2,0),AQ92,1),"")</f>
        <v>C</v>
      </c>
      <c r="AQ92" s="3">
        <v>413</v>
      </c>
      <c r="AR92" s="3" t="str">
        <f>IFERROR(MID(VLOOKUP($B92,Seqs!$A:$B,2,0),AS92,1),"")</f>
        <v>P</v>
      </c>
      <c r="AS92" s="3">
        <v>418</v>
      </c>
      <c r="AT92" s="3" t="str">
        <f>IFERROR(MID(VLOOKUP($B92,Seqs!$A:$B,2,0),AU92,1),"")</f>
        <v>C</v>
      </c>
      <c r="AU92" s="105">
        <v>443</v>
      </c>
      <c r="AV92" s="3" t="str">
        <f>IFERROR(MID(VLOOKUP($B92,Seqs!$A:$B,2,0),AW92,1),"")</f>
        <v>N</v>
      </c>
      <c r="AW92" s="3">
        <v>444</v>
      </c>
      <c r="AX92" s="3" t="str">
        <f>IFERROR(MID(VLOOKUP($B92,Seqs!$A:$B,2,0),AY92,1),"")</f>
        <v>M</v>
      </c>
      <c r="AY92" s="3">
        <v>456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ref="BB92" si="786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23">
        <f t="shared" ref="BC92" si="787">_xlfn.AGGREGATE(9,6,CH92:CS92)-_xlfn.AGGREGATE(9,6,BV92:CG92)+12</f>
        <v>256</v>
      </c>
      <c r="BD92" s="4" t="s">
        <v>23</v>
      </c>
      <c r="BE92" s="3" t="s">
        <v>1368</v>
      </c>
      <c r="BF92" s="118">
        <v>2.6</v>
      </c>
      <c r="BG92" s="49" t="s">
        <v>1</v>
      </c>
      <c r="BH92" s="49" t="s">
        <v>1</v>
      </c>
      <c r="BI92" s="1"/>
      <c r="BJ92" s="70" t="s">
        <v>1281</v>
      </c>
      <c r="BK92" s="57" t="s">
        <v>1281</v>
      </c>
      <c r="BL92" s="57" t="s">
        <v>1281</v>
      </c>
      <c r="BM92" s="57" t="s">
        <v>1281</v>
      </c>
      <c r="BN92" s="57" t="s">
        <v>1281</v>
      </c>
      <c r="BO92" s="57" t="s">
        <v>1281</v>
      </c>
      <c r="BP92" s="57" t="s">
        <v>1281</v>
      </c>
      <c r="BQ92" s="57" t="s">
        <v>1281</v>
      </c>
      <c r="BR92" s="57" t="s">
        <v>1281</v>
      </c>
      <c r="BS92" s="57" t="s">
        <v>1281</v>
      </c>
      <c r="BT92" s="57" t="s">
        <v>1281</v>
      </c>
      <c r="BU92" s="57" t="s">
        <v>1281</v>
      </c>
      <c r="BV92" s="70">
        <f t="shared" ref="BV92" si="788">E92</f>
        <v>18</v>
      </c>
      <c r="BW92" s="71">
        <f t="shared" ref="BW92" si="789">I92</f>
        <v>52</v>
      </c>
      <c r="BX92" s="72">
        <f t="shared" ref="BX92" si="790">M92</f>
        <v>56</v>
      </c>
      <c r="BY92" s="71">
        <f t="shared" ref="BY92" si="791">Q92</f>
        <v>88</v>
      </c>
      <c r="BZ92" s="72">
        <f t="shared" ref="BZ92" si="792">U92</f>
        <v>92</v>
      </c>
      <c r="CA92" s="71">
        <f t="shared" ref="CA92" si="793">Y92</f>
        <v>128</v>
      </c>
      <c r="CB92" s="72">
        <f t="shared" ref="CB92" si="794">AC92</f>
        <v>136</v>
      </c>
      <c r="CC92" s="71">
        <f t="shared" ref="CC92" si="795">AG92</f>
        <v>176</v>
      </c>
      <c r="CD92" s="72">
        <f t="shared" ref="CD92" si="796">AK92</f>
        <v>183</v>
      </c>
      <c r="CE92" s="71">
        <f t="shared" ref="CE92" si="797">AO92</f>
        <v>382</v>
      </c>
      <c r="CF92" s="72">
        <f t="shared" ref="CF92" si="798">AS92</f>
        <v>418</v>
      </c>
      <c r="CG92" s="71">
        <f t="shared" ref="CG92" si="799">AW92</f>
        <v>444</v>
      </c>
      <c r="CH92" s="70">
        <f t="shared" ref="CH92" si="800">G92</f>
        <v>51</v>
      </c>
      <c r="CI92" s="71">
        <f t="shared" ref="CI92" si="801">K92</f>
        <v>55</v>
      </c>
      <c r="CJ92" s="72">
        <f t="shared" ref="CJ92" si="802">O92</f>
        <v>87</v>
      </c>
      <c r="CK92" s="72">
        <f t="shared" ref="CK92" si="803">S92</f>
        <v>91</v>
      </c>
      <c r="CL92" s="72">
        <f t="shared" ref="CL92" si="804">W92</f>
        <v>127</v>
      </c>
      <c r="CM92" s="72">
        <f t="shared" ref="CM92" si="805">AA92</f>
        <v>135</v>
      </c>
      <c r="CN92" s="72">
        <f t="shared" ref="CN92" si="806">AE92</f>
        <v>167</v>
      </c>
      <c r="CO92" s="72">
        <f t="shared" ref="CO92" si="807">AI92</f>
        <v>178</v>
      </c>
      <c r="CP92" s="72">
        <f t="shared" ref="CP92" si="808">AM92</f>
        <v>214</v>
      </c>
      <c r="CQ92" s="72">
        <f t="shared" ref="CQ92" si="809">AQ92</f>
        <v>413</v>
      </c>
      <c r="CR92" s="72">
        <f t="shared" ref="CR92" si="810">AU92</f>
        <v>443</v>
      </c>
      <c r="CS92" s="72">
        <f t="shared" ref="CS92" si="811">AY92</f>
        <v>456</v>
      </c>
      <c r="CT92" s="23">
        <f t="shared" ref="CT92" si="812">M92-K92</f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ref="A93" si="813">CONCATENATE(B93,"_",C93)</f>
        <v>acm2_human_5YC8</v>
      </c>
      <c r="B93" s="3" t="s">
        <v>147</v>
      </c>
      <c r="C93" s="3" t="s">
        <v>1528</v>
      </c>
      <c r="D93" s="3" t="str">
        <f>IFERROR(MID(VLOOKUP($B93,Seqs!$A:$B,2,0),E93,1),"")</f>
        <v>Y</v>
      </c>
      <c r="E93" s="3">
        <v>18</v>
      </c>
      <c r="F93" s="3" t="str">
        <f>IFERROR(MID(VLOOKUP($B93,Seqs!$A:$B,2,0),G93,1),"")</f>
        <v>N</v>
      </c>
      <c r="G93" s="3">
        <v>51</v>
      </c>
      <c r="H93" s="3" t="str">
        <f>IFERROR(MID(VLOOKUP($B93,Seqs!$A:$B,2,0),I93,1),"")</f>
        <v>R</v>
      </c>
      <c r="I93" s="23">
        <v>52</v>
      </c>
      <c r="J93" s="3" t="str">
        <f>IFERROR(MID(VLOOKUP($B93,Seqs!$A:$B,2,0),K93,1),"")</f>
        <v>Q</v>
      </c>
      <c r="K93" s="23">
        <v>55</v>
      </c>
      <c r="L93" s="3" t="str">
        <f>IFERROR(MID(VLOOKUP($B93,Seqs!$A:$B,2,0),M93,1),"")</f>
        <v>T</v>
      </c>
      <c r="M93" s="3">
        <v>56</v>
      </c>
      <c r="N93" s="3" t="str">
        <f>IFERROR(MID(VLOOKUP($B93,Seqs!$A:$B,2,0),O93,1),"")</f>
        <v>G</v>
      </c>
      <c r="O93" s="3">
        <v>87</v>
      </c>
      <c r="P93" s="3" t="str">
        <f>IFERROR(MID(VLOOKUP($B93,Seqs!$A:$B,2,0),Q93,1),"")</f>
        <v>Y</v>
      </c>
      <c r="Q93" s="3">
        <v>88</v>
      </c>
      <c r="R93" s="3" t="str">
        <f>IFERROR(MID(VLOOKUP($B93,Seqs!$A:$B,2,0),S93,1),"")</f>
        <v>L</v>
      </c>
      <c r="S93" s="3">
        <v>91</v>
      </c>
      <c r="T93" s="3" t="str">
        <f>IFERROR(MID(VLOOKUP($B93,Seqs!$A:$B,2,0),U93,1),"")</f>
        <v>G</v>
      </c>
      <c r="U93" s="3">
        <v>92</v>
      </c>
      <c r="V93" s="3" t="str">
        <f>IFERROR(MID(VLOOKUP($B93,Seqs!$A:$B,2,0),W93,1),"")</f>
        <v>K</v>
      </c>
      <c r="W93" s="3">
        <v>127</v>
      </c>
      <c r="X93" s="3" t="str">
        <f>IFERROR(MID(VLOOKUP($B93,Seqs!$A:$B,2,0),Y93,1),"")</f>
        <v>P</v>
      </c>
      <c r="Y93" s="3">
        <v>128</v>
      </c>
      <c r="Z93" s="3" t="str">
        <f>IFERROR(MID(VLOOKUP($B93,Seqs!$A:$B,2,0),AA93,1),"")</f>
        <v>R</v>
      </c>
      <c r="AA93" s="3">
        <v>135</v>
      </c>
      <c r="AB93" s="3" t="str">
        <f>IFERROR(MID(VLOOKUP($B93,Seqs!$A:$B,2,0),AC93,1),"")</f>
        <v>T</v>
      </c>
      <c r="AC93" s="3">
        <v>136</v>
      </c>
      <c r="AD93" s="3" t="str">
        <f>IFERROR(MID(VLOOKUP($B93,Seqs!$A:$B,2,0),AE93,1),"")</f>
        <v>G</v>
      </c>
      <c r="AE93" s="3">
        <v>167</v>
      </c>
      <c r="AF93" s="3" t="str">
        <f>IFERROR(MID(VLOOKUP($B93,Seqs!$A:$B,2,0),AG93,1),"")</f>
        <v>C</v>
      </c>
      <c r="AG93" s="3">
        <v>176</v>
      </c>
      <c r="AH93" s="3" t="str">
        <f>IFERROR(MID(VLOOKUP($B93,Seqs!$A:$B,2,0),AI93,1),"")</f>
        <v>I</v>
      </c>
      <c r="AI93" s="3">
        <v>178</v>
      </c>
      <c r="AJ93" s="3" t="str">
        <f>IFERROR(MID(VLOOKUP($B93,Seqs!$A:$B,2,0),AK93,1),"")</f>
        <v>N</v>
      </c>
      <c r="AK93" s="3">
        <v>183</v>
      </c>
      <c r="AL93" s="3" t="str">
        <f>IFERROR(MID(VLOOKUP($B93,Seqs!$A:$B,2,0),AM93,1),"")</f>
        <v>K</v>
      </c>
      <c r="AM93" s="3">
        <v>214</v>
      </c>
      <c r="AN93" s="3" t="str">
        <f>IFERROR(MID(VLOOKUP($B93,Seqs!$A:$B,2,0),AO93,1),"")</f>
        <v>R</v>
      </c>
      <c r="AO93" s="3">
        <v>381</v>
      </c>
      <c r="AP93" s="3" t="str">
        <f>IFERROR(MID(VLOOKUP($B93,Seqs!$A:$B,2,0),AQ93,1),"")</f>
        <v>C</v>
      </c>
      <c r="AQ93" s="3">
        <v>413</v>
      </c>
      <c r="AR93" s="3" t="str">
        <f>IFERROR(MID(VLOOKUP($B93,Seqs!$A:$B,2,0),AS93,1),"")</f>
        <v>P</v>
      </c>
      <c r="AS93" s="3">
        <v>418</v>
      </c>
      <c r="AT93" s="3" t="str">
        <f>IFERROR(MID(VLOOKUP($B93,Seqs!$A:$B,2,0),AU93,1),"")</f>
        <v>C</v>
      </c>
      <c r="AU93" s="105">
        <v>443</v>
      </c>
      <c r="AV93" s="3" t="str">
        <f>IFERROR(MID(VLOOKUP($B93,Seqs!$A:$B,2,0),AW93,1),"")</f>
        <v>N</v>
      </c>
      <c r="AW93" s="3">
        <v>444</v>
      </c>
      <c r="AX93" s="3" t="str">
        <f>IFERROR(MID(VLOOKUP($B93,Seqs!$A:$B,2,0),AY93,1),"")</f>
        <v>M</v>
      </c>
      <c r="AY93" s="3">
        <v>456</v>
      </c>
      <c r="AZ93" s="77" t="str">
        <f>VLOOKUP(B93,Classification!A:D,2,0)</f>
        <v>A</v>
      </c>
      <c r="BA93" s="94" t="str">
        <f>VLOOKUP(B93,Classification!A:D,4,0)</f>
        <v>Acetylcholine(muscarinic)</v>
      </c>
      <c r="BB93" s="27" t="b">
        <f t="shared" ref="BB93" si="814">AND(E93&lt;G93,OR(G93&lt;I93,I93="-"),OR(I93&lt;K93,I93="-"),OR(K93&lt;M93,K93="-"),M93&lt;O93,OR(O93&lt;Q93,Q93="-"),OR(Q93&lt;S93,Q93="-"),OR(S93&lt;U93,S93="-"),U93&lt;W93,OR(W93&lt;Y93,Y93="-"),OR(Y93&lt;AA93,Y93="-"),OR(AA93&lt;AC93,AA93="-"),AC93&lt;AE93,OR(AE93&lt;AG93,AG93="-"),OR(AG93&lt;AI93,AG93="-"),OR(AI93&lt;AK93,AI93="-"),AK93&lt;AM93,AM93&lt;AO93,AO93&lt;AQ93,AQ93&lt;AS93,AS93&lt;AU93,OR(AU93&lt;AW93,AW93="-"),OR(AW93&lt;AY93,AW93="-"))</f>
        <v>1</v>
      </c>
      <c r="BC93" s="23">
        <f t="shared" ref="BC93" si="815">_xlfn.AGGREGATE(9,6,CH93:CS93)-_xlfn.AGGREGATE(9,6,BV93:CG93)+12</f>
        <v>257</v>
      </c>
      <c r="BD93" s="4" t="s">
        <v>23</v>
      </c>
      <c r="BE93" s="3" t="s">
        <v>1368</v>
      </c>
      <c r="BF93" s="118">
        <v>2.5</v>
      </c>
      <c r="BG93" s="49" t="s">
        <v>1</v>
      </c>
      <c r="BH93" s="49" t="s">
        <v>1</v>
      </c>
      <c r="BI93" s="1"/>
      <c r="BJ93" s="70" t="s">
        <v>1281</v>
      </c>
      <c r="BK93" s="57" t="s">
        <v>1281</v>
      </c>
      <c r="BL93" s="57" t="s">
        <v>1281</v>
      </c>
      <c r="BM93" s="57" t="s">
        <v>1281</v>
      </c>
      <c r="BN93" s="57" t="s">
        <v>1281</v>
      </c>
      <c r="BO93" s="57" t="s">
        <v>1281</v>
      </c>
      <c r="BP93" s="57" t="s">
        <v>1281</v>
      </c>
      <c r="BQ93" s="57" t="s">
        <v>1281</v>
      </c>
      <c r="BR93" s="57" t="s">
        <v>1281</v>
      </c>
      <c r="BS93" s="57" t="s">
        <v>1281</v>
      </c>
      <c r="BT93" s="57" t="s">
        <v>1281</v>
      </c>
      <c r="BU93" s="57" t="s">
        <v>1281</v>
      </c>
      <c r="BV93" s="70">
        <f t="shared" ref="BV93" si="816">E93</f>
        <v>18</v>
      </c>
      <c r="BW93" s="71">
        <f t="shared" ref="BW93" si="817">I93</f>
        <v>52</v>
      </c>
      <c r="BX93" s="72">
        <f t="shared" ref="BX93" si="818">M93</f>
        <v>56</v>
      </c>
      <c r="BY93" s="71">
        <f t="shared" ref="BY93" si="819">Q93</f>
        <v>88</v>
      </c>
      <c r="BZ93" s="72">
        <f t="shared" ref="BZ93" si="820">U93</f>
        <v>92</v>
      </c>
      <c r="CA93" s="71">
        <f t="shared" ref="CA93" si="821">Y93</f>
        <v>128</v>
      </c>
      <c r="CB93" s="72">
        <f t="shared" ref="CB93" si="822">AC93</f>
        <v>136</v>
      </c>
      <c r="CC93" s="71">
        <f t="shared" ref="CC93" si="823">AG93</f>
        <v>176</v>
      </c>
      <c r="CD93" s="72">
        <f t="shared" ref="CD93" si="824">AK93</f>
        <v>183</v>
      </c>
      <c r="CE93" s="71">
        <f t="shared" ref="CE93" si="825">AO93</f>
        <v>381</v>
      </c>
      <c r="CF93" s="72">
        <f t="shared" ref="CF93" si="826">AS93</f>
        <v>418</v>
      </c>
      <c r="CG93" s="71">
        <f t="shared" ref="CG93" si="827">AW93</f>
        <v>444</v>
      </c>
      <c r="CH93" s="70">
        <f t="shared" ref="CH93" si="828">G93</f>
        <v>51</v>
      </c>
      <c r="CI93" s="71">
        <f t="shared" ref="CI93" si="829">K93</f>
        <v>55</v>
      </c>
      <c r="CJ93" s="72">
        <f t="shared" ref="CJ93" si="830">O93</f>
        <v>87</v>
      </c>
      <c r="CK93" s="72">
        <f t="shared" ref="CK93" si="831">S93</f>
        <v>91</v>
      </c>
      <c r="CL93" s="72">
        <f t="shared" ref="CL93" si="832">W93</f>
        <v>127</v>
      </c>
      <c r="CM93" s="72">
        <f t="shared" ref="CM93" si="833">AA93</f>
        <v>135</v>
      </c>
      <c r="CN93" s="72">
        <f t="shared" ref="CN93" si="834">AE93</f>
        <v>167</v>
      </c>
      <c r="CO93" s="72">
        <f t="shared" ref="CO93" si="835">AI93</f>
        <v>178</v>
      </c>
      <c r="CP93" s="72">
        <f t="shared" ref="CP93" si="836">AM93</f>
        <v>214</v>
      </c>
      <c r="CQ93" s="72">
        <f t="shared" ref="CQ93" si="837">AQ93</f>
        <v>413</v>
      </c>
      <c r="CR93" s="72">
        <f t="shared" ref="CR93" si="838">AU93</f>
        <v>443</v>
      </c>
      <c r="CS93" s="72">
        <f t="shared" ref="CS93" si="839">AY93</f>
        <v>456</v>
      </c>
      <c r="CT93" s="23">
        <f t="shared" ref="CT93" si="840">M93-K93</f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ref="A94" si="841">CONCATENATE(B94,"_",C94)</f>
        <v>acm2_human_6OIK</v>
      </c>
      <c r="B94" s="3" t="s">
        <v>147</v>
      </c>
      <c r="C94" s="3" t="s">
        <v>1572</v>
      </c>
      <c r="D94" s="3" t="str">
        <f>IFERROR(MID(VLOOKUP($B94,Seqs!$A:$B,2,0),E94,1),"")</f>
        <v>T</v>
      </c>
      <c r="E94" s="3">
        <v>20</v>
      </c>
      <c r="F94" s="3" t="str">
        <f>IFERROR(MID(VLOOKUP($B94,Seqs!$A:$B,2,0),G94,1),"")</f>
        <v>V</v>
      </c>
      <c r="G94" s="3">
        <v>50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T</v>
      </c>
      <c r="M94" s="3">
        <v>56</v>
      </c>
      <c r="N94" s="3" t="str">
        <f>IFERROR(MID(VLOOKUP($B94,Seqs!$A:$B,2,0),O94,1),"")</f>
        <v>G</v>
      </c>
      <c r="O94" s="3">
        <v>87</v>
      </c>
      <c r="P94" s="3" t="str">
        <f>IFERROR(MID(VLOOKUP($B94,Seqs!$A:$B,2,0),Q94,1),"")</f>
        <v>Y</v>
      </c>
      <c r="Q94" s="3">
        <v>88</v>
      </c>
      <c r="R94" s="3" t="str">
        <f>IFERROR(MID(VLOOKUP($B94,Seqs!$A:$B,2,0),S94,1),"")</f>
        <v>L</v>
      </c>
      <c r="S94" s="3">
        <v>91</v>
      </c>
      <c r="T94" s="3" t="str">
        <f>IFERROR(MID(VLOOKUP($B94,Seqs!$A:$B,2,0),U94,1),"")</f>
        <v>G</v>
      </c>
      <c r="U94" s="3">
        <v>92</v>
      </c>
      <c r="V94" s="3" t="str">
        <f>IFERROR(MID(VLOOKUP($B94,Seqs!$A:$B,2,0),W94,1),"")</f>
        <v>K</v>
      </c>
      <c r="W94" s="3">
        <v>127</v>
      </c>
      <c r="X94" s="3" t="str">
        <f>IFERROR(MID(VLOOKUP($B94,Seqs!$A:$B,2,0),Y94,1),"")</f>
        <v>P</v>
      </c>
      <c r="Y94" s="3">
        <v>128</v>
      </c>
      <c r="Z94" s="3" t="str">
        <f>IFERROR(MID(VLOOKUP($B94,Seqs!$A:$B,2,0),AA94,1),"")</f>
        <v>R</v>
      </c>
      <c r="AA94" s="3">
        <v>135</v>
      </c>
      <c r="AB94" s="3" t="str">
        <f>IFERROR(MID(VLOOKUP($B94,Seqs!$A:$B,2,0),AC94,1),"")</f>
        <v>T</v>
      </c>
      <c r="AC94" s="3">
        <v>136</v>
      </c>
      <c r="AD94" s="3" t="str">
        <f>IFERROR(MID(VLOOKUP($B94,Seqs!$A:$B,2,0),AE94,1),"")</f>
        <v>G</v>
      </c>
      <c r="AE94" s="3">
        <v>167</v>
      </c>
      <c r="AF94" s="3" t="str">
        <f>IFERROR(MID(VLOOKUP($B94,Seqs!$A:$B,2,0),AG94,1),"")</f>
        <v>C</v>
      </c>
      <c r="AG94" s="3">
        <v>176</v>
      </c>
      <c r="AH94" s="3" t="str">
        <f>IFERROR(MID(VLOOKUP($B94,Seqs!$A:$B,2,0),AI94,1),"")</f>
        <v>I</v>
      </c>
      <c r="AI94" s="3">
        <v>178</v>
      </c>
      <c r="AJ94" s="3" t="str">
        <f>IFERROR(MID(VLOOKUP($B94,Seqs!$A:$B,2,0),AK94,1),"")</f>
        <v>A</v>
      </c>
      <c r="AK94" s="3">
        <v>184</v>
      </c>
      <c r="AL94" s="3" t="str">
        <f>IFERROR(MID(VLOOKUP($B94,Seqs!$A:$B,2,0),AM94,1),"")</f>
        <v>S</v>
      </c>
      <c r="AM94" s="3">
        <v>213</v>
      </c>
      <c r="AN94" s="3" t="str">
        <f>IFERROR(MID(VLOOKUP($B94,Seqs!$A:$B,2,0),AO94,1),"")</f>
        <v>E</v>
      </c>
      <c r="AO94" s="3">
        <v>382</v>
      </c>
      <c r="AP94" s="3" t="str">
        <f>IFERROR(MID(VLOOKUP($B94,Seqs!$A:$B,2,0),AQ94,1),"")</f>
        <v>C</v>
      </c>
      <c r="AQ94" s="3">
        <v>413</v>
      </c>
      <c r="AR94" s="3" t="str">
        <f>IFERROR(MID(VLOOKUP($B94,Seqs!$A:$B,2,0),AS94,1),"")</f>
        <v>N</v>
      </c>
      <c r="AS94" s="3">
        <v>419</v>
      </c>
      <c r="AT94" s="3" t="str">
        <f>IFERROR(MID(VLOOKUP($B94,Seqs!$A:$B,2,0),AU94,1),"")</f>
        <v>C</v>
      </c>
      <c r="AU94" s="3">
        <v>443</v>
      </c>
      <c r="AV94" s="3" t="str">
        <f>IFERROR(MID(VLOOKUP($B94,Seqs!$A:$B,2,0),AW94,1),"")</f>
        <v>N</v>
      </c>
      <c r="AW94" s="3">
        <v>444</v>
      </c>
      <c r="AX94" s="3" t="str">
        <f>IFERROR(MID(VLOOKUP($B94,Seqs!$A:$B,2,0),AY94,1),"")</f>
        <v>L</v>
      </c>
      <c r="AY94" s="3">
        <v>454</v>
      </c>
      <c r="AZ94" s="77" t="str">
        <f>VLOOKUP(B94,Classification!A:D,2,0)</f>
        <v>A</v>
      </c>
      <c r="BA94" s="94" t="str">
        <f>VLOOKUP(B94,Classification!A:D,4,0)</f>
        <v>Acetylcholine(muscarinic)</v>
      </c>
      <c r="BB94" s="27" t="b">
        <f t="shared" ref="BB94" si="842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23">
        <f t="shared" ref="BC94" si="843">_xlfn.AGGREGATE(9,6,CH94:CS94)-_xlfn.AGGREGATE(9,6,BV94:CG94)+12</f>
        <v>245</v>
      </c>
      <c r="BD94" s="4" t="s">
        <v>23</v>
      </c>
      <c r="BE94" s="3" t="s">
        <v>1285</v>
      </c>
      <c r="BF94" s="118">
        <v>3.6</v>
      </c>
      <c r="BG94" s="49" t="s">
        <v>1416</v>
      </c>
      <c r="BH94" s="49" t="s">
        <v>1416</v>
      </c>
      <c r="BI94" s="1"/>
      <c r="BJ94" s="70" t="s">
        <v>1281</v>
      </c>
      <c r="BK94" s="57" t="s">
        <v>1281</v>
      </c>
      <c r="BL94" s="57" t="s">
        <v>1281</v>
      </c>
      <c r="BM94" s="57" t="s">
        <v>1281</v>
      </c>
      <c r="BN94" s="57" t="s">
        <v>1281</v>
      </c>
      <c r="BO94" s="57" t="s">
        <v>1281</v>
      </c>
      <c r="BP94" s="57" t="s">
        <v>1281</v>
      </c>
      <c r="BQ94" s="57" t="s">
        <v>1281</v>
      </c>
      <c r="BR94" s="57" t="s">
        <v>1281</v>
      </c>
      <c r="BS94" s="57" t="s">
        <v>1281</v>
      </c>
      <c r="BT94" s="57" t="s">
        <v>1281</v>
      </c>
      <c r="BU94" s="57" t="s">
        <v>1281</v>
      </c>
      <c r="BV94" s="70">
        <f t="shared" ref="BV94" si="844">E94</f>
        <v>20</v>
      </c>
      <c r="BW94" s="71" t="str">
        <f t="shared" ref="BW94" si="845">I94</f>
        <v>-</v>
      </c>
      <c r="BX94" s="72">
        <f t="shared" ref="BX94" si="846">M94</f>
        <v>56</v>
      </c>
      <c r="BY94" s="71">
        <f t="shared" ref="BY94" si="847">Q94</f>
        <v>88</v>
      </c>
      <c r="BZ94" s="72">
        <f t="shared" ref="BZ94" si="848">U94</f>
        <v>92</v>
      </c>
      <c r="CA94" s="71">
        <f t="shared" ref="CA94" si="849">Y94</f>
        <v>128</v>
      </c>
      <c r="CB94" s="72">
        <f t="shared" ref="CB94" si="850">AC94</f>
        <v>136</v>
      </c>
      <c r="CC94" s="71">
        <f t="shared" ref="CC94" si="851">AG94</f>
        <v>176</v>
      </c>
      <c r="CD94" s="72">
        <f t="shared" ref="CD94" si="852">AK94</f>
        <v>184</v>
      </c>
      <c r="CE94" s="71">
        <f t="shared" ref="CE94" si="853">AO94</f>
        <v>382</v>
      </c>
      <c r="CF94" s="72">
        <f t="shared" ref="CF94" si="854">AS94</f>
        <v>419</v>
      </c>
      <c r="CG94" s="71">
        <f t="shared" ref="CG94" si="855">AW94</f>
        <v>444</v>
      </c>
      <c r="CH94" s="70">
        <f t="shared" ref="CH94" si="856">G94</f>
        <v>50</v>
      </c>
      <c r="CI94" s="71" t="str">
        <f t="shared" ref="CI94" si="857">K94</f>
        <v>-</v>
      </c>
      <c r="CJ94" s="72">
        <f t="shared" ref="CJ94" si="858">O94</f>
        <v>87</v>
      </c>
      <c r="CK94" s="72">
        <f t="shared" ref="CK94" si="859">S94</f>
        <v>91</v>
      </c>
      <c r="CL94" s="72">
        <f t="shared" ref="CL94" si="860">W94</f>
        <v>127</v>
      </c>
      <c r="CM94" s="72">
        <f t="shared" ref="CM94" si="861">AA94</f>
        <v>135</v>
      </c>
      <c r="CN94" s="72">
        <f t="shared" ref="CN94" si="862">AE94</f>
        <v>167</v>
      </c>
      <c r="CO94" s="72">
        <f t="shared" ref="CO94" si="863">AI94</f>
        <v>178</v>
      </c>
      <c r="CP94" s="72">
        <f t="shared" ref="CP94" si="864">AM94</f>
        <v>213</v>
      </c>
      <c r="CQ94" s="72">
        <f t="shared" ref="CQ94" si="865">AQ94</f>
        <v>413</v>
      </c>
      <c r="CR94" s="72">
        <f t="shared" ref="CR94" si="866">AU94</f>
        <v>443</v>
      </c>
      <c r="CS94" s="72">
        <f t="shared" ref="CS94" si="867">AY94</f>
        <v>454</v>
      </c>
      <c r="CT94" s="23" t="e">
        <f t="shared" ref="CT94" si="868">M94-K94</f>
        <v>#VALUE!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ref="A95" si="869">CONCATENATE(B95,"_",C95)</f>
        <v>acm2_human_6U1N</v>
      </c>
      <c r="B95" s="3" t="s">
        <v>147</v>
      </c>
      <c r="C95" s="3" t="s">
        <v>1649</v>
      </c>
      <c r="D95" s="3" t="str">
        <f>IFERROR(MID(VLOOKUP($B95,Seqs!$A:$B,2,0),E95,1),"")</f>
        <v>T</v>
      </c>
      <c r="E95" s="3">
        <v>20</v>
      </c>
      <c r="F95" s="3" t="str">
        <f>IFERROR(MID(VLOOKUP($B95,Seqs!$A:$B,2,0),G95,1),"")</f>
        <v>K</v>
      </c>
      <c r="G95" s="3">
        <v>49</v>
      </c>
      <c r="H95" s="3" t="str">
        <f>IFERROR(MID(VLOOKUP($B95,Seqs!$A:$B,2,0),I95,1),"")</f>
        <v/>
      </c>
      <c r="I95" s="23" t="s">
        <v>23</v>
      </c>
      <c r="J95" s="3" t="str">
        <f>IFERROR(MID(VLOOKUP($B95,Seqs!$A:$B,2,0),K95,1),"")</f>
        <v/>
      </c>
      <c r="K95" s="23" t="s">
        <v>23</v>
      </c>
      <c r="L95" s="3" t="str">
        <f>IFERROR(MID(VLOOKUP($B95,Seqs!$A:$B,2,0),M95,1),"")</f>
        <v>V</v>
      </c>
      <c r="M95" s="3">
        <v>57</v>
      </c>
      <c r="N95" s="3" t="str">
        <f>IFERROR(MID(VLOOKUP($B95,Seqs!$A:$B,2,0),O95,1),"")</f>
        <v>I</v>
      </c>
      <c r="O95" s="3">
        <v>86</v>
      </c>
      <c r="P95" s="3" t="str">
        <f>IFERROR(MID(VLOOKUP($B95,Seqs!$A:$B,2,0),Q95,1),"")</f>
        <v>Y</v>
      </c>
      <c r="Q95" s="3">
        <v>88</v>
      </c>
      <c r="R95" s="3" t="str">
        <f>IFERROR(MID(VLOOKUP($B95,Seqs!$A:$B,2,0),S95,1),"")</f>
        <v>L</v>
      </c>
      <c r="S95" s="3">
        <v>91</v>
      </c>
      <c r="T95" s="3" t="str">
        <f>IFERROR(MID(VLOOKUP($B95,Seqs!$A:$B,2,0),U95,1),"")</f>
        <v>G</v>
      </c>
      <c r="U95" s="3">
        <v>92</v>
      </c>
      <c r="V95" s="3" t="str">
        <f>IFERROR(MID(VLOOKUP($B95,Seqs!$A:$B,2,0),W95,1),"")</f>
        <v>K</v>
      </c>
      <c r="W95" s="3">
        <v>127</v>
      </c>
      <c r="X95" s="3" t="str">
        <f>IFERROR(MID(VLOOKUP($B95,Seqs!$A:$B,2,0),Y95,1),"")</f>
        <v>P</v>
      </c>
      <c r="Y95" s="3">
        <v>128</v>
      </c>
      <c r="Z95" s="3" t="str">
        <f>IFERROR(MID(VLOOKUP($B95,Seqs!$A:$B,2,0),AA95,1),"")</f>
        <v>R</v>
      </c>
      <c r="AA95" s="3">
        <v>135</v>
      </c>
      <c r="AB95" s="3" t="str">
        <f>IFERROR(MID(VLOOKUP($B95,Seqs!$A:$B,2,0),AC95,1),"")</f>
        <v>T</v>
      </c>
      <c r="AC95" s="3">
        <v>136</v>
      </c>
      <c r="AD95" s="3" t="str">
        <f>IFERROR(MID(VLOOKUP($B95,Seqs!$A:$B,2,0),AE95,1),"")</f>
        <v>G</v>
      </c>
      <c r="AE95" s="3">
        <v>167</v>
      </c>
      <c r="AF95" s="3" t="str">
        <f>IFERROR(MID(VLOOKUP($B95,Seqs!$A:$B,2,0),AG95,1),"")</f>
        <v>C</v>
      </c>
      <c r="AG95" s="3">
        <v>176</v>
      </c>
      <c r="AH95" s="3" t="str">
        <f>IFERROR(MID(VLOOKUP($B95,Seqs!$A:$B,2,0),AI95,1),"")</f>
        <v>I</v>
      </c>
      <c r="AI95" s="3">
        <v>178</v>
      </c>
      <c r="AJ95" s="3" t="str">
        <f>IFERROR(MID(VLOOKUP($B95,Seqs!$A:$B,2,0),AK95,1),"")</f>
        <v>N</v>
      </c>
      <c r="AK95" s="3">
        <v>183</v>
      </c>
      <c r="AL95" s="3" t="str">
        <f>IFERROR(MID(VLOOKUP($B95,Seqs!$A:$B,2,0),AM95,1),"")</f>
        <v>S</v>
      </c>
      <c r="AM95" s="3">
        <v>213</v>
      </c>
      <c r="AN95" s="3" t="str">
        <f>IFERROR(MID(VLOOKUP($B95,Seqs!$A:$B,2,0),AO95,1),"")</f>
        <v>E</v>
      </c>
      <c r="AO95" s="3">
        <v>382</v>
      </c>
      <c r="AP95" s="3" t="str">
        <f>IFERROR(MID(VLOOKUP($B95,Seqs!$A:$B,2,0),AQ95,1),"")</f>
        <v>C</v>
      </c>
      <c r="AQ95" s="3">
        <v>413</v>
      </c>
      <c r="AR95" s="3" t="str">
        <f>IFERROR(MID(VLOOKUP($B95,Seqs!$A:$B,2,0),AS95,1),"")</f>
        <v>V</v>
      </c>
      <c r="AS95" s="3">
        <v>421</v>
      </c>
      <c r="AT95" s="3" t="str">
        <f>IFERROR(MID(VLOOKUP($B95,Seqs!$A:$B,2,0),AU95,1),"")</f>
        <v>C</v>
      </c>
      <c r="AU95" s="3">
        <v>443</v>
      </c>
      <c r="AV95" s="3" t="str">
        <f>IFERROR(MID(VLOOKUP($B95,Seqs!$A:$B,2,0),AW95,1),"")</f>
        <v>N</v>
      </c>
      <c r="AW95" s="3">
        <v>444</v>
      </c>
      <c r="AX95" s="3" t="str">
        <f>IFERROR(MID(VLOOKUP($B95,Seqs!$A:$B,2,0),AY95,1),"")</f>
        <v>K</v>
      </c>
      <c r="AY95" s="3">
        <v>452</v>
      </c>
      <c r="AZ95" s="77" t="str">
        <f>VLOOKUP(B95,Classification!A:D,2,0)</f>
        <v>A</v>
      </c>
      <c r="BA95" s="94" t="str">
        <f>VLOOKUP(B95,Classification!A:D,4,0)</f>
        <v>Acetylcholine(muscarinic)</v>
      </c>
      <c r="BB95" s="27" t="b">
        <f t="shared" ref="BB95" si="870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23">
        <f t="shared" ref="BC95" si="871">_xlfn.AGGREGATE(9,6,CH95:CS95)-_xlfn.AGGREGATE(9,6,BV95:CG95)+12</f>
        <v>239</v>
      </c>
      <c r="BD95" s="4" t="s">
        <v>1423</v>
      </c>
      <c r="BE95" s="3" t="s">
        <v>1422</v>
      </c>
      <c r="BF95" s="118">
        <v>4</v>
      </c>
      <c r="BG95" s="49" t="s">
        <v>1416</v>
      </c>
      <c r="BH95" s="49" t="s">
        <v>1416</v>
      </c>
      <c r="BI95" s="1"/>
      <c r="BJ95" s="70" t="s">
        <v>1281</v>
      </c>
      <c r="BK95" s="57" t="s">
        <v>1281</v>
      </c>
      <c r="BL95" s="57" t="s">
        <v>1281</v>
      </c>
      <c r="BM95" s="57" t="s">
        <v>1281</v>
      </c>
      <c r="BN95" s="57" t="s">
        <v>1281</v>
      </c>
      <c r="BO95" s="57" t="s">
        <v>1281</v>
      </c>
      <c r="BP95" s="57" t="s">
        <v>1281</v>
      </c>
      <c r="BQ95" s="57" t="s">
        <v>1281</v>
      </c>
      <c r="BR95" s="57" t="s">
        <v>1281</v>
      </c>
      <c r="BS95" s="57" t="s">
        <v>1281</v>
      </c>
      <c r="BT95" s="57" t="s">
        <v>1281</v>
      </c>
      <c r="BU95" s="57" t="s">
        <v>1281</v>
      </c>
      <c r="BV95" s="70">
        <f t="shared" ref="BV95" si="872">E95</f>
        <v>20</v>
      </c>
      <c r="BW95" s="71" t="str">
        <f t="shared" ref="BW95" si="873">I95</f>
        <v>-</v>
      </c>
      <c r="BX95" s="72">
        <f t="shared" ref="BX95" si="874">M95</f>
        <v>57</v>
      </c>
      <c r="BY95" s="71">
        <f t="shared" ref="BY95" si="875">Q95</f>
        <v>88</v>
      </c>
      <c r="BZ95" s="72">
        <f t="shared" ref="BZ95" si="876">U95</f>
        <v>92</v>
      </c>
      <c r="CA95" s="71">
        <f t="shared" ref="CA95" si="877">Y95</f>
        <v>128</v>
      </c>
      <c r="CB95" s="72">
        <f t="shared" ref="CB95" si="878">AC95</f>
        <v>136</v>
      </c>
      <c r="CC95" s="71">
        <f t="shared" ref="CC95" si="879">AG95</f>
        <v>176</v>
      </c>
      <c r="CD95" s="72">
        <f t="shared" ref="CD95" si="880">AK95</f>
        <v>183</v>
      </c>
      <c r="CE95" s="71">
        <f t="shared" ref="CE95" si="881">AO95</f>
        <v>382</v>
      </c>
      <c r="CF95" s="72">
        <f t="shared" ref="CF95" si="882">AS95</f>
        <v>421</v>
      </c>
      <c r="CG95" s="71">
        <f t="shared" ref="CG95" si="883">AW95</f>
        <v>444</v>
      </c>
      <c r="CH95" s="70">
        <f t="shared" ref="CH95" si="884">G95</f>
        <v>49</v>
      </c>
      <c r="CI95" s="71" t="str">
        <f t="shared" ref="CI95" si="885">K95</f>
        <v>-</v>
      </c>
      <c r="CJ95" s="72">
        <f t="shared" ref="CJ95" si="886">O95</f>
        <v>86</v>
      </c>
      <c r="CK95" s="72">
        <f t="shared" ref="CK95" si="887">S95</f>
        <v>91</v>
      </c>
      <c r="CL95" s="72">
        <f t="shared" ref="CL95" si="888">W95</f>
        <v>127</v>
      </c>
      <c r="CM95" s="72">
        <f t="shared" ref="CM95" si="889">AA95</f>
        <v>135</v>
      </c>
      <c r="CN95" s="72">
        <f t="shared" ref="CN95" si="890">AE95</f>
        <v>167</v>
      </c>
      <c r="CO95" s="72">
        <f t="shared" ref="CO95" si="891">AI95</f>
        <v>178</v>
      </c>
      <c r="CP95" s="72">
        <f t="shared" ref="CP95" si="892">AM95</f>
        <v>213</v>
      </c>
      <c r="CQ95" s="72">
        <f t="shared" ref="CQ95" si="893">AQ95</f>
        <v>413</v>
      </c>
      <c r="CR95" s="72">
        <f t="shared" ref="CR95" si="894">AU95</f>
        <v>443</v>
      </c>
      <c r="CS95" s="72">
        <f t="shared" ref="CS95" si="895">AY95</f>
        <v>452</v>
      </c>
      <c r="CT95" s="23" t="e">
        <f t="shared" ref="CT95" si="896">M95-K95</f>
        <v>#VALUE!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699"/>
        <v>acm3_rat__wt</v>
      </c>
      <c r="B96" s="3" t="s">
        <v>903</v>
      </c>
      <c r="C96" s="3" t="s">
        <v>100</v>
      </c>
      <c r="D96" s="3" t="str">
        <f>IFERROR(MID(VLOOKUP($B96,Seqs!$A:$B,2,0),E96,1),"")</f>
        <v>T</v>
      </c>
      <c r="E96" s="105">
        <v>63</v>
      </c>
      <c r="F96" s="3" t="str">
        <f>IFERROR(MID(VLOOKUP($B96,Seqs!$A:$B,2,0),G96,1),"")</f>
        <v>N</v>
      </c>
      <c r="G96" s="3">
        <v>95</v>
      </c>
      <c r="H96" s="3" t="str">
        <f>IFERROR(MID(VLOOKUP($B96,Seqs!$A:$B,2,0),I96,1),"")</f>
        <v>K</v>
      </c>
      <c r="I96" s="23">
        <v>96</v>
      </c>
      <c r="J96" s="3" t="str">
        <f>IFERROR(MID(VLOOKUP($B96,Seqs!$A:$B,2,0),K96,1),"")</f>
        <v>K</v>
      </c>
      <c r="K96" s="23">
        <v>99</v>
      </c>
      <c r="L96" s="3" t="str">
        <f>IFERROR(MID(VLOOKUP($B96,Seqs!$A:$B,2,0),M96,1),"")</f>
        <v>T</v>
      </c>
      <c r="M96" s="3">
        <v>100</v>
      </c>
      <c r="N96" s="3" t="str">
        <f>IFERROR(MID(VLOOKUP($B96,Seqs!$A:$B,2,0),O96,1),"")</f>
        <v>M</v>
      </c>
      <c r="O96" s="3">
        <v>130</v>
      </c>
      <c r="P96" s="3" t="str">
        <f>IFERROR(MID(VLOOKUP($B96,Seqs!$A:$B,2,0),Q96,1),"")</f>
        <v>R</v>
      </c>
      <c r="Q96" s="3">
        <v>132</v>
      </c>
      <c r="R96" s="3" t="str">
        <f>IFERROR(MID(VLOOKUP($B96,Seqs!$A:$B,2,0),S96,1),"")</f>
        <v>L</v>
      </c>
      <c r="S96" s="3">
        <v>135</v>
      </c>
      <c r="T96" s="3" t="str">
        <f>IFERROR(MID(VLOOKUP($B96,Seqs!$A:$B,2,0),U96,1),"")</f>
        <v>G</v>
      </c>
      <c r="U96" s="3">
        <v>136</v>
      </c>
      <c r="V96" s="3" t="str">
        <f>IFERROR(MID(VLOOKUP($B96,Seqs!$A:$B,2,0),W96,1),"")</f>
        <v>R</v>
      </c>
      <c r="W96" s="3">
        <v>171</v>
      </c>
      <c r="X96" s="3" t="str">
        <f>IFERROR(MID(VLOOKUP($B96,Seqs!$A:$B,2,0),Y96,1),"")</f>
        <v>P</v>
      </c>
      <c r="Y96" s="3">
        <v>172</v>
      </c>
      <c r="Z96" s="3" t="str">
        <f>IFERROR(MID(VLOOKUP($B96,Seqs!$A:$B,2,0),AA96,1),"")</f>
        <v>R</v>
      </c>
      <c r="AA96" s="3">
        <v>179</v>
      </c>
      <c r="AB96" s="3" t="str">
        <f>IFERROR(MID(VLOOKUP($B96,Seqs!$A:$B,2,0),AC96,1),"")</f>
        <v>T</v>
      </c>
      <c r="AC96" s="3">
        <v>180</v>
      </c>
      <c r="AD96" s="3" t="str">
        <f>IFERROR(MID(VLOOKUP($B96,Seqs!$A:$B,2,0),AE96,1),"")</f>
        <v>G</v>
      </c>
      <c r="AE96" s="3">
        <v>211</v>
      </c>
      <c r="AF96" s="3" t="str">
        <f>IFERROR(MID(VLOOKUP($B96,Seqs!$A:$B,2,0),AG96,1),"")</f>
        <v>C</v>
      </c>
      <c r="AG96" s="3">
        <v>220</v>
      </c>
      <c r="AH96" s="3" t="str">
        <f>IFERROR(MID(VLOOKUP($B96,Seqs!$A:$B,2,0),AI96,1),"")</f>
        <v>I</v>
      </c>
      <c r="AI96" s="3">
        <v>222</v>
      </c>
      <c r="AJ96" s="3" t="str">
        <f>IFERROR(MID(VLOOKUP($B96,Seqs!$A:$B,2,0),AK96,1),"")</f>
        <v>E</v>
      </c>
      <c r="AK96" s="3">
        <v>227</v>
      </c>
      <c r="AL96" s="3" t="str">
        <f>IFERROR(MID(VLOOKUP($B96,Seqs!$A:$B,2,0),AM96,1),"")</f>
        <v>L</v>
      </c>
      <c r="AM96" s="3">
        <v>267</v>
      </c>
      <c r="AN96" s="3" t="str">
        <f>IFERROR(MID(VLOOKUP($B96,Seqs!$A:$B,2,0),AO96,1),"")</f>
        <v>R</v>
      </c>
      <c r="AO96" s="3">
        <v>479</v>
      </c>
      <c r="AP96" s="3" t="str">
        <f>IFERROR(MID(VLOOKUP($B96,Seqs!$A:$B,2,0),AQ96,1),"")</f>
        <v>C</v>
      </c>
      <c r="AQ96" s="3">
        <v>516</v>
      </c>
      <c r="AR96" s="3" t="str">
        <f>IFERROR(MID(VLOOKUP($B96,Seqs!$A:$B,2,0),AS96,1),"")</f>
        <v>P</v>
      </c>
      <c r="AS96" s="3">
        <v>521</v>
      </c>
      <c r="AT96" s="3" t="str">
        <f>IFERROR(MID(VLOOKUP($B96,Seqs!$A:$B,2,0),AU96,1),"")</f>
        <v>C</v>
      </c>
      <c r="AU96" s="3">
        <v>546</v>
      </c>
      <c r="AV96" s="3" t="str">
        <f>IFERROR(MID(VLOOKUP($B96,Seqs!$A:$B,2,0),AW96,1),"")</f>
        <v>N</v>
      </c>
      <c r="AW96" s="3">
        <v>547</v>
      </c>
      <c r="AX96" s="3" t="str">
        <f>IFERROR(MID(VLOOKUP($B96,Seqs!$A:$B,2,0),AY96,1),"")</f>
        <v>C</v>
      </c>
      <c r="AY96" s="3">
        <v>560</v>
      </c>
      <c r="AZ96" s="77" t="str">
        <f>VLOOKUP(B96,Classification!A:D,2,0)</f>
        <v>A</v>
      </c>
      <c r="BA96" s="94" t="str">
        <f>VLOOKUP(B96,Classification!A:D,4,0)</f>
        <v>Acetylcholine(muscarinic)</v>
      </c>
      <c r="BB96" s="27" t="b">
        <f t="shared" si="700"/>
        <v>1</v>
      </c>
      <c r="BC96" s="23">
        <f t="shared" si="309"/>
        <v>270</v>
      </c>
      <c r="BD96" s="56" t="s">
        <v>23</v>
      </c>
      <c r="BE96" s="3" t="s">
        <v>23</v>
      </c>
      <c r="BF96" s="118" t="s">
        <v>23</v>
      </c>
      <c r="BG96" s="49" t="s">
        <v>1366</v>
      </c>
      <c r="BH96" s="49" t="s">
        <v>1371</v>
      </c>
      <c r="BI96" s="1"/>
      <c r="BJ96" s="70" t="s">
        <v>1281</v>
      </c>
      <c r="BK96" s="57" t="s">
        <v>1281</v>
      </c>
      <c r="BL96" s="57" t="s">
        <v>1281</v>
      </c>
      <c r="BM96" s="57" t="s">
        <v>1281</v>
      </c>
      <c r="BN96" s="57" t="s">
        <v>1281</v>
      </c>
      <c r="BO96" s="57" t="s">
        <v>1281</v>
      </c>
      <c r="BP96" s="57" t="s">
        <v>1281</v>
      </c>
      <c r="BQ96" s="57" t="s">
        <v>1281</v>
      </c>
      <c r="BR96" s="57" t="s">
        <v>1281</v>
      </c>
      <c r="BS96" s="57" t="s">
        <v>1281</v>
      </c>
      <c r="BT96" s="57" t="s">
        <v>1281</v>
      </c>
      <c r="BU96" s="57" t="s">
        <v>1281</v>
      </c>
      <c r="BV96" s="70">
        <f t="shared" si="310"/>
        <v>63</v>
      </c>
      <c r="BW96" s="71">
        <f t="shared" si="311"/>
        <v>96</v>
      </c>
      <c r="BX96" s="72">
        <f t="shared" si="312"/>
        <v>100</v>
      </c>
      <c r="BY96" s="71">
        <f t="shared" si="313"/>
        <v>132</v>
      </c>
      <c r="BZ96" s="72">
        <f t="shared" si="314"/>
        <v>136</v>
      </c>
      <c r="CA96" s="71">
        <f t="shared" si="315"/>
        <v>172</v>
      </c>
      <c r="CB96" s="72">
        <f t="shared" si="316"/>
        <v>180</v>
      </c>
      <c r="CC96" s="71">
        <f t="shared" si="317"/>
        <v>220</v>
      </c>
      <c r="CD96" s="72">
        <f t="shared" si="318"/>
        <v>227</v>
      </c>
      <c r="CE96" s="71">
        <f t="shared" si="319"/>
        <v>479</v>
      </c>
      <c r="CF96" s="72">
        <f t="shared" si="320"/>
        <v>521</v>
      </c>
      <c r="CG96" s="71">
        <f t="shared" si="321"/>
        <v>547</v>
      </c>
      <c r="CH96" s="70">
        <f t="shared" si="322"/>
        <v>95</v>
      </c>
      <c r="CI96" s="71">
        <f t="shared" si="323"/>
        <v>99</v>
      </c>
      <c r="CJ96" s="72">
        <f t="shared" si="324"/>
        <v>130</v>
      </c>
      <c r="CK96" s="72">
        <f t="shared" si="325"/>
        <v>135</v>
      </c>
      <c r="CL96" s="72">
        <f t="shared" si="326"/>
        <v>171</v>
      </c>
      <c r="CM96" s="72">
        <f t="shared" si="327"/>
        <v>179</v>
      </c>
      <c r="CN96" s="72">
        <f t="shared" si="328"/>
        <v>211</v>
      </c>
      <c r="CO96" s="72">
        <f t="shared" si="329"/>
        <v>222</v>
      </c>
      <c r="CP96" s="72">
        <f t="shared" si="330"/>
        <v>267</v>
      </c>
      <c r="CQ96" s="72">
        <f t="shared" si="331"/>
        <v>516</v>
      </c>
      <c r="CR96" s="72">
        <f t="shared" si="332"/>
        <v>546</v>
      </c>
      <c r="CS96" s="72">
        <f t="shared" si="333"/>
        <v>560</v>
      </c>
      <c r="CT96" s="23">
        <f t="shared" si="334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699"/>
        <v>acm3_rat_4U15</v>
      </c>
      <c r="B97" s="3" t="s">
        <v>903</v>
      </c>
      <c r="C97" s="3" t="s">
        <v>71</v>
      </c>
      <c r="D97" s="3" t="str">
        <f>IFERROR(MID(VLOOKUP($B97,Seqs!$A:$B,2,0),E97,1),"")</f>
        <v>I</v>
      </c>
      <c r="E97" s="3">
        <v>64</v>
      </c>
      <c r="F97" s="3" t="str">
        <f>IFERROR(MID(VLOOKUP($B97,Seqs!$A:$B,2,0),G97,1),"")</f>
        <v>N</v>
      </c>
      <c r="G97" s="3">
        <v>95</v>
      </c>
      <c r="H97" s="3" t="str">
        <f>IFERROR(MID(VLOOKUP($B97,Seqs!$A:$B,2,0),I97,1),"")</f>
        <v>K</v>
      </c>
      <c r="I97" s="23">
        <v>96</v>
      </c>
      <c r="J97" s="3" t="str">
        <f>IFERROR(MID(VLOOKUP($B97,Seqs!$A:$B,2,0),K97,1),"")</f>
        <v>K</v>
      </c>
      <c r="K97" s="23">
        <v>99</v>
      </c>
      <c r="L97" s="3" t="str">
        <f>IFERROR(MID(VLOOKUP($B97,Seqs!$A:$B,2,0),M97,1),"")</f>
        <v>T</v>
      </c>
      <c r="M97" s="3">
        <v>100</v>
      </c>
      <c r="N97" s="3" t="str">
        <f>IFERROR(MID(VLOOKUP($B97,Seqs!$A:$B,2,0),O97,1),"")</f>
        <v>M</v>
      </c>
      <c r="O97" s="3">
        <v>130</v>
      </c>
      <c r="P97" s="3" t="str">
        <f>IFERROR(MID(VLOOKUP($B97,Seqs!$A:$B,2,0),Q97,1),"")</f>
        <v>R</v>
      </c>
      <c r="Q97" s="3">
        <v>132</v>
      </c>
      <c r="R97" s="3" t="str">
        <f>IFERROR(MID(VLOOKUP($B97,Seqs!$A:$B,2,0),S97,1),"")</f>
        <v>L</v>
      </c>
      <c r="S97" s="3">
        <v>135</v>
      </c>
      <c r="T97" s="3" t="str">
        <f>IFERROR(MID(VLOOKUP($B97,Seqs!$A:$B,2,0),U97,1),"")</f>
        <v>G</v>
      </c>
      <c r="U97" s="3">
        <v>136</v>
      </c>
      <c r="V97" s="3" t="str">
        <f>IFERROR(MID(VLOOKUP($B97,Seqs!$A:$B,2,0),W97,1),"")</f>
        <v>R</v>
      </c>
      <c r="W97" s="3">
        <v>171</v>
      </c>
      <c r="X97" s="3" t="str">
        <f>IFERROR(MID(VLOOKUP($B97,Seqs!$A:$B,2,0),Y97,1),"")</f>
        <v>P</v>
      </c>
      <c r="Y97" s="3">
        <v>172</v>
      </c>
      <c r="Z97" s="3" t="str">
        <f>IFERROR(MID(VLOOKUP($B97,Seqs!$A:$B,2,0),AA97,1),"")</f>
        <v>R</v>
      </c>
      <c r="AA97" s="3">
        <v>179</v>
      </c>
      <c r="AB97" s="3" t="str">
        <f>IFERROR(MID(VLOOKUP($B97,Seqs!$A:$B,2,0),AC97,1),"")</f>
        <v>T</v>
      </c>
      <c r="AC97" s="9">
        <v>180</v>
      </c>
      <c r="AD97" s="3" t="str">
        <f>IFERROR(MID(VLOOKUP($B97,Seqs!$A:$B,2,0),AE97,1),"")</f>
        <v>G</v>
      </c>
      <c r="AE97" s="3">
        <v>211</v>
      </c>
      <c r="AF97" s="3" t="str">
        <f>IFERROR(MID(VLOOKUP($B97,Seqs!$A:$B,2,0),AG97,1),"")</f>
        <v>C</v>
      </c>
      <c r="AG97" s="3">
        <v>220</v>
      </c>
      <c r="AH97" s="3" t="str">
        <f>IFERROR(MID(VLOOKUP($B97,Seqs!$A:$B,2,0),AI97,1),"")</f>
        <v>I</v>
      </c>
      <c r="AI97" s="3">
        <v>222</v>
      </c>
      <c r="AJ97" s="3" t="str">
        <f>IFERROR(MID(VLOOKUP($B97,Seqs!$A:$B,2,0),AK97,1),"")</f>
        <v>E</v>
      </c>
      <c r="AK97" s="3">
        <v>227</v>
      </c>
      <c r="AL97" s="3" t="str">
        <f>IFERROR(MID(VLOOKUP($B97,Seqs!$A:$B,2,0),AM97,1),"")</f>
        <v>K</v>
      </c>
      <c r="AM97" s="3">
        <v>259</v>
      </c>
      <c r="AN97" s="3" t="str">
        <f>IFERROR(MID(VLOOKUP($B97,Seqs!$A:$B,2,0),AO97,1),"")</f>
        <v>I</v>
      </c>
      <c r="AO97" s="3">
        <v>483</v>
      </c>
      <c r="AP97" s="3" t="str">
        <f>IFERROR(MID(VLOOKUP($B97,Seqs!$A:$B,2,0),AQ97,1),"")</f>
        <v>C</v>
      </c>
      <c r="AQ97" s="3">
        <v>516</v>
      </c>
      <c r="AR97" s="3" t="str">
        <f>IFERROR(MID(VLOOKUP($B97,Seqs!$A:$B,2,0),AS97,1),"")</f>
        <v>P</v>
      </c>
      <c r="AS97" s="3">
        <v>521</v>
      </c>
      <c r="AT97" s="3" t="str">
        <f>IFERROR(MID(VLOOKUP($B97,Seqs!$A:$B,2,0),AU97,1),"")</f>
        <v>C</v>
      </c>
      <c r="AU97" s="3">
        <v>546</v>
      </c>
      <c r="AV97" s="3" t="str">
        <f>IFERROR(MID(VLOOKUP($B97,Seqs!$A:$B,2,0),AW97,1),"")</f>
        <v>N</v>
      </c>
      <c r="AW97" s="3">
        <v>547</v>
      </c>
      <c r="AX97" s="3" t="str">
        <f>IFERROR(MID(VLOOKUP($B97,Seqs!$A:$B,2,0),AY97,1),"")</f>
        <v>L</v>
      </c>
      <c r="AY97" s="3">
        <v>558</v>
      </c>
      <c r="AZ97" s="77" t="str">
        <f>VLOOKUP(B97,Classification!A:D,2,0)</f>
        <v>A</v>
      </c>
      <c r="BA97" s="94" t="str">
        <f>VLOOKUP(B97,Classification!A:D,4,0)</f>
        <v>Acetylcholine(muscarinic)</v>
      </c>
      <c r="BB97" s="27" t="b">
        <f t="shared" si="700"/>
        <v>1</v>
      </c>
      <c r="BC97" s="23">
        <f t="shared" si="309"/>
        <v>255</v>
      </c>
      <c r="BD97" s="16" t="s">
        <v>23</v>
      </c>
      <c r="BE97" s="3" t="s">
        <v>1368</v>
      </c>
      <c r="BF97" s="118">
        <v>2.8</v>
      </c>
      <c r="BG97" s="49" t="s">
        <v>1371</v>
      </c>
      <c r="BH97" s="49" t="s">
        <v>1371</v>
      </c>
      <c r="BI97" s="1"/>
      <c r="BJ97" s="70" t="s">
        <v>1281</v>
      </c>
      <c r="BK97" s="57" t="s">
        <v>1281</v>
      </c>
      <c r="BL97" s="57" t="s">
        <v>1281</v>
      </c>
      <c r="BM97" s="57" t="s">
        <v>1281</v>
      </c>
      <c r="BN97" s="57" t="s">
        <v>1281</v>
      </c>
      <c r="BO97" s="57" t="s">
        <v>1281</v>
      </c>
      <c r="BP97" s="57" t="s">
        <v>1281</v>
      </c>
      <c r="BQ97" s="57" t="s">
        <v>1281</v>
      </c>
      <c r="BR97" s="57" t="s">
        <v>1281</v>
      </c>
      <c r="BS97" s="57" t="s">
        <v>1281</v>
      </c>
      <c r="BT97" s="57" t="s">
        <v>1281</v>
      </c>
      <c r="BU97" s="57" t="s">
        <v>1281</v>
      </c>
      <c r="BV97" s="70">
        <f t="shared" si="310"/>
        <v>64</v>
      </c>
      <c r="BW97" s="71">
        <f t="shared" si="311"/>
        <v>96</v>
      </c>
      <c r="BX97" s="72">
        <f t="shared" si="312"/>
        <v>100</v>
      </c>
      <c r="BY97" s="71">
        <f t="shared" si="313"/>
        <v>132</v>
      </c>
      <c r="BZ97" s="72">
        <f t="shared" si="314"/>
        <v>136</v>
      </c>
      <c r="CA97" s="71">
        <f t="shared" si="315"/>
        <v>172</v>
      </c>
      <c r="CB97" s="72">
        <f t="shared" si="316"/>
        <v>180</v>
      </c>
      <c r="CC97" s="71">
        <f t="shared" si="317"/>
        <v>220</v>
      </c>
      <c r="CD97" s="72">
        <f t="shared" si="318"/>
        <v>227</v>
      </c>
      <c r="CE97" s="71">
        <f t="shared" si="319"/>
        <v>483</v>
      </c>
      <c r="CF97" s="72">
        <f t="shared" si="320"/>
        <v>521</v>
      </c>
      <c r="CG97" s="71">
        <f t="shared" si="321"/>
        <v>547</v>
      </c>
      <c r="CH97" s="70">
        <f t="shared" si="322"/>
        <v>95</v>
      </c>
      <c r="CI97" s="71">
        <f t="shared" si="323"/>
        <v>99</v>
      </c>
      <c r="CJ97" s="72">
        <f t="shared" si="324"/>
        <v>130</v>
      </c>
      <c r="CK97" s="72">
        <f t="shared" si="325"/>
        <v>135</v>
      </c>
      <c r="CL97" s="72">
        <f t="shared" si="326"/>
        <v>171</v>
      </c>
      <c r="CM97" s="72">
        <f t="shared" si="327"/>
        <v>179</v>
      </c>
      <c r="CN97" s="72">
        <f t="shared" si="328"/>
        <v>211</v>
      </c>
      <c r="CO97" s="72">
        <f t="shared" si="329"/>
        <v>222</v>
      </c>
      <c r="CP97" s="72">
        <f t="shared" si="330"/>
        <v>259</v>
      </c>
      <c r="CQ97" s="72">
        <f t="shared" si="331"/>
        <v>516</v>
      </c>
      <c r="CR97" s="72">
        <f t="shared" si="332"/>
        <v>546</v>
      </c>
      <c r="CS97" s="72">
        <f t="shared" si="333"/>
        <v>558</v>
      </c>
      <c r="CT97" s="23">
        <f t="shared" si="334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699"/>
        <v>acm3_rat_4U16</v>
      </c>
      <c r="B98" s="3" t="s">
        <v>903</v>
      </c>
      <c r="C98" s="3" t="s">
        <v>1047</v>
      </c>
      <c r="D98" s="3" t="str">
        <f>IFERROR(MID(VLOOKUP($B98,Seqs!$A:$B,2,0),E98,1),"")</f>
        <v>I</v>
      </c>
      <c r="E98" s="3">
        <v>64</v>
      </c>
      <c r="F98" s="3" t="str">
        <f>IFERROR(MID(VLOOKUP($B98,Seqs!$A:$B,2,0),G98,1),"")</f>
        <v>N</v>
      </c>
      <c r="G98" s="3">
        <v>95</v>
      </c>
      <c r="H98" s="3" t="str">
        <f>IFERROR(MID(VLOOKUP($B98,Seqs!$A:$B,2,0),I98,1),"")</f>
        <v>K</v>
      </c>
      <c r="I98" s="23">
        <v>96</v>
      </c>
      <c r="J98" s="3" t="str">
        <f>IFERROR(MID(VLOOKUP($B98,Seqs!$A:$B,2,0),K98,1),"")</f>
        <v>K</v>
      </c>
      <c r="K98" s="23">
        <v>99</v>
      </c>
      <c r="L98" s="3" t="str">
        <f>IFERROR(MID(VLOOKUP($B98,Seqs!$A:$B,2,0),M98,1),"")</f>
        <v>T</v>
      </c>
      <c r="M98" s="3">
        <v>100</v>
      </c>
      <c r="N98" s="3" t="str">
        <f>IFERROR(MID(VLOOKUP($B98,Seqs!$A:$B,2,0),O98,1),"")</f>
        <v>M</v>
      </c>
      <c r="O98" s="3">
        <v>130</v>
      </c>
      <c r="P98" s="3" t="str">
        <f>IFERROR(MID(VLOOKUP($B98,Seqs!$A:$B,2,0),Q98,1),"")</f>
        <v>R</v>
      </c>
      <c r="Q98" s="3">
        <v>132</v>
      </c>
      <c r="R98" s="3" t="str">
        <f>IFERROR(MID(VLOOKUP($B98,Seqs!$A:$B,2,0),S98,1),"")</f>
        <v>L</v>
      </c>
      <c r="S98" s="3">
        <v>135</v>
      </c>
      <c r="T98" s="3" t="str">
        <f>IFERROR(MID(VLOOKUP($B98,Seqs!$A:$B,2,0),U98,1),"")</f>
        <v>G</v>
      </c>
      <c r="U98" s="3">
        <v>136</v>
      </c>
      <c r="V98" s="3" t="str">
        <f>IFERROR(MID(VLOOKUP($B98,Seqs!$A:$B,2,0),W98,1),"")</f>
        <v>R</v>
      </c>
      <c r="W98" s="3">
        <v>171</v>
      </c>
      <c r="X98" s="3" t="str">
        <f>IFERROR(MID(VLOOKUP($B98,Seqs!$A:$B,2,0),Y98,1),"")</f>
        <v>P</v>
      </c>
      <c r="Y98" s="3">
        <v>172</v>
      </c>
      <c r="Z98" s="3" t="str">
        <f>IFERROR(MID(VLOOKUP($B98,Seqs!$A:$B,2,0),AA98,1),"")</f>
        <v>R</v>
      </c>
      <c r="AA98" s="3">
        <v>179</v>
      </c>
      <c r="AB98" s="3" t="str">
        <f>IFERROR(MID(VLOOKUP($B98,Seqs!$A:$B,2,0),AC98,1),"")</f>
        <v>T</v>
      </c>
      <c r="AC98" s="9">
        <v>180</v>
      </c>
      <c r="AD98" s="3" t="str">
        <f>IFERROR(MID(VLOOKUP($B98,Seqs!$A:$B,2,0),AE98,1),"")</f>
        <v>G</v>
      </c>
      <c r="AE98" s="3">
        <v>211</v>
      </c>
      <c r="AF98" s="3" t="str">
        <f>IFERROR(MID(VLOOKUP($B98,Seqs!$A:$B,2,0),AG98,1),"")</f>
        <v>C</v>
      </c>
      <c r="AG98" s="3">
        <v>220</v>
      </c>
      <c r="AH98" s="3" t="str">
        <f>IFERROR(MID(VLOOKUP($B98,Seqs!$A:$B,2,0),AI98,1),"")</f>
        <v>I</v>
      </c>
      <c r="AI98" s="3">
        <v>222</v>
      </c>
      <c r="AJ98" s="3" t="str">
        <f>IFERROR(MID(VLOOKUP($B98,Seqs!$A:$B,2,0),AK98,1),"")</f>
        <v>E</v>
      </c>
      <c r="AK98" s="3">
        <v>227</v>
      </c>
      <c r="AL98" s="3" t="str">
        <f>IFERROR(MID(VLOOKUP($B98,Seqs!$A:$B,2,0),AM98,1),"")</f>
        <v>K</v>
      </c>
      <c r="AM98" s="3">
        <v>259</v>
      </c>
      <c r="AN98" s="3" t="str">
        <f>IFERROR(MID(VLOOKUP($B98,Seqs!$A:$B,2,0),AO98,1),"")</f>
        <v>I</v>
      </c>
      <c r="AO98" s="3">
        <v>483</v>
      </c>
      <c r="AP98" s="3" t="str">
        <f>IFERROR(MID(VLOOKUP($B98,Seqs!$A:$B,2,0),AQ98,1),"")</f>
        <v>C</v>
      </c>
      <c r="AQ98" s="3">
        <v>516</v>
      </c>
      <c r="AR98" s="3" t="str">
        <f>IFERROR(MID(VLOOKUP($B98,Seqs!$A:$B,2,0),AS98,1),"")</f>
        <v>P</v>
      </c>
      <c r="AS98" s="3">
        <v>521</v>
      </c>
      <c r="AT98" s="3" t="str">
        <f>IFERROR(MID(VLOOKUP($B98,Seqs!$A:$B,2,0),AU98,1),"")</f>
        <v>C</v>
      </c>
      <c r="AU98" s="3">
        <v>546</v>
      </c>
      <c r="AV98" s="3" t="str">
        <f>IFERROR(MID(VLOOKUP($B98,Seqs!$A:$B,2,0),AW98,1),"")</f>
        <v/>
      </c>
      <c r="AW98" s="3" t="s">
        <v>23</v>
      </c>
      <c r="AX98" s="3" t="str">
        <f>IFERROR(MID(VLOOKUP($B98,Seqs!$A:$B,2,0),AY98,1),"")</f>
        <v/>
      </c>
      <c r="AY98" s="3" t="s">
        <v>23</v>
      </c>
      <c r="AZ98" s="77" t="str">
        <f>VLOOKUP(B98,Classification!A:D,2,0)</f>
        <v>A</v>
      </c>
      <c r="BA98" s="94" t="str">
        <f>VLOOKUP(B98,Classification!A:D,4,0)</f>
        <v>Acetylcholine(muscarinic)</v>
      </c>
      <c r="BB98" s="27" t="b">
        <f t="shared" si="700"/>
        <v>1</v>
      </c>
      <c r="BC98" s="23">
        <f t="shared" si="309"/>
        <v>244</v>
      </c>
      <c r="BD98" s="4" t="s">
        <v>23</v>
      </c>
      <c r="BE98" s="3" t="s">
        <v>1368</v>
      </c>
      <c r="BF98" s="118">
        <v>3.7</v>
      </c>
      <c r="BG98" s="49" t="s">
        <v>1371</v>
      </c>
      <c r="BH98" s="49" t="s">
        <v>1371</v>
      </c>
      <c r="BI98" s="1"/>
      <c r="BJ98" s="70" t="s">
        <v>1281</v>
      </c>
      <c r="BK98" s="57" t="s">
        <v>1281</v>
      </c>
      <c r="BL98" s="57" t="s">
        <v>1281</v>
      </c>
      <c r="BM98" s="57" t="s">
        <v>1281</v>
      </c>
      <c r="BN98" s="57" t="s">
        <v>1281</v>
      </c>
      <c r="BO98" s="57" t="s">
        <v>1281</v>
      </c>
      <c r="BP98" s="57" t="s">
        <v>1281</v>
      </c>
      <c r="BQ98" s="57" t="s">
        <v>1281</v>
      </c>
      <c r="BR98" s="57" t="s">
        <v>1281</v>
      </c>
      <c r="BS98" s="57" t="s">
        <v>1281</v>
      </c>
      <c r="BT98" s="57" t="s">
        <v>1281</v>
      </c>
      <c r="BU98" s="57" t="s">
        <v>1281</v>
      </c>
      <c r="BV98" s="70">
        <f t="shared" si="310"/>
        <v>64</v>
      </c>
      <c r="BW98" s="71">
        <f t="shared" si="311"/>
        <v>96</v>
      </c>
      <c r="BX98" s="72">
        <f t="shared" si="312"/>
        <v>100</v>
      </c>
      <c r="BY98" s="71">
        <f t="shared" si="313"/>
        <v>132</v>
      </c>
      <c r="BZ98" s="72">
        <f t="shared" si="314"/>
        <v>136</v>
      </c>
      <c r="CA98" s="71">
        <f t="shared" si="315"/>
        <v>172</v>
      </c>
      <c r="CB98" s="72">
        <f t="shared" si="316"/>
        <v>180</v>
      </c>
      <c r="CC98" s="71">
        <f t="shared" si="317"/>
        <v>220</v>
      </c>
      <c r="CD98" s="72">
        <f t="shared" si="318"/>
        <v>227</v>
      </c>
      <c r="CE98" s="71">
        <f t="shared" si="319"/>
        <v>483</v>
      </c>
      <c r="CF98" s="72">
        <f t="shared" si="320"/>
        <v>521</v>
      </c>
      <c r="CG98" s="71" t="str">
        <f t="shared" si="321"/>
        <v>-</v>
      </c>
      <c r="CH98" s="70">
        <f t="shared" si="322"/>
        <v>95</v>
      </c>
      <c r="CI98" s="71">
        <f t="shared" si="323"/>
        <v>99</v>
      </c>
      <c r="CJ98" s="72">
        <f t="shared" si="324"/>
        <v>130</v>
      </c>
      <c r="CK98" s="72">
        <f t="shared" si="325"/>
        <v>135</v>
      </c>
      <c r="CL98" s="72">
        <f t="shared" si="326"/>
        <v>171</v>
      </c>
      <c r="CM98" s="72">
        <f t="shared" si="327"/>
        <v>179</v>
      </c>
      <c r="CN98" s="72">
        <f t="shared" si="328"/>
        <v>211</v>
      </c>
      <c r="CO98" s="72">
        <f t="shared" si="329"/>
        <v>222</v>
      </c>
      <c r="CP98" s="72">
        <f t="shared" si="330"/>
        <v>259</v>
      </c>
      <c r="CQ98" s="72">
        <f t="shared" si="331"/>
        <v>516</v>
      </c>
      <c r="CR98" s="72">
        <f t="shared" si="332"/>
        <v>546</v>
      </c>
      <c r="CS98" s="72" t="str">
        <f t="shared" si="333"/>
        <v>-</v>
      </c>
      <c r="CT98" s="23">
        <f t="shared" si="334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ref="A99" si="897">CONCATENATE(B99,"_",C99)</f>
        <v>acm3_rat_5ZHP</v>
      </c>
      <c r="B99" s="3" t="s">
        <v>903</v>
      </c>
      <c r="C99" s="3" t="s">
        <v>1570</v>
      </c>
      <c r="D99" s="3" t="str">
        <f>IFERROR(MID(VLOOKUP($B99,Seqs!$A:$B,2,0),E99,1),"")</f>
        <v>T</v>
      </c>
      <c r="E99" s="3">
        <v>63</v>
      </c>
      <c r="F99" s="3" t="str">
        <f>IFERROR(MID(VLOOKUP($B99,Seqs!$A:$B,2,0),G99,1),"")</f>
        <v>N</v>
      </c>
      <c r="G99" s="3">
        <v>95</v>
      </c>
      <c r="H99" s="3" t="str">
        <f>IFERROR(MID(VLOOKUP($B99,Seqs!$A:$B,2,0),I99,1),"")</f>
        <v>K</v>
      </c>
      <c r="I99" s="23">
        <v>96</v>
      </c>
      <c r="J99" s="3" t="str">
        <f>IFERROR(MID(VLOOKUP($B99,Seqs!$A:$B,2,0),K99,1),"")</f>
        <v>K</v>
      </c>
      <c r="K99" s="23">
        <v>99</v>
      </c>
      <c r="L99" s="3" t="str">
        <f>IFERROR(MID(VLOOKUP($B99,Seqs!$A:$B,2,0),M99,1),"")</f>
        <v>T</v>
      </c>
      <c r="M99" s="3">
        <v>100</v>
      </c>
      <c r="N99" s="3" t="str">
        <f>IFERROR(MID(VLOOKUP($B99,Seqs!$A:$B,2,0),O99,1),"")</f>
        <v>M</v>
      </c>
      <c r="O99" s="3">
        <v>130</v>
      </c>
      <c r="P99" s="3" t="str">
        <f>IFERROR(MID(VLOOKUP($B99,Seqs!$A:$B,2,0),Q99,1),"")</f>
        <v>R</v>
      </c>
      <c r="Q99" s="3">
        <v>132</v>
      </c>
      <c r="R99" s="3" t="str">
        <f>IFERROR(MID(VLOOKUP($B99,Seqs!$A:$B,2,0),S99,1),"")</f>
        <v>L</v>
      </c>
      <c r="S99" s="3">
        <v>135</v>
      </c>
      <c r="T99" s="3" t="str">
        <f>IFERROR(MID(VLOOKUP($B99,Seqs!$A:$B,2,0),U99,1),"")</f>
        <v>G</v>
      </c>
      <c r="U99" s="3">
        <v>136</v>
      </c>
      <c r="V99" s="3" t="str">
        <f>IFERROR(MID(VLOOKUP($B99,Seqs!$A:$B,2,0),W99,1),"")</f>
        <v>R</v>
      </c>
      <c r="W99" s="3">
        <v>171</v>
      </c>
      <c r="X99" s="3" t="str">
        <f>IFERROR(MID(VLOOKUP($B99,Seqs!$A:$B,2,0),Y99,1),"")</f>
        <v>P</v>
      </c>
      <c r="Y99" s="3">
        <v>172</v>
      </c>
      <c r="Z99" s="3" t="str">
        <f>IFERROR(MID(VLOOKUP($B99,Seqs!$A:$B,2,0),AA99,1),"")</f>
        <v>R</v>
      </c>
      <c r="AA99" s="3">
        <v>179</v>
      </c>
      <c r="AB99" s="3" t="str">
        <f>IFERROR(MID(VLOOKUP($B99,Seqs!$A:$B,2,0),AC99,1),"")</f>
        <v>T</v>
      </c>
      <c r="AC99" s="3">
        <v>180</v>
      </c>
      <c r="AD99" s="3" t="str">
        <f>IFERROR(MID(VLOOKUP($B99,Seqs!$A:$B,2,0),AE99,1),"")</f>
        <v>G</v>
      </c>
      <c r="AE99" s="3">
        <v>211</v>
      </c>
      <c r="AF99" s="3" t="str">
        <f>IFERROR(MID(VLOOKUP($B99,Seqs!$A:$B,2,0),AG99,1),"")</f>
        <v>C</v>
      </c>
      <c r="AG99" s="3">
        <v>220</v>
      </c>
      <c r="AH99" s="3" t="str">
        <f>IFERROR(MID(VLOOKUP($B99,Seqs!$A:$B,2,0),AI99,1),"")</f>
        <v>I</v>
      </c>
      <c r="AI99" s="3">
        <v>222</v>
      </c>
      <c r="AJ99" s="3" t="str">
        <f>IFERROR(MID(VLOOKUP($B99,Seqs!$A:$B,2,0),AK99,1),"")</f>
        <v>E</v>
      </c>
      <c r="AK99" s="3">
        <v>227</v>
      </c>
      <c r="AL99" s="3" t="str">
        <f>IFERROR(MID(VLOOKUP($B99,Seqs!$A:$B,2,0),AM99,1),"")</f>
        <v>K</v>
      </c>
      <c r="AM99" s="3">
        <v>259</v>
      </c>
      <c r="AN99" s="3" t="str">
        <f>IFERROR(MID(VLOOKUP($B99,Seqs!$A:$B,2,0),AO99,1),"")</f>
        <v>L</v>
      </c>
      <c r="AO99" s="3">
        <v>482</v>
      </c>
      <c r="AP99" s="3" t="str">
        <f>IFERROR(MID(VLOOKUP($B99,Seqs!$A:$B,2,0),AQ99,1),"")</f>
        <v>C</v>
      </c>
      <c r="AQ99" s="3">
        <v>516</v>
      </c>
      <c r="AR99" s="3" t="str">
        <f>IFERROR(MID(VLOOKUP($B99,Seqs!$A:$B,2,0),AS99,1),"")</f>
        <v>P</v>
      </c>
      <c r="AS99" s="3">
        <v>521</v>
      </c>
      <c r="AT99" s="3" t="str">
        <f>IFERROR(MID(VLOOKUP($B99,Seqs!$A:$B,2,0),AU99,1),"")</f>
        <v>C</v>
      </c>
      <c r="AU99" s="3">
        <v>546</v>
      </c>
      <c r="AV99" s="3" t="str">
        <f>IFERROR(MID(VLOOKUP($B99,Seqs!$A:$B,2,0),AW99,1),"")</f>
        <v>N</v>
      </c>
      <c r="AW99" s="3">
        <v>547</v>
      </c>
      <c r="AX99" s="3" t="str">
        <f>IFERROR(MID(VLOOKUP($B99,Seqs!$A:$B,2,0),AY99,1),"")</f>
        <v>C</v>
      </c>
      <c r="AY99" s="3">
        <v>560</v>
      </c>
      <c r="AZ99" s="77" t="str">
        <f>VLOOKUP(B99,Classification!A:D,2,0)</f>
        <v>A</v>
      </c>
      <c r="BA99" s="94" t="str">
        <f>VLOOKUP(B99,Classification!A:D,4,0)</f>
        <v>Acetylcholine(muscarinic)</v>
      </c>
      <c r="BB99" s="27" t="b">
        <f t="shared" ref="BB99" si="898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23">
        <f t="shared" ref="BC99" si="899">_xlfn.AGGREGATE(9,6,CH99:CS99)-_xlfn.AGGREGATE(9,6,BV99:CG99)+12</f>
        <v>259</v>
      </c>
      <c r="BD99" s="4" t="s">
        <v>1370</v>
      </c>
      <c r="BE99" s="3" t="s">
        <v>1368</v>
      </c>
      <c r="BF99" s="118">
        <v>3.1</v>
      </c>
      <c r="BG99" s="49" t="s">
        <v>1275</v>
      </c>
      <c r="BH99" s="49" t="s">
        <v>1275</v>
      </c>
      <c r="BI99" s="1"/>
      <c r="BJ99" s="70" t="s">
        <v>1281</v>
      </c>
      <c r="BK99" s="57" t="s">
        <v>1281</v>
      </c>
      <c r="BL99" s="57" t="s">
        <v>1281</v>
      </c>
      <c r="BM99" s="57" t="s">
        <v>1281</v>
      </c>
      <c r="BN99" s="57" t="s">
        <v>1281</v>
      </c>
      <c r="BO99" s="57" t="s">
        <v>1281</v>
      </c>
      <c r="BP99" s="57" t="s">
        <v>1281</v>
      </c>
      <c r="BQ99" s="57" t="s">
        <v>1281</v>
      </c>
      <c r="BR99" s="57" t="s">
        <v>1281</v>
      </c>
      <c r="BS99" s="57" t="s">
        <v>1281</v>
      </c>
      <c r="BT99" s="57" t="s">
        <v>1281</v>
      </c>
      <c r="BU99" s="57" t="s">
        <v>1281</v>
      </c>
      <c r="BV99" s="70">
        <f t="shared" ref="BV99" si="900">E99</f>
        <v>63</v>
      </c>
      <c r="BW99" s="71">
        <f t="shared" ref="BW99" si="901">I99</f>
        <v>96</v>
      </c>
      <c r="BX99" s="72">
        <f t="shared" ref="BX99" si="902">M99</f>
        <v>100</v>
      </c>
      <c r="BY99" s="71">
        <f t="shared" ref="BY99" si="903">Q99</f>
        <v>132</v>
      </c>
      <c r="BZ99" s="72">
        <f t="shared" ref="BZ99" si="904">U99</f>
        <v>136</v>
      </c>
      <c r="CA99" s="71">
        <f t="shared" ref="CA99" si="905">Y99</f>
        <v>172</v>
      </c>
      <c r="CB99" s="72">
        <f t="shared" ref="CB99" si="906">AC99</f>
        <v>180</v>
      </c>
      <c r="CC99" s="71">
        <f t="shared" ref="CC99" si="907">AG99</f>
        <v>220</v>
      </c>
      <c r="CD99" s="72">
        <f t="shared" ref="CD99" si="908">AK99</f>
        <v>227</v>
      </c>
      <c r="CE99" s="71">
        <f t="shared" ref="CE99" si="909">AO99</f>
        <v>482</v>
      </c>
      <c r="CF99" s="72">
        <f t="shared" ref="CF99" si="910">AS99</f>
        <v>521</v>
      </c>
      <c r="CG99" s="71">
        <f t="shared" ref="CG99" si="911">AW99</f>
        <v>547</v>
      </c>
      <c r="CH99" s="70">
        <f t="shared" ref="CH99" si="912">G99</f>
        <v>95</v>
      </c>
      <c r="CI99" s="71">
        <f t="shared" ref="CI99" si="913">K99</f>
        <v>99</v>
      </c>
      <c r="CJ99" s="72">
        <f t="shared" ref="CJ99" si="914">O99</f>
        <v>130</v>
      </c>
      <c r="CK99" s="72">
        <f t="shared" ref="CK99" si="915">S99</f>
        <v>135</v>
      </c>
      <c r="CL99" s="72">
        <f t="shared" ref="CL99" si="916">W99</f>
        <v>171</v>
      </c>
      <c r="CM99" s="72">
        <f t="shared" ref="CM99" si="917">AA99</f>
        <v>179</v>
      </c>
      <c r="CN99" s="72">
        <f t="shared" ref="CN99" si="918">AE99</f>
        <v>211</v>
      </c>
      <c r="CO99" s="72">
        <f t="shared" ref="CO99" si="919">AI99</f>
        <v>222</v>
      </c>
      <c r="CP99" s="72">
        <f t="shared" ref="CP99" si="920">AM99</f>
        <v>259</v>
      </c>
      <c r="CQ99" s="72">
        <f t="shared" ref="CQ99" si="921">AQ99</f>
        <v>516</v>
      </c>
      <c r="CR99" s="72">
        <f t="shared" ref="CR99" si="922">AU99</f>
        <v>546</v>
      </c>
      <c r="CS99" s="72">
        <f t="shared" ref="CS99" si="923">AY99</f>
        <v>560</v>
      </c>
      <c r="CT99" s="23">
        <f t="shared" ref="CT99" si="924">M99-K99</f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699"/>
        <v>acm4_human__wt</v>
      </c>
      <c r="B100" s="3" t="s">
        <v>149</v>
      </c>
      <c r="C100" s="3" t="s">
        <v>100</v>
      </c>
      <c r="D100" s="3" t="str">
        <f>IFERROR(MID(VLOOKUP($B100,Seqs!$A:$B,2,0),E100,1),"")</f>
        <v>R</v>
      </c>
      <c r="E100" s="3">
        <v>26</v>
      </c>
      <c r="F100" s="3" t="str">
        <f>IFERROR(MID(VLOOKUP($B100,Seqs!$A:$B,2,0),G100,1),"")</f>
        <v>N</v>
      </c>
      <c r="G100" s="3">
        <v>60</v>
      </c>
      <c r="H100" s="3" t="str">
        <f>IFERROR(MID(VLOOKUP($B100,Seqs!$A:$B,2,0),I100,1),"")</f>
        <v>R</v>
      </c>
      <c r="I100" s="23">
        <v>61</v>
      </c>
      <c r="J100" s="3" t="str">
        <f>IFERROR(MID(VLOOKUP($B100,Seqs!$A:$B,2,0),K100,1),"")</f>
        <v>Q</v>
      </c>
      <c r="K100" s="23">
        <v>64</v>
      </c>
      <c r="L100" s="3" t="str">
        <f>IFERROR(MID(VLOOKUP($B100,Seqs!$A:$B,2,0),M100,1),"")</f>
        <v>T</v>
      </c>
      <c r="M100" s="3">
        <v>65</v>
      </c>
      <c r="N100" s="3" t="str">
        <f>IFERROR(MID(VLOOKUP($B100,Seqs!$A:$B,2,0),O100,1),"")</f>
        <v>G</v>
      </c>
      <c r="O100" s="3">
        <v>96</v>
      </c>
      <c r="P100" s="3" t="str">
        <f>IFERROR(MID(VLOOKUP($B100,Seqs!$A:$B,2,0),Q100,1),"")</f>
        <v>Y</v>
      </c>
      <c r="Q100" s="3">
        <v>97</v>
      </c>
      <c r="R100" s="3" t="str">
        <f>IFERROR(MID(VLOOKUP($B100,Seqs!$A:$B,2,0),S100,1),"")</f>
        <v>L</v>
      </c>
      <c r="S100" s="3">
        <v>100</v>
      </c>
      <c r="T100" s="3" t="str">
        <f>IFERROR(MID(VLOOKUP($B100,Seqs!$A:$B,2,0),U100,1),"")</f>
        <v>G</v>
      </c>
      <c r="U100" s="3">
        <v>101</v>
      </c>
      <c r="V100" s="3" t="str">
        <f>IFERROR(MID(VLOOKUP($B100,Seqs!$A:$B,2,0),W100,1),"")</f>
        <v>K</v>
      </c>
      <c r="W100" s="3">
        <v>136</v>
      </c>
      <c r="X100" s="3" t="str">
        <f>IFERROR(MID(VLOOKUP($B100,Seqs!$A:$B,2,0),Y100,1),"")</f>
        <v>P</v>
      </c>
      <c r="Y100" s="3">
        <v>137</v>
      </c>
      <c r="Z100" s="3" t="str">
        <f>IFERROR(MID(VLOOKUP($B100,Seqs!$A:$B,2,0),AA100,1),"")</f>
        <v>R</v>
      </c>
      <c r="AA100" s="3">
        <v>144</v>
      </c>
      <c r="AB100" s="3" t="str">
        <f>IFERROR(MID(VLOOKUP($B100,Seqs!$A:$B,2,0),AC100,1),"")</f>
        <v>T</v>
      </c>
      <c r="AC100" s="3">
        <v>145</v>
      </c>
      <c r="AD100" s="3" t="str">
        <f>IFERROR(MID(VLOOKUP($B100,Seqs!$A:$B,2,0),AE100,1),"")</f>
        <v>G</v>
      </c>
      <c r="AE100" s="3">
        <v>176</v>
      </c>
      <c r="AF100" s="3" t="str">
        <f>IFERROR(MID(VLOOKUP($B100,Seqs!$A:$B,2,0),AG100,1),"")</f>
        <v>C</v>
      </c>
      <c r="AG100" s="3">
        <v>185</v>
      </c>
      <c r="AH100" s="3" t="str">
        <f>IFERROR(MID(VLOOKUP($B100,Seqs!$A:$B,2,0),AI100,1),"")</f>
        <v>I</v>
      </c>
      <c r="AI100" s="3">
        <v>187</v>
      </c>
      <c r="AJ100" s="3" t="str">
        <f>IFERROR(MID(VLOOKUP($B100,Seqs!$A:$B,2,0),AK100,1),"")</f>
        <v>N</v>
      </c>
      <c r="AK100" s="3">
        <v>192</v>
      </c>
      <c r="AL100" s="3" t="str">
        <f>IFERROR(MID(VLOOKUP($B100,Seqs!$A:$B,2,0),AM100,1),"")</f>
        <v>E</v>
      </c>
      <c r="AM100" s="3">
        <v>232</v>
      </c>
      <c r="AN100" s="3" t="str">
        <f>IFERROR(MID(VLOOKUP($B100,Seqs!$A:$B,2,0),AO100,1),"")</f>
        <v>R</v>
      </c>
      <c r="AO100" s="3">
        <v>389</v>
      </c>
      <c r="AP100" s="3" t="str">
        <f>IFERROR(MID(VLOOKUP($B100,Seqs!$A:$B,2,0),AQ100,1),"")</f>
        <v>C</v>
      </c>
      <c r="AQ100" s="3">
        <v>426</v>
      </c>
      <c r="AR100" s="3" t="str">
        <f>IFERROR(MID(VLOOKUP($B100,Seqs!$A:$B,2,0),AS100,1),"")</f>
        <v>P</v>
      </c>
      <c r="AS100" s="3">
        <v>431</v>
      </c>
      <c r="AT100" s="3" t="str">
        <f>IFERROR(MID(VLOOKUP($B100,Seqs!$A:$B,2,0),AU100,1),"")</f>
        <v>C</v>
      </c>
      <c r="AU100" s="3">
        <v>456</v>
      </c>
      <c r="AV100" s="3" t="str">
        <f>IFERROR(MID(VLOOKUP($B100,Seqs!$A:$B,2,0),AW100,1),"")</f>
        <v>N</v>
      </c>
      <c r="AW100" s="3">
        <v>457</v>
      </c>
      <c r="AX100" s="3" t="str">
        <f>IFERROR(MID(VLOOKUP($B100,Seqs!$A:$B,2,0),AY100,1),"")</f>
        <v>Q</v>
      </c>
      <c r="AY100" s="3">
        <v>471</v>
      </c>
      <c r="AZ100" s="77" t="str">
        <f>VLOOKUP(B100,Classification!A:D,2,0)</f>
        <v>A</v>
      </c>
      <c r="BA100" s="94" t="str">
        <f>VLOOKUP(B100,Classification!A:D,4,0)</f>
        <v>Acetylcholine(muscarinic)</v>
      </c>
      <c r="BB100" s="27" t="b">
        <f t="shared" si="700"/>
        <v>1</v>
      </c>
      <c r="BC100" s="23">
        <f t="shared" si="309"/>
        <v>274</v>
      </c>
      <c r="BD100" s="34" t="s">
        <v>23</v>
      </c>
      <c r="BE100" s="3" t="s">
        <v>23</v>
      </c>
      <c r="BF100" s="118" t="s">
        <v>23</v>
      </c>
      <c r="BG100" s="49" t="s">
        <v>1366</v>
      </c>
      <c r="BH100" s="49" t="s">
        <v>1371</v>
      </c>
      <c r="BI100" s="1"/>
      <c r="BJ100" s="70" t="s">
        <v>1281</v>
      </c>
      <c r="BK100" s="57" t="s">
        <v>1281</v>
      </c>
      <c r="BL100" s="57" t="s">
        <v>1281</v>
      </c>
      <c r="BM100" s="57" t="s">
        <v>1281</v>
      </c>
      <c r="BN100" s="57" t="s">
        <v>1281</v>
      </c>
      <c r="BO100" s="57" t="s">
        <v>1281</v>
      </c>
      <c r="BP100" s="57" t="s">
        <v>1281</v>
      </c>
      <c r="BQ100" s="57" t="s">
        <v>1281</v>
      </c>
      <c r="BR100" s="57" t="s">
        <v>1281</v>
      </c>
      <c r="BS100" s="57" t="s">
        <v>1281</v>
      </c>
      <c r="BT100" s="57" t="s">
        <v>1281</v>
      </c>
      <c r="BU100" s="57" t="s">
        <v>1281</v>
      </c>
      <c r="BV100" s="70">
        <f t="shared" si="310"/>
        <v>26</v>
      </c>
      <c r="BW100" s="71">
        <f t="shared" si="311"/>
        <v>61</v>
      </c>
      <c r="BX100" s="72">
        <f t="shared" si="312"/>
        <v>65</v>
      </c>
      <c r="BY100" s="71">
        <f t="shared" si="313"/>
        <v>97</v>
      </c>
      <c r="BZ100" s="72">
        <f t="shared" si="314"/>
        <v>101</v>
      </c>
      <c r="CA100" s="71">
        <f t="shared" si="315"/>
        <v>137</v>
      </c>
      <c r="CB100" s="72">
        <f t="shared" si="316"/>
        <v>145</v>
      </c>
      <c r="CC100" s="71">
        <f t="shared" si="317"/>
        <v>185</v>
      </c>
      <c r="CD100" s="72">
        <f t="shared" si="318"/>
        <v>192</v>
      </c>
      <c r="CE100" s="71">
        <f t="shared" si="319"/>
        <v>389</v>
      </c>
      <c r="CF100" s="72">
        <f t="shared" si="320"/>
        <v>431</v>
      </c>
      <c r="CG100" s="71">
        <f t="shared" si="321"/>
        <v>457</v>
      </c>
      <c r="CH100" s="70">
        <f t="shared" si="322"/>
        <v>60</v>
      </c>
      <c r="CI100" s="71">
        <f t="shared" si="323"/>
        <v>64</v>
      </c>
      <c r="CJ100" s="72">
        <f t="shared" si="324"/>
        <v>96</v>
      </c>
      <c r="CK100" s="72">
        <f t="shared" si="325"/>
        <v>100</v>
      </c>
      <c r="CL100" s="72">
        <f t="shared" si="326"/>
        <v>136</v>
      </c>
      <c r="CM100" s="72">
        <f t="shared" si="327"/>
        <v>144</v>
      </c>
      <c r="CN100" s="72">
        <f t="shared" si="328"/>
        <v>176</v>
      </c>
      <c r="CO100" s="72">
        <f t="shared" si="329"/>
        <v>187</v>
      </c>
      <c r="CP100" s="72">
        <f t="shared" si="330"/>
        <v>232</v>
      </c>
      <c r="CQ100" s="72">
        <f t="shared" si="331"/>
        <v>426</v>
      </c>
      <c r="CR100" s="72">
        <f t="shared" si="332"/>
        <v>456</v>
      </c>
      <c r="CS100" s="72">
        <f t="shared" si="333"/>
        <v>471</v>
      </c>
      <c r="CT100" s="23">
        <f t="shared" si="334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699"/>
        <v>acm4_human_5DSG</v>
      </c>
      <c r="B101" s="3" t="s">
        <v>149</v>
      </c>
      <c r="C101" s="3" t="s">
        <v>61</v>
      </c>
      <c r="D101" s="3" t="str">
        <f>IFERROR(MID(VLOOKUP($B101,Seqs!$A:$B,2,0),E101,1),"")</f>
        <v>R</v>
      </c>
      <c r="E101" s="3">
        <v>26</v>
      </c>
      <c r="F101" s="3" t="str">
        <f>IFERROR(MID(VLOOKUP($B101,Seqs!$A:$B,2,0),G101,1),"")</f>
        <v>N</v>
      </c>
      <c r="G101" s="3">
        <v>60</v>
      </c>
      <c r="H101" s="3" t="str">
        <f>IFERROR(MID(VLOOKUP($B101,Seqs!$A:$B,2,0),I101,1),"")</f>
        <v>R</v>
      </c>
      <c r="I101" s="23">
        <v>61</v>
      </c>
      <c r="J101" s="3" t="str">
        <f>IFERROR(MID(VLOOKUP($B101,Seqs!$A:$B,2,0),K101,1),"")</f>
        <v>Q</v>
      </c>
      <c r="K101" s="23">
        <v>64</v>
      </c>
      <c r="L101" s="3" t="str">
        <f>IFERROR(MID(VLOOKUP($B101,Seqs!$A:$B,2,0),M101,1),"")</f>
        <v>T</v>
      </c>
      <c r="M101" s="3">
        <v>65</v>
      </c>
      <c r="N101" s="3" t="str">
        <f>IFERROR(MID(VLOOKUP($B101,Seqs!$A:$B,2,0),O101,1),"")</f>
        <v>G</v>
      </c>
      <c r="O101" s="3">
        <v>96</v>
      </c>
      <c r="P101" s="3" t="str">
        <f>IFERROR(MID(VLOOKUP($B101,Seqs!$A:$B,2,0),Q101,1),"")</f>
        <v>Y</v>
      </c>
      <c r="Q101" s="3">
        <v>97</v>
      </c>
      <c r="R101" s="3" t="str">
        <f>IFERROR(MID(VLOOKUP($B101,Seqs!$A:$B,2,0),S101,1),"")</f>
        <v>L</v>
      </c>
      <c r="S101" s="3">
        <v>100</v>
      </c>
      <c r="T101" s="3" t="str">
        <f>IFERROR(MID(VLOOKUP($B101,Seqs!$A:$B,2,0),U101,1),"")</f>
        <v>G</v>
      </c>
      <c r="U101" s="3">
        <v>101</v>
      </c>
      <c r="V101" s="3" t="str">
        <f>IFERROR(MID(VLOOKUP($B101,Seqs!$A:$B,2,0),W101,1),"")</f>
        <v>K</v>
      </c>
      <c r="W101" s="3">
        <v>136</v>
      </c>
      <c r="X101" s="3" t="str">
        <f>IFERROR(MID(VLOOKUP($B101,Seqs!$A:$B,2,0),Y101,1),"")</f>
        <v>P</v>
      </c>
      <c r="Y101" s="3">
        <v>137</v>
      </c>
      <c r="Z101" s="3" t="str">
        <f>IFERROR(MID(VLOOKUP($B101,Seqs!$A:$B,2,0),AA101,1),"")</f>
        <v>R</v>
      </c>
      <c r="AA101" s="3">
        <v>144</v>
      </c>
      <c r="AB101" s="3" t="str">
        <f>IFERROR(MID(VLOOKUP($B101,Seqs!$A:$B,2,0),AC101,1),"")</f>
        <v>T</v>
      </c>
      <c r="AC101" s="3">
        <v>145</v>
      </c>
      <c r="AD101" s="3" t="str">
        <f>IFERROR(MID(VLOOKUP($B101,Seqs!$A:$B,2,0),AE101,1),"")</f>
        <v>G</v>
      </c>
      <c r="AE101" s="3">
        <v>176</v>
      </c>
      <c r="AF101" s="3" t="str">
        <f>IFERROR(MID(VLOOKUP($B101,Seqs!$A:$B,2,0),AG101,1),"")</f>
        <v>C</v>
      </c>
      <c r="AG101" s="3">
        <v>185</v>
      </c>
      <c r="AH101" s="3" t="str">
        <f>IFERROR(MID(VLOOKUP($B101,Seqs!$A:$B,2,0),AI101,1),"")</f>
        <v>I</v>
      </c>
      <c r="AI101" s="3">
        <v>187</v>
      </c>
      <c r="AJ101" s="3" t="str">
        <f>IFERROR(MID(VLOOKUP($B101,Seqs!$A:$B,2,0),AK101,1),"")</f>
        <v>N</v>
      </c>
      <c r="AK101" s="3">
        <v>192</v>
      </c>
      <c r="AL101" s="3" t="str">
        <f>IFERROR(MID(VLOOKUP($B101,Seqs!$A:$B,2,0),AM101,1),"")</f>
        <v>L</v>
      </c>
      <c r="AM101" s="3">
        <v>220</v>
      </c>
      <c r="AN101" s="3" t="str">
        <f>IFERROR(MID(VLOOKUP($B101,Seqs!$A:$B,2,0),AO101,1),"")</f>
        <v>R</v>
      </c>
      <c r="AO101" s="3">
        <v>396</v>
      </c>
      <c r="AP101" s="3" t="str">
        <f>IFERROR(MID(VLOOKUP($B101,Seqs!$A:$B,2,0),AQ101,1),"")</f>
        <v>C</v>
      </c>
      <c r="AQ101" s="3">
        <v>426</v>
      </c>
      <c r="AR101" s="3" t="str">
        <f>IFERROR(MID(VLOOKUP($B101,Seqs!$A:$B,2,0),AS101,1),"")</f>
        <v>P</v>
      </c>
      <c r="AS101" s="3">
        <v>431</v>
      </c>
      <c r="AT101" s="3" t="str">
        <f>IFERROR(MID(VLOOKUP($B101,Seqs!$A:$B,2,0),AU101,1),"")</f>
        <v>C</v>
      </c>
      <c r="AU101" s="3">
        <v>456</v>
      </c>
      <c r="AV101" s="3" t="str">
        <f>IFERROR(MID(VLOOKUP($B101,Seqs!$A:$B,2,0),AW101,1),"")</f>
        <v>N</v>
      </c>
      <c r="AW101" s="3">
        <v>457</v>
      </c>
      <c r="AX101" s="3" t="str">
        <f>IFERROR(MID(VLOOKUP($B101,Seqs!$A:$B,2,0),AY101,1),"")</f>
        <v>L</v>
      </c>
      <c r="AY101" s="3">
        <v>469</v>
      </c>
      <c r="AZ101" s="77" t="str">
        <f>VLOOKUP(B101,Classification!A:D,2,0)</f>
        <v>A</v>
      </c>
      <c r="BA101" s="94" t="str">
        <f>VLOOKUP(B101,Classification!A:D,4,0)</f>
        <v>Acetylcholine(muscarinic)</v>
      </c>
      <c r="BB101" s="27" t="b">
        <f t="shared" si="700"/>
        <v>1</v>
      </c>
      <c r="BC101" s="23">
        <f t="shared" si="309"/>
        <v>253</v>
      </c>
      <c r="BD101" s="2" t="s">
        <v>23</v>
      </c>
      <c r="BE101" s="3" t="s">
        <v>1368</v>
      </c>
      <c r="BF101" s="118">
        <v>2.6</v>
      </c>
      <c r="BG101" s="49" t="s">
        <v>1371</v>
      </c>
      <c r="BH101" s="49" t="s">
        <v>1371</v>
      </c>
      <c r="BI101" s="1"/>
      <c r="BJ101" s="70" t="s">
        <v>1281</v>
      </c>
      <c r="BK101" s="57" t="s">
        <v>1281</v>
      </c>
      <c r="BL101" s="57" t="s">
        <v>1281</v>
      </c>
      <c r="BM101" s="57" t="s">
        <v>1281</v>
      </c>
      <c r="BN101" s="57" t="s">
        <v>1281</v>
      </c>
      <c r="BO101" s="57" t="s">
        <v>1281</v>
      </c>
      <c r="BP101" s="57" t="s">
        <v>1281</v>
      </c>
      <c r="BQ101" s="57" t="s">
        <v>1281</v>
      </c>
      <c r="BR101" s="57" t="s">
        <v>1281</v>
      </c>
      <c r="BS101" s="57" t="s">
        <v>1281</v>
      </c>
      <c r="BT101" s="57" t="s">
        <v>1281</v>
      </c>
      <c r="BU101" s="57" t="s">
        <v>1281</v>
      </c>
      <c r="BV101" s="70">
        <f t="shared" si="310"/>
        <v>26</v>
      </c>
      <c r="BW101" s="71">
        <f t="shared" si="311"/>
        <v>61</v>
      </c>
      <c r="BX101" s="72">
        <f t="shared" si="312"/>
        <v>65</v>
      </c>
      <c r="BY101" s="71">
        <f t="shared" si="313"/>
        <v>97</v>
      </c>
      <c r="BZ101" s="72">
        <f t="shared" si="314"/>
        <v>101</v>
      </c>
      <c r="CA101" s="71">
        <f t="shared" si="315"/>
        <v>137</v>
      </c>
      <c r="CB101" s="72">
        <f t="shared" si="316"/>
        <v>145</v>
      </c>
      <c r="CC101" s="71">
        <f t="shared" si="317"/>
        <v>185</v>
      </c>
      <c r="CD101" s="72">
        <f t="shared" si="318"/>
        <v>192</v>
      </c>
      <c r="CE101" s="71">
        <f t="shared" si="319"/>
        <v>396</v>
      </c>
      <c r="CF101" s="72">
        <f t="shared" si="320"/>
        <v>431</v>
      </c>
      <c r="CG101" s="71">
        <f t="shared" si="321"/>
        <v>457</v>
      </c>
      <c r="CH101" s="70">
        <f t="shared" si="322"/>
        <v>60</v>
      </c>
      <c r="CI101" s="71">
        <f t="shared" si="323"/>
        <v>64</v>
      </c>
      <c r="CJ101" s="72">
        <f t="shared" si="324"/>
        <v>96</v>
      </c>
      <c r="CK101" s="72">
        <f t="shared" si="325"/>
        <v>100</v>
      </c>
      <c r="CL101" s="72">
        <f t="shared" si="326"/>
        <v>136</v>
      </c>
      <c r="CM101" s="72">
        <f t="shared" si="327"/>
        <v>144</v>
      </c>
      <c r="CN101" s="72">
        <f t="shared" si="328"/>
        <v>176</v>
      </c>
      <c r="CO101" s="72">
        <f t="shared" si="329"/>
        <v>187</v>
      </c>
      <c r="CP101" s="72">
        <f t="shared" si="330"/>
        <v>220</v>
      </c>
      <c r="CQ101" s="72">
        <f t="shared" si="331"/>
        <v>426</v>
      </c>
      <c r="CR101" s="72">
        <f t="shared" si="332"/>
        <v>456</v>
      </c>
      <c r="CS101" s="72">
        <f t="shared" si="333"/>
        <v>469</v>
      </c>
      <c r="CT101" s="23">
        <f t="shared" si="334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ref="A102" si="925">CONCATENATE(B102,"_",C102)</f>
        <v>acm4_human_6KP6</v>
      </c>
      <c r="B102" s="3" t="s">
        <v>149</v>
      </c>
      <c r="C102" s="3" t="s">
        <v>1651</v>
      </c>
      <c r="D102" s="3" t="str">
        <f>IFERROR(MID(VLOOKUP($B102,Seqs!$A:$B,2,0),E102,1),"")</f>
        <v>T</v>
      </c>
      <c r="E102" s="3">
        <v>29</v>
      </c>
      <c r="F102" s="3" t="str">
        <f>IFERROR(MID(VLOOKUP($B102,Seqs!$A:$B,2,0),G102,1),"")</f>
        <v>N</v>
      </c>
      <c r="G102" s="3">
        <v>60</v>
      </c>
      <c r="H102" s="3" t="str">
        <f>IFERROR(MID(VLOOKUP($B102,Seqs!$A:$B,2,0),I102,1),"")</f>
        <v>R</v>
      </c>
      <c r="I102" s="23">
        <v>61</v>
      </c>
      <c r="J102" s="3" t="str">
        <f>IFERROR(MID(VLOOKUP($B102,Seqs!$A:$B,2,0),K102,1),"")</f>
        <v>Q</v>
      </c>
      <c r="K102" s="23">
        <v>64</v>
      </c>
      <c r="L102" s="3" t="str">
        <f>IFERROR(MID(VLOOKUP($B102,Seqs!$A:$B,2,0),M102,1),"")</f>
        <v>T</v>
      </c>
      <c r="M102" s="3">
        <v>65</v>
      </c>
      <c r="N102" s="3" t="str">
        <f>IFERROR(MID(VLOOKUP($B102,Seqs!$A:$B,2,0),O102,1),"")</f>
        <v>G</v>
      </c>
      <c r="O102" s="3">
        <v>96</v>
      </c>
      <c r="P102" s="3" t="str">
        <f>IFERROR(MID(VLOOKUP($B102,Seqs!$A:$B,2,0),Q102,1),"")</f>
        <v>Y</v>
      </c>
      <c r="Q102" s="3">
        <v>97</v>
      </c>
      <c r="R102" s="3" t="str">
        <f>IFERROR(MID(VLOOKUP($B102,Seqs!$A:$B,2,0),S102,1),"")</f>
        <v>L</v>
      </c>
      <c r="S102" s="3">
        <v>100</v>
      </c>
      <c r="T102" s="3" t="str">
        <f>IFERROR(MID(VLOOKUP($B102,Seqs!$A:$B,2,0),U102,1),"")</f>
        <v>G</v>
      </c>
      <c r="U102" s="3">
        <v>101</v>
      </c>
      <c r="V102" s="3" t="str">
        <f>IFERROR(MID(VLOOKUP($B102,Seqs!$A:$B,2,0),W102,1),"")</f>
        <v>K</v>
      </c>
      <c r="W102" s="3">
        <v>136</v>
      </c>
      <c r="X102" s="3" t="str">
        <f>IFERROR(MID(VLOOKUP($B102,Seqs!$A:$B,2,0),Y102,1),"")</f>
        <v>P</v>
      </c>
      <c r="Y102" s="3">
        <v>137</v>
      </c>
      <c r="Z102" s="3" t="str">
        <f>IFERROR(MID(VLOOKUP($B102,Seqs!$A:$B,2,0),AA102,1),"")</f>
        <v>R</v>
      </c>
      <c r="AA102" s="3">
        <v>144</v>
      </c>
      <c r="AB102" s="3" t="str">
        <f>IFERROR(MID(VLOOKUP($B102,Seqs!$A:$B,2,0),AC102,1),"")</f>
        <v>T</v>
      </c>
      <c r="AC102" s="3">
        <v>145</v>
      </c>
      <c r="AD102" s="3" t="str">
        <f>IFERROR(MID(VLOOKUP($B102,Seqs!$A:$B,2,0),AE102,1),"")</f>
        <v>G</v>
      </c>
      <c r="AE102" s="3">
        <v>176</v>
      </c>
      <c r="AF102" s="3" t="str">
        <f>IFERROR(MID(VLOOKUP($B102,Seqs!$A:$B,2,0),AG102,1),"")</f>
        <v>C</v>
      </c>
      <c r="AG102" s="3">
        <v>185</v>
      </c>
      <c r="AH102" s="3" t="str">
        <f>IFERROR(MID(VLOOKUP($B102,Seqs!$A:$B,2,0),AI102,1),"")</f>
        <v>I</v>
      </c>
      <c r="AI102" s="3">
        <v>187</v>
      </c>
      <c r="AJ102" s="3" t="str">
        <f>IFERROR(MID(VLOOKUP($B102,Seqs!$A:$B,2,0),AK102,1),"")</f>
        <v>N</v>
      </c>
      <c r="AK102" s="3">
        <v>192</v>
      </c>
      <c r="AL102" s="3" t="str">
        <f>IFERROR(MID(VLOOKUP($B102,Seqs!$A:$B,2,0),AM102,1),"")</f>
        <v>R</v>
      </c>
      <c r="AM102" s="3">
        <v>223</v>
      </c>
      <c r="AN102" s="3" t="str">
        <f>IFERROR(MID(VLOOKUP($B102,Seqs!$A:$B,2,0),AO102,1),"")</f>
        <v>Q</v>
      </c>
      <c r="AO102" s="3">
        <v>390</v>
      </c>
      <c r="AP102" s="3" t="str">
        <f>IFERROR(MID(VLOOKUP($B102,Seqs!$A:$B,2,0),AQ102,1),"")</f>
        <v>C</v>
      </c>
      <c r="AQ102" s="3">
        <v>426</v>
      </c>
      <c r="AR102" s="3" t="str">
        <f>IFERROR(MID(VLOOKUP($B102,Seqs!$A:$B,2,0),AS102,1),"")</f>
        <v>P</v>
      </c>
      <c r="AS102" s="3">
        <v>431</v>
      </c>
      <c r="AT102" s="3" t="str">
        <f>IFERROR(MID(VLOOKUP($B102,Seqs!$A:$B,2,0),AU102,1),"")</f>
        <v>C</v>
      </c>
      <c r="AU102" s="3">
        <v>456</v>
      </c>
      <c r="AV102" s="3" t="str">
        <f>IFERROR(MID(VLOOKUP($B102,Seqs!$A:$B,2,0),AW102,1),"")</f>
        <v>N</v>
      </c>
      <c r="AW102" s="3">
        <v>457</v>
      </c>
      <c r="AX102" s="3" t="str">
        <f>IFERROR(MID(VLOOKUP($B102,Seqs!$A:$B,2,0),AY102,1),"")</f>
        <v>Q</v>
      </c>
      <c r="AY102" s="3">
        <v>471</v>
      </c>
      <c r="AZ102" s="77" t="str">
        <f>VLOOKUP(B102,Classification!A:D,2,0)</f>
        <v>A</v>
      </c>
      <c r="BA102" s="94" t="str">
        <f>VLOOKUP(B102,Classification!A:D,4,0)</f>
        <v>Acetylcholine(muscarinic)</v>
      </c>
      <c r="BB102" s="27" t="b">
        <f t="shared" ref="BB102" si="926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23">
        <f t="shared" ref="BC102" si="927">_xlfn.AGGREGATE(9,6,CH102:CS102)-_xlfn.AGGREGATE(9,6,BV102:CG102)+12</f>
        <v>261</v>
      </c>
      <c r="BD102" s="2" t="s">
        <v>1370</v>
      </c>
      <c r="BE102" s="3" t="s">
        <v>1368</v>
      </c>
      <c r="BF102" s="118">
        <v>3</v>
      </c>
      <c r="BG102" s="49" t="s">
        <v>1</v>
      </c>
      <c r="BH102" s="49" t="s">
        <v>1</v>
      </c>
      <c r="BI102" s="1"/>
      <c r="BJ102" s="70" t="s">
        <v>1281</v>
      </c>
      <c r="BK102" s="57" t="s">
        <v>1281</v>
      </c>
      <c r="BL102" s="57" t="s">
        <v>1281</v>
      </c>
      <c r="BM102" s="57" t="s">
        <v>1281</v>
      </c>
      <c r="BN102" s="57" t="s">
        <v>1281</v>
      </c>
      <c r="BO102" s="57" t="s">
        <v>1281</v>
      </c>
      <c r="BP102" s="57" t="s">
        <v>1281</v>
      </c>
      <c r="BQ102" s="57" t="s">
        <v>1281</v>
      </c>
      <c r="BR102" s="57" t="s">
        <v>1281</v>
      </c>
      <c r="BS102" s="57" t="s">
        <v>1281</v>
      </c>
      <c r="BT102" s="57" t="s">
        <v>1281</v>
      </c>
      <c r="BU102" s="57" t="s">
        <v>1281</v>
      </c>
      <c r="BV102" s="70">
        <f t="shared" ref="BV102" si="928">E102</f>
        <v>29</v>
      </c>
      <c r="BW102" s="71">
        <f t="shared" ref="BW102" si="929">I102</f>
        <v>61</v>
      </c>
      <c r="BX102" s="72">
        <f t="shared" ref="BX102" si="930">M102</f>
        <v>65</v>
      </c>
      <c r="BY102" s="71">
        <f t="shared" ref="BY102" si="931">Q102</f>
        <v>97</v>
      </c>
      <c r="BZ102" s="72">
        <f t="shared" ref="BZ102" si="932">U102</f>
        <v>101</v>
      </c>
      <c r="CA102" s="71">
        <f t="shared" ref="CA102" si="933">Y102</f>
        <v>137</v>
      </c>
      <c r="CB102" s="72">
        <f t="shared" ref="CB102" si="934">AC102</f>
        <v>145</v>
      </c>
      <c r="CC102" s="71">
        <f t="shared" ref="CC102" si="935">AG102</f>
        <v>185</v>
      </c>
      <c r="CD102" s="72">
        <f t="shared" ref="CD102" si="936">AK102</f>
        <v>192</v>
      </c>
      <c r="CE102" s="71">
        <f t="shared" ref="CE102" si="937">AO102</f>
        <v>390</v>
      </c>
      <c r="CF102" s="72">
        <f t="shared" ref="CF102" si="938">AS102</f>
        <v>431</v>
      </c>
      <c r="CG102" s="71">
        <f t="shared" ref="CG102" si="939">AW102</f>
        <v>457</v>
      </c>
      <c r="CH102" s="70">
        <f t="shared" ref="CH102" si="940">G102</f>
        <v>60</v>
      </c>
      <c r="CI102" s="71">
        <f t="shared" ref="CI102" si="941">K102</f>
        <v>64</v>
      </c>
      <c r="CJ102" s="72">
        <f t="shared" ref="CJ102" si="942">O102</f>
        <v>96</v>
      </c>
      <c r="CK102" s="72">
        <f t="shared" ref="CK102" si="943">S102</f>
        <v>100</v>
      </c>
      <c r="CL102" s="72">
        <f t="shared" ref="CL102" si="944">W102</f>
        <v>136</v>
      </c>
      <c r="CM102" s="72">
        <f t="shared" ref="CM102" si="945">AA102</f>
        <v>144</v>
      </c>
      <c r="CN102" s="72">
        <f t="shared" ref="CN102" si="946">AE102</f>
        <v>176</v>
      </c>
      <c r="CO102" s="72">
        <f t="shared" ref="CO102" si="947">AI102</f>
        <v>187</v>
      </c>
      <c r="CP102" s="72">
        <f t="shared" ref="CP102" si="948">AM102</f>
        <v>223</v>
      </c>
      <c r="CQ102" s="72">
        <f t="shared" ref="CQ102" si="949">AQ102</f>
        <v>426</v>
      </c>
      <c r="CR102" s="72">
        <f t="shared" ref="CR102" si="950">AU102</f>
        <v>456</v>
      </c>
      <c r="CS102" s="72">
        <f t="shared" ref="CS102" si="951">AY102</f>
        <v>471</v>
      </c>
      <c r="CT102" s="23">
        <f t="shared" ref="CT102" si="952">M102-K102</f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ref="A103:A104" si="953">CONCATENATE(B103,"_",C103)</f>
        <v>acm5_human__wt</v>
      </c>
      <c r="B103" s="3" t="s">
        <v>150</v>
      </c>
      <c r="C103" s="3" t="s">
        <v>100</v>
      </c>
      <c r="D103" s="3" t="str">
        <f>IFERROR(MID(VLOOKUP($B103,Seqs!$A:$B,2,0),E103,1),"")</f>
        <v>R</v>
      </c>
      <c r="E103" s="3">
        <v>26</v>
      </c>
      <c r="F103" s="3" t="str">
        <f>IFERROR(MID(VLOOKUP($B103,Seqs!$A:$B,2,0),G103,1),"")</f>
        <v>N</v>
      </c>
      <c r="G103" s="3">
        <v>58</v>
      </c>
      <c r="H103" s="3" t="str">
        <f>IFERROR(MID(VLOOKUP($B103,Seqs!$A:$B,2,0),I103,1),"")</f>
        <v>S</v>
      </c>
      <c r="I103" s="23">
        <v>59</v>
      </c>
      <c r="J103" s="3" t="str">
        <f>IFERROR(MID(VLOOKUP($B103,Seqs!$A:$B,2,0),K103,1),"")</f>
        <v>K</v>
      </c>
      <c r="K103" s="23">
        <v>62</v>
      </c>
      <c r="L103" s="3" t="str">
        <f>IFERROR(MID(VLOOKUP($B103,Seqs!$A:$B,2,0),M103,1),"")</f>
        <v>T</v>
      </c>
      <c r="M103" s="3">
        <v>63</v>
      </c>
      <c r="N103" s="3" t="str">
        <f>IFERROR(MID(VLOOKUP($B103,Seqs!$A:$B,2,0),O103,1),"")</f>
        <v>G</v>
      </c>
      <c r="O103" s="3">
        <v>94</v>
      </c>
      <c r="P103" s="3" t="str">
        <f>IFERROR(MID(VLOOKUP($B103,Seqs!$A:$B,2,0),Q103,1),"")</f>
        <v>R</v>
      </c>
      <c r="Q103" s="3">
        <v>95</v>
      </c>
      <c r="R103" s="3" t="str">
        <f>IFERROR(MID(VLOOKUP($B103,Seqs!$A:$B,2,0),S103,1),"")</f>
        <v>L</v>
      </c>
      <c r="S103" s="3">
        <v>98</v>
      </c>
      <c r="T103" s="3" t="str">
        <f>IFERROR(MID(VLOOKUP($B103,Seqs!$A:$B,2,0),U103,1),"")</f>
        <v>G</v>
      </c>
      <c r="U103" s="3">
        <v>99</v>
      </c>
      <c r="V103" s="3" t="str">
        <f>IFERROR(MID(VLOOKUP($B103,Seqs!$A:$B,2,0),W103,1),"")</f>
        <v>R</v>
      </c>
      <c r="W103" s="3">
        <v>134</v>
      </c>
      <c r="X103" s="3" t="str">
        <f>IFERROR(MID(VLOOKUP($B103,Seqs!$A:$B,2,0),Y103,1),"")</f>
        <v>P</v>
      </c>
      <c r="Y103" s="3">
        <v>135</v>
      </c>
      <c r="Z103" s="3" t="str">
        <f>IFERROR(MID(VLOOKUP($B103,Seqs!$A:$B,2,0),AA103,1),"")</f>
        <v>R</v>
      </c>
      <c r="AA103" s="3">
        <v>142</v>
      </c>
      <c r="AB103" s="3" t="str">
        <f>IFERROR(MID(VLOOKUP($B103,Seqs!$A:$B,2,0),AC103,1),"")</f>
        <v>T</v>
      </c>
      <c r="AC103" s="3">
        <v>143</v>
      </c>
      <c r="AD103" s="3" t="str">
        <f>IFERROR(MID(VLOOKUP($B103,Seqs!$A:$B,2,0),AE103,1),"")</f>
        <v>G</v>
      </c>
      <c r="AE103" s="3">
        <v>174</v>
      </c>
      <c r="AF103" s="3" t="str">
        <f>IFERROR(MID(VLOOKUP($B103,Seqs!$A:$B,2,0),AG103,1),"")</f>
        <v>C</v>
      </c>
      <c r="AG103" s="3">
        <v>183</v>
      </c>
      <c r="AH103" s="3" t="str">
        <f>IFERROR(MID(VLOOKUP($B103,Seqs!$A:$B,2,0),AI103,1),"")</f>
        <v>I</v>
      </c>
      <c r="AI103" s="3">
        <v>185</v>
      </c>
      <c r="AJ103" s="3" t="str">
        <f>IFERROR(MID(VLOOKUP($B103,Seqs!$A:$B,2,0),AK103,1),"")</f>
        <v>E</v>
      </c>
      <c r="AK103" s="3">
        <v>190</v>
      </c>
      <c r="AL103" s="3" t="str">
        <f>IFERROR(MID(VLOOKUP($B103,Seqs!$A:$B,2,0),AM103,1),"")</f>
        <v>L</v>
      </c>
      <c r="AM103" s="3">
        <v>230</v>
      </c>
      <c r="AN103" s="3" t="str">
        <f>IFERROR(MID(VLOOKUP($B103,Seqs!$A:$B,2,0),AO103,1),"")</f>
        <v>R</v>
      </c>
      <c r="AO103" s="3">
        <v>431</v>
      </c>
      <c r="AP103" s="3" t="str">
        <f>IFERROR(MID(VLOOKUP($B103,Seqs!$A:$B,2,0),AQ103,1),"")</f>
        <v>C</v>
      </c>
      <c r="AQ103" s="3">
        <v>468</v>
      </c>
      <c r="AR103" s="3" t="str">
        <f>IFERROR(MID(VLOOKUP($B103,Seqs!$A:$B,2,0),AS103,1),"")</f>
        <v>P</v>
      </c>
      <c r="AS103" s="3">
        <v>473</v>
      </c>
      <c r="AT103" s="3" t="str">
        <f>IFERROR(MID(VLOOKUP($B103,Seqs!$A:$B,2,0),AU103,1),"")</f>
        <v>C</v>
      </c>
      <c r="AU103" s="3">
        <v>498</v>
      </c>
      <c r="AV103" s="3" t="str">
        <f>IFERROR(MID(VLOOKUP($B103,Seqs!$A:$B,2,0),AW103,1),"")</f>
        <v>N</v>
      </c>
      <c r="AW103" s="3">
        <v>499</v>
      </c>
      <c r="AX103" s="3" t="str">
        <f>IFERROR(MID(VLOOKUP($B103,Seqs!$A:$B,2,0),AY103,1),"")</f>
        <v>L</v>
      </c>
      <c r="AY103" s="3">
        <v>511</v>
      </c>
      <c r="AZ103" s="77" t="str">
        <f>VLOOKUP(B103,Classification!A:D,2,0)</f>
        <v>A</v>
      </c>
      <c r="BA103" s="94" t="str">
        <f>VLOOKUP(B103,Classification!A:D,4,0)</f>
        <v>Acetylcholine(muscarinic)</v>
      </c>
      <c r="BB103" s="27" t="b">
        <f t="shared" ref="BB103:BB104" si="954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23">
        <f t="shared" ref="BC103:BC104" si="955">_xlfn.AGGREGATE(9,6,CH103:CS103)-_xlfn.AGGREGATE(9,6,BV103:CG103)+12</f>
        <v>270</v>
      </c>
      <c r="BD103" s="2" t="s">
        <v>23</v>
      </c>
      <c r="BE103" s="3" t="s">
        <v>23</v>
      </c>
      <c r="BF103" s="118" t="s">
        <v>23</v>
      </c>
      <c r="BG103" s="49" t="s">
        <v>1371</v>
      </c>
      <c r="BH103" s="49" t="s">
        <v>1371</v>
      </c>
      <c r="BI103" s="1"/>
      <c r="BJ103" s="70" t="s">
        <v>1281</v>
      </c>
      <c r="BK103" s="57" t="s">
        <v>1281</v>
      </c>
      <c r="BL103" s="57" t="s">
        <v>1281</v>
      </c>
      <c r="BM103" s="57" t="s">
        <v>1281</v>
      </c>
      <c r="BN103" s="57" t="s">
        <v>1281</v>
      </c>
      <c r="BO103" s="57" t="s">
        <v>1281</v>
      </c>
      <c r="BP103" s="57" t="s">
        <v>1281</v>
      </c>
      <c r="BQ103" s="57" t="s">
        <v>1281</v>
      </c>
      <c r="BR103" s="57" t="s">
        <v>1281</v>
      </c>
      <c r="BS103" s="57" t="s">
        <v>1281</v>
      </c>
      <c r="BT103" s="57" t="s">
        <v>1281</v>
      </c>
      <c r="BU103" s="57" t="s">
        <v>1281</v>
      </c>
      <c r="BV103" s="70">
        <f t="shared" ref="BV103:BV104" si="956">E103</f>
        <v>26</v>
      </c>
      <c r="BW103" s="71">
        <f t="shared" ref="BW103:BW104" si="957">I103</f>
        <v>59</v>
      </c>
      <c r="BX103" s="72">
        <f t="shared" ref="BX103:BX104" si="958">M103</f>
        <v>63</v>
      </c>
      <c r="BY103" s="71">
        <f t="shared" ref="BY103:BY104" si="959">Q103</f>
        <v>95</v>
      </c>
      <c r="BZ103" s="72">
        <f t="shared" ref="BZ103:BZ104" si="960">U103</f>
        <v>99</v>
      </c>
      <c r="CA103" s="71">
        <f t="shared" ref="CA103:CA104" si="961">Y103</f>
        <v>135</v>
      </c>
      <c r="CB103" s="72">
        <f t="shared" ref="CB103:CB104" si="962">AC103</f>
        <v>143</v>
      </c>
      <c r="CC103" s="71">
        <f t="shared" ref="CC103:CC104" si="963">AG103</f>
        <v>183</v>
      </c>
      <c r="CD103" s="72">
        <f t="shared" ref="CD103:CD104" si="964">AK103</f>
        <v>190</v>
      </c>
      <c r="CE103" s="71">
        <f t="shared" ref="CE103:CE104" si="965">AO103</f>
        <v>431</v>
      </c>
      <c r="CF103" s="72">
        <f t="shared" ref="CF103:CF104" si="966">AS103</f>
        <v>473</v>
      </c>
      <c r="CG103" s="71">
        <f t="shared" ref="CG103:CG104" si="967">AW103</f>
        <v>499</v>
      </c>
      <c r="CH103" s="70">
        <f t="shared" ref="CH103:CH104" si="968">G103</f>
        <v>58</v>
      </c>
      <c r="CI103" s="71">
        <f t="shared" ref="CI103:CI104" si="969">K103</f>
        <v>62</v>
      </c>
      <c r="CJ103" s="72">
        <f t="shared" ref="CJ103:CJ104" si="970">O103</f>
        <v>94</v>
      </c>
      <c r="CK103" s="72">
        <f t="shared" ref="CK103:CK104" si="971">S103</f>
        <v>98</v>
      </c>
      <c r="CL103" s="72">
        <f t="shared" ref="CL103:CL104" si="972">W103</f>
        <v>134</v>
      </c>
      <c r="CM103" s="72">
        <f t="shared" ref="CM103:CM104" si="973">AA103</f>
        <v>142</v>
      </c>
      <c r="CN103" s="72">
        <f t="shared" ref="CN103:CN104" si="974">AE103</f>
        <v>174</v>
      </c>
      <c r="CO103" s="72">
        <f t="shared" ref="CO103:CO104" si="975">AI103</f>
        <v>185</v>
      </c>
      <c r="CP103" s="72">
        <f t="shared" ref="CP103:CP104" si="976">AM103</f>
        <v>230</v>
      </c>
      <c r="CQ103" s="72">
        <f t="shared" ref="CQ103:CQ104" si="977">AQ103</f>
        <v>468</v>
      </c>
      <c r="CR103" s="72">
        <f t="shared" ref="CR103:CR104" si="978">AU103</f>
        <v>498</v>
      </c>
      <c r="CS103" s="72">
        <f t="shared" ref="CS103:CS104" si="979">AY103</f>
        <v>511</v>
      </c>
      <c r="CT103" s="23">
        <f t="shared" ref="CT103:CT104" si="980">M103-K103</f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953"/>
        <v>acm5_human_6OL9</v>
      </c>
      <c r="B104" s="3" t="s">
        <v>150</v>
      </c>
      <c r="C104" s="3" t="s">
        <v>1617</v>
      </c>
      <c r="D104" s="3" t="str">
        <f>IFERROR(MID(VLOOKUP($B104,Seqs!$A:$B,2,0),E104,1),"")</f>
        <v>R</v>
      </c>
      <c r="E104" s="3">
        <v>26</v>
      </c>
      <c r="F104" s="3" t="str">
        <f>IFERROR(MID(VLOOKUP($B104,Seqs!$A:$B,2,0),G104,1),"")</f>
        <v>N</v>
      </c>
      <c r="G104" s="3">
        <v>58</v>
      </c>
      <c r="H104" s="3" t="str">
        <f>IFERROR(MID(VLOOKUP($B104,Seqs!$A:$B,2,0),I104,1),"")</f>
        <v>S</v>
      </c>
      <c r="I104" s="23">
        <v>59</v>
      </c>
      <c r="J104" s="3" t="str">
        <f>IFERROR(MID(VLOOKUP($B104,Seqs!$A:$B,2,0),K104,1),"")</f>
        <v>K</v>
      </c>
      <c r="K104" s="23">
        <v>62</v>
      </c>
      <c r="L104" s="3" t="str">
        <f>IFERROR(MID(VLOOKUP($B104,Seqs!$A:$B,2,0),M104,1),"")</f>
        <v>T</v>
      </c>
      <c r="M104" s="3">
        <v>63</v>
      </c>
      <c r="N104" s="3" t="str">
        <f>IFERROR(MID(VLOOKUP($B104,Seqs!$A:$B,2,0),O104,1),"")</f>
        <v>G</v>
      </c>
      <c r="O104" s="3">
        <v>94</v>
      </c>
      <c r="P104" s="3" t="str">
        <f>IFERROR(MID(VLOOKUP($B104,Seqs!$A:$B,2,0),Q104,1),"")</f>
        <v>R</v>
      </c>
      <c r="Q104" s="3">
        <v>95</v>
      </c>
      <c r="R104" s="3" t="str">
        <f>IFERROR(MID(VLOOKUP($B104,Seqs!$A:$B,2,0),S104,1),"")</f>
        <v>L</v>
      </c>
      <c r="S104" s="3">
        <v>98</v>
      </c>
      <c r="T104" s="3" t="str">
        <f>IFERROR(MID(VLOOKUP($B104,Seqs!$A:$B,2,0),U104,1),"")</f>
        <v>G</v>
      </c>
      <c r="U104" s="3">
        <v>99</v>
      </c>
      <c r="V104" s="3" t="str">
        <f>IFERROR(MID(VLOOKUP($B104,Seqs!$A:$B,2,0),W104,1),"")</f>
        <v>R</v>
      </c>
      <c r="W104" s="3">
        <v>134</v>
      </c>
      <c r="X104" s="3" t="str">
        <f>IFERROR(MID(VLOOKUP($B104,Seqs!$A:$B,2,0),Y104,1),"")</f>
        <v>P</v>
      </c>
      <c r="Y104" s="3">
        <v>135</v>
      </c>
      <c r="Z104" s="3" t="str">
        <f>IFERROR(MID(VLOOKUP($B104,Seqs!$A:$B,2,0),AA104,1),"")</f>
        <v>R</v>
      </c>
      <c r="AA104" s="3">
        <v>142</v>
      </c>
      <c r="AB104" s="3" t="str">
        <f>IFERROR(MID(VLOOKUP($B104,Seqs!$A:$B,2,0),AC104,1),"")</f>
        <v>T</v>
      </c>
      <c r="AC104" s="3">
        <v>143</v>
      </c>
      <c r="AD104" s="3" t="str">
        <f>IFERROR(MID(VLOOKUP($B104,Seqs!$A:$B,2,0),AE104,1),"")</f>
        <v>G</v>
      </c>
      <c r="AE104" s="3">
        <v>174</v>
      </c>
      <c r="AF104" s="3" t="str">
        <f>IFERROR(MID(VLOOKUP($B104,Seqs!$A:$B,2,0),AG104,1),"")</f>
        <v>C</v>
      </c>
      <c r="AG104" s="3">
        <v>183</v>
      </c>
      <c r="AH104" s="3" t="str">
        <f>IFERROR(MID(VLOOKUP($B104,Seqs!$A:$B,2,0),AI104,1),"")</f>
        <v>I</v>
      </c>
      <c r="AI104" s="3">
        <v>185</v>
      </c>
      <c r="AJ104" s="3" t="str">
        <f>IFERROR(MID(VLOOKUP($B104,Seqs!$A:$B,2,0),AK104,1),"")</f>
        <v>E</v>
      </c>
      <c r="AK104" s="3">
        <v>190</v>
      </c>
      <c r="AL104" s="3" t="str">
        <f>IFERROR(MID(VLOOKUP($B104,Seqs!$A:$B,2,0),AM104,1),"")</f>
        <v>T</v>
      </c>
      <c r="AM104" s="3">
        <v>220</v>
      </c>
      <c r="AN104" s="3" t="str">
        <f>IFERROR(MID(VLOOKUP($B104,Seqs!$A:$B,2,0),AO104,1),"")</f>
        <v>R</v>
      </c>
      <c r="AO104" s="3">
        <v>431</v>
      </c>
      <c r="AP104" s="3" t="str">
        <f>IFERROR(MID(VLOOKUP($B104,Seqs!$A:$B,2,0),AQ104,1),"")</f>
        <v>C</v>
      </c>
      <c r="AQ104" s="3">
        <v>468</v>
      </c>
      <c r="AR104" s="3" t="str">
        <f>IFERROR(MID(VLOOKUP($B104,Seqs!$A:$B,2,0),AS104,1),"")</f>
        <v>P</v>
      </c>
      <c r="AS104" s="3">
        <v>473</v>
      </c>
      <c r="AT104" s="3" t="str">
        <f>IFERROR(MID(VLOOKUP($B104,Seqs!$A:$B,2,0),AU104,1),"")</f>
        <v>C</v>
      </c>
      <c r="AU104" s="3">
        <v>498</v>
      </c>
      <c r="AV104" s="3" t="str">
        <f>IFERROR(MID(VLOOKUP($B104,Seqs!$A:$B,2,0),AW104,1),"")</f>
        <v>N</v>
      </c>
      <c r="AW104" s="3">
        <v>499</v>
      </c>
      <c r="AX104" s="3" t="str">
        <f>IFERROR(MID(VLOOKUP($B104,Seqs!$A:$B,2,0),AY104,1),"")</f>
        <v>L</v>
      </c>
      <c r="AY104" s="3">
        <v>511</v>
      </c>
      <c r="AZ104" s="77" t="str">
        <f>VLOOKUP(B104,Classification!A:D,2,0)</f>
        <v>A</v>
      </c>
      <c r="BA104" s="94" t="str">
        <f>VLOOKUP(B104,Classification!A:D,4,0)</f>
        <v>Acetylcholine(muscarinic)</v>
      </c>
      <c r="BB104" s="27" t="b">
        <f t="shared" si="954"/>
        <v>1</v>
      </c>
      <c r="BC104" s="23">
        <f t="shared" si="955"/>
        <v>260</v>
      </c>
      <c r="BD104" s="2" t="s">
        <v>1370</v>
      </c>
      <c r="BE104" s="3" t="s">
        <v>1368</v>
      </c>
      <c r="BF104" s="118">
        <v>2.54</v>
      </c>
      <c r="BG104" s="49" t="s">
        <v>1</v>
      </c>
      <c r="BH104" s="49" t="s">
        <v>1</v>
      </c>
      <c r="BI104" s="1"/>
      <c r="BJ104" s="70" t="s">
        <v>1281</v>
      </c>
      <c r="BK104" s="57" t="s">
        <v>1281</v>
      </c>
      <c r="BL104" s="57" t="s">
        <v>1281</v>
      </c>
      <c r="BM104" s="57" t="s">
        <v>1281</v>
      </c>
      <c r="BN104" s="57" t="s">
        <v>1281</v>
      </c>
      <c r="BO104" s="57" t="s">
        <v>1281</v>
      </c>
      <c r="BP104" s="57" t="s">
        <v>1281</v>
      </c>
      <c r="BQ104" s="57" t="s">
        <v>1281</v>
      </c>
      <c r="BR104" s="57" t="s">
        <v>1281</v>
      </c>
      <c r="BS104" s="57" t="s">
        <v>1281</v>
      </c>
      <c r="BT104" s="57" t="s">
        <v>1281</v>
      </c>
      <c r="BU104" s="57" t="s">
        <v>1281</v>
      </c>
      <c r="BV104" s="70">
        <f t="shared" si="956"/>
        <v>26</v>
      </c>
      <c r="BW104" s="71">
        <f t="shared" si="957"/>
        <v>59</v>
      </c>
      <c r="BX104" s="72">
        <f t="shared" si="958"/>
        <v>63</v>
      </c>
      <c r="BY104" s="71">
        <f t="shared" si="959"/>
        <v>95</v>
      </c>
      <c r="BZ104" s="72">
        <f t="shared" si="960"/>
        <v>99</v>
      </c>
      <c r="CA104" s="71">
        <f t="shared" si="961"/>
        <v>135</v>
      </c>
      <c r="CB104" s="72">
        <f t="shared" si="962"/>
        <v>143</v>
      </c>
      <c r="CC104" s="71">
        <f t="shared" si="963"/>
        <v>183</v>
      </c>
      <c r="CD104" s="72">
        <f t="shared" si="964"/>
        <v>190</v>
      </c>
      <c r="CE104" s="71">
        <f t="shared" si="965"/>
        <v>431</v>
      </c>
      <c r="CF104" s="72">
        <f t="shared" si="966"/>
        <v>473</v>
      </c>
      <c r="CG104" s="71">
        <f t="shared" si="967"/>
        <v>499</v>
      </c>
      <c r="CH104" s="70">
        <f t="shared" si="968"/>
        <v>58</v>
      </c>
      <c r="CI104" s="71">
        <f t="shared" si="969"/>
        <v>62</v>
      </c>
      <c r="CJ104" s="72">
        <f t="shared" si="970"/>
        <v>94</v>
      </c>
      <c r="CK104" s="72">
        <f t="shared" si="971"/>
        <v>98</v>
      </c>
      <c r="CL104" s="72">
        <f t="shared" si="972"/>
        <v>134</v>
      </c>
      <c r="CM104" s="72">
        <f t="shared" si="973"/>
        <v>142</v>
      </c>
      <c r="CN104" s="72">
        <f t="shared" si="974"/>
        <v>174</v>
      </c>
      <c r="CO104" s="72">
        <f t="shared" si="975"/>
        <v>185</v>
      </c>
      <c r="CP104" s="72">
        <f t="shared" si="976"/>
        <v>220</v>
      </c>
      <c r="CQ104" s="72">
        <f t="shared" si="977"/>
        <v>468</v>
      </c>
      <c r="CR104" s="72">
        <f t="shared" si="978"/>
        <v>498</v>
      </c>
      <c r="CS104" s="72">
        <f t="shared" si="979"/>
        <v>511</v>
      </c>
      <c r="CT104" s="23">
        <f t="shared" si="98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s="12" customFormat="1" x14ac:dyDescent="0.2">
      <c r="A105" s="9" t="str">
        <f t="shared" ref="A105:A106" si="981">CONCATENATE(B105,"_",C105)</f>
        <v>ada2a_human__wt</v>
      </c>
      <c r="B105" s="9" t="s">
        <v>155</v>
      </c>
      <c r="C105" s="9" t="s">
        <v>100</v>
      </c>
      <c r="D105" s="9" t="str">
        <f>IFERROR(MID(VLOOKUP($B105,Seqs!$A:$B,2,0),E105,1),"")</f>
        <v>T</v>
      </c>
      <c r="E105" s="105">
        <v>48</v>
      </c>
      <c r="F105" s="9" t="str">
        <f>IFERROR(MID(VLOOKUP($B105,Seqs!$A:$B,2,0),G105,1),"")</f>
        <v>S</v>
      </c>
      <c r="G105" s="105">
        <v>76</v>
      </c>
      <c r="H105" s="9" t="str">
        <f>IFERROR(MID(VLOOKUP($B105,Seqs!$A:$B,2,0),I105,1),"")</f>
        <v>R</v>
      </c>
      <c r="I105" s="137">
        <v>77</v>
      </c>
      <c r="J105" s="9" t="str">
        <f>IFERROR(MID(VLOOKUP($B105,Seqs!$A:$B,2,0),K105,1),"")</f>
        <v>K</v>
      </c>
      <c r="K105" s="137">
        <v>80</v>
      </c>
      <c r="L105" s="9" t="str">
        <f>IFERROR(MID(VLOOKUP($B105,Seqs!$A:$B,2,0),M105,1),"")</f>
        <v>A</v>
      </c>
      <c r="M105" s="105">
        <v>81</v>
      </c>
      <c r="N105" s="9" t="str">
        <f>IFERROR(MID(VLOOKUP($B105,Seqs!$A:$B,2,0),O105,1),"")</f>
        <v>G</v>
      </c>
      <c r="O105" s="105">
        <v>112</v>
      </c>
      <c r="P105" s="9" t="str">
        <f>IFERROR(MID(VLOOKUP($B105,Seqs!$A:$B,2,0),Q105,1),"")</f>
        <v>Y</v>
      </c>
      <c r="Q105" s="105">
        <v>113</v>
      </c>
      <c r="R105" s="9" t="str">
        <f>IFERROR(MID(VLOOKUP($B105,Seqs!$A:$B,2,0),S105,1),"")</f>
        <v>F</v>
      </c>
      <c r="S105" s="105">
        <v>116</v>
      </c>
      <c r="T105" s="9" t="str">
        <f>IFERROR(MID(VLOOKUP($B105,Seqs!$A:$B,2,0),U105,1),"")</f>
        <v>G</v>
      </c>
      <c r="U105" s="105">
        <v>117</v>
      </c>
      <c r="V105" s="9" t="str">
        <f>IFERROR(MID(VLOOKUP($B105,Seqs!$A:$B,2,0),W105,1),"")</f>
        <v>Q</v>
      </c>
      <c r="W105" s="105">
        <v>152</v>
      </c>
      <c r="X105" s="9" t="str">
        <f>IFERROR(MID(VLOOKUP($B105,Seqs!$A:$B,2,0),Y105,1),"")</f>
        <v>A</v>
      </c>
      <c r="Y105" s="105">
        <v>153</v>
      </c>
      <c r="Z105" s="9" t="str">
        <f>IFERROR(MID(VLOOKUP($B105,Seqs!$A:$B,2,0),AA105,1),"")</f>
        <v>R</v>
      </c>
      <c r="AA105" s="105">
        <v>160</v>
      </c>
      <c r="AB105" s="9" t="str">
        <f>IFERROR(MID(VLOOKUP($B105,Seqs!$A:$B,2,0),AC105,1),"")</f>
        <v>T</v>
      </c>
      <c r="AC105" s="105">
        <v>161</v>
      </c>
      <c r="AD105" s="9" t="str">
        <f>IFERROR(MID(VLOOKUP($B105,Seqs!$A:$B,2,0),AE105,1),"")</f>
        <v>I</v>
      </c>
      <c r="AE105" s="105">
        <v>185</v>
      </c>
      <c r="AF105" s="9" t="str">
        <f>IFERROR(MID(VLOOKUP($B105,Seqs!$A:$B,2,0),AG105,1),"")</f>
        <v>C</v>
      </c>
      <c r="AG105" s="105">
        <v>203</v>
      </c>
      <c r="AH105" s="9" t="str">
        <f>IFERROR(MID(VLOOKUP($B105,Seqs!$A:$B,2,0),AI105,1),"")</f>
        <v>I</v>
      </c>
      <c r="AI105" s="105">
        <v>205</v>
      </c>
      <c r="AJ105" s="9" t="str">
        <f>IFERROR(MID(VLOOKUP($B105,Seqs!$A:$B,2,0),AK105,1),"")</f>
        <v>Q</v>
      </c>
      <c r="AK105" s="105">
        <v>208</v>
      </c>
      <c r="AL105" s="9" t="str">
        <f>IFERROR(MID(VLOOKUP($B105,Seqs!$A:$B,2,0),AM105,1),"")</f>
        <v>R</v>
      </c>
      <c r="AM105" s="105">
        <v>248</v>
      </c>
      <c r="AN105" s="9" t="str">
        <f>IFERROR(MID(VLOOKUP($B105,Seqs!$A:$B,2,0),AO105,1),"")</f>
        <v>R</v>
      </c>
      <c r="AO105" s="105">
        <v>378</v>
      </c>
      <c r="AP105" s="9" t="str">
        <f>IFERROR(MID(VLOOKUP($B105,Seqs!$A:$B,2,0),AQ105,1),"")</f>
        <v>G</v>
      </c>
      <c r="AQ105" s="105">
        <v>415</v>
      </c>
      <c r="AR105" s="9" t="str">
        <f>IFERROR(MID(VLOOKUP($B105,Seqs!$A:$B,2,0),AS105,1),"")</f>
        <v>P</v>
      </c>
      <c r="AS105" s="105">
        <v>419</v>
      </c>
      <c r="AT105" s="9" t="str">
        <f>IFERROR(MID(VLOOKUP($B105,Seqs!$A:$B,2,0),AU105,1),"")</f>
        <v>F</v>
      </c>
      <c r="AU105" s="105">
        <v>444</v>
      </c>
      <c r="AV105" s="9" t="str">
        <f>IFERROR(MID(VLOOKUP($B105,Seqs!$A:$B,2,0),AW105,1),"")</f>
        <v>N</v>
      </c>
      <c r="AW105" s="105">
        <v>445</v>
      </c>
      <c r="AX105" s="9" t="str">
        <f>IFERROR(MID(VLOOKUP($B105,Seqs!$A:$B,2,0),AY105,1),"")</f>
        <v>R</v>
      </c>
      <c r="AY105" s="105">
        <v>458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:BB106" si="982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:BC106" si="983">_xlfn.AGGREGATE(9,6,CH105:CS105)-_xlfn.AGGREGATE(9,6,BV105:CG105)+12</f>
        <v>260</v>
      </c>
      <c r="BD105" s="40" t="s">
        <v>23</v>
      </c>
      <c r="BE105" s="9" t="s">
        <v>23</v>
      </c>
      <c r="BF105" s="119" t="s">
        <v>23</v>
      </c>
      <c r="BG105" s="51" t="s">
        <v>1</v>
      </c>
      <c r="BH105" s="51" t="s">
        <v>1</v>
      </c>
      <c r="BJ105" s="111" t="s">
        <v>1281</v>
      </c>
      <c r="BK105" s="112" t="s">
        <v>1281</v>
      </c>
      <c r="BL105" s="112" t="s">
        <v>1281</v>
      </c>
      <c r="BM105" s="112" t="s">
        <v>1281</v>
      </c>
      <c r="BN105" s="112" t="s">
        <v>1281</v>
      </c>
      <c r="BO105" s="112" t="s">
        <v>1281</v>
      </c>
      <c r="BP105" s="112" t="s">
        <v>1281</v>
      </c>
      <c r="BQ105" s="112" t="s">
        <v>1281</v>
      </c>
      <c r="BR105" s="112" t="s">
        <v>1281</v>
      </c>
      <c r="BS105" s="112" t="s">
        <v>1281</v>
      </c>
      <c r="BT105" s="112" t="s">
        <v>1281</v>
      </c>
      <c r="BU105" s="112" t="s">
        <v>1281</v>
      </c>
      <c r="BV105" s="111">
        <f t="shared" ref="BV105:BV106" si="984">E105</f>
        <v>48</v>
      </c>
      <c r="BW105" s="113">
        <f t="shared" ref="BW105:BW106" si="985">I105</f>
        <v>77</v>
      </c>
      <c r="BX105" s="114">
        <f t="shared" ref="BX105:BX106" si="986">M105</f>
        <v>81</v>
      </c>
      <c r="BY105" s="113">
        <f t="shared" ref="BY105:BY106" si="987">Q105</f>
        <v>113</v>
      </c>
      <c r="BZ105" s="114">
        <f t="shared" ref="BZ105:BZ106" si="988">U105</f>
        <v>117</v>
      </c>
      <c r="CA105" s="113">
        <f t="shared" ref="CA105:CA106" si="989">Y105</f>
        <v>153</v>
      </c>
      <c r="CB105" s="114">
        <f t="shared" ref="CB105:CB106" si="990">AC105</f>
        <v>161</v>
      </c>
      <c r="CC105" s="113">
        <f t="shared" ref="CC105:CC106" si="991">AG105</f>
        <v>203</v>
      </c>
      <c r="CD105" s="114">
        <f t="shared" ref="CD105:CD106" si="992">AK105</f>
        <v>208</v>
      </c>
      <c r="CE105" s="113">
        <f t="shared" ref="CE105:CE106" si="993">AO105</f>
        <v>378</v>
      </c>
      <c r="CF105" s="114">
        <f t="shared" ref="CF105:CF106" si="994">AS105</f>
        <v>419</v>
      </c>
      <c r="CG105" s="113">
        <f t="shared" ref="CG105:CG106" si="995">AW105</f>
        <v>445</v>
      </c>
      <c r="CH105" s="111">
        <f t="shared" ref="CH105:CH106" si="996">G105</f>
        <v>76</v>
      </c>
      <c r="CI105" s="113">
        <f t="shared" ref="CI105:CI106" si="997">K105</f>
        <v>80</v>
      </c>
      <c r="CJ105" s="114">
        <f t="shared" ref="CJ105:CJ106" si="998">O105</f>
        <v>112</v>
      </c>
      <c r="CK105" s="114">
        <f t="shared" ref="CK105:CK106" si="999">S105</f>
        <v>116</v>
      </c>
      <c r="CL105" s="114">
        <f t="shared" ref="CL105:CL106" si="1000">W105</f>
        <v>152</v>
      </c>
      <c r="CM105" s="114">
        <f t="shared" ref="CM105:CM106" si="1001">AA105</f>
        <v>160</v>
      </c>
      <c r="CN105" s="114">
        <f t="shared" ref="CN105:CN106" si="1002">AE105</f>
        <v>185</v>
      </c>
      <c r="CO105" s="114">
        <f t="shared" ref="CO105:CO106" si="1003">AI105</f>
        <v>205</v>
      </c>
      <c r="CP105" s="114">
        <f t="shared" ref="CP105:CP106" si="1004">AM105</f>
        <v>248</v>
      </c>
      <c r="CQ105" s="114">
        <f t="shared" ref="CQ105:CQ106" si="1005">AQ105</f>
        <v>415</v>
      </c>
      <c r="CR105" s="114">
        <f t="shared" ref="CR105:CR106" si="1006">AU105</f>
        <v>444</v>
      </c>
      <c r="CS105" s="114">
        <f t="shared" ref="CS105:CS106" si="1007">AY105</f>
        <v>458</v>
      </c>
      <c r="CT105" s="109">
        <f t="shared" ref="CT105:CT106" si="1008">M105-K105</f>
        <v>1</v>
      </c>
    </row>
    <row r="106" spans="1:1029" s="12" customFormat="1" x14ac:dyDescent="0.2">
      <c r="A106" s="9" t="str">
        <f t="shared" si="981"/>
        <v>ada2a_human_6KUX</v>
      </c>
      <c r="B106" s="9" t="s">
        <v>155</v>
      </c>
      <c r="C106" s="9" t="s">
        <v>1673</v>
      </c>
      <c r="D106" s="9" t="str">
        <f>IFERROR(MID(VLOOKUP($B106,Seqs!$A:$B,2,0),E106,1),"")</f>
        <v>A</v>
      </c>
      <c r="E106" s="9">
        <v>33</v>
      </c>
      <c r="F106" s="9" t="str">
        <f>IFERROR(MID(VLOOKUP($B106,Seqs!$A:$B,2,0),G106,1),"")</f>
        <v>L</v>
      </c>
      <c r="G106" s="9">
        <v>60</v>
      </c>
      <c r="H106" s="9" t="str">
        <f>IFERROR(MID(VLOOKUP($B106,Seqs!$A:$B,2,0),I106,1),"")</f>
        <v/>
      </c>
      <c r="I106" s="109" t="s">
        <v>23</v>
      </c>
      <c r="J106" s="9" t="str">
        <f>IFERROR(MID(VLOOKUP($B106,Seqs!$A:$B,2,0),K106,1),"")</f>
        <v/>
      </c>
      <c r="K106" s="109" t="s">
        <v>23</v>
      </c>
      <c r="L106" s="9" t="str">
        <f>IFERROR(MID(VLOOKUP($B106,Seqs!$A:$B,2,0),M106,1),"")</f>
        <v>N</v>
      </c>
      <c r="M106" s="9">
        <v>66</v>
      </c>
      <c r="N106" s="9" t="str">
        <f>IFERROR(MID(VLOOKUP($B106,Seqs!$A:$B,2,0),O106,1),"")</f>
        <v>L</v>
      </c>
      <c r="O106" s="9">
        <v>96</v>
      </c>
      <c r="P106" s="9" t="str">
        <f>IFERROR(MID(VLOOKUP($B106,Seqs!$A:$B,2,0),Q106,1),"")</f>
        <v>A</v>
      </c>
      <c r="Q106" s="9">
        <v>98</v>
      </c>
      <c r="R106" s="9" t="str">
        <f>IFERROR(MID(VLOOKUP($B106,Seqs!$A:$B,2,0),S106,1),"")</f>
        <v>V</v>
      </c>
      <c r="S106" s="9">
        <v>101</v>
      </c>
      <c r="T106" s="9" t="str">
        <f>IFERROR(MID(VLOOKUP($B106,Seqs!$A:$B,2,0),U106,1),"")</f>
        <v>I</v>
      </c>
      <c r="U106" s="9">
        <v>102</v>
      </c>
      <c r="V106" s="9" t="str">
        <f>IFERROR(MID(VLOOKUP($B106,Seqs!$A:$B,2,0),W106,1),"")</f>
        <v>V</v>
      </c>
      <c r="W106" s="9">
        <v>137</v>
      </c>
      <c r="X106" s="9" t="str">
        <f>IFERROR(MID(VLOOKUP($B106,Seqs!$A:$B,2,0),Y106,1),"")</f>
        <v>H</v>
      </c>
      <c r="Y106" s="9">
        <v>138</v>
      </c>
      <c r="Z106" s="9" t="str">
        <f>IFERROR(MID(VLOOKUP($B106,Seqs!$A:$B,2,0),AA106,1),"")</f>
        <v>D</v>
      </c>
      <c r="AA106" s="9">
        <v>145</v>
      </c>
      <c r="AB106" s="9" t="str">
        <f>IFERROR(MID(VLOOKUP($B106,Seqs!$A:$B,2,0),AC106,1),"")</f>
        <v>R</v>
      </c>
      <c r="AC106" s="9">
        <v>146</v>
      </c>
      <c r="AD106" s="9" t="str">
        <f>IFERROR(MID(VLOOKUP($B106,Seqs!$A:$B,2,0),AE106,1),"")</f>
        <v>K</v>
      </c>
      <c r="AE106" s="9">
        <v>166</v>
      </c>
      <c r="AF106" s="9" t="str">
        <f>IFERROR(MID(VLOOKUP($B106,Seqs!$A:$B,2,0),AG106,1),"")</f>
        <v>E</v>
      </c>
      <c r="AG106" s="9">
        <v>188</v>
      </c>
      <c r="AH106" s="9" t="str">
        <f>IFERROR(MID(VLOOKUP($B106,Seqs!$A:$B,2,0),AI106,1),"")</f>
        <v>K</v>
      </c>
      <c r="AI106" s="9">
        <v>190</v>
      </c>
      <c r="AJ106" s="9" t="str">
        <f>IFERROR(MID(VLOOKUP($B106,Seqs!$A:$B,2,0),AK106,1),"")</f>
        <v>P</v>
      </c>
      <c r="AK106" s="9">
        <v>196</v>
      </c>
      <c r="AL106" s="9" t="str">
        <f>IFERROR(MID(VLOOKUP($B106,Seqs!$A:$B,2,0),AM106,1),"")</f>
        <v>M</v>
      </c>
      <c r="AM106" s="9">
        <v>227</v>
      </c>
      <c r="AN106" s="9" t="str">
        <f>IFERROR(MID(VLOOKUP($B106,Seqs!$A:$B,2,0),AO106,1),"")</f>
        <v>E</v>
      </c>
      <c r="AO106" s="9">
        <v>367</v>
      </c>
      <c r="AP106" s="9" t="str">
        <f>IFERROR(MID(VLOOKUP($B106,Seqs!$A:$B,2,0),AQ106,1),"")</f>
        <v>V</v>
      </c>
      <c r="AQ106" s="9">
        <v>400</v>
      </c>
      <c r="AR106" s="9" t="str">
        <f>IFERROR(MID(VLOOKUP($B106,Seqs!$A:$B,2,0),AS106,1),"")</f>
        <v>P</v>
      </c>
      <c r="AS106" s="9">
        <v>404</v>
      </c>
      <c r="AT106" s="9" t="str">
        <f>IFERROR(MID(VLOOKUP($B106,Seqs!$A:$B,2,0),AU106,1),"")</f>
        <v>F</v>
      </c>
      <c r="AU106" s="9">
        <v>429</v>
      </c>
      <c r="AV106" s="9" t="str">
        <f>IFERROR(MID(VLOOKUP($B106,Seqs!$A:$B,2,0),AW106,1),"")</f>
        <v>Y</v>
      </c>
      <c r="AW106" s="9">
        <v>431</v>
      </c>
      <c r="AX106" s="9" t="str">
        <f>IFERROR(MID(VLOOKUP($B106,Seqs!$A:$B,2,0),AY106,1),"")</f>
        <v>I</v>
      </c>
      <c r="AY106" s="9">
        <v>443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si="982"/>
        <v>1</v>
      </c>
      <c r="BC106" s="109">
        <f t="shared" si="983"/>
        <v>237</v>
      </c>
      <c r="BD106" s="40" t="s">
        <v>1370</v>
      </c>
      <c r="BE106" s="9" t="s">
        <v>1368</v>
      </c>
      <c r="BF106" s="119">
        <v>2.7</v>
      </c>
      <c r="BG106" s="51" t="s">
        <v>1</v>
      </c>
      <c r="BH106" s="51" t="s">
        <v>1</v>
      </c>
      <c r="BJ106" s="111" t="s">
        <v>1281</v>
      </c>
      <c r="BK106" s="112" t="s">
        <v>1281</v>
      </c>
      <c r="BL106" s="112" t="s">
        <v>1281</v>
      </c>
      <c r="BM106" s="112" t="s">
        <v>1281</v>
      </c>
      <c r="BN106" s="112" t="s">
        <v>1281</v>
      </c>
      <c r="BO106" s="112" t="s">
        <v>1281</v>
      </c>
      <c r="BP106" s="112" t="s">
        <v>1281</v>
      </c>
      <c r="BQ106" s="112" t="s">
        <v>1281</v>
      </c>
      <c r="BR106" s="112" t="s">
        <v>1281</v>
      </c>
      <c r="BS106" s="112" t="s">
        <v>1281</v>
      </c>
      <c r="BT106" s="112" t="s">
        <v>1281</v>
      </c>
      <c r="BU106" s="112" t="s">
        <v>1281</v>
      </c>
      <c r="BV106" s="111">
        <f t="shared" si="984"/>
        <v>33</v>
      </c>
      <c r="BW106" s="113" t="str">
        <f t="shared" si="985"/>
        <v>-</v>
      </c>
      <c r="BX106" s="114">
        <f t="shared" si="986"/>
        <v>66</v>
      </c>
      <c r="BY106" s="113">
        <f t="shared" si="987"/>
        <v>98</v>
      </c>
      <c r="BZ106" s="114">
        <f t="shared" si="988"/>
        <v>102</v>
      </c>
      <c r="CA106" s="113">
        <f t="shared" si="989"/>
        <v>138</v>
      </c>
      <c r="CB106" s="114">
        <f t="shared" si="990"/>
        <v>146</v>
      </c>
      <c r="CC106" s="113">
        <f t="shared" si="991"/>
        <v>188</v>
      </c>
      <c r="CD106" s="114">
        <f t="shared" si="992"/>
        <v>196</v>
      </c>
      <c r="CE106" s="113">
        <f t="shared" si="993"/>
        <v>367</v>
      </c>
      <c r="CF106" s="114">
        <f t="shared" si="994"/>
        <v>404</v>
      </c>
      <c r="CG106" s="113">
        <f t="shared" si="995"/>
        <v>431</v>
      </c>
      <c r="CH106" s="111">
        <f t="shared" si="996"/>
        <v>60</v>
      </c>
      <c r="CI106" s="113" t="str">
        <f t="shared" si="997"/>
        <v>-</v>
      </c>
      <c r="CJ106" s="114">
        <f t="shared" si="998"/>
        <v>96</v>
      </c>
      <c r="CK106" s="114">
        <f t="shared" si="999"/>
        <v>101</v>
      </c>
      <c r="CL106" s="114">
        <f t="shared" si="1000"/>
        <v>137</v>
      </c>
      <c r="CM106" s="114">
        <f t="shared" si="1001"/>
        <v>145</v>
      </c>
      <c r="CN106" s="114">
        <f t="shared" si="1002"/>
        <v>166</v>
      </c>
      <c r="CO106" s="114">
        <f t="shared" si="1003"/>
        <v>190</v>
      </c>
      <c r="CP106" s="114">
        <f t="shared" si="1004"/>
        <v>227</v>
      </c>
      <c r="CQ106" s="114">
        <f t="shared" si="1005"/>
        <v>400</v>
      </c>
      <c r="CR106" s="114">
        <f t="shared" si="1006"/>
        <v>429</v>
      </c>
      <c r="CS106" s="114">
        <f t="shared" si="1007"/>
        <v>443</v>
      </c>
      <c r="CT106" s="109" t="e">
        <f t="shared" si="1008"/>
        <v>#VALUE!</v>
      </c>
    </row>
    <row r="107" spans="1:1029" s="12" customFormat="1" x14ac:dyDescent="0.2">
      <c r="A107" s="9" t="str">
        <f t="shared" ref="A107" si="1009">CONCATENATE(B107,"_",C107)</f>
        <v>ada2a_human_6KUY</v>
      </c>
      <c r="B107" s="9" t="s">
        <v>155</v>
      </c>
      <c r="C107" s="9" t="s">
        <v>1674</v>
      </c>
      <c r="D107" s="9" t="str">
        <f>IFERROR(MID(VLOOKUP($B107,Seqs!$A:$B,2,0),E107,1),"")</f>
        <v>G</v>
      </c>
      <c r="E107" s="9">
        <v>36</v>
      </c>
      <c r="F107" s="9" t="str">
        <f>IFERROR(MID(VLOOKUP($B107,Seqs!$A:$B,2,0),G107,1),"")</f>
        <v>M</v>
      </c>
      <c r="G107" s="9">
        <v>59</v>
      </c>
      <c r="H107" s="9" t="str">
        <f>IFERROR(MID(VLOOKUP($B107,Seqs!$A:$B,2,0),I107,1),"")</f>
        <v/>
      </c>
      <c r="I107" s="109" t="s">
        <v>23</v>
      </c>
      <c r="J107" s="9" t="str">
        <f>IFERROR(MID(VLOOKUP($B107,Seqs!$A:$B,2,0),K107,1),"")</f>
        <v/>
      </c>
      <c r="K107" s="109" t="s">
        <v>23</v>
      </c>
      <c r="L107" s="9" t="str">
        <f>IFERROR(MID(VLOOKUP($B107,Seqs!$A:$B,2,0),M107,1),"")</f>
        <v>G</v>
      </c>
      <c r="M107" s="9">
        <v>65</v>
      </c>
      <c r="N107" s="9" t="str">
        <f>IFERROR(MID(VLOOKUP($B107,Seqs!$A:$B,2,0),O107,1),"")</f>
        <v>I</v>
      </c>
      <c r="O107" s="9">
        <v>95</v>
      </c>
      <c r="P107" s="9" t="str">
        <f>IFERROR(MID(VLOOKUP($B107,Seqs!$A:$B,2,0),Q107,1),"")</f>
        <v>A</v>
      </c>
      <c r="Q107" s="9">
        <v>98</v>
      </c>
      <c r="R107" s="9" t="str">
        <f>IFERROR(MID(VLOOKUP($B107,Seqs!$A:$B,2,0),S107,1),"")</f>
        <v>V</v>
      </c>
      <c r="S107" s="9">
        <v>101</v>
      </c>
      <c r="T107" s="9" t="str">
        <f>IFERROR(MID(VLOOKUP($B107,Seqs!$A:$B,2,0),U107,1),"")</f>
        <v>I</v>
      </c>
      <c r="U107" s="9">
        <v>102</v>
      </c>
      <c r="V107" s="9" t="str">
        <f>IFERROR(MID(VLOOKUP($B107,Seqs!$A:$B,2,0),W107,1),"")</f>
        <v>V</v>
      </c>
      <c r="W107" s="9">
        <v>137</v>
      </c>
      <c r="X107" s="9" t="str">
        <f>IFERROR(MID(VLOOKUP($B107,Seqs!$A:$B,2,0),Y107,1),"")</f>
        <v>H</v>
      </c>
      <c r="Y107" s="9">
        <v>138</v>
      </c>
      <c r="Z107" s="9" t="str">
        <f>IFERROR(MID(VLOOKUP($B107,Seqs!$A:$B,2,0),AA107,1),"")</f>
        <v>D</v>
      </c>
      <c r="AA107" s="9">
        <v>145</v>
      </c>
      <c r="AB107" s="9" t="str">
        <f>IFERROR(MID(VLOOKUP($B107,Seqs!$A:$B,2,0),AC107,1),"")</f>
        <v>R</v>
      </c>
      <c r="AC107" s="9">
        <v>146</v>
      </c>
      <c r="AD107" s="9" t="str">
        <f>IFERROR(MID(VLOOKUP($B107,Seqs!$A:$B,2,0),AE107,1),"")</f>
        <v>K</v>
      </c>
      <c r="AE107" s="9">
        <v>166</v>
      </c>
      <c r="AF107" s="9" t="str">
        <f>IFERROR(MID(VLOOKUP($B107,Seqs!$A:$B,2,0),AG107,1),"")</f>
        <v>E</v>
      </c>
      <c r="AG107" s="9">
        <v>188</v>
      </c>
      <c r="AH107" s="9" t="str">
        <f>IFERROR(MID(VLOOKUP($B107,Seqs!$A:$B,2,0),AI107,1),"")</f>
        <v>K</v>
      </c>
      <c r="AI107" s="9">
        <v>190</v>
      </c>
      <c r="AJ107" s="9" t="str">
        <f>IFERROR(MID(VLOOKUP($B107,Seqs!$A:$B,2,0),AK107,1),"")</f>
        <v>G</v>
      </c>
      <c r="AK107" s="9">
        <v>193</v>
      </c>
      <c r="AL107" s="9" t="str">
        <f>IFERROR(MID(VLOOKUP($B107,Seqs!$A:$B,2,0),AM107,1),"")</f>
        <v>M</v>
      </c>
      <c r="AM107" s="9">
        <v>227</v>
      </c>
      <c r="AN107" s="9" t="str">
        <f>IFERROR(MID(VLOOKUP($B107,Seqs!$A:$B,2,0),AO107,1),"")</f>
        <v>E</v>
      </c>
      <c r="AO107" s="9">
        <v>367</v>
      </c>
      <c r="AP107" s="9" t="str">
        <f>IFERROR(MID(VLOOKUP($B107,Seqs!$A:$B,2,0),AQ107,1),"")</f>
        <v>V</v>
      </c>
      <c r="AQ107" s="9">
        <v>400</v>
      </c>
      <c r="AR107" s="9" t="str">
        <f>IFERROR(MID(VLOOKUP($B107,Seqs!$A:$B,2,0),AS107,1),"")</f>
        <v>F</v>
      </c>
      <c r="AS107" s="9">
        <v>407</v>
      </c>
      <c r="AT107" s="9" t="str">
        <f>IFERROR(MID(VLOOKUP($B107,Seqs!$A:$B,2,0),AU107,1),"")</f>
        <v>F</v>
      </c>
      <c r="AU107" s="9">
        <v>429</v>
      </c>
      <c r="AV107" s="9" t="str">
        <f>IFERROR(MID(VLOOKUP($B107,Seqs!$A:$B,2,0),AW107,1),"")</f>
        <v>G</v>
      </c>
      <c r="AW107" s="9">
        <v>430</v>
      </c>
      <c r="AX107" s="9" t="str">
        <f>IFERROR(MID(VLOOKUP($B107,Seqs!$A:$B,2,0),AY107,1),"")</f>
        <v>I</v>
      </c>
      <c r="AY107" s="9">
        <v>443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ref="BB107" si="1010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109">
        <f t="shared" ref="BC107" si="1011">_xlfn.AGGREGATE(9,6,CH107:CS107)-_xlfn.AGGREGATE(9,6,BV107:CG107)+12</f>
        <v>234</v>
      </c>
      <c r="BD107" s="40" t="s">
        <v>23</v>
      </c>
      <c r="BE107" s="9" t="s">
        <v>1368</v>
      </c>
      <c r="BF107" s="119">
        <v>3.2</v>
      </c>
      <c r="BG107" s="51" t="s">
        <v>1</v>
      </c>
      <c r="BH107" s="51" t="s">
        <v>1</v>
      </c>
      <c r="BJ107" s="111" t="s">
        <v>1281</v>
      </c>
      <c r="BK107" s="112" t="s">
        <v>1281</v>
      </c>
      <c r="BL107" s="112" t="s">
        <v>1281</v>
      </c>
      <c r="BM107" s="112" t="s">
        <v>1281</v>
      </c>
      <c r="BN107" s="112" t="s">
        <v>1281</v>
      </c>
      <c r="BO107" s="112" t="s">
        <v>1281</v>
      </c>
      <c r="BP107" s="112" t="s">
        <v>1281</v>
      </c>
      <c r="BQ107" s="112" t="s">
        <v>1281</v>
      </c>
      <c r="BR107" s="112" t="s">
        <v>1281</v>
      </c>
      <c r="BS107" s="112" t="s">
        <v>1281</v>
      </c>
      <c r="BT107" s="112" t="s">
        <v>1281</v>
      </c>
      <c r="BU107" s="112" t="s">
        <v>1281</v>
      </c>
      <c r="BV107" s="111">
        <f t="shared" ref="BV107" si="1012">E107</f>
        <v>36</v>
      </c>
      <c r="BW107" s="113" t="str">
        <f t="shared" ref="BW107" si="1013">I107</f>
        <v>-</v>
      </c>
      <c r="BX107" s="114">
        <f t="shared" ref="BX107" si="1014">M107</f>
        <v>65</v>
      </c>
      <c r="BY107" s="113">
        <f t="shared" ref="BY107" si="1015">Q107</f>
        <v>98</v>
      </c>
      <c r="BZ107" s="114">
        <f t="shared" ref="BZ107" si="1016">U107</f>
        <v>102</v>
      </c>
      <c r="CA107" s="113">
        <f t="shared" ref="CA107" si="1017">Y107</f>
        <v>138</v>
      </c>
      <c r="CB107" s="114">
        <f t="shared" ref="CB107" si="1018">AC107</f>
        <v>146</v>
      </c>
      <c r="CC107" s="113">
        <f t="shared" ref="CC107" si="1019">AG107</f>
        <v>188</v>
      </c>
      <c r="CD107" s="114">
        <f t="shared" ref="CD107" si="1020">AK107</f>
        <v>193</v>
      </c>
      <c r="CE107" s="113">
        <f t="shared" ref="CE107" si="1021">AO107</f>
        <v>367</v>
      </c>
      <c r="CF107" s="114">
        <f t="shared" ref="CF107" si="1022">AS107</f>
        <v>407</v>
      </c>
      <c r="CG107" s="113">
        <f t="shared" ref="CG107" si="1023">AW107</f>
        <v>430</v>
      </c>
      <c r="CH107" s="111">
        <f t="shared" ref="CH107" si="1024">G107</f>
        <v>59</v>
      </c>
      <c r="CI107" s="113" t="str">
        <f t="shared" ref="CI107" si="1025">K107</f>
        <v>-</v>
      </c>
      <c r="CJ107" s="114">
        <f t="shared" ref="CJ107" si="1026">O107</f>
        <v>95</v>
      </c>
      <c r="CK107" s="114">
        <f t="shared" ref="CK107" si="1027">S107</f>
        <v>101</v>
      </c>
      <c r="CL107" s="114">
        <f t="shared" ref="CL107" si="1028">W107</f>
        <v>137</v>
      </c>
      <c r="CM107" s="114">
        <f t="shared" ref="CM107" si="1029">AA107</f>
        <v>145</v>
      </c>
      <c r="CN107" s="114">
        <f t="shared" ref="CN107" si="1030">AE107</f>
        <v>166</v>
      </c>
      <c r="CO107" s="114">
        <f t="shared" ref="CO107" si="1031">AI107</f>
        <v>190</v>
      </c>
      <c r="CP107" s="114">
        <f t="shared" ref="CP107" si="1032">AM107</f>
        <v>227</v>
      </c>
      <c r="CQ107" s="114">
        <f t="shared" ref="CQ107" si="1033">AQ107</f>
        <v>400</v>
      </c>
      <c r="CR107" s="114">
        <f t="shared" ref="CR107" si="1034">AU107</f>
        <v>429</v>
      </c>
      <c r="CS107" s="114">
        <f t="shared" ref="CS107" si="1035">AY107</f>
        <v>443</v>
      </c>
      <c r="CT107" s="109" t="e">
        <f t="shared" ref="CT107" si="1036">M107-K107</f>
        <v>#VALUE!</v>
      </c>
    </row>
    <row r="108" spans="1:1029" s="12" customFormat="1" x14ac:dyDescent="0.2">
      <c r="A108" s="9" t="str">
        <f t="shared" ref="A108:A109" si="1037">CONCATENATE(B108,"_",C108)</f>
        <v>ada2b_human__wt</v>
      </c>
      <c r="B108" s="9" t="s">
        <v>156</v>
      </c>
      <c r="C108" s="9" t="s">
        <v>100</v>
      </c>
      <c r="D108" s="9" t="str">
        <f>IFERROR(MID(VLOOKUP($B108,Seqs!$A:$B,2,0),E108,1),"")</f>
        <v>A</v>
      </c>
      <c r="E108" s="9">
        <v>11</v>
      </c>
      <c r="F108" s="9" t="str">
        <f>IFERROR(MID(VLOOKUP($B108,Seqs!$A:$B,2,0),G108,1),"")</f>
        <v>S</v>
      </c>
      <c r="G108" s="9">
        <v>40</v>
      </c>
      <c r="H108" s="9" t="str">
        <f>IFERROR(MID(VLOOKUP($B108,Seqs!$A:$B,2,0),I108,1),"")</f>
        <v>R</v>
      </c>
      <c r="I108" s="109">
        <v>41</v>
      </c>
      <c r="J108" s="9" t="str">
        <f>IFERROR(MID(VLOOKUP($B108,Seqs!$A:$B,2,0),K108,1),"")</f>
        <v>R</v>
      </c>
      <c r="K108" s="109">
        <v>44</v>
      </c>
      <c r="L108" s="9" t="str">
        <f>IFERROR(MID(VLOOKUP($B108,Seqs!$A:$B,2,0),M108,1),"")</f>
        <v>A</v>
      </c>
      <c r="M108" s="9">
        <v>45</v>
      </c>
      <c r="N108" s="9" t="str">
        <f>IFERROR(MID(VLOOKUP($B108,Seqs!$A:$B,2,0),O108,1),"")</f>
        <v>G</v>
      </c>
      <c r="O108" s="9">
        <v>76</v>
      </c>
      <c r="P108" s="9" t="str">
        <f>IFERROR(MID(VLOOKUP($B108,Seqs!$A:$B,2,0),Q108,1),"")</f>
        <v>Y</v>
      </c>
      <c r="Q108" s="9">
        <v>77</v>
      </c>
      <c r="R108" s="9" t="str">
        <f>IFERROR(MID(VLOOKUP($B108,Seqs!$A:$B,2,0),S108,1),"")</f>
        <v>F</v>
      </c>
      <c r="S108" s="9">
        <v>80</v>
      </c>
      <c r="T108" s="9" t="str">
        <f>IFERROR(MID(VLOOKUP($B108,Seqs!$A:$B,2,0),U108,1),"")</f>
        <v>R</v>
      </c>
      <c r="U108" s="9">
        <v>81</v>
      </c>
      <c r="V108" s="9" t="str">
        <f>IFERROR(MID(VLOOKUP($B108,Seqs!$A:$B,2,0),W108,1),"")</f>
        <v>R</v>
      </c>
      <c r="W108" s="9">
        <v>116</v>
      </c>
      <c r="X108" s="9" t="str">
        <f>IFERROR(MID(VLOOKUP($B108,Seqs!$A:$B,2,0),Y108,1),"")</f>
        <v>A</v>
      </c>
      <c r="Y108" s="9">
        <v>117</v>
      </c>
      <c r="Z108" s="9" t="str">
        <f>IFERROR(MID(VLOOKUP($B108,Seqs!$A:$B,2,0),AA108,1),"")</f>
        <v>R</v>
      </c>
      <c r="AA108" s="9">
        <v>124</v>
      </c>
      <c r="AB108" s="9" t="str">
        <f>IFERROR(MID(VLOOKUP($B108,Seqs!$A:$B,2,0),AC108,1),"")</f>
        <v>T</v>
      </c>
      <c r="AC108" s="9">
        <v>125</v>
      </c>
      <c r="AD108" s="9" t="str">
        <f>IFERROR(MID(VLOOKUP($B108,Seqs!$A:$B,2,0),AE108,1),"")</f>
        <v>I</v>
      </c>
      <c r="AE108" s="9">
        <v>149</v>
      </c>
      <c r="AF108" s="9" t="str">
        <f>IFERROR(MID(VLOOKUP($B108,Seqs!$A:$B,2,0),AG108,1),"")</f>
        <v>C</v>
      </c>
      <c r="AG108" s="9">
        <v>164</v>
      </c>
      <c r="AH108" s="9" t="str">
        <f>IFERROR(MID(VLOOKUP($B108,Seqs!$A:$B,2,0),AI108,1),"")</f>
        <v>L</v>
      </c>
      <c r="AI108" s="9">
        <v>166</v>
      </c>
      <c r="AJ108" s="9" t="str">
        <f>IFERROR(MID(VLOOKUP($B108,Seqs!$A:$B,2,0),AK108,1),"")</f>
        <v>E</v>
      </c>
      <c r="AK108" s="9">
        <v>169</v>
      </c>
      <c r="AL108" s="9" t="str">
        <f>IFERROR(MID(VLOOKUP($B108,Seqs!$A:$B,2,0),AM108,1),"")</f>
        <v>A</v>
      </c>
      <c r="AM108" s="9">
        <v>209</v>
      </c>
      <c r="AN108" s="9" t="str">
        <f>IFERROR(MID(VLOOKUP($B108,Seqs!$A:$B,2,0),AO108,1),"")</f>
        <v>R</v>
      </c>
      <c r="AO108" s="105">
        <v>360</v>
      </c>
      <c r="AP108" s="9" t="str">
        <f>IFERROR(MID(VLOOKUP($B108,Seqs!$A:$B,2,0),AQ108,1),"")</f>
        <v>C</v>
      </c>
      <c r="AQ108" s="105">
        <v>397</v>
      </c>
      <c r="AR108" s="9" t="str">
        <f>IFERROR(MID(VLOOKUP($B108,Seqs!$A:$B,2,0),AS108,1),"")</f>
        <v>P</v>
      </c>
      <c r="AS108" s="9">
        <v>404</v>
      </c>
      <c r="AT108" s="9" t="str">
        <f>IFERROR(MID(VLOOKUP($B108,Seqs!$A:$B,2,0),AU108,1),"")</f>
        <v>F</v>
      </c>
      <c r="AU108" s="9">
        <v>429</v>
      </c>
      <c r="AV108" s="9" t="str">
        <f>IFERROR(MID(VLOOKUP($B108,Seqs!$A:$B,2,0),AW108,1),"")</f>
        <v>N</v>
      </c>
      <c r="AW108" s="9">
        <v>430</v>
      </c>
      <c r="AX108" s="9" t="str">
        <f>IFERROR(MID(VLOOKUP($B108,Seqs!$A:$B,2,0),AY108,1),"")</f>
        <v>C</v>
      </c>
      <c r="AY108" s="9">
        <v>442</v>
      </c>
      <c r="AZ108" s="110" t="str">
        <f>VLOOKUP(B108,Classification!A:D,2,0)</f>
        <v>A</v>
      </c>
      <c r="BA108" s="98" t="str">
        <f>VLOOKUP(B108,Classification!A:D,4,0)</f>
        <v>Adrenoceptors</v>
      </c>
      <c r="BB108" s="36" t="b">
        <f t="shared" ref="BB108:BB109" si="1038">AND(E108&lt;G108,OR(G108&lt;I108,I108="-"),OR(I108&lt;K108,I108="-"),OR(K108&lt;M108,K108="-"),M108&lt;O108,OR(O108&lt;Q108,Q108="-"),OR(Q108&lt;S108,Q108="-"),OR(S108&lt;U108,S108="-"),U108&lt;W108,OR(W108&lt;Y108,Y108="-"),OR(Y108&lt;AA108,Y108="-"),OR(AA108&lt;AC108,AA108="-"),AC108&lt;AE108,OR(AE108&lt;AG108,AG108="-"),OR(AG108&lt;AI108,AG108="-"),OR(AI108&lt;AK108,AI108="-"),AK108&lt;AM108,AM108&lt;AO108,AO108&lt;AQ108,AQ108&lt;AS108,AS108&lt;AU108,OR(AU108&lt;AW108,AW108="-"),OR(AW108&lt;AY108,AW108="-"))</f>
        <v>1</v>
      </c>
      <c r="BC108" s="109">
        <f t="shared" ref="BC108:BC109" si="1039">_xlfn.AGGREGATE(9,6,CH108:CS108)-_xlfn.AGGREGATE(9,6,BV108:CG108)+12</f>
        <v>260</v>
      </c>
      <c r="BD108" s="40" t="s">
        <v>23</v>
      </c>
      <c r="BE108" s="9" t="s">
        <v>23</v>
      </c>
      <c r="BF108" s="119" t="s">
        <v>23</v>
      </c>
      <c r="BG108" s="51" t="s">
        <v>1</v>
      </c>
      <c r="BH108" s="51" t="s">
        <v>1</v>
      </c>
      <c r="BJ108" s="111" t="s">
        <v>1281</v>
      </c>
      <c r="BK108" s="112" t="s">
        <v>1281</v>
      </c>
      <c r="BL108" s="112" t="s">
        <v>1281</v>
      </c>
      <c r="BM108" s="112" t="s">
        <v>1281</v>
      </c>
      <c r="BN108" s="112" t="s">
        <v>1281</v>
      </c>
      <c r="BO108" s="112" t="s">
        <v>1281</v>
      </c>
      <c r="BP108" s="112" t="s">
        <v>1281</v>
      </c>
      <c r="BQ108" s="112" t="s">
        <v>1281</v>
      </c>
      <c r="BR108" s="112" t="s">
        <v>1281</v>
      </c>
      <c r="BS108" s="112" t="s">
        <v>1281</v>
      </c>
      <c r="BT108" s="112" t="s">
        <v>1281</v>
      </c>
      <c r="BU108" s="112" t="s">
        <v>1281</v>
      </c>
      <c r="BV108" s="111">
        <f t="shared" ref="BV108:BV109" si="1040">E108</f>
        <v>11</v>
      </c>
      <c r="BW108" s="113">
        <f t="shared" ref="BW108:BW109" si="1041">I108</f>
        <v>41</v>
      </c>
      <c r="BX108" s="114">
        <f t="shared" ref="BX108:BX109" si="1042">M108</f>
        <v>45</v>
      </c>
      <c r="BY108" s="113">
        <f t="shared" ref="BY108:BY109" si="1043">Q108</f>
        <v>77</v>
      </c>
      <c r="BZ108" s="114">
        <f t="shared" ref="BZ108:BZ109" si="1044">U108</f>
        <v>81</v>
      </c>
      <c r="CA108" s="113">
        <f t="shared" ref="CA108:CA109" si="1045">Y108</f>
        <v>117</v>
      </c>
      <c r="CB108" s="114">
        <f t="shared" ref="CB108:CB109" si="1046">AC108</f>
        <v>125</v>
      </c>
      <c r="CC108" s="113">
        <f t="shared" ref="CC108:CC109" si="1047">AG108</f>
        <v>164</v>
      </c>
      <c r="CD108" s="114">
        <f t="shared" ref="CD108:CD109" si="1048">AK108</f>
        <v>169</v>
      </c>
      <c r="CE108" s="113">
        <f t="shared" ref="CE108:CE109" si="1049">AO108</f>
        <v>360</v>
      </c>
      <c r="CF108" s="114">
        <f t="shared" ref="CF108:CF109" si="1050">AS108</f>
        <v>404</v>
      </c>
      <c r="CG108" s="113">
        <f t="shared" ref="CG108:CG109" si="1051">AW108</f>
        <v>430</v>
      </c>
      <c r="CH108" s="111">
        <f t="shared" ref="CH108:CH109" si="1052">G108</f>
        <v>40</v>
      </c>
      <c r="CI108" s="113">
        <f t="shared" ref="CI108:CI109" si="1053">K108</f>
        <v>44</v>
      </c>
      <c r="CJ108" s="114">
        <f t="shared" ref="CJ108:CJ109" si="1054">O108</f>
        <v>76</v>
      </c>
      <c r="CK108" s="114">
        <f t="shared" ref="CK108:CK109" si="1055">S108</f>
        <v>80</v>
      </c>
      <c r="CL108" s="114">
        <f t="shared" ref="CL108:CL109" si="1056">W108</f>
        <v>116</v>
      </c>
      <c r="CM108" s="114">
        <f t="shared" ref="CM108:CM109" si="1057">AA108</f>
        <v>124</v>
      </c>
      <c r="CN108" s="114">
        <f t="shared" ref="CN108:CN109" si="1058">AE108</f>
        <v>149</v>
      </c>
      <c r="CO108" s="114">
        <f t="shared" ref="CO108:CO109" si="1059">AI108</f>
        <v>166</v>
      </c>
      <c r="CP108" s="114">
        <f t="shared" ref="CP108:CP109" si="1060">AM108</f>
        <v>209</v>
      </c>
      <c r="CQ108" s="114">
        <f t="shared" ref="CQ108:CQ109" si="1061">AQ108</f>
        <v>397</v>
      </c>
      <c r="CR108" s="114">
        <f t="shared" ref="CR108:CR109" si="1062">AU108</f>
        <v>429</v>
      </c>
      <c r="CS108" s="114">
        <f t="shared" ref="CS108:CS109" si="1063">AY108</f>
        <v>442</v>
      </c>
      <c r="CT108" s="109">
        <f t="shared" ref="CT108:CT109" si="1064">M108-K108</f>
        <v>1</v>
      </c>
    </row>
    <row r="109" spans="1:1029" s="12" customFormat="1" x14ac:dyDescent="0.2">
      <c r="A109" s="9" t="str">
        <f t="shared" si="1037"/>
        <v>ada2b_human_6K41</v>
      </c>
      <c r="B109" s="9" t="s">
        <v>156</v>
      </c>
      <c r="C109" s="9" t="s">
        <v>1675</v>
      </c>
      <c r="D109" s="9" t="str">
        <f>IFERROR(MID(VLOOKUP($B109,Seqs!$A:$B,2,0),E109,1),"")</f>
        <v>A</v>
      </c>
      <c r="E109" s="9">
        <v>11</v>
      </c>
      <c r="F109" s="9" t="str">
        <f>IFERROR(MID(VLOOKUP($B109,Seqs!$A:$B,2,0),G109,1),"")</f>
        <v>T</v>
      </c>
      <c r="G109" s="9">
        <v>39</v>
      </c>
      <c r="H109" s="9" t="str">
        <f>IFERROR(MID(VLOOKUP($B109,Seqs!$A:$B,2,0),I109,1),"")</f>
        <v>R</v>
      </c>
      <c r="I109" s="109">
        <v>41</v>
      </c>
      <c r="J109" s="9" t="str">
        <f>IFERROR(MID(VLOOKUP($B109,Seqs!$A:$B,2,0),K109,1),"")</f>
        <v>R</v>
      </c>
      <c r="K109" s="109">
        <v>44</v>
      </c>
      <c r="L109" s="9" t="str">
        <f>IFERROR(MID(VLOOKUP($B109,Seqs!$A:$B,2,0),M109,1),"")</f>
        <v>A</v>
      </c>
      <c r="M109" s="9">
        <v>45</v>
      </c>
      <c r="N109" s="9" t="str">
        <f>IFERROR(MID(VLOOKUP($B109,Seqs!$A:$B,2,0),O109,1),"")</f>
        <v>L</v>
      </c>
      <c r="O109" s="9">
        <v>74</v>
      </c>
      <c r="P109" s="9" t="str">
        <f>IFERROR(MID(VLOOKUP($B109,Seqs!$A:$B,2,0),Q109,1),"")</f>
        <v/>
      </c>
      <c r="Q109" s="9" t="s">
        <v>23</v>
      </c>
      <c r="R109" s="9" t="str">
        <f>IFERROR(MID(VLOOKUP($B109,Seqs!$A:$B,2,0),S109,1),"")</f>
        <v/>
      </c>
      <c r="S109" s="9" t="s">
        <v>23</v>
      </c>
      <c r="T109" s="9" t="str">
        <f>IFERROR(MID(VLOOKUP($B109,Seqs!$A:$B,2,0),U109,1),"")</f>
        <v>C</v>
      </c>
      <c r="U109" s="9">
        <v>85</v>
      </c>
      <c r="V109" s="9" t="str">
        <f>IFERROR(MID(VLOOKUP($B109,Seqs!$A:$B,2,0),W109,1),"")</f>
        <v>R</v>
      </c>
      <c r="W109" s="9">
        <v>116</v>
      </c>
      <c r="X109" s="9" t="str">
        <f>IFERROR(MID(VLOOKUP($B109,Seqs!$A:$B,2,0),Y109,1),"")</f>
        <v>A</v>
      </c>
      <c r="Y109" s="9">
        <v>117</v>
      </c>
      <c r="Z109" s="9" t="str">
        <f>IFERROR(MID(VLOOKUP($B109,Seqs!$A:$B,2,0),AA109,1),"")</f>
        <v>R</v>
      </c>
      <c r="AA109" s="9">
        <v>124</v>
      </c>
      <c r="AB109" s="9" t="str">
        <f>IFERROR(MID(VLOOKUP($B109,Seqs!$A:$B,2,0),AC109,1),"")</f>
        <v>T</v>
      </c>
      <c r="AC109" s="9">
        <v>125</v>
      </c>
      <c r="AD109" s="9" t="str">
        <f>IFERROR(MID(VLOOKUP($B109,Seqs!$A:$B,2,0),AE109,1),"")</f>
        <v>I</v>
      </c>
      <c r="AE109" s="9">
        <v>149</v>
      </c>
      <c r="AF109" s="9" t="str">
        <f>IFERROR(MID(VLOOKUP($B109,Seqs!$A:$B,2,0),AG109,1),"")</f>
        <v>C</v>
      </c>
      <c r="AG109" s="9">
        <v>164</v>
      </c>
      <c r="AH109" s="9" t="str">
        <f>IFERROR(MID(VLOOKUP($B109,Seqs!$A:$B,2,0),AI109,1),"")</f>
        <v>L</v>
      </c>
      <c r="AI109" s="9">
        <v>166</v>
      </c>
      <c r="AJ109" s="9" t="str">
        <f>IFERROR(MID(VLOOKUP($B109,Seqs!$A:$B,2,0),AK109,1),"")</f>
        <v>A</v>
      </c>
      <c r="AK109" s="9">
        <v>170</v>
      </c>
      <c r="AL109" s="9" t="str">
        <f>IFERROR(MID(VLOOKUP($B109,Seqs!$A:$B,2,0),AM109,1),"")</f>
        <v>N</v>
      </c>
      <c r="AM109" s="9">
        <v>203</v>
      </c>
      <c r="AN109" s="9" t="str">
        <f>IFERROR(MID(VLOOKUP($B109,Seqs!$A:$B,2,0),AO109,1),"")</f>
        <v>Q</v>
      </c>
      <c r="AO109" s="9">
        <v>362</v>
      </c>
      <c r="AP109" s="9" t="str">
        <f>IFERROR(MID(VLOOKUP($B109,Seqs!$A:$B,2,0),AQ109,1),"")</f>
        <v>L</v>
      </c>
      <c r="AQ109" s="9">
        <v>393</v>
      </c>
      <c r="AR109" s="9" t="str">
        <f>IFERROR(MID(VLOOKUP($B109,Seqs!$A:$B,2,0),AS109,1),"")</f>
        <v>G</v>
      </c>
      <c r="AS109" s="9">
        <v>406</v>
      </c>
      <c r="AT109" s="9" t="str">
        <f>IFERROR(MID(VLOOKUP($B109,Seqs!$A:$B,2,0),AU109,1),"")</f>
        <v>I</v>
      </c>
      <c r="AU109" s="9">
        <v>428</v>
      </c>
      <c r="AV109" s="9" t="str">
        <f>IFERROR(MID(VLOOKUP($B109,Seqs!$A:$B,2,0),AW109,1),"")</f>
        <v>N</v>
      </c>
      <c r="AW109" s="9">
        <v>430</v>
      </c>
      <c r="AX109" s="9" t="str">
        <f>IFERROR(MID(VLOOKUP($B109,Seqs!$A:$B,2,0),AY109,1),"")</f>
        <v>C</v>
      </c>
      <c r="AY109" s="9">
        <v>442</v>
      </c>
      <c r="AZ109" s="110" t="str">
        <f>VLOOKUP(B109,Classification!A:D,2,0)</f>
        <v>A</v>
      </c>
      <c r="BA109" s="98" t="str">
        <f>VLOOKUP(B109,Classification!A:D,4,0)</f>
        <v>Adrenoceptors</v>
      </c>
      <c r="BB109" s="36" t="b">
        <f t="shared" si="1038"/>
        <v>1</v>
      </c>
      <c r="BC109" s="109">
        <f t="shared" si="1039"/>
        <v>234</v>
      </c>
      <c r="BD109" s="40" t="s">
        <v>1369</v>
      </c>
      <c r="BE109" s="9" t="s">
        <v>1285</v>
      </c>
      <c r="BF109" s="119">
        <v>2.9</v>
      </c>
      <c r="BG109" s="51" t="s">
        <v>1416</v>
      </c>
      <c r="BH109" s="51" t="s">
        <v>1416</v>
      </c>
      <c r="BJ109" s="111" t="s">
        <v>1281</v>
      </c>
      <c r="BK109" s="112" t="s">
        <v>1281</v>
      </c>
      <c r="BL109" s="112" t="s">
        <v>1281</v>
      </c>
      <c r="BM109" s="112" t="s">
        <v>1281</v>
      </c>
      <c r="BN109" s="112" t="s">
        <v>1281</v>
      </c>
      <c r="BO109" s="112" t="s">
        <v>1281</v>
      </c>
      <c r="BP109" s="112" t="s">
        <v>1281</v>
      </c>
      <c r="BQ109" s="112" t="s">
        <v>1281</v>
      </c>
      <c r="BR109" s="112" t="s">
        <v>1281</v>
      </c>
      <c r="BS109" s="112" t="s">
        <v>1281</v>
      </c>
      <c r="BT109" s="112" t="s">
        <v>1281</v>
      </c>
      <c r="BU109" s="112" t="s">
        <v>1281</v>
      </c>
      <c r="BV109" s="111">
        <f t="shared" si="1040"/>
        <v>11</v>
      </c>
      <c r="BW109" s="113">
        <f t="shared" si="1041"/>
        <v>41</v>
      </c>
      <c r="BX109" s="114">
        <f t="shared" si="1042"/>
        <v>45</v>
      </c>
      <c r="BY109" s="113" t="str">
        <f t="shared" si="1043"/>
        <v>-</v>
      </c>
      <c r="BZ109" s="114">
        <f t="shared" si="1044"/>
        <v>85</v>
      </c>
      <c r="CA109" s="113">
        <f t="shared" si="1045"/>
        <v>117</v>
      </c>
      <c r="CB109" s="114">
        <f t="shared" si="1046"/>
        <v>125</v>
      </c>
      <c r="CC109" s="113">
        <f t="shared" si="1047"/>
        <v>164</v>
      </c>
      <c r="CD109" s="114">
        <f t="shared" si="1048"/>
        <v>170</v>
      </c>
      <c r="CE109" s="113">
        <f t="shared" si="1049"/>
        <v>362</v>
      </c>
      <c r="CF109" s="114">
        <f t="shared" si="1050"/>
        <v>406</v>
      </c>
      <c r="CG109" s="113">
        <f t="shared" si="1051"/>
        <v>430</v>
      </c>
      <c r="CH109" s="111">
        <f t="shared" si="1052"/>
        <v>39</v>
      </c>
      <c r="CI109" s="113">
        <f t="shared" si="1053"/>
        <v>44</v>
      </c>
      <c r="CJ109" s="114">
        <f t="shared" si="1054"/>
        <v>74</v>
      </c>
      <c r="CK109" s="114" t="str">
        <f t="shared" si="1055"/>
        <v>-</v>
      </c>
      <c r="CL109" s="114">
        <f t="shared" si="1056"/>
        <v>116</v>
      </c>
      <c r="CM109" s="114">
        <f t="shared" si="1057"/>
        <v>124</v>
      </c>
      <c r="CN109" s="114">
        <f t="shared" si="1058"/>
        <v>149</v>
      </c>
      <c r="CO109" s="114">
        <f t="shared" si="1059"/>
        <v>166</v>
      </c>
      <c r="CP109" s="114">
        <f t="shared" si="1060"/>
        <v>203</v>
      </c>
      <c r="CQ109" s="114">
        <f t="shared" si="1061"/>
        <v>393</v>
      </c>
      <c r="CR109" s="114">
        <f t="shared" si="1062"/>
        <v>428</v>
      </c>
      <c r="CS109" s="114">
        <f t="shared" si="1063"/>
        <v>442</v>
      </c>
      <c r="CT109" s="109">
        <f t="shared" si="1064"/>
        <v>1</v>
      </c>
    </row>
    <row r="110" spans="1:1029" s="12" customFormat="1" x14ac:dyDescent="0.2">
      <c r="A110" s="9" t="str">
        <f t="shared" ref="A110" si="1065">CONCATENATE(B110,"_",C110)</f>
        <v>ada2b_human_6K42</v>
      </c>
      <c r="B110" s="9" t="s">
        <v>156</v>
      </c>
      <c r="C110" s="9" t="s">
        <v>1676</v>
      </c>
      <c r="D110" s="9" t="str">
        <f>IFERROR(MID(VLOOKUP($B110,Seqs!$A:$B,2,0),E110,1),"")</f>
        <v>T</v>
      </c>
      <c r="E110" s="9">
        <v>12</v>
      </c>
      <c r="F110" s="9" t="str">
        <f>IFERROR(MID(VLOOKUP($B110,Seqs!$A:$B,2,0),G110,1),"")</f>
        <v>T</v>
      </c>
      <c r="G110" s="9">
        <v>39</v>
      </c>
      <c r="H110" s="9" t="str">
        <f>IFERROR(MID(VLOOKUP($B110,Seqs!$A:$B,2,0),I110,1),"")</f>
        <v>R</v>
      </c>
      <c r="I110" s="109">
        <v>41</v>
      </c>
      <c r="J110" s="9" t="str">
        <f>IFERROR(MID(VLOOKUP($B110,Seqs!$A:$B,2,0),K110,1),"")</f>
        <v>R</v>
      </c>
      <c r="K110" s="109">
        <v>44</v>
      </c>
      <c r="L110" s="9" t="str">
        <f>IFERROR(MID(VLOOKUP($B110,Seqs!$A:$B,2,0),M110,1),"")</f>
        <v>N</v>
      </c>
      <c r="M110" s="9">
        <v>48</v>
      </c>
      <c r="N110" s="9" t="str">
        <f>IFERROR(MID(VLOOKUP($B110,Seqs!$A:$B,2,0),O110,1),"")</f>
        <v>L</v>
      </c>
      <c r="O110" s="9">
        <v>74</v>
      </c>
      <c r="P110" s="9" t="str">
        <f>IFERROR(MID(VLOOKUP($B110,Seqs!$A:$B,2,0),Q110,1),"")</f>
        <v/>
      </c>
      <c r="Q110" s="9" t="s">
        <v>23</v>
      </c>
      <c r="R110" s="9" t="str">
        <f>IFERROR(MID(VLOOKUP($B110,Seqs!$A:$B,2,0),S110,1),"")</f>
        <v/>
      </c>
      <c r="S110" s="9" t="s">
        <v>23</v>
      </c>
      <c r="T110" s="9" t="str">
        <f>IFERROR(MID(VLOOKUP($B110,Seqs!$A:$B,2,0),U110,1),"")</f>
        <v>W</v>
      </c>
      <c r="U110" s="9">
        <v>84</v>
      </c>
      <c r="V110" s="9" t="str">
        <f>IFERROR(MID(VLOOKUP($B110,Seqs!$A:$B,2,0),W110,1),"")</f>
        <v>S</v>
      </c>
      <c r="W110" s="9">
        <v>115</v>
      </c>
      <c r="X110" s="9" t="str">
        <f>IFERROR(MID(VLOOKUP($B110,Seqs!$A:$B,2,0),Y110,1),"")</f>
        <v>A</v>
      </c>
      <c r="Y110" s="9">
        <v>117</v>
      </c>
      <c r="Z110" s="9" t="str">
        <f>IFERROR(MID(VLOOKUP($B110,Seqs!$A:$B,2,0),AA110,1),"")</f>
        <v>R</v>
      </c>
      <c r="AA110" s="9">
        <v>124</v>
      </c>
      <c r="AB110" s="9" t="str">
        <f>IFERROR(MID(VLOOKUP($B110,Seqs!$A:$B,2,0),AC110,1),"")</f>
        <v>T</v>
      </c>
      <c r="AC110" s="9">
        <v>125</v>
      </c>
      <c r="AD110" s="9" t="str">
        <f>IFERROR(MID(VLOOKUP($B110,Seqs!$A:$B,2,0),AE110,1),"")</f>
        <v>I</v>
      </c>
      <c r="AE110" s="9">
        <v>149</v>
      </c>
      <c r="AF110" s="9" t="str">
        <f>IFERROR(MID(VLOOKUP($B110,Seqs!$A:$B,2,0),AG110,1),"")</f>
        <v>C</v>
      </c>
      <c r="AG110" s="9">
        <v>164</v>
      </c>
      <c r="AH110" s="9" t="str">
        <f>IFERROR(MID(VLOOKUP($B110,Seqs!$A:$B,2,0),AI110,1),"")</f>
        <v>L</v>
      </c>
      <c r="AI110" s="9">
        <v>166</v>
      </c>
      <c r="AJ110" s="9" t="str">
        <f>IFERROR(MID(VLOOKUP($B110,Seqs!$A:$B,2,0),AK110,1),"")</f>
        <v>E</v>
      </c>
      <c r="AK110" s="9">
        <v>169</v>
      </c>
      <c r="AL110" s="9" t="str">
        <f>IFERROR(MID(VLOOKUP($B110,Seqs!$A:$B,2,0),AM110,1),"")</f>
        <v>N</v>
      </c>
      <c r="AM110" s="9">
        <v>203</v>
      </c>
      <c r="AN110" s="9" t="str">
        <f>IFERROR(MID(VLOOKUP($B110,Seqs!$A:$B,2,0),AO110,1),"")</f>
        <v>R</v>
      </c>
      <c r="AO110" s="9">
        <v>359</v>
      </c>
      <c r="AP110" s="9" t="str">
        <f>IFERROR(MID(VLOOKUP($B110,Seqs!$A:$B,2,0),AQ110,1),"")</f>
        <v>C</v>
      </c>
      <c r="AQ110" s="9">
        <v>397</v>
      </c>
      <c r="AR110" s="9" t="str">
        <f>IFERROR(MID(VLOOKUP($B110,Seqs!$A:$B,2,0),AS110,1),"")</f>
        <v>L</v>
      </c>
      <c r="AS110" s="9">
        <v>407</v>
      </c>
      <c r="AT110" s="9" t="str">
        <f>IFERROR(MID(VLOOKUP($B110,Seqs!$A:$B,2,0),AU110,1),"")</f>
        <v>I</v>
      </c>
      <c r="AU110" s="9">
        <v>428</v>
      </c>
      <c r="AV110" s="9" t="str">
        <f>IFERROR(MID(VLOOKUP($B110,Seqs!$A:$B,2,0),AW110,1),"")</f>
        <v>N</v>
      </c>
      <c r="AW110" s="9">
        <v>430</v>
      </c>
      <c r="AX110" s="9" t="str">
        <f>IFERROR(MID(VLOOKUP($B110,Seqs!$A:$B,2,0),AY110,1),"")</f>
        <v>L</v>
      </c>
      <c r="AY110" s="9">
        <v>441</v>
      </c>
      <c r="AZ110" s="110" t="str">
        <f>VLOOKUP(B110,Classification!A:D,2,0)</f>
        <v>A</v>
      </c>
      <c r="BA110" s="98" t="str">
        <f>VLOOKUP(B110,Classification!A:D,4,0)</f>
        <v>Adrenoceptors</v>
      </c>
      <c r="BB110" s="36" t="b">
        <f t="shared" ref="BB110" si="1066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9">
        <f t="shared" ref="BC110" si="1067">_xlfn.AGGREGATE(9,6,CH110:CS110)-_xlfn.AGGREGATE(9,6,BV110:CG110)+12</f>
        <v>236</v>
      </c>
      <c r="BD110" s="40" t="s">
        <v>23</v>
      </c>
      <c r="BE110" s="9" t="s">
        <v>1285</v>
      </c>
      <c r="BF110" s="119">
        <v>4.0999999999999996</v>
      </c>
      <c r="BG110" s="51" t="s">
        <v>1416</v>
      </c>
      <c r="BH110" s="51" t="s">
        <v>1416</v>
      </c>
      <c r="BJ110" s="111" t="s">
        <v>1281</v>
      </c>
      <c r="BK110" s="112" t="s">
        <v>1281</v>
      </c>
      <c r="BL110" s="112" t="s">
        <v>1281</v>
      </c>
      <c r="BM110" s="112" t="s">
        <v>1281</v>
      </c>
      <c r="BN110" s="112" t="s">
        <v>1281</v>
      </c>
      <c r="BO110" s="112" t="s">
        <v>1281</v>
      </c>
      <c r="BP110" s="112" t="s">
        <v>1281</v>
      </c>
      <c r="BQ110" s="112" t="s">
        <v>1281</v>
      </c>
      <c r="BR110" s="112" t="s">
        <v>1281</v>
      </c>
      <c r="BS110" s="112" t="s">
        <v>1281</v>
      </c>
      <c r="BT110" s="112" t="s">
        <v>1281</v>
      </c>
      <c r="BU110" s="112" t="s">
        <v>1281</v>
      </c>
      <c r="BV110" s="111">
        <f t="shared" ref="BV110" si="1068">E110</f>
        <v>12</v>
      </c>
      <c r="BW110" s="113">
        <f t="shared" ref="BW110" si="1069">I110</f>
        <v>41</v>
      </c>
      <c r="BX110" s="114">
        <f t="shared" ref="BX110" si="1070">M110</f>
        <v>48</v>
      </c>
      <c r="BY110" s="113" t="str">
        <f t="shared" ref="BY110" si="1071">Q110</f>
        <v>-</v>
      </c>
      <c r="BZ110" s="114">
        <f t="shared" ref="BZ110" si="1072">U110</f>
        <v>84</v>
      </c>
      <c r="CA110" s="113">
        <f t="shared" ref="CA110" si="1073">Y110</f>
        <v>117</v>
      </c>
      <c r="CB110" s="114">
        <f t="shared" ref="CB110" si="1074">AC110</f>
        <v>125</v>
      </c>
      <c r="CC110" s="113">
        <f t="shared" ref="CC110" si="1075">AG110</f>
        <v>164</v>
      </c>
      <c r="CD110" s="114">
        <f t="shared" ref="CD110" si="1076">AK110</f>
        <v>169</v>
      </c>
      <c r="CE110" s="113">
        <f t="shared" ref="CE110" si="1077">AO110</f>
        <v>359</v>
      </c>
      <c r="CF110" s="114">
        <f t="shared" ref="CF110" si="1078">AS110</f>
        <v>407</v>
      </c>
      <c r="CG110" s="113">
        <f t="shared" ref="CG110" si="1079">AW110</f>
        <v>430</v>
      </c>
      <c r="CH110" s="111">
        <f t="shared" ref="CH110" si="1080">G110</f>
        <v>39</v>
      </c>
      <c r="CI110" s="113">
        <f t="shared" ref="CI110" si="1081">K110</f>
        <v>44</v>
      </c>
      <c r="CJ110" s="114">
        <f t="shared" ref="CJ110" si="1082">O110</f>
        <v>74</v>
      </c>
      <c r="CK110" s="114" t="str">
        <f t="shared" ref="CK110" si="1083">S110</f>
        <v>-</v>
      </c>
      <c r="CL110" s="114">
        <f t="shared" ref="CL110" si="1084">W110</f>
        <v>115</v>
      </c>
      <c r="CM110" s="114">
        <f t="shared" ref="CM110" si="1085">AA110</f>
        <v>124</v>
      </c>
      <c r="CN110" s="114">
        <f t="shared" ref="CN110" si="1086">AE110</f>
        <v>149</v>
      </c>
      <c r="CO110" s="114">
        <f t="shared" ref="CO110" si="1087">AI110</f>
        <v>166</v>
      </c>
      <c r="CP110" s="114">
        <f t="shared" ref="CP110" si="1088">AM110</f>
        <v>203</v>
      </c>
      <c r="CQ110" s="114">
        <f t="shared" ref="CQ110" si="1089">AQ110</f>
        <v>397</v>
      </c>
      <c r="CR110" s="114">
        <f t="shared" ref="CR110" si="1090">AU110</f>
        <v>428</v>
      </c>
      <c r="CS110" s="114">
        <f t="shared" ref="CS110" si="1091">AY110</f>
        <v>441</v>
      </c>
      <c r="CT110" s="109">
        <f t="shared" ref="CT110" si="1092">M110-K110</f>
        <v>4</v>
      </c>
    </row>
    <row r="111" spans="1:1029" s="12" customFormat="1" x14ac:dyDescent="0.2">
      <c r="A111" s="9" t="str">
        <f t="shared" ref="A111:A112" si="1093">CONCATENATE(B111,"_",C111)</f>
        <v>ada2c_human__wt</v>
      </c>
      <c r="B111" s="9" t="s">
        <v>157</v>
      </c>
      <c r="C111" s="9" t="s">
        <v>100</v>
      </c>
      <c r="D111" s="9" t="str">
        <f>IFERROR(MID(VLOOKUP($B111,Seqs!$A:$B,2,0),E111,1),"")</f>
        <v>S</v>
      </c>
      <c r="E111" s="9">
        <v>47</v>
      </c>
      <c r="F111" s="9" t="str">
        <f>IFERROR(MID(VLOOKUP($B111,Seqs!$A:$B,2,0),G111,1),"")</f>
        <v>S</v>
      </c>
      <c r="G111" s="9">
        <v>79</v>
      </c>
      <c r="H111" s="9" t="str">
        <f>IFERROR(MID(VLOOKUP($B111,Seqs!$A:$B,2,0),I111,1),"")</f>
        <v>R</v>
      </c>
      <c r="I111" s="109">
        <v>80</v>
      </c>
      <c r="J111" s="9" t="str">
        <f>IFERROR(MID(VLOOKUP($B111,Seqs!$A:$B,2,0),K111,1),"")</f>
        <v>R</v>
      </c>
      <c r="K111" s="109">
        <v>83</v>
      </c>
      <c r="L111" s="9" t="str">
        <f>IFERROR(MID(VLOOKUP($B111,Seqs!$A:$B,2,0),M111,1),"")</f>
        <v>A</v>
      </c>
      <c r="M111" s="9">
        <v>84</v>
      </c>
      <c r="N111" s="9" t="str">
        <f>IFERROR(MID(VLOOKUP($B111,Seqs!$A:$B,2,0),O111,1),"")</f>
        <v>A</v>
      </c>
      <c r="O111" s="9">
        <v>115</v>
      </c>
      <c r="P111" s="9" t="str">
        <f>IFERROR(MID(VLOOKUP($B111,Seqs!$A:$B,2,0),Q111,1),"")</f>
        <v>Y</v>
      </c>
      <c r="Q111" s="9">
        <v>116</v>
      </c>
      <c r="R111" s="9" t="str">
        <f>IFERROR(MID(VLOOKUP($B111,Seqs!$A:$B,2,0),S111,1),"")</f>
        <v>F</v>
      </c>
      <c r="S111" s="9">
        <v>119</v>
      </c>
      <c r="T111" s="9" t="str">
        <f>IFERROR(MID(VLOOKUP($B111,Seqs!$A:$B,2,0),U111,1),"")</f>
        <v>G</v>
      </c>
      <c r="U111" s="9">
        <v>120</v>
      </c>
      <c r="V111" s="9" t="str">
        <f>IFERROR(MID(VLOOKUP($B111,Seqs!$A:$B,2,0),W111,1),"")</f>
        <v>Q</v>
      </c>
      <c r="W111" s="9">
        <v>155</v>
      </c>
      <c r="X111" s="9" t="str">
        <f>IFERROR(MID(VLOOKUP($B111,Seqs!$A:$B,2,0),Y111,1),"")</f>
        <v>A</v>
      </c>
      <c r="Y111" s="9">
        <v>156</v>
      </c>
      <c r="Z111" s="9" t="str">
        <f>IFERROR(MID(VLOOKUP($B111,Seqs!$A:$B,2,0),AA111,1),"")</f>
        <v>R</v>
      </c>
      <c r="AA111" s="9">
        <v>163</v>
      </c>
      <c r="AB111" s="9" t="str">
        <f>IFERROR(MID(VLOOKUP($B111,Seqs!$A:$B,2,0),AC111,1),"")</f>
        <v>T</v>
      </c>
      <c r="AC111" s="9">
        <v>164</v>
      </c>
      <c r="AD111" s="9" t="str">
        <f>IFERROR(MID(VLOOKUP($B111,Seqs!$A:$B,2,0),AE111,1),"")</f>
        <v>V</v>
      </c>
      <c r="AE111" s="9">
        <v>188</v>
      </c>
      <c r="AF111" s="9" t="str">
        <f>IFERROR(MID(VLOOKUP($B111,Seqs!$A:$B,2,0),AG111,1),"")</f>
        <v>C</v>
      </c>
      <c r="AG111" s="9">
        <v>202</v>
      </c>
      <c r="AH111" s="9" t="str">
        <f>IFERROR(MID(VLOOKUP($B111,Seqs!$A:$B,2,0),AI111,1),"")</f>
        <v>L</v>
      </c>
      <c r="AI111" s="9">
        <v>204</v>
      </c>
      <c r="AJ111" s="9" t="str">
        <f>IFERROR(MID(VLOOKUP($B111,Seqs!$A:$B,2,0),AK111,1),"")</f>
        <v>E</v>
      </c>
      <c r="AK111" s="9">
        <v>207</v>
      </c>
      <c r="AL111" s="9" t="str">
        <f>IFERROR(MID(VLOOKUP($B111,Seqs!$A:$B,2,0),AM111,1),"")</f>
        <v>K</v>
      </c>
      <c r="AM111" s="9">
        <v>247</v>
      </c>
      <c r="AN111" s="9" t="str">
        <f>IFERROR(MID(VLOOKUP($B111,Seqs!$A:$B,2,0),AO111,1),"")</f>
        <v>K</v>
      </c>
      <c r="AO111" s="9">
        <v>371</v>
      </c>
      <c r="AP111" s="9" t="str">
        <f>IFERROR(MID(VLOOKUP($B111,Seqs!$A:$B,2,0),AQ111,1),"")</f>
        <v>R</v>
      </c>
      <c r="AQ111" s="9">
        <v>409</v>
      </c>
      <c r="AR111" s="9" t="str">
        <f>IFERROR(MID(VLOOKUP($B111,Seqs!$A:$B,2,0),AS111,1),"")</f>
        <v>P</v>
      </c>
      <c r="AS111" s="9">
        <v>415</v>
      </c>
      <c r="AT111" s="9" t="str">
        <f>IFERROR(MID(VLOOKUP($B111,Seqs!$A:$B,2,0),AU111,1),"")</f>
        <v>F</v>
      </c>
      <c r="AU111" s="9">
        <v>440</v>
      </c>
      <c r="AV111" s="9" t="str">
        <f>IFERROR(MID(VLOOKUP($B111,Seqs!$A:$B,2,0),AW111,1),"")</f>
        <v>N</v>
      </c>
      <c r="AW111" s="9">
        <v>441</v>
      </c>
      <c r="AX111" s="9" t="str">
        <f>IFERROR(MID(VLOOKUP($B111,Seqs!$A:$B,2,0),AY111,1),"")</f>
        <v>F</v>
      </c>
      <c r="AY111" s="9">
        <v>453</v>
      </c>
      <c r="AZ111" s="110" t="str">
        <f>VLOOKUP(B111,Classification!A:D,2,0)</f>
        <v>A</v>
      </c>
      <c r="BA111" s="98" t="str">
        <f>VLOOKUP(B111,Classification!A:D,4,0)</f>
        <v>Adrenoceptors</v>
      </c>
      <c r="BB111" s="36" t="b">
        <f t="shared" ref="BB111:BB112" si="1094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09">
        <f t="shared" ref="BC111:BC112" si="1095">_xlfn.AGGREGATE(9,6,CH111:CS111)-_xlfn.AGGREGATE(9,6,BV111:CG111)+12</f>
        <v>264</v>
      </c>
      <c r="BD111" s="40" t="s">
        <v>23</v>
      </c>
      <c r="BE111" s="9" t="s">
        <v>23</v>
      </c>
      <c r="BF111" s="119" t="s">
        <v>23</v>
      </c>
      <c r="BG111" s="51" t="s">
        <v>23</v>
      </c>
      <c r="BH111" s="51" t="s">
        <v>23</v>
      </c>
      <c r="BJ111" s="111" t="s">
        <v>1281</v>
      </c>
      <c r="BK111" s="112" t="s">
        <v>1281</v>
      </c>
      <c r="BL111" s="112" t="s">
        <v>1281</v>
      </c>
      <c r="BM111" s="112" t="s">
        <v>1281</v>
      </c>
      <c r="BN111" s="112" t="s">
        <v>1281</v>
      </c>
      <c r="BO111" s="112" t="s">
        <v>1281</v>
      </c>
      <c r="BP111" s="112" t="s">
        <v>1281</v>
      </c>
      <c r="BQ111" s="112" t="s">
        <v>1281</v>
      </c>
      <c r="BR111" s="112" t="s">
        <v>1281</v>
      </c>
      <c r="BS111" s="112" t="s">
        <v>1281</v>
      </c>
      <c r="BT111" s="112" t="s">
        <v>1281</v>
      </c>
      <c r="BU111" s="112" t="s">
        <v>1281</v>
      </c>
      <c r="BV111" s="111">
        <f t="shared" ref="BV111:BV112" si="1096">E111</f>
        <v>47</v>
      </c>
      <c r="BW111" s="113">
        <f t="shared" ref="BW111:BW112" si="1097">I111</f>
        <v>80</v>
      </c>
      <c r="BX111" s="114">
        <f t="shared" ref="BX111:BX112" si="1098">M111</f>
        <v>84</v>
      </c>
      <c r="BY111" s="113">
        <f t="shared" ref="BY111:BY112" si="1099">Q111</f>
        <v>116</v>
      </c>
      <c r="BZ111" s="114">
        <f t="shared" ref="BZ111:BZ112" si="1100">U111</f>
        <v>120</v>
      </c>
      <c r="CA111" s="113">
        <f t="shared" ref="CA111:CA112" si="1101">Y111</f>
        <v>156</v>
      </c>
      <c r="CB111" s="114">
        <f t="shared" ref="CB111:CB112" si="1102">AC111</f>
        <v>164</v>
      </c>
      <c r="CC111" s="113">
        <f t="shared" ref="CC111:CC112" si="1103">AG111</f>
        <v>202</v>
      </c>
      <c r="CD111" s="114">
        <f t="shared" ref="CD111:CD112" si="1104">AK111</f>
        <v>207</v>
      </c>
      <c r="CE111" s="113">
        <f t="shared" ref="CE111:CE112" si="1105">AO111</f>
        <v>371</v>
      </c>
      <c r="CF111" s="114">
        <f t="shared" ref="CF111:CF112" si="1106">AS111</f>
        <v>415</v>
      </c>
      <c r="CG111" s="113">
        <f t="shared" ref="CG111:CG112" si="1107">AW111</f>
        <v>441</v>
      </c>
      <c r="CH111" s="111">
        <f t="shared" ref="CH111:CH112" si="1108">G111</f>
        <v>79</v>
      </c>
      <c r="CI111" s="113">
        <f t="shared" ref="CI111:CI112" si="1109">K111</f>
        <v>83</v>
      </c>
      <c r="CJ111" s="114">
        <f t="shared" ref="CJ111:CJ112" si="1110">O111</f>
        <v>115</v>
      </c>
      <c r="CK111" s="114">
        <f t="shared" ref="CK111:CK112" si="1111">S111</f>
        <v>119</v>
      </c>
      <c r="CL111" s="114">
        <f t="shared" ref="CL111:CL112" si="1112">W111</f>
        <v>155</v>
      </c>
      <c r="CM111" s="114">
        <f t="shared" ref="CM111:CM112" si="1113">AA111</f>
        <v>163</v>
      </c>
      <c r="CN111" s="114">
        <f t="shared" ref="CN111:CN112" si="1114">AE111</f>
        <v>188</v>
      </c>
      <c r="CO111" s="114">
        <f t="shared" ref="CO111:CO112" si="1115">AI111</f>
        <v>204</v>
      </c>
      <c r="CP111" s="114">
        <f t="shared" ref="CP111:CP112" si="1116">AM111</f>
        <v>247</v>
      </c>
      <c r="CQ111" s="114">
        <f t="shared" ref="CQ111:CQ112" si="1117">AQ111</f>
        <v>409</v>
      </c>
      <c r="CR111" s="114">
        <f t="shared" ref="CR111:CR112" si="1118">AU111</f>
        <v>440</v>
      </c>
      <c r="CS111" s="114">
        <f t="shared" ref="CS111:CS112" si="1119">AY111</f>
        <v>453</v>
      </c>
      <c r="CT111" s="109">
        <f t="shared" ref="CT111:CT112" si="1120">M111-K111</f>
        <v>1</v>
      </c>
    </row>
    <row r="112" spans="1:1029" s="12" customFormat="1" x14ac:dyDescent="0.2">
      <c r="A112" s="9" t="str">
        <f t="shared" si="1093"/>
        <v>ada2c_human_6KUW</v>
      </c>
      <c r="B112" s="9" t="s">
        <v>157</v>
      </c>
      <c r="C112" s="9" t="s">
        <v>1677</v>
      </c>
      <c r="D112" s="9" t="str">
        <f>IFERROR(MID(VLOOKUP($B112,Seqs!$A:$B,2,0),E112,1),"")</f>
        <v>S</v>
      </c>
      <c r="E112" s="9">
        <v>47</v>
      </c>
      <c r="F112" s="9" t="str">
        <f>IFERROR(MID(VLOOKUP($B112,Seqs!$A:$B,2,0),G112,1),"")</f>
        <v>S</v>
      </c>
      <c r="G112" s="9">
        <v>79</v>
      </c>
      <c r="H112" s="9" t="str">
        <f>IFERROR(MID(VLOOKUP($B112,Seqs!$A:$B,2,0),I112,1),"")</f>
        <v>R</v>
      </c>
      <c r="I112" s="109">
        <v>80</v>
      </c>
      <c r="J112" s="9" t="str">
        <f>IFERROR(MID(VLOOKUP($B112,Seqs!$A:$B,2,0),K112,1),"")</f>
        <v>R</v>
      </c>
      <c r="K112" s="109">
        <v>83</v>
      </c>
      <c r="L112" s="9" t="str">
        <f>IFERROR(MID(VLOOKUP($B112,Seqs!$A:$B,2,0),M112,1),"")</f>
        <v>A</v>
      </c>
      <c r="M112" s="9">
        <v>84</v>
      </c>
      <c r="N112" s="9" t="str">
        <f>IFERROR(MID(VLOOKUP($B112,Seqs!$A:$B,2,0),O112,1),"")</f>
        <v>A</v>
      </c>
      <c r="O112" s="9">
        <v>115</v>
      </c>
      <c r="P112" s="9" t="str">
        <f>IFERROR(MID(VLOOKUP($B112,Seqs!$A:$B,2,0),Q112,1),"")</f>
        <v>Y</v>
      </c>
      <c r="Q112" s="9">
        <v>116</v>
      </c>
      <c r="R112" s="9" t="str">
        <f>IFERROR(MID(VLOOKUP($B112,Seqs!$A:$B,2,0),S112,1),"")</f>
        <v>F</v>
      </c>
      <c r="S112" s="9">
        <v>119</v>
      </c>
      <c r="T112" s="9" t="str">
        <f>IFERROR(MID(VLOOKUP($B112,Seqs!$A:$B,2,0),U112,1),"")</f>
        <v>G</v>
      </c>
      <c r="U112" s="9">
        <v>120</v>
      </c>
      <c r="V112" s="9" t="str">
        <f>IFERROR(MID(VLOOKUP($B112,Seqs!$A:$B,2,0),W112,1),"")</f>
        <v>Q</v>
      </c>
      <c r="W112" s="9">
        <v>155</v>
      </c>
      <c r="X112" s="9" t="str">
        <f>IFERROR(MID(VLOOKUP($B112,Seqs!$A:$B,2,0),Y112,1),"")</f>
        <v>A</v>
      </c>
      <c r="Y112" s="9">
        <v>156</v>
      </c>
      <c r="Z112" s="9" t="str">
        <f>IFERROR(MID(VLOOKUP($B112,Seqs!$A:$B,2,0),AA112,1),"")</f>
        <v>R</v>
      </c>
      <c r="AA112" s="9">
        <v>163</v>
      </c>
      <c r="AB112" s="9" t="str">
        <f>IFERROR(MID(VLOOKUP($B112,Seqs!$A:$B,2,0),AC112,1),"")</f>
        <v>T</v>
      </c>
      <c r="AC112" s="9">
        <v>164</v>
      </c>
      <c r="AD112" s="9" t="str">
        <f>IFERROR(MID(VLOOKUP($B112,Seqs!$A:$B,2,0),AE112,1),"")</f>
        <v>F</v>
      </c>
      <c r="AE112" s="9">
        <v>184</v>
      </c>
      <c r="AF112" s="9" t="str">
        <f>IFERROR(MID(VLOOKUP($B112,Seqs!$A:$B,2,0),AG112,1),"")</f>
        <v>C</v>
      </c>
      <c r="AG112" s="9">
        <v>202</v>
      </c>
      <c r="AH112" s="9" t="str">
        <f>IFERROR(MID(VLOOKUP($B112,Seqs!$A:$B,2,0),AI112,1),"")</f>
        <v>L</v>
      </c>
      <c r="AI112" s="9">
        <v>204</v>
      </c>
      <c r="AJ112" s="9" t="str">
        <f>IFERROR(MID(VLOOKUP($B112,Seqs!$A:$B,2,0),AK112,1),"")</f>
        <v>E</v>
      </c>
      <c r="AK112" s="9">
        <v>207</v>
      </c>
      <c r="AL112" s="9" t="str">
        <f>IFERROR(MID(VLOOKUP($B112,Seqs!$A:$B,2,0),AM112,1),"")</f>
        <v>R</v>
      </c>
      <c r="AM112" s="9">
        <v>240</v>
      </c>
      <c r="AN112" s="9" t="str">
        <f>IFERROR(MID(VLOOKUP($B112,Seqs!$A:$B,2,0),AO112,1),"")</f>
        <v>V</v>
      </c>
      <c r="AO112" s="9">
        <v>372</v>
      </c>
      <c r="AP112" s="9" t="str">
        <f>IFERROR(MID(VLOOKUP($B112,Seqs!$A:$B,2,0),AQ112,1),"")</f>
        <v>R</v>
      </c>
      <c r="AQ112" s="9">
        <v>409</v>
      </c>
      <c r="AR112" s="9" t="str">
        <f>IFERROR(MID(VLOOKUP($B112,Seqs!$A:$B,2,0),AS112,1),"")</f>
        <v>P</v>
      </c>
      <c r="AS112" s="9">
        <v>415</v>
      </c>
      <c r="AT112" s="9" t="str">
        <f>IFERROR(MID(VLOOKUP($B112,Seqs!$A:$B,2,0),AU112,1),"")</f>
        <v>F</v>
      </c>
      <c r="AU112" s="9">
        <v>440</v>
      </c>
      <c r="AV112" s="9" t="str">
        <f>IFERROR(MID(VLOOKUP($B112,Seqs!$A:$B,2,0),AW112,1),"")</f>
        <v>N</v>
      </c>
      <c r="AW112" s="9">
        <v>441</v>
      </c>
      <c r="AX112" s="9" t="str">
        <f>IFERROR(MID(VLOOKUP($B112,Seqs!$A:$B,2,0),AY112,1),"")</f>
        <v>F</v>
      </c>
      <c r="AY112" s="9">
        <v>453</v>
      </c>
      <c r="AZ112" s="110" t="str">
        <f>VLOOKUP(B112,Classification!A:D,2,0)</f>
        <v>A</v>
      </c>
      <c r="BA112" s="98" t="str">
        <f>VLOOKUP(B112,Classification!A:D,4,0)</f>
        <v>Adrenoceptors</v>
      </c>
      <c r="BB112" s="36" t="b">
        <f t="shared" si="1094"/>
        <v>1</v>
      </c>
      <c r="BC112" s="109">
        <f t="shared" si="1095"/>
        <v>252</v>
      </c>
      <c r="BD112" s="40" t="s">
        <v>1370</v>
      </c>
      <c r="BE112" s="9" t="s">
        <v>1368</v>
      </c>
      <c r="BF112" s="119">
        <v>2.8</v>
      </c>
      <c r="BG112" s="51" t="s">
        <v>1416</v>
      </c>
      <c r="BH112" s="51" t="s">
        <v>1416</v>
      </c>
      <c r="BJ112" s="111" t="s">
        <v>1281</v>
      </c>
      <c r="BK112" s="112" t="s">
        <v>1281</v>
      </c>
      <c r="BL112" s="112" t="s">
        <v>1281</v>
      </c>
      <c r="BM112" s="112" t="s">
        <v>1281</v>
      </c>
      <c r="BN112" s="112" t="s">
        <v>1281</v>
      </c>
      <c r="BO112" s="112" t="s">
        <v>1281</v>
      </c>
      <c r="BP112" s="112" t="s">
        <v>1281</v>
      </c>
      <c r="BQ112" s="112" t="s">
        <v>1281</v>
      </c>
      <c r="BR112" s="112" t="s">
        <v>1281</v>
      </c>
      <c r="BS112" s="112" t="s">
        <v>1281</v>
      </c>
      <c r="BT112" s="112" t="s">
        <v>1281</v>
      </c>
      <c r="BU112" s="112" t="s">
        <v>1281</v>
      </c>
      <c r="BV112" s="111">
        <f t="shared" si="1096"/>
        <v>47</v>
      </c>
      <c r="BW112" s="113">
        <f t="shared" si="1097"/>
        <v>80</v>
      </c>
      <c r="BX112" s="114">
        <f t="shared" si="1098"/>
        <v>84</v>
      </c>
      <c r="BY112" s="113">
        <f t="shared" si="1099"/>
        <v>116</v>
      </c>
      <c r="BZ112" s="114">
        <f t="shared" si="1100"/>
        <v>120</v>
      </c>
      <c r="CA112" s="113">
        <f t="shared" si="1101"/>
        <v>156</v>
      </c>
      <c r="CB112" s="114">
        <f t="shared" si="1102"/>
        <v>164</v>
      </c>
      <c r="CC112" s="113">
        <f t="shared" si="1103"/>
        <v>202</v>
      </c>
      <c r="CD112" s="114">
        <f t="shared" si="1104"/>
        <v>207</v>
      </c>
      <c r="CE112" s="113">
        <f t="shared" si="1105"/>
        <v>372</v>
      </c>
      <c r="CF112" s="114">
        <f t="shared" si="1106"/>
        <v>415</v>
      </c>
      <c r="CG112" s="113">
        <f t="shared" si="1107"/>
        <v>441</v>
      </c>
      <c r="CH112" s="111">
        <f t="shared" si="1108"/>
        <v>79</v>
      </c>
      <c r="CI112" s="113">
        <f t="shared" si="1109"/>
        <v>83</v>
      </c>
      <c r="CJ112" s="114">
        <f t="shared" si="1110"/>
        <v>115</v>
      </c>
      <c r="CK112" s="114">
        <f t="shared" si="1111"/>
        <v>119</v>
      </c>
      <c r="CL112" s="114">
        <f t="shared" si="1112"/>
        <v>155</v>
      </c>
      <c r="CM112" s="114">
        <f t="shared" si="1113"/>
        <v>163</v>
      </c>
      <c r="CN112" s="114">
        <f t="shared" si="1114"/>
        <v>184</v>
      </c>
      <c r="CO112" s="114">
        <f t="shared" si="1115"/>
        <v>204</v>
      </c>
      <c r="CP112" s="114">
        <f t="shared" si="1116"/>
        <v>240</v>
      </c>
      <c r="CQ112" s="114">
        <f t="shared" si="1117"/>
        <v>409</v>
      </c>
      <c r="CR112" s="114">
        <f t="shared" si="1118"/>
        <v>440</v>
      </c>
      <c r="CS112" s="114">
        <f t="shared" si="1119"/>
        <v>453</v>
      </c>
      <c r="CT112" s="109">
        <f t="shared" si="1120"/>
        <v>1</v>
      </c>
    </row>
    <row r="113" spans="1:1029" x14ac:dyDescent="0.2">
      <c r="A113" s="3" t="str">
        <f t="shared" si="699"/>
        <v>adrb1_melga__wt</v>
      </c>
      <c r="B113" s="3" t="s">
        <v>905</v>
      </c>
      <c r="C113" s="3" t="s">
        <v>100</v>
      </c>
      <c r="D113" s="3" t="str">
        <f>IFERROR(MID(VLOOKUP($B113,Seqs!$A:$B,2,0),E113,1),"")</f>
        <v>A</v>
      </c>
      <c r="E113" s="3">
        <v>33</v>
      </c>
      <c r="F113" s="3" t="str">
        <f>IFERROR(MID(VLOOKUP($B113,Seqs!$A:$B,2,0),G113,1),"")</f>
        <v>T</v>
      </c>
      <c r="G113" s="3">
        <v>69</v>
      </c>
      <c r="H113" s="3" t="str">
        <f>IFERROR(MID(VLOOKUP($B113,Seqs!$A:$B,2,0),I113,1),"")</f>
        <v>Q</v>
      </c>
      <c r="I113" s="23">
        <v>70</v>
      </c>
      <c r="J113" s="3" t="str">
        <f>IFERROR(MID(VLOOKUP($B113,Seqs!$A:$B,2,0),K113,1),"")</f>
        <v>Q</v>
      </c>
      <c r="K113" s="23">
        <v>73</v>
      </c>
      <c r="L113" s="3" t="str">
        <f>IFERROR(MID(VLOOKUP($B113,Seqs!$A:$B,2,0),M113,1),"")</f>
        <v>T</v>
      </c>
      <c r="M113" s="3">
        <v>74</v>
      </c>
      <c r="N113" s="3" t="str">
        <f>IFERROR(MID(VLOOKUP($B113,Seqs!$A:$B,2,0),O113,1),"")</f>
        <v>G</v>
      </c>
      <c r="O113" s="105">
        <v>105</v>
      </c>
      <c r="P113" s="3" t="str">
        <f>IFERROR(MID(VLOOKUP($B113,Seqs!$A:$B,2,0),Q113,1),"")</f>
        <v>T</v>
      </c>
      <c r="Q113" s="3">
        <v>106</v>
      </c>
      <c r="R113" s="3" t="str">
        <f>IFERROR(MID(VLOOKUP($B113,Seqs!$A:$B,2,0),S113,1),"")</f>
        <v>W</v>
      </c>
      <c r="S113" s="3">
        <v>109</v>
      </c>
      <c r="T113" s="3" t="str">
        <f>IFERROR(MID(VLOOKUP($B113,Seqs!$A:$B,2,0),U113,1),"")</f>
        <v>G</v>
      </c>
      <c r="U113" s="3">
        <v>110</v>
      </c>
      <c r="V113" s="3" t="str">
        <f>IFERROR(MID(VLOOKUP($B113,Seqs!$A:$B,2,0),W113,1),"")</f>
        <v>S</v>
      </c>
      <c r="W113" s="3">
        <v>145</v>
      </c>
      <c r="X113" s="3" t="str">
        <f>IFERROR(MID(VLOOKUP($B113,Seqs!$A:$B,2,0),Y113,1),"")</f>
        <v>P</v>
      </c>
      <c r="Y113" s="3">
        <v>146</v>
      </c>
      <c r="Z113" s="3" t="str">
        <f>IFERROR(MID(VLOOKUP($B113,Seqs!$A:$B,2,0),AA113,1),"")</f>
        <v>M</v>
      </c>
      <c r="AA113" s="3">
        <v>153</v>
      </c>
      <c r="AB113" s="3" t="str">
        <f>IFERROR(MID(VLOOKUP($B113,Seqs!$A:$B,2,0),AC113,1),"")</f>
        <v>T</v>
      </c>
      <c r="AC113" s="9">
        <v>154</v>
      </c>
      <c r="AD113" s="3" t="str">
        <f>IFERROR(MID(VLOOKUP($B113,Seqs!$A:$B,2,0),AE113,1),"")</f>
        <v>H</v>
      </c>
      <c r="AE113" s="3">
        <v>180</v>
      </c>
      <c r="AF113" s="3" t="str">
        <f>IFERROR(MID(VLOOKUP($B113,Seqs!$A:$B,2,0),AG113,1),"")</f>
        <v>C</v>
      </c>
      <c r="AG113" s="3">
        <v>199</v>
      </c>
      <c r="AH113" s="3" t="str">
        <f>IFERROR(MID(VLOOKUP($B113,Seqs!$A:$B,2,0),AI113,1),"")</f>
        <v>F</v>
      </c>
      <c r="AI113" s="3">
        <v>201</v>
      </c>
      <c r="AJ113" s="3" t="str">
        <f>IFERROR(MID(VLOOKUP($B113,Seqs!$A:$B,2,0),AK113,1),"")</f>
        <v>N</v>
      </c>
      <c r="AK113" s="3">
        <v>204</v>
      </c>
      <c r="AL113" s="3" t="str">
        <f>IFERROR(MID(VLOOKUP($B113,Seqs!$A:$B,2,0),AM113,1),"")</f>
        <v>E</v>
      </c>
      <c r="AM113" s="3">
        <v>245</v>
      </c>
      <c r="AN113" s="3" t="str">
        <f>IFERROR(MID(VLOOKUP($B113,Seqs!$A:$B,2,0),AO113,1),"")</f>
        <v>R</v>
      </c>
      <c r="AO113" s="3">
        <v>275</v>
      </c>
      <c r="AP113" s="3" t="str">
        <f>IFERROR(MID(VLOOKUP($B113,Seqs!$A:$B,2,0),AQ113,1),"")</f>
        <v>N</v>
      </c>
      <c r="AQ113" s="3">
        <v>316</v>
      </c>
      <c r="AR113" s="3" t="str">
        <f>IFERROR(MID(VLOOKUP($B113,Seqs!$A:$B,2,0),AS113,1),"")</f>
        <v>P</v>
      </c>
      <c r="AS113" s="3">
        <v>321</v>
      </c>
      <c r="AT113" s="3" t="str">
        <f>IFERROR(MID(VLOOKUP($B113,Seqs!$A:$B,2,0),AU113,1),"")</f>
        <v>R</v>
      </c>
      <c r="AU113" s="3">
        <v>345</v>
      </c>
      <c r="AV113" s="3" t="str">
        <f>IFERROR(MID(VLOOKUP($B113,Seqs!$A:$B,2,0),AW113,1),"")</f>
        <v>S</v>
      </c>
      <c r="AW113" s="3">
        <v>346</v>
      </c>
      <c r="AX113" s="3" t="str">
        <f>IFERROR(MID(VLOOKUP($B113,Seqs!$A:$B,2,0),AY113,1),"")</f>
        <v>C</v>
      </c>
      <c r="AY113" s="3">
        <v>358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700"/>
        <v>1</v>
      </c>
      <c r="BC113" s="23">
        <f t="shared" si="309"/>
        <v>273</v>
      </c>
      <c r="BD113" s="34" t="s">
        <v>23</v>
      </c>
      <c r="BE113" s="3" t="s">
        <v>23</v>
      </c>
      <c r="BF113" s="118" t="s">
        <v>23</v>
      </c>
      <c r="BG113" s="49" t="s">
        <v>1366</v>
      </c>
      <c r="BH113" s="49" t="s">
        <v>1371</v>
      </c>
      <c r="BI113" s="3" t="s">
        <v>1159</v>
      </c>
      <c r="BJ113" s="70" t="s">
        <v>1281</v>
      </c>
      <c r="BK113" s="57" t="s">
        <v>1281</v>
      </c>
      <c r="BL113" s="57" t="s">
        <v>1281</v>
      </c>
      <c r="BM113" s="57" t="s">
        <v>1281</v>
      </c>
      <c r="BN113" s="57" t="s">
        <v>1281</v>
      </c>
      <c r="BO113" s="57" t="s">
        <v>1281</v>
      </c>
      <c r="BP113" s="57" t="s">
        <v>1281</v>
      </c>
      <c r="BQ113" s="57" t="s">
        <v>1281</v>
      </c>
      <c r="BR113" s="57" t="s">
        <v>1281</v>
      </c>
      <c r="BS113" s="57" t="s">
        <v>1281</v>
      </c>
      <c r="BT113" s="57" t="s">
        <v>1281</v>
      </c>
      <c r="BU113" s="57" t="s">
        <v>1281</v>
      </c>
      <c r="BV113" s="70">
        <f t="shared" si="310"/>
        <v>33</v>
      </c>
      <c r="BW113" s="71">
        <f t="shared" si="311"/>
        <v>70</v>
      </c>
      <c r="BX113" s="72">
        <f t="shared" si="312"/>
        <v>74</v>
      </c>
      <c r="BY113" s="71">
        <f t="shared" si="313"/>
        <v>106</v>
      </c>
      <c r="BZ113" s="72">
        <f t="shared" si="314"/>
        <v>110</v>
      </c>
      <c r="CA113" s="71">
        <f t="shared" si="315"/>
        <v>146</v>
      </c>
      <c r="CB113" s="72">
        <f t="shared" si="316"/>
        <v>154</v>
      </c>
      <c r="CC113" s="71">
        <f t="shared" si="317"/>
        <v>199</v>
      </c>
      <c r="CD113" s="72">
        <f t="shared" si="318"/>
        <v>204</v>
      </c>
      <c r="CE113" s="71">
        <f t="shared" si="319"/>
        <v>275</v>
      </c>
      <c r="CF113" s="72">
        <f t="shared" si="320"/>
        <v>321</v>
      </c>
      <c r="CG113" s="71">
        <f t="shared" si="321"/>
        <v>346</v>
      </c>
      <c r="CH113" s="70">
        <f t="shared" si="322"/>
        <v>69</v>
      </c>
      <c r="CI113" s="71">
        <f t="shared" si="323"/>
        <v>73</v>
      </c>
      <c r="CJ113" s="72">
        <f t="shared" si="324"/>
        <v>105</v>
      </c>
      <c r="CK113" s="72">
        <f t="shared" si="325"/>
        <v>109</v>
      </c>
      <c r="CL113" s="72">
        <f t="shared" si="326"/>
        <v>145</v>
      </c>
      <c r="CM113" s="72">
        <f t="shared" si="327"/>
        <v>153</v>
      </c>
      <c r="CN113" s="72">
        <f t="shared" si="328"/>
        <v>180</v>
      </c>
      <c r="CO113" s="72">
        <f t="shared" si="329"/>
        <v>201</v>
      </c>
      <c r="CP113" s="72">
        <f t="shared" si="330"/>
        <v>245</v>
      </c>
      <c r="CQ113" s="72">
        <f t="shared" si="331"/>
        <v>316</v>
      </c>
      <c r="CR113" s="72">
        <f t="shared" si="332"/>
        <v>345</v>
      </c>
      <c r="CS113" s="72">
        <f t="shared" si="333"/>
        <v>358</v>
      </c>
      <c r="CT113" s="23">
        <f t="shared" si="334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699"/>
        <v>adrb1_melga_2Y00</v>
      </c>
      <c r="B114" s="3" t="s">
        <v>905</v>
      </c>
      <c r="C114" s="3" t="s">
        <v>1016</v>
      </c>
      <c r="D114" s="3" t="str">
        <f>IFERROR(MID(VLOOKUP($B114,Seqs!$A:$B,2,0),E114,1),"")</f>
        <v>A</v>
      </c>
      <c r="E114" s="3">
        <v>33</v>
      </c>
      <c r="F114" s="3" t="str">
        <f>IFERROR(MID(VLOOKUP($B114,Seqs!$A:$B,2,0),G114,1),"")</f>
        <v>T</v>
      </c>
      <c r="G114" s="3">
        <v>69</v>
      </c>
      <c r="H114" s="3" t="str">
        <f>IFERROR(MID(VLOOKUP($B114,Seqs!$A:$B,2,0),I114,1),"")</f>
        <v>Q</v>
      </c>
      <c r="I114" s="23">
        <v>70</v>
      </c>
      <c r="J114" s="3" t="str">
        <f>IFERROR(MID(VLOOKUP($B114,Seqs!$A:$B,2,0),K114,1),"")</f>
        <v>Q</v>
      </c>
      <c r="K114" s="23">
        <v>73</v>
      </c>
      <c r="L114" s="3" t="str">
        <f>IFERROR(MID(VLOOKUP($B114,Seqs!$A:$B,2,0),M114,1),"")</f>
        <v>T</v>
      </c>
      <c r="M114" s="3">
        <v>74</v>
      </c>
      <c r="N114" s="3" t="str">
        <f>IFERROR(MID(VLOOKUP($B114,Seqs!$A:$B,2,0),O114,1),"")</f>
        <v>G</v>
      </c>
      <c r="O114" s="3">
        <v>105</v>
      </c>
      <c r="P114" s="3" t="str">
        <f>IFERROR(MID(VLOOKUP($B114,Seqs!$A:$B,2,0),Q114,1),"")</f>
        <v>T</v>
      </c>
      <c r="Q114" s="3">
        <v>106</v>
      </c>
      <c r="R114" s="3" t="str">
        <f>IFERROR(MID(VLOOKUP($B114,Seqs!$A:$B,2,0),S114,1),"")</f>
        <v>W</v>
      </c>
      <c r="S114" s="3">
        <v>109</v>
      </c>
      <c r="T114" s="3" t="str">
        <f>IFERROR(MID(VLOOKUP($B114,Seqs!$A:$B,2,0),U114,1),"")</f>
        <v>G</v>
      </c>
      <c r="U114" s="3">
        <v>110</v>
      </c>
      <c r="V114" s="3" t="str">
        <f>IFERROR(MID(VLOOKUP($B114,Seqs!$A:$B,2,0),W114,1),"")</f>
        <v>S</v>
      </c>
      <c r="W114" s="3">
        <v>145</v>
      </c>
      <c r="X114" s="3" t="str">
        <f>IFERROR(MID(VLOOKUP($B114,Seqs!$A:$B,2,0),Y114,1),"")</f>
        <v>P</v>
      </c>
      <c r="Y114" s="3">
        <v>146</v>
      </c>
      <c r="Z114" s="3" t="str">
        <f>IFERROR(MID(VLOOKUP($B114,Seqs!$A:$B,2,0),AA114,1),"")</f>
        <v>M</v>
      </c>
      <c r="AA114" s="3">
        <v>153</v>
      </c>
      <c r="AB114" s="3" t="str">
        <f>IFERROR(MID(VLOOKUP($B114,Seqs!$A:$B,2,0),AC114,1),"")</f>
        <v>T</v>
      </c>
      <c r="AC114" s="9">
        <v>154</v>
      </c>
      <c r="AD114" s="3" t="str">
        <f>IFERROR(MID(VLOOKUP($B114,Seqs!$A:$B,2,0),AE114,1),"")</f>
        <v>H</v>
      </c>
      <c r="AE114" s="3">
        <v>180</v>
      </c>
      <c r="AF114" s="3" t="str">
        <f>IFERROR(MID(VLOOKUP($B114,Seqs!$A:$B,2,0),AG114,1),"")</f>
        <v>C</v>
      </c>
      <c r="AG114" s="3">
        <v>199</v>
      </c>
      <c r="AH114" s="3" t="str">
        <f>IFERROR(MID(VLOOKUP($B114,Seqs!$A:$B,2,0),AI114,1),"")</f>
        <v>F</v>
      </c>
      <c r="AI114" s="3">
        <v>201</v>
      </c>
      <c r="AJ114" s="3" t="str">
        <f>IFERROR(MID(VLOOKUP($B114,Seqs!$A:$B,2,0),AK114,1),"")</f>
        <v>N</v>
      </c>
      <c r="AK114" s="3">
        <v>204</v>
      </c>
      <c r="AL114" s="3" t="str">
        <f>IFERROR(MID(VLOOKUP($B114,Seqs!$A:$B,2,0),AM114,1),"")</f>
        <v>I</v>
      </c>
      <c r="AM114" s="3">
        <v>238</v>
      </c>
      <c r="AN114" s="3" t="str">
        <f>IFERROR(MID(VLOOKUP($B114,Seqs!$A:$B,2,0),AO114,1),"")</f>
        <v>R</v>
      </c>
      <c r="AO114" s="3">
        <v>275</v>
      </c>
      <c r="AP114" s="3" t="str">
        <f>IFERROR(MID(VLOOKUP($B114,Seqs!$A:$B,2,0),AQ114,1),"")</f>
        <v>N</v>
      </c>
      <c r="AQ114" s="3">
        <v>316</v>
      </c>
      <c r="AR114" s="3" t="str">
        <f>IFERROR(MID(VLOOKUP($B114,Seqs!$A:$B,2,0),AS114,1),"")</f>
        <v>P</v>
      </c>
      <c r="AS114" s="3">
        <v>321</v>
      </c>
      <c r="AT114" s="3" t="str">
        <f>IFERROR(MID(VLOOKUP($B114,Seqs!$A:$B,2,0),AU114,1),"")</f>
        <v>R</v>
      </c>
      <c r="AU114" s="3">
        <v>345</v>
      </c>
      <c r="AV114" s="3" t="str">
        <f>IFERROR(MID(VLOOKUP($B114,Seqs!$A:$B,2,0),AW114,1),"")</f>
        <v>S</v>
      </c>
      <c r="AW114" s="3">
        <v>346</v>
      </c>
      <c r="AX114" s="3" t="str">
        <f>IFERROR(MID(VLOOKUP($B114,Seqs!$A:$B,2,0),AY114,1),"")</f>
        <v>C</v>
      </c>
      <c r="AY114" s="3">
        <v>358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700"/>
        <v>1</v>
      </c>
      <c r="BC114" s="23">
        <f t="shared" si="309"/>
        <v>266</v>
      </c>
      <c r="BD114" s="4" t="s">
        <v>23</v>
      </c>
      <c r="BE114" s="3" t="s">
        <v>1368</v>
      </c>
      <c r="BF114" s="118">
        <v>2.5</v>
      </c>
      <c r="BG114" s="49" t="s">
        <v>1371</v>
      </c>
      <c r="BH114" s="49" t="s">
        <v>1371</v>
      </c>
      <c r="BI114" s="1"/>
      <c r="BJ114" s="70" t="s">
        <v>1281</v>
      </c>
      <c r="BK114" s="57" t="s">
        <v>1281</v>
      </c>
      <c r="BL114" s="57" t="s">
        <v>1281</v>
      </c>
      <c r="BM114" s="57" t="s">
        <v>1281</v>
      </c>
      <c r="BN114" s="57" t="s">
        <v>1281</v>
      </c>
      <c r="BO114" s="57" t="s">
        <v>1281</v>
      </c>
      <c r="BP114" s="57" t="s">
        <v>1281</v>
      </c>
      <c r="BQ114" s="57" t="s">
        <v>1281</v>
      </c>
      <c r="BR114" s="57" t="s">
        <v>1281</v>
      </c>
      <c r="BS114" s="57" t="s">
        <v>1281</v>
      </c>
      <c r="BT114" s="57" t="s">
        <v>1281</v>
      </c>
      <c r="BU114" s="57" t="s">
        <v>1281</v>
      </c>
      <c r="BV114" s="70">
        <f t="shared" si="310"/>
        <v>33</v>
      </c>
      <c r="BW114" s="71">
        <f t="shared" si="311"/>
        <v>70</v>
      </c>
      <c r="BX114" s="72">
        <f t="shared" si="312"/>
        <v>74</v>
      </c>
      <c r="BY114" s="71">
        <f t="shared" si="313"/>
        <v>106</v>
      </c>
      <c r="BZ114" s="72">
        <f t="shared" si="314"/>
        <v>110</v>
      </c>
      <c r="CA114" s="71">
        <f t="shared" si="315"/>
        <v>146</v>
      </c>
      <c r="CB114" s="72">
        <f t="shared" si="316"/>
        <v>154</v>
      </c>
      <c r="CC114" s="71">
        <f t="shared" si="317"/>
        <v>199</v>
      </c>
      <c r="CD114" s="72">
        <f t="shared" si="318"/>
        <v>204</v>
      </c>
      <c r="CE114" s="71">
        <f t="shared" si="319"/>
        <v>275</v>
      </c>
      <c r="CF114" s="72">
        <f t="shared" si="320"/>
        <v>321</v>
      </c>
      <c r="CG114" s="71">
        <f t="shared" si="321"/>
        <v>346</v>
      </c>
      <c r="CH114" s="70">
        <f t="shared" si="322"/>
        <v>69</v>
      </c>
      <c r="CI114" s="71">
        <f t="shared" si="323"/>
        <v>73</v>
      </c>
      <c r="CJ114" s="72">
        <f t="shared" si="324"/>
        <v>105</v>
      </c>
      <c r="CK114" s="72">
        <f t="shared" si="325"/>
        <v>109</v>
      </c>
      <c r="CL114" s="72">
        <f t="shared" si="326"/>
        <v>145</v>
      </c>
      <c r="CM114" s="72">
        <f t="shared" si="327"/>
        <v>153</v>
      </c>
      <c r="CN114" s="72">
        <f t="shared" si="328"/>
        <v>180</v>
      </c>
      <c r="CO114" s="72">
        <f t="shared" si="329"/>
        <v>201</v>
      </c>
      <c r="CP114" s="72">
        <f t="shared" si="330"/>
        <v>238</v>
      </c>
      <c r="CQ114" s="72">
        <f t="shared" si="331"/>
        <v>316</v>
      </c>
      <c r="CR114" s="72">
        <f t="shared" si="332"/>
        <v>345</v>
      </c>
      <c r="CS114" s="72">
        <f t="shared" si="333"/>
        <v>358</v>
      </c>
      <c r="CT114" s="23">
        <f t="shared" si="334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699"/>
        <v>adrb1_melga_2Y02</v>
      </c>
      <c r="B115" s="3" t="s">
        <v>905</v>
      </c>
      <c r="C115" s="3" t="s">
        <v>1017</v>
      </c>
      <c r="D115" s="3" t="str">
        <f>IFERROR(MID(VLOOKUP($B115,Seqs!$A:$B,2,0),E115,1),"")</f>
        <v>A</v>
      </c>
      <c r="E115" s="3">
        <v>33</v>
      </c>
      <c r="F115" s="3" t="str">
        <f>IFERROR(MID(VLOOKUP($B115,Seqs!$A:$B,2,0),G115,1),"")</f>
        <v>T</v>
      </c>
      <c r="G115" s="3">
        <v>69</v>
      </c>
      <c r="H115" s="3" t="str">
        <f>IFERROR(MID(VLOOKUP($B115,Seqs!$A:$B,2,0),I115,1),"")</f>
        <v>Q</v>
      </c>
      <c r="I115" s="23">
        <v>70</v>
      </c>
      <c r="J115" s="3" t="str">
        <f>IFERROR(MID(VLOOKUP($B115,Seqs!$A:$B,2,0),K115,1),"")</f>
        <v>Q</v>
      </c>
      <c r="K115" s="23">
        <v>73</v>
      </c>
      <c r="L115" s="3" t="str">
        <f>IFERROR(MID(VLOOKUP($B115,Seqs!$A:$B,2,0),M115,1),"")</f>
        <v>T</v>
      </c>
      <c r="M115" s="3">
        <v>74</v>
      </c>
      <c r="N115" s="3" t="str">
        <f>IFERROR(MID(VLOOKUP($B115,Seqs!$A:$B,2,0),O115,1),"")</f>
        <v>G</v>
      </c>
      <c r="O115" s="3">
        <v>105</v>
      </c>
      <c r="P115" s="3" t="str">
        <f>IFERROR(MID(VLOOKUP($B115,Seqs!$A:$B,2,0),Q115,1),"")</f>
        <v>T</v>
      </c>
      <c r="Q115" s="3">
        <v>106</v>
      </c>
      <c r="R115" s="3" t="str">
        <f>IFERROR(MID(VLOOKUP($B115,Seqs!$A:$B,2,0),S115,1),"")</f>
        <v>W</v>
      </c>
      <c r="S115" s="3">
        <v>109</v>
      </c>
      <c r="T115" s="3" t="str">
        <f>IFERROR(MID(VLOOKUP($B115,Seqs!$A:$B,2,0),U115,1),"")</f>
        <v>G</v>
      </c>
      <c r="U115" s="3">
        <v>110</v>
      </c>
      <c r="V115" s="3" t="str">
        <f>IFERROR(MID(VLOOKUP($B115,Seqs!$A:$B,2,0),W115,1),"")</f>
        <v>S</v>
      </c>
      <c r="W115" s="3">
        <v>145</v>
      </c>
      <c r="X115" s="3" t="str">
        <f>IFERROR(MID(VLOOKUP($B115,Seqs!$A:$B,2,0),Y115,1),"")</f>
        <v>P</v>
      </c>
      <c r="Y115" s="3">
        <v>146</v>
      </c>
      <c r="Z115" s="3" t="str">
        <f>IFERROR(MID(VLOOKUP($B115,Seqs!$A:$B,2,0),AA115,1),"")</f>
        <v>M</v>
      </c>
      <c r="AA115" s="3">
        <v>153</v>
      </c>
      <c r="AB115" s="3" t="str">
        <f>IFERROR(MID(VLOOKUP($B115,Seqs!$A:$B,2,0),AC115,1),"")</f>
        <v>T</v>
      </c>
      <c r="AC115" s="9">
        <v>154</v>
      </c>
      <c r="AD115" s="3" t="str">
        <f>IFERROR(MID(VLOOKUP($B115,Seqs!$A:$B,2,0),AE115,1),"")</f>
        <v>H</v>
      </c>
      <c r="AE115" s="3">
        <v>180</v>
      </c>
      <c r="AF115" s="3" t="str">
        <f>IFERROR(MID(VLOOKUP($B115,Seqs!$A:$B,2,0),AG115,1),"")</f>
        <v>C</v>
      </c>
      <c r="AG115" s="3">
        <v>199</v>
      </c>
      <c r="AH115" s="3" t="str">
        <f>IFERROR(MID(VLOOKUP($B115,Seqs!$A:$B,2,0),AI115,1),"")</f>
        <v>F</v>
      </c>
      <c r="AI115" s="3">
        <v>201</v>
      </c>
      <c r="AJ115" s="3" t="str">
        <f>IFERROR(MID(VLOOKUP($B115,Seqs!$A:$B,2,0),AK115,1),"")</f>
        <v>N</v>
      </c>
      <c r="AK115" s="3">
        <v>204</v>
      </c>
      <c r="AL115" s="3" t="str">
        <f>IFERROR(MID(VLOOKUP($B115,Seqs!$A:$B,2,0),AM115,1),"")</f>
        <v>I</v>
      </c>
      <c r="AM115" s="3">
        <v>238</v>
      </c>
      <c r="AN115" s="3" t="str">
        <f>IFERROR(MID(VLOOKUP($B115,Seqs!$A:$B,2,0),AO115,1),"")</f>
        <v>R</v>
      </c>
      <c r="AO115" s="3">
        <v>275</v>
      </c>
      <c r="AP115" s="3" t="str">
        <f>IFERROR(MID(VLOOKUP($B115,Seqs!$A:$B,2,0),AQ115,1),"")</f>
        <v>N</v>
      </c>
      <c r="AQ115" s="3">
        <v>316</v>
      </c>
      <c r="AR115" s="3" t="str">
        <f>IFERROR(MID(VLOOKUP($B115,Seqs!$A:$B,2,0),AS115,1),"")</f>
        <v>P</v>
      </c>
      <c r="AS115" s="3">
        <v>321</v>
      </c>
      <c r="AT115" s="3" t="str">
        <f>IFERROR(MID(VLOOKUP($B115,Seqs!$A:$B,2,0),AU115,1),"")</f>
        <v>R</v>
      </c>
      <c r="AU115" s="3">
        <v>345</v>
      </c>
      <c r="AV115" s="3" t="str">
        <f>IFERROR(MID(VLOOKUP($B115,Seqs!$A:$B,2,0),AW115,1),"")</f>
        <v>S</v>
      </c>
      <c r="AW115" s="3">
        <v>346</v>
      </c>
      <c r="AX115" s="3" t="str">
        <f>IFERROR(MID(VLOOKUP($B115,Seqs!$A:$B,2,0),AY115,1),"")</f>
        <v>C</v>
      </c>
      <c r="AY115" s="3">
        <v>358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700"/>
        <v>1</v>
      </c>
      <c r="BC115" s="23">
        <f t="shared" si="309"/>
        <v>266</v>
      </c>
      <c r="BD115" s="4" t="s">
        <v>23</v>
      </c>
      <c r="BE115" s="3" t="s">
        <v>1368</v>
      </c>
      <c r="BF115" s="118">
        <v>2.6</v>
      </c>
      <c r="BG115" s="49" t="s">
        <v>1371</v>
      </c>
      <c r="BH115" s="49" t="s">
        <v>1371</v>
      </c>
      <c r="BI115" s="1"/>
      <c r="BJ115" s="70" t="s">
        <v>1281</v>
      </c>
      <c r="BK115" s="57" t="s">
        <v>1281</v>
      </c>
      <c r="BL115" s="57" t="s">
        <v>1281</v>
      </c>
      <c r="BM115" s="57" t="s">
        <v>1281</v>
      </c>
      <c r="BN115" s="57" t="s">
        <v>1281</v>
      </c>
      <c r="BO115" s="57" t="s">
        <v>1281</v>
      </c>
      <c r="BP115" s="57" t="s">
        <v>1281</v>
      </c>
      <c r="BQ115" s="57" t="s">
        <v>1281</v>
      </c>
      <c r="BR115" s="57" t="s">
        <v>1281</v>
      </c>
      <c r="BS115" s="57" t="s">
        <v>1281</v>
      </c>
      <c r="BT115" s="57" t="s">
        <v>1281</v>
      </c>
      <c r="BU115" s="57" t="s">
        <v>1281</v>
      </c>
      <c r="BV115" s="70">
        <f t="shared" si="310"/>
        <v>33</v>
      </c>
      <c r="BW115" s="71">
        <f t="shared" si="311"/>
        <v>70</v>
      </c>
      <c r="BX115" s="72">
        <f t="shared" si="312"/>
        <v>74</v>
      </c>
      <c r="BY115" s="71">
        <f t="shared" si="313"/>
        <v>106</v>
      </c>
      <c r="BZ115" s="72">
        <f t="shared" si="314"/>
        <v>110</v>
      </c>
      <c r="CA115" s="71">
        <f t="shared" si="315"/>
        <v>146</v>
      </c>
      <c r="CB115" s="72">
        <f t="shared" si="316"/>
        <v>154</v>
      </c>
      <c r="CC115" s="71">
        <f t="shared" si="317"/>
        <v>199</v>
      </c>
      <c r="CD115" s="72">
        <f t="shared" si="318"/>
        <v>204</v>
      </c>
      <c r="CE115" s="71">
        <f t="shared" si="319"/>
        <v>275</v>
      </c>
      <c r="CF115" s="72">
        <f t="shared" si="320"/>
        <v>321</v>
      </c>
      <c r="CG115" s="71">
        <f t="shared" si="321"/>
        <v>346</v>
      </c>
      <c r="CH115" s="70">
        <f t="shared" si="322"/>
        <v>69</v>
      </c>
      <c r="CI115" s="71">
        <f t="shared" si="323"/>
        <v>73</v>
      </c>
      <c r="CJ115" s="72">
        <f t="shared" si="324"/>
        <v>105</v>
      </c>
      <c r="CK115" s="72">
        <f t="shared" si="325"/>
        <v>109</v>
      </c>
      <c r="CL115" s="72">
        <f t="shared" si="326"/>
        <v>145</v>
      </c>
      <c r="CM115" s="72">
        <f t="shared" si="327"/>
        <v>153</v>
      </c>
      <c r="CN115" s="72">
        <f t="shared" si="328"/>
        <v>180</v>
      </c>
      <c r="CO115" s="72">
        <f t="shared" si="329"/>
        <v>201</v>
      </c>
      <c r="CP115" s="72">
        <f t="shared" si="330"/>
        <v>238</v>
      </c>
      <c r="CQ115" s="72">
        <f t="shared" si="331"/>
        <v>316</v>
      </c>
      <c r="CR115" s="72">
        <f t="shared" si="332"/>
        <v>345</v>
      </c>
      <c r="CS115" s="72">
        <f t="shared" si="333"/>
        <v>358</v>
      </c>
      <c r="CT115" s="23">
        <f t="shared" si="334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699"/>
        <v>adrb1_melga_2Y03</v>
      </c>
      <c r="B116" s="3" t="s">
        <v>905</v>
      </c>
      <c r="C116" s="3" t="s">
        <v>1018</v>
      </c>
      <c r="D116" s="3" t="str">
        <f>IFERROR(MID(VLOOKUP($B116,Seqs!$A:$B,2,0),E116,1),"")</f>
        <v>A</v>
      </c>
      <c r="E116" s="3">
        <v>33</v>
      </c>
      <c r="F116" s="3" t="str">
        <f>IFERROR(MID(VLOOKUP($B116,Seqs!$A:$B,2,0),G116,1),"")</f>
        <v>T</v>
      </c>
      <c r="G116" s="3">
        <v>69</v>
      </c>
      <c r="H116" s="3" t="str">
        <f>IFERROR(MID(VLOOKUP($B116,Seqs!$A:$B,2,0),I116,1),"")</f>
        <v>Q</v>
      </c>
      <c r="I116" s="23">
        <v>70</v>
      </c>
      <c r="J116" s="3" t="str">
        <f>IFERROR(MID(VLOOKUP($B116,Seqs!$A:$B,2,0),K116,1),"")</f>
        <v>Q</v>
      </c>
      <c r="K116" s="23">
        <v>73</v>
      </c>
      <c r="L116" s="3" t="str">
        <f>IFERROR(MID(VLOOKUP($B116,Seqs!$A:$B,2,0),M116,1),"")</f>
        <v>T</v>
      </c>
      <c r="M116" s="3">
        <v>74</v>
      </c>
      <c r="N116" s="3" t="str">
        <f>IFERROR(MID(VLOOKUP($B116,Seqs!$A:$B,2,0),O116,1),"")</f>
        <v>G</v>
      </c>
      <c r="O116" s="3">
        <v>105</v>
      </c>
      <c r="P116" s="3" t="str">
        <f>IFERROR(MID(VLOOKUP($B116,Seqs!$A:$B,2,0),Q116,1),"")</f>
        <v>T</v>
      </c>
      <c r="Q116" s="3">
        <v>106</v>
      </c>
      <c r="R116" s="3" t="str">
        <f>IFERROR(MID(VLOOKUP($B116,Seqs!$A:$B,2,0),S116,1),"")</f>
        <v>W</v>
      </c>
      <c r="S116" s="3">
        <v>109</v>
      </c>
      <c r="T116" s="3" t="str">
        <f>IFERROR(MID(VLOOKUP($B116,Seqs!$A:$B,2,0),U116,1),"")</f>
        <v>G</v>
      </c>
      <c r="U116" s="3">
        <v>110</v>
      </c>
      <c r="V116" s="3" t="str">
        <f>IFERROR(MID(VLOOKUP($B116,Seqs!$A:$B,2,0),W116,1),"")</f>
        <v>S</v>
      </c>
      <c r="W116" s="3">
        <v>145</v>
      </c>
      <c r="X116" s="3" t="str">
        <f>IFERROR(MID(VLOOKUP($B116,Seqs!$A:$B,2,0),Y116,1),"")</f>
        <v>P</v>
      </c>
      <c r="Y116" s="3">
        <v>146</v>
      </c>
      <c r="Z116" s="3" t="str">
        <f>IFERROR(MID(VLOOKUP($B116,Seqs!$A:$B,2,0),AA116,1),"")</f>
        <v>M</v>
      </c>
      <c r="AA116" s="3">
        <v>153</v>
      </c>
      <c r="AB116" s="3" t="str">
        <f>IFERROR(MID(VLOOKUP($B116,Seqs!$A:$B,2,0),AC116,1),"")</f>
        <v>T</v>
      </c>
      <c r="AC116" s="9">
        <v>154</v>
      </c>
      <c r="AD116" s="3" t="str">
        <f>IFERROR(MID(VLOOKUP($B116,Seqs!$A:$B,2,0),AE116,1),"")</f>
        <v>H</v>
      </c>
      <c r="AE116" s="3">
        <v>180</v>
      </c>
      <c r="AF116" s="3" t="str">
        <f>IFERROR(MID(VLOOKUP($B116,Seqs!$A:$B,2,0),AG116,1),"")</f>
        <v>C</v>
      </c>
      <c r="AG116" s="3">
        <v>199</v>
      </c>
      <c r="AH116" s="3" t="str">
        <f>IFERROR(MID(VLOOKUP($B116,Seqs!$A:$B,2,0),AI116,1),"")</f>
        <v>F</v>
      </c>
      <c r="AI116" s="3">
        <v>201</v>
      </c>
      <c r="AJ116" s="3" t="str">
        <f>IFERROR(MID(VLOOKUP($B116,Seqs!$A:$B,2,0),AK116,1),"")</f>
        <v>N</v>
      </c>
      <c r="AK116" s="3">
        <v>204</v>
      </c>
      <c r="AL116" s="3" t="str">
        <f>IFERROR(MID(VLOOKUP($B116,Seqs!$A:$B,2,0),AM116,1),"")</f>
        <v>I</v>
      </c>
      <c r="AM116" s="3">
        <v>238</v>
      </c>
      <c r="AN116" s="3" t="str">
        <f>IFERROR(MID(VLOOKUP($B116,Seqs!$A:$B,2,0),AO116,1),"")</f>
        <v>R</v>
      </c>
      <c r="AO116" s="3">
        <v>275</v>
      </c>
      <c r="AP116" s="3" t="str">
        <f>IFERROR(MID(VLOOKUP($B116,Seqs!$A:$B,2,0),AQ116,1),"")</f>
        <v>N</v>
      </c>
      <c r="AQ116" s="3">
        <v>316</v>
      </c>
      <c r="AR116" s="3" t="str">
        <f>IFERROR(MID(VLOOKUP($B116,Seqs!$A:$B,2,0),AS116,1),"")</f>
        <v>P</v>
      </c>
      <c r="AS116" s="3">
        <v>321</v>
      </c>
      <c r="AT116" s="3" t="str">
        <f>IFERROR(MID(VLOOKUP($B116,Seqs!$A:$B,2,0),AU116,1),"")</f>
        <v>R</v>
      </c>
      <c r="AU116" s="3">
        <v>345</v>
      </c>
      <c r="AV116" s="3" t="str">
        <f>IFERROR(MID(VLOOKUP($B116,Seqs!$A:$B,2,0),AW116,1),"")</f>
        <v>S</v>
      </c>
      <c r="AW116" s="3">
        <v>346</v>
      </c>
      <c r="AX116" s="3" t="str">
        <f>IFERROR(MID(VLOOKUP($B116,Seqs!$A:$B,2,0),AY116,1),"")</f>
        <v>C</v>
      </c>
      <c r="AY116" s="3">
        <v>358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700"/>
        <v>1</v>
      </c>
      <c r="BC116" s="23">
        <f t="shared" si="309"/>
        <v>266</v>
      </c>
      <c r="BD116" s="4" t="s">
        <v>23</v>
      </c>
      <c r="BE116" s="3" t="s">
        <v>1368</v>
      </c>
      <c r="BF116" s="118">
        <v>2.85</v>
      </c>
      <c r="BG116" s="49" t="s">
        <v>1371</v>
      </c>
      <c r="BH116" s="49" t="s">
        <v>1371</v>
      </c>
      <c r="BI116" s="1"/>
      <c r="BJ116" s="70" t="s">
        <v>1281</v>
      </c>
      <c r="BK116" s="57" t="s">
        <v>1281</v>
      </c>
      <c r="BL116" s="57" t="s">
        <v>1281</v>
      </c>
      <c r="BM116" s="57" t="s">
        <v>1281</v>
      </c>
      <c r="BN116" s="57" t="s">
        <v>1281</v>
      </c>
      <c r="BO116" s="57" t="s">
        <v>1281</v>
      </c>
      <c r="BP116" s="57" t="s">
        <v>1281</v>
      </c>
      <c r="BQ116" s="57" t="s">
        <v>1281</v>
      </c>
      <c r="BR116" s="57" t="s">
        <v>1281</v>
      </c>
      <c r="BS116" s="57" t="s">
        <v>1281</v>
      </c>
      <c r="BT116" s="57" t="s">
        <v>1281</v>
      </c>
      <c r="BU116" s="57" t="s">
        <v>1281</v>
      </c>
      <c r="BV116" s="70">
        <f t="shared" si="310"/>
        <v>33</v>
      </c>
      <c r="BW116" s="71">
        <f t="shared" si="311"/>
        <v>70</v>
      </c>
      <c r="BX116" s="72">
        <f t="shared" si="312"/>
        <v>74</v>
      </c>
      <c r="BY116" s="71">
        <f t="shared" si="313"/>
        <v>106</v>
      </c>
      <c r="BZ116" s="72">
        <f t="shared" si="314"/>
        <v>110</v>
      </c>
      <c r="CA116" s="71">
        <f t="shared" si="315"/>
        <v>146</v>
      </c>
      <c r="CB116" s="72">
        <f t="shared" si="316"/>
        <v>154</v>
      </c>
      <c r="CC116" s="71">
        <f t="shared" si="317"/>
        <v>199</v>
      </c>
      <c r="CD116" s="72">
        <f t="shared" si="318"/>
        <v>204</v>
      </c>
      <c r="CE116" s="71">
        <f t="shared" si="319"/>
        <v>275</v>
      </c>
      <c r="CF116" s="72">
        <f t="shared" si="320"/>
        <v>321</v>
      </c>
      <c r="CG116" s="71">
        <f t="shared" si="321"/>
        <v>346</v>
      </c>
      <c r="CH116" s="70">
        <f t="shared" si="322"/>
        <v>69</v>
      </c>
      <c r="CI116" s="71">
        <f t="shared" si="323"/>
        <v>73</v>
      </c>
      <c r="CJ116" s="72">
        <f t="shared" si="324"/>
        <v>105</v>
      </c>
      <c r="CK116" s="72">
        <f t="shared" si="325"/>
        <v>109</v>
      </c>
      <c r="CL116" s="72">
        <f t="shared" si="326"/>
        <v>145</v>
      </c>
      <c r="CM116" s="72">
        <f t="shared" si="327"/>
        <v>153</v>
      </c>
      <c r="CN116" s="72">
        <f t="shared" si="328"/>
        <v>180</v>
      </c>
      <c r="CO116" s="72">
        <f t="shared" si="329"/>
        <v>201</v>
      </c>
      <c r="CP116" s="72">
        <f t="shared" si="330"/>
        <v>238</v>
      </c>
      <c r="CQ116" s="72">
        <f t="shared" si="331"/>
        <v>316</v>
      </c>
      <c r="CR116" s="72">
        <f t="shared" si="332"/>
        <v>345</v>
      </c>
      <c r="CS116" s="72">
        <f t="shared" si="333"/>
        <v>358</v>
      </c>
      <c r="CT116" s="23">
        <f t="shared" si="334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699"/>
        <v>adrb1_melga_2Y04</v>
      </c>
      <c r="B117" s="3" t="s">
        <v>905</v>
      </c>
      <c r="C117" s="3" t="s">
        <v>1019</v>
      </c>
      <c r="D117" s="3" t="str">
        <f>IFERROR(MID(VLOOKUP($B117,Seqs!$A:$B,2,0),E117,1),"")</f>
        <v>A</v>
      </c>
      <c r="E117" s="3">
        <v>33</v>
      </c>
      <c r="F117" s="3" t="str">
        <f>IFERROR(MID(VLOOKUP($B117,Seqs!$A:$B,2,0),G117,1),"")</f>
        <v>T</v>
      </c>
      <c r="G117" s="3">
        <v>69</v>
      </c>
      <c r="H117" s="3" t="str">
        <f>IFERROR(MID(VLOOKUP($B117,Seqs!$A:$B,2,0),I117,1),"")</f>
        <v>Q</v>
      </c>
      <c r="I117" s="23">
        <v>70</v>
      </c>
      <c r="J117" s="3" t="str">
        <f>IFERROR(MID(VLOOKUP($B117,Seqs!$A:$B,2,0),K117,1),"")</f>
        <v>Q</v>
      </c>
      <c r="K117" s="23">
        <v>73</v>
      </c>
      <c r="L117" s="3" t="str">
        <f>IFERROR(MID(VLOOKUP($B117,Seqs!$A:$B,2,0),M117,1),"")</f>
        <v>T</v>
      </c>
      <c r="M117" s="3">
        <v>74</v>
      </c>
      <c r="N117" s="3" t="str">
        <f>IFERROR(MID(VLOOKUP($B117,Seqs!$A:$B,2,0),O117,1),"")</f>
        <v>G</v>
      </c>
      <c r="O117" s="3">
        <v>105</v>
      </c>
      <c r="P117" s="3" t="str">
        <f>IFERROR(MID(VLOOKUP($B117,Seqs!$A:$B,2,0),Q117,1),"")</f>
        <v>T</v>
      </c>
      <c r="Q117" s="3">
        <v>106</v>
      </c>
      <c r="R117" s="3" t="str">
        <f>IFERROR(MID(VLOOKUP($B117,Seqs!$A:$B,2,0),S117,1),"")</f>
        <v>W</v>
      </c>
      <c r="S117" s="3">
        <v>109</v>
      </c>
      <c r="T117" s="3" t="str">
        <f>IFERROR(MID(VLOOKUP($B117,Seqs!$A:$B,2,0),U117,1),"")</f>
        <v>G</v>
      </c>
      <c r="U117" s="3">
        <v>110</v>
      </c>
      <c r="V117" s="3" t="str">
        <f>IFERROR(MID(VLOOKUP($B117,Seqs!$A:$B,2,0),W117,1),"")</f>
        <v>S</v>
      </c>
      <c r="W117" s="3">
        <v>145</v>
      </c>
      <c r="X117" s="3" t="str">
        <f>IFERROR(MID(VLOOKUP($B117,Seqs!$A:$B,2,0),Y117,1),"")</f>
        <v>P</v>
      </c>
      <c r="Y117" s="3">
        <v>146</v>
      </c>
      <c r="Z117" s="3" t="str">
        <f>IFERROR(MID(VLOOKUP($B117,Seqs!$A:$B,2,0),AA117,1),"")</f>
        <v>M</v>
      </c>
      <c r="AA117" s="3">
        <v>153</v>
      </c>
      <c r="AB117" s="3" t="str">
        <f>IFERROR(MID(VLOOKUP($B117,Seqs!$A:$B,2,0),AC117,1),"")</f>
        <v>T</v>
      </c>
      <c r="AC117" s="9">
        <v>154</v>
      </c>
      <c r="AD117" s="3" t="str">
        <f>IFERROR(MID(VLOOKUP($B117,Seqs!$A:$B,2,0),AE117,1),"")</f>
        <v>H</v>
      </c>
      <c r="AE117" s="3">
        <v>180</v>
      </c>
      <c r="AF117" s="3" t="str">
        <f>IFERROR(MID(VLOOKUP($B117,Seqs!$A:$B,2,0),AG117,1),"")</f>
        <v>C</v>
      </c>
      <c r="AG117" s="3">
        <v>199</v>
      </c>
      <c r="AH117" s="3" t="str">
        <f>IFERROR(MID(VLOOKUP($B117,Seqs!$A:$B,2,0),AI117,1),"")</f>
        <v>F</v>
      </c>
      <c r="AI117" s="3">
        <v>201</v>
      </c>
      <c r="AJ117" s="3" t="str">
        <f>IFERROR(MID(VLOOKUP($B117,Seqs!$A:$B,2,0),AK117,1),"")</f>
        <v>N</v>
      </c>
      <c r="AK117" s="3">
        <v>204</v>
      </c>
      <c r="AL117" s="3" t="str">
        <f>IFERROR(MID(VLOOKUP($B117,Seqs!$A:$B,2,0),AM117,1),"")</f>
        <v>I</v>
      </c>
      <c r="AM117" s="3">
        <v>238</v>
      </c>
      <c r="AN117" s="3" t="str">
        <f>IFERROR(MID(VLOOKUP($B117,Seqs!$A:$B,2,0),AO117,1),"")</f>
        <v>R</v>
      </c>
      <c r="AO117" s="3">
        <v>275</v>
      </c>
      <c r="AP117" s="3" t="str">
        <f>IFERROR(MID(VLOOKUP($B117,Seqs!$A:$B,2,0),AQ117,1),"")</f>
        <v>N</v>
      </c>
      <c r="AQ117" s="3">
        <v>316</v>
      </c>
      <c r="AR117" s="3" t="str">
        <f>IFERROR(MID(VLOOKUP($B117,Seqs!$A:$B,2,0),AS117,1),"")</f>
        <v>P</v>
      </c>
      <c r="AS117" s="3">
        <v>321</v>
      </c>
      <c r="AT117" s="3" t="str">
        <f>IFERROR(MID(VLOOKUP($B117,Seqs!$A:$B,2,0),AU117,1),"")</f>
        <v>R</v>
      </c>
      <c r="AU117" s="3">
        <v>345</v>
      </c>
      <c r="AV117" s="3" t="str">
        <f>IFERROR(MID(VLOOKUP($B117,Seqs!$A:$B,2,0),AW117,1),"")</f>
        <v>S</v>
      </c>
      <c r="AW117" s="3">
        <v>346</v>
      </c>
      <c r="AX117" s="3" t="str">
        <f>IFERROR(MID(VLOOKUP($B117,Seqs!$A:$B,2,0),AY117,1),"")</f>
        <v>C</v>
      </c>
      <c r="AY117" s="3">
        <v>358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700"/>
        <v>1</v>
      </c>
      <c r="BC117" s="23">
        <f t="shared" si="309"/>
        <v>266</v>
      </c>
      <c r="BD117" s="4" t="s">
        <v>23</v>
      </c>
      <c r="BE117" s="3" t="s">
        <v>1368</v>
      </c>
      <c r="BF117" s="118">
        <v>3.05</v>
      </c>
      <c r="BG117" s="49" t="s">
        <v>1371</v>
      </c>
      <c r="BH117" s="49" t="s">
        <v>1371</v>
      </c>
      <c r="BI117" s="1"/>
      <c r="BJ117" s="70" t="s">
        <v>1281</v>
      </c>
      <c r="BK117" s="57" t="s">
        <v>1281</v>
      </c>
      <c r="BL117" s="57" t="s">
        <v>1281</v>
      </c>
      <c r="BM117" s="57" t="s">
        <v>1281</v>
      </c>
      <c r="BN117" s="57" t="s">
        <v>1281</v>
      </c>
      <c r="BO117" s="57" t="s">
        <v>1281</v>
      </c>
      <c r="BP117" s="57" t="s">
        <v>1281</v>
      </c>
      <c r="BQ117" s="57" t="s">
        <v>1281</v>
      </c>
      <c r="BR117" s="57" t="s">
        <v>1281</v>
      </c>
      <c r="BS117" s="57" t="s">
        <v>1281</v>
      </c>
      <c r="BT117" s="57" t="s">
        <v>1281</v>
      </c>
      <c r="BU117" s="57" t="s">
        <v>1281</v>
      </c>
      <c r="BV117" s="70">
        <f t="shared" si="310"/>
        <v>33</v>
      </c>
      <c r="BW117" s="71">
        <f t="shared" si="311"/>
        <v>70</v>
      </c>
      <c r="BX117" s="72">
        <f t="shared" si="312"/>
        <v>74</v>
      </c>
      <c r="BY117" s="71">
        <f t="shared" si="313"/>
        <v>106</v>
      </c>
      <c r="BZ117" s="72">
        <f t="shared" si="314"/>
        <v>110</v>
      </c>
      <c r="CA117" s="71">
        <f t="shared" si="315"/>
        <v>146</v>
      </c>
      <c r="CB117" s="72">
        <f t="shared" si="316"/>
        <v>154</v>
      </c>
      <c r="CC117" s="71">
        <f t="shared" si="317"/>
        <v>199</v>
      </c>
      <c r="CD117" s="72">
        <f t="shared" si="318"/>
        <v>204</v>
      </c>
      <c r="CE117" s="71">
        <f t="shared" si="319"/>
        <v>275</v>
      </c>
      <c r="CF117" s="72">
        <f t="shared" si="320"/>
        <v>321</v>
      </c>
      <c r="CG117" s="71">
        <f t="shared" si="321"/>
        <v>346</v>
      </c>
      <c r="CH117" s="70">
        <f t="shared" si="322"/>
        <v>69</v>
      </c>
      <c r="CI117" s="71">
        <f t="shared" si="323"/>
        <v>73</v>
      </c>
      <c r="CJ117" s="72">
        <f t="shared" si="324"/>
        <v>105</v>
      </c>
      <c r="CK117" s="72">
        <f t="shared" si="325"/>
        <v>109</v>
      </c>
      <c r="CL117" s="72">
        <f t="shared" si="326"/>
        <v>145</v>
      </c>
      <c r="CM117" s="72">
        <f t="shared" si="327"/>
        <v>153</v>
      </c>
      <c r="CN117" s="72">
        <f t="shared" si="328"/>
        <v>180</v>
      </c>
      <c r="CO117" s="72">
        <f t="shared" si="329"/>
        <v>201</v>
      </c>
      <c r="CP117" s="72">
        <f t="shared" si="330"/>
        <v>238</v>
      </c>
      <c r="CQ117" s="72">
        <f t="shared" si="331"/>
        <v>316</v>
      </c>
      <c r="CR117" s="72">
        <f t="shared" si="332"/>
        <v>345</v>
      </c>
      <c r="CS117" s="72">
        <f t="shared" si="333"/>
        <v>358</v>
      </c>
      <c r="CT117" s="23">
        <f t="shared" si="334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699"/>
        <v>adrb1_melga_2YCW</v>
      </c>
      <c r="B118" s="3" t="s">
        <v>905</v>
      </c>
      <c r="C118" s="3" t="s">
        <v>1020</v>
      </c>
      <c r="D118" s="3" t="str">
        <f>IFERROR(MID(VLOOKUP($B118,Seqs!$A:$B,2,0),E118,1),"")</f>
        <v>S</v>
      </c>
      <c r="E118" s="3">
        <v>37</v>
      </c>
      <c r="F118" s="3" t="str">
        <f>IFERROR(MID(VLOOKUP($B118,Seqs!$A:$B,2,0),G118,1),"")</f>
        <v>T</v>
      </c>
      <c r="G118" s="3">
        <v>69</v>
      </c>
      <c r="H118" s="3" t="str">
        <f>IFERROR(MID(VLOOKUP($B118,Seqs!$A:$B,2,0),I118,1),"")</f>
        <v>Q</v>
      </c>
      <c r="I118" s="23">
        <v>70</v>
      </c>
      <c r="J118" s="3" t="str">
        <f>IFERROR(MID(VLOOKUP($B118,Seqs!$A:$B,2,0),K118,1),"")</f>
        <v>Q</v>
      </c>
      <c r="K118" s="23">
        <v>73</v>
      </c>
      <c r="L118" s="3" t="str">
        <f>IFERROR(MID(VLOOKUP($B118,Seqs!$A:$B,2,0),M118,1),"")</f>
        <v>T</v>
      </c>
      <c r="M118" s="3">
        <v>74</v>
      </c>
      <c r="N118" s="3" t="str">
        <f>IFERROR(MID(VLOOKUP($B118,Seqs!$A:$B,2,0),O118,1),"")</f>
        <v>G</v>
      </c>
      <c r="O118" s="3">
        <v>105</v>
      </c>
      <c r="P118" s="3" t="str">
        <f>IFERROR(MID(VLOOKUP($B118,Seqs!$A:$B,2,0),Q118,1),"")</f>
        <v>T</v>
      </c>
      <c r="Q118" s="3">
        <v>106</v>
      </c>
      <c r="R118" s="3" t="str">
        <f>IFERROR(MID(VLOOKUP($B118,Seqs!$A:$B,2,0),S118,1),"")</f>
        <v>W</v>
      </c>
      <c r="S118" s="3">
        <v>109</v>
      </c>
      <c r="T118" s="3" t="str">
        <f>IFERROR(MID(VLOOKUP($B118,Seqs!$A:$B,2,0),U118,1),"")</f>
        <v>G</v>
      </c>
      <c r="U118" s="3">
        <v>110</v>
      </c>
      <c r="V118" s="3" t="str">
        <f>IFERROR(MID(VLOOKUP($B118,Seqs!$A:$B,2,0),W118,1),"")</f>
        <v>S</v>
      </c>
      <c r="W118" s="3">
        <v>145</v>
      </c>
      <c r="X118" s="3" t="str">
        <f>IFERROR(MID(VLOOKUP($B118,Seqs!$A:$B,2,0),Y118,1),"")</f>
        <v>P</v>
      </c>
      <c r="Y118" s="3">
        <v>146</v>
      </c>
      <c r="Z118" s="3" t="str">
        <f>IFERROR(MID(VLOOKUP($B118,Seqs!$A:$B,2,0),AA118,1),"")</f>
        <v>M</v>
      </c>
      <c r="AA118" s="3">
        <v>153</v>
      </c>
      <c r="AB118" s="3" t="str">
        <f>IFERROR(MID(VLOOKUP($B118,Seqs!$A:$B,2,0),AC118,1),"")</f>
        <v>T</v>
      </c>
      <c r="AC118" s="9">
        <v>154</v>
      </c>
      <c r="AD118" s="3" t="str">
        <f>IFERROR(MID(VLOOKUP($B118,Seqs!$A:$B,2,0),AE118,1),"")</f>
        <v>H</v>
      </c>
      <c r="AE118" s="3">
        <v>180</v>
      </c>
      <c r="AF118" s="3" t="str">
        <f>IFERROR(MID(VLOOKUP($B118,Seqs!$A:$B,2,0),AG118,1),"")</f>
        <v>C</v>
      </c>
      <c r="AG118" s="3">
        <v>199</v>
      </c>
      <c r="AH118" s="3" t="str">
        <f>IFERROR(MID(VLOOKUP($B118,Seqs!$A:$B,2,0),AI118,1),"")</f>
        <v>F</v>
      </c>
      <c r="AI118" s="3">
        <v>201</v>
      </c>
      <c r="AJ118" s="3" t="str">
        <f>IFERROR(MID(VLOOKUP($B118,Seqs!$A:$B,2,0),AK118,1),"")</f>
        <v>N</v>
      </c>
      <c r="AK118" s="3">
        <v>204</v>
      </c>
      <c r="AL118" s="3" t="str">
        <f>IFERROR(MID(VLOOKUP($B118,Seqs!$A:$B,2,0),AM118,1),"")</f>
        <v>K</v>
      </c>
      <c r="AM118" s="3">
        <v>240</v>
      </c>
      <c r="AN118" s="3" t="str">
        <f>IFERROR(MID(VLOOKUP($B118,Seqs!$A:$B,2,0),AO118,1),"")</f>
        <v>L</v>
      </c>
      <c r="AO118" s="3">
        <v>289</v>
      </c>
      <c r="AP118" s="3" t="str">
        <f>IFERROR(MID(VLOOKUP($B118,Seqs!$A:$B,2,0),AQ118,1),"")</f>
        <v>N</v>
      </c>
      <c r="AQ118" s="3">
        <v>316</v>
      </c>
      <c r="AR118" s="3" t="str">
        <f>IFERROR(MID(VLOOKUP($B118,Seqs!$A:$B,2,0),AS118,1),"")</f>
        <v>P</v>
      </c>
      <c r="AS118" s="3">
        <v>321</v>
      </c>
      <c r="AT118" s="3" t="str">
        <f>IFERROR(MID(VLOOKUP($B118,Seqs!$A:$B,2,0),AU118,1),"")</f>
        <v>R</v>
      </c>
      <c r="AU118" s="3">
        <v>345</v>
      </c>
      <c r="AV118" s="3" t="str">
        <f>IFERROR(MID(VLOOKUP($B118,Seqs!$A:$B,2,0),AW118,1),"")</f>
        <v>S</v>
      </c>
      <c r="AW118" s="3">
        <v>346</v>
      </c>
      <c r="AX118" s="3" t="str">
        <f>IFERROR(MID(VLOOKUP($B118,Seqs!$A:$B,2,0),AY118,1),"")</f>
        <v>C</v>
      </c>
      <c r="AY118" s="3">
        <v>358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700"/>
        <v>1</v>
      </c>
      <c r="BC118" s="23">
        <f t="shared" si="309"/>
        <v>250</v>
      </c>
      <c r="BD118" s="4" t="s">
        <v>23</v>
      </c>
      <c r="BE118" s="3" t="s">
        <v>1368</v>
      </c>
      <c r="BF118" s="118">
        <v>3</v>
      </c>
      <c r="BG118" s="49" t="s">
        <v>1371</v>
      </c>
      <c r="BH118" s="49" t="s">
        <v>1371</v>
      </c>
      <c r="BI118" s="1"/>
      <c r="BJ118" s="70" t="s">
        <v>1281</v>
      </c>
      <c r="BK118" s="57" t="s">
        <v>1281</v>
      </c>
      <c r="BL118" s="57" t="s">
        <v>1281</v>
      </c>
      <c r="BM118" s="57" t="s">
        <v>1281</v>
      </c>
      <c r="BN118" s="57" t="s">
        <v>1281</v>
      </c>
      <c r="BO118" s="57" t="s">
        <v>1281</v>
      </c>
      <c r="BP118" s="57" t="s">
        <v>1281</v>
      </c>
      <c r="BQ118" s="57" t="s">
        <v>1281</v>
      </c>
      <c r="BR118" s="57" t="s">
        <v>1281</v>
      </c>
      <c r="BS118" s="57" t="s">
        <v>1281</v>
      </c>
      <c r="BT118" s="57" t="s">
        <v>1281</v>
      </c>
      <c r="BU118" s="57" t="s">
        <v>1281</v>
      </c>
      <c r="BV118" s="70">
        <f t="shared" si="310"/>
        <v>37</v>
      </c>
      <c r="BW118" s="71">
        <f t="shared" si="311"/>
        <v>70</v>
      </c>
      <c r="BX118" s="72">
        <f t="shared" si="312"/>
        <v>74</v>
      </c>
      <c r="BY118" s="71">
        <f t="shared" si="313"/>
        <v>106</v>
      </c>
      <c r="BZ118" s="72">
        <f t="shared" si="314"/>
        <v>110</v>
      </c>
      <c r="CA118" s="71">
        <f t="shared" si="315"/>
        <v>146</v>
      </c>
      <c r="CB118" s="72">
        <f t="shared" si="316"/>
        <v>154</v>
      </c>
      <c r="CC118" s="71">
        <f t="shared" si="317"/>
        <v>199</v>
      </c>
      <c r="CD118" s="72">
        <f t="shared" si="318"/>
        <v>204</v>
      </c>
      <c r="CE118" s="71">
        <f t="shared" si="319"/>
        <v>289</v>
      </c>
      <c r="CF118" s="72">
        <f t="shared" si="320"/>
        <v>321</v>
      </c>
      <c r="CG118" s="71">
        <f t="shared" si="321"/>
        <v>346</v>
      </c>
      <c r="CH118" s="70">
        <f t="shared" si="322"/>
        <v>69</v>
      </c>
      <c r="CI118" s="71">
        <f t="shared" si="323"/>
        <v>73</v>
      </c>
      <c r="CJ118" s="72">
        <f t="shared" si="324"/>
        <v>105</v>
      </c>
      <c r="CK118" s="72">
        <f t="shared" si="325"/>
        <v>109</v>
      </c>
      <c r="CL118" s="72">
        <f t="shared" si="326"/>
        <v>145</v>
      </c>
      <c r="CM118" s="72">
        <f t="shared" si="327"/>
        <v>153</v>
      </c>
      <c r="CN118" s="72">
        <f t="shared" si="328"/>
        <v>180</v>
      </c>
      <c r="CO118" s="72">
        <f t="shared" si="329"/>
        <v>201</v>
      </c>
      <c r="CP118" s="72">
        <f t="shared" si="330"/>
        <v>240</v>
      </c>
      <c r="CQ118" s="72">
        <f t="shared" si="331"/>
        <v>316</v>
      </c>
      <c r="CR118" s="72">
        <f t="shared" si="332"/>
        <v>345</v>
      </c>
      <c r="CS118" s="72">
        <f t="shared" si="333"/>
        <v>358</v>
      </c>
      <c r="CT118" s="23">
        <f t="shared" si="334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699"/>
        <v>adrb1_melga_2YCZ</v>
      </c>
      <c r="B119" s="3" t="s">
        <v>905</v>
      </c>
      <c r="C119" s="3" t="s">
        <v>1021</v>
      </c>
      <c r="D119" s="3" t="str">
        <f>IFERROR(MID(VLOOKUP($B119,Seqs!$A:$B,2,0),E119,1),"")</f>
        <v>A</v>
      </c>
      <c r="E119" s="3">
        <v>33</v>
      </c>
      <c r="F119" s="3" t="str">
        <f>IFERROR(MID(VLOOKUP($B119,Seqs!$A:$B,2,0),G119,1),"")</f>
        <v>T</v>
      </c>
      <c r="G119" s="3">
        <v>69</v>
      </c>
      <c r="H119" s="3" t="str">
        <f>IFERROR(MID(VLOOKUP($B119,Seqs!$A:$B,2,0),I119,1),"")</f>
        <v>Q</v>
      </c>
      <c r="I119" s="23">
        <v>70</v>
      </c>
      <c r="J119" s="3" t="str">
        <f>IFERROR(MID(VLOOKUP($B119,Seqs!$A:$B,2,0),K119,1),"")</f>
        <v>Q</v>
      </c>
      <c r="K119" s="23">
        <v>73</v>
      </c>
      <c r="L119" s="3" t="str">
        <f>IFERROR(MID(VLOOKUP($B119,Seqs!$A:$B,2,0),M119,1),"")</f>
        <v>T</v>
      </c>
      <c r="M119" s="3">
        <v>74</v>
      </c>
      <c r="N119" s="3" t="str">
        <f>IFERROR(MID(VLOOKUP($B119,Seqs!$A:$B,2,0),O119,1),"")</f>
        <v>G</v>
      </c>
      <c r="O119" s="3">
        <v>105</v>
      </c>
      <c r="P119" s="3" t="str">
        <f>IFERROR(MID(VLOOKUP($B119,Seqs!$A:$B,2,0),Q119,1),"")</f>
        <v>T</v>
      </c>
      <c r="Q119" s="3">
        <v>106</v>
      </c>
      <c r="R119" s="3" t="str">
        <f>IFERROR(MID(VLOOKUP($B119,Seqs!$A:$B,2,0),S119,1),"")</f>
        <v>W</v>
      </c>
      <c r="S119" s="3">
        <v>109</v>
      </c>
      <c r="T119" s="3" t="str">
        <f>IFERROR(MID(VLOOKUP($B119,Seqs!$A:$B,2,0),U119,1),"")</f>
        <v>G</v>
      </c>
      <c r="U119" s="3">
        <v>110</v>
      </c>
      <c r="V119" s="3" t="str">
        <f>IFERROR(MID(VLOOKUP($B119,Seqs!$A:$B,2,0),W119,1),"")</f>
        <v>S</v>
      </c>
      <c r="W119" s="3">
        <v>145</v>
      </c>
      <c r="X119" s="3" t="str">
        <f>IFERROR(MID(VLOOKUP($B119,Seqs!$A:$B,2,0),Y119,1),"")</f>
        <v>P</v>
      </c>
      <c r="Y119" s="3">
        <v>146</v>
      </c>
      <c r="Z119" s="3" t="str">
        <f>IFERROR(MID(VLOOKUP($B119,Seqs!$A:$B,2,0),AA119,1),"")</f>
        <v>M</v>
      </c>
      <c r="AA119" s="3">
        <v>153</v>
      </c>
      <c r="AB119" s="3" t="str">
        <f>IFERROR(MID(VLOOKUP($B119,Seqs!$A:$B,2,0),AC119,1),"")</f>
        <v>T</v>
      </c>
      <c r="AC119" s="9">
        <v>154</v>
      </c>
      <c r="AD119" s="3" t="str">
        <f>IFERROR(MID(VLOOKUP($B119,Seqs!$A:$B,2,0),AE119,1),"")</f>
        <v>H</v>
      </c>
      <c r="AE119" s="3">
        <v>180</v>
      </c>
      <c r="AF119" s="3" t="str">
        <f>IFERROR(MID(VLOOKUP($B119,Seqs!$A:$B,2,0),AG119,1),"")</f>
        <v>C</v>
      </c>
      <c r="AG119" s="3">
        <v>199</v>
      </c>
      <c r="AH119" s="3" t="str">
        <f>IFERROR(MID(VLOOKUP($B119,Seqs!$A:$B,2,0),AI119,1),"")</f>
        <v>F</v>
      </c>
      <c r="AI119" s="3">
        <v>201</v>
      </c>
      <c r="AJ119" s="3" t="str">
        <f>IFERROR(MID(VLOOKUP($B119,Seqs!$A:$B,2,0),AK119,1),"")</f>
        <v>N</v>
      </c>
      <c r="AK119" s="3">
        <v>204</v>
      </c>
      <c r="AL119" s="3" t="str">
        <f>IFERROR(MID(VLOOKUP($B119,Seqs!$A:$B,2,0),AM119,1),"")</f>
        <v>K</v>
      </c>
      <c r="AM119" s="3">
        <v>240</v>
      </c>
      <c r="AN119" s="3" t="str">
        <f>IFERROR(MID(VLOOKUP($B119,Seqs!$A:$B,2,0),AO119,1),"")</f>
        <v>A</v>
      </c>
      <c r="AO119" s="3">
        <v>288</v>
      </c>
      <c r="AP119" s="3" t="str">
        <f>IFERROR(MID(VLOOKUP($B119,Seqs!$A:$B,2,0),AQ119,1),"")</f>
        <v>N</v>
      </c>
      <c r="AQ119" s="3">
        <v>316</v>
      </c>
      <c r="AR119" s="3" t="str">
        <f>IFERROR(MID(VLOOKUP($B119,Seqs!$A:$B,2,0),AS119,1),"")</f>
        <v>P</v>
      </c>
      <c r="AS119" s="3">
        <v>321</v>
      </c>
      <c r="AT119" s="3" t="str">
        <f>IFERROR(MID(VLOOKUP($B119,Seqs!$A:$B,2,0),AU119,1),"")</f>
        <v>R</v>
      </c>
      <c r="AU119" s="3">
        <v>345</v>
      </c>
      <c r="AV119" s="3" t="str">
        <f>IFERROR(MID(VLOOKUP($B119,Seqs!$A:$B,2,0),AW119,1),"")</f>
        <v>S</v>
      </c>
      <c r="AW119" s="3">
        <v>346</v>
      </c>
      <c r="AX119" s="3" t="str">
        <f>IFERROR(MID(VLOOKUP($B119,Seqs!$A:$B,2,0),AY119,1),"")</f>
        <v>C</v>
      </c>
      <c r="AY119" s="3">
        <v>358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700"/>
        <v>1</v>
      </c>
      <c r="BC119" s="23">
        <f t="shared" si="309"/>
        <v>255</v>
      </c>
      <c r="BD119" s="16" t="s">
        <v>23</v>
      </c>
      <c r="BE119" s="3" t="s">
        <v>1368</v>
      </c>
      <c r="BF119" s="118">
        <v>3.65</v>
      </c>
      <c r="BG119" s="49" t="s">
        <v>1371</v>
      </c>
      <c r="BH119" s="49" t="s">
        <v>1371</v>
      </c>
      <c r="BI119" s="1"/>
      <c r="BJ119" s="70" t="s">
        <v>1281</v>
      </c>
      <c r="BK119" s="57" t="s">
        <v>1281</v>
      </c>
      <c r="BL119" s="57" t="s">
        <v>1281</v>
      </c>
      <c r="BM119" s="57" t="s">
        <v>1281</v>
      </c>
      <c r="BN119" s="57" t="s">
        <v>1281</v>
      </c>
      <c r="BO119" s="57" t="s">
        <v>1281</v>
      </c>
      <c r="BP119" s="57" t="s">
        <v>1281</v>
      </c>
      <c r="BQ119" s="57" t="s">
        <v>1281</v>
      </c>
      <c r="BR119" s="57" t="s">
        <v>1281</v>
      </c>
      <c r="BS119" s="57" t="s">
        <v>1281</v>
      </c>
      <c r="BT119" s="57" t="s">
        <v>1281</v>
      </c>
      <c r="BU119" s="57" t="s">
        <v>1281</v>
      </c>
      <c r="BV119" s="70">
        <f t="shared" si="310"/>
        <v>33</v>
      </c>
      <c r="BW119" s="71">
        <f t="shared" si="311"/>
        <v>70</v>
      </c>
      <c r="BX119" s="72">
        <f t="shared" si="312"/>
        <v>74</v>
      </c>
      <c r="BY119" s="71">
        <f t="shared" si="313"/>
        <v>106</v>
      </c>
      <c r="BZ119" s="72">
        <f t="shared" si="314"/>
        <v>110</v>
      </c>
      <c r="CA119" s="71">
        <f t="shared" si="315"/>
        <v>146</v>
      </c>
      <c r="CB119" s="72">
        <f t="shared" si="316"/>
        <v>154</v>
      </c>
      <c r="CC119" s="71">
        <f t="shared" si="317"/>
        <v>199</v>
      </c>
      <c r="CD119" s="72">
        <f t="shared" si="318"/>
        <v>204</v>
      </c>
      <c r="CE119" s="71">
        <f t="shared" si="319"/>
        <v>288</v>
      </c>
      <c r="CF119" s="72">
        <f t="shared" si="320"/>
        <v>321</v>
      </c>
      <c r="CG119" s="71">
        <f t="shared" si="321"/>
        <v>346</v>
      </c>
      <c r="CH119" s="70">
        <f t="shared" si="322"/>
        <v>69</v>
      </c>
      <c r="CI119" s="71">
        <f t="shared" si="323"/>
        <v>73</v>
      </c>
      <c r="CJ119" s="72">
        <f t="shared" si="324"/>
        <v>105</v>
      </c>
      <c r="CK119" s="72">
        <f t="shared" si="325"/>
        <v>109</v>
      </c>
      <c r="CL119" s="72">
        <f t="shared" si="326"/>
        <v>145</v>
      </c>
      <c r="CM119" s="72">
        <f t="shared" si="327"/>
        <v>153</v>
      </c>
      <c r="CN119" s="72">
        <f t="shared" si="328"/>
        <v>180</v>
      </c>
      <c r="CO119" s="72">
        <f t="shared" si="329"/>
        <v>201</v>
      </c>
      <c r="CP119" s="72">
        <f t="shared" si="330"/>
        <v>240</v>
      </c>
      <c r="CQ119" s="72">
        <f t="shared" si="331"/>
        <v>316</v>
      </c>
      <c r="CR119" s="72">
        <f t="shared" si="332"/>
        <v>345</v>
      </c>
      <c r="CS119" s="72">
        <f t="shared" si="333"/>
        <v>358</v>
      </c>
      <c r="CT119" s="23">
        <f t="shared" si="334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699"/>
        <v>adrb1_melga_3ZPQ</v>
      </c>
      <c r="B120" s="3" t="s">
        <v>905</v>
      </c>
      <c r="C120" s="3" t="s">
        <v>1031</v>
      </c>
      <c r="D120" s="3" t="str">
        <f>IFERROR(MID(VLOOKUP($B120,Seqs!$A:$B,2,0),E120,1),"")</f>
        <v>A</v>
      </c>
      <c r="E120" s="3">
        <v>33</v>
      </c>
      <c r="F120" s="3" t="str">
        <f>IFERROR(MID(VLOOKUP($B120,Seqs!$A:$B,2,0),G120,1),"")</f>
        <v>T</v>
      </c>
      <c r="G120" s="3">
        <v>69</v>
      </c>
      <c r="H120" s="3" t="str">
        <f>IFERROR(MID(VLOOKUP($B120,Seqs!$A:$B,2,0),I120,1),"")</f>
        <v>Q</v>
      </c>
      <c r="I120" s="23">
        <v>70</v>
      </c>
      <c r="J120" s="3" t="str">
        <f>IFERROR(MID(VLOOKUP($B120,Seqs!$A:$B,2,0),K120,1),"")</f>
        <v>Q</v>
      </c>
      <c r="K120" s="23">
        <v>73</v>
      </c>
      <c r="L120" s="3" t="str">
        <f>IFERROR(MID(VLOOKUP($B120,Seqs!$A:$B,2,0),M120,1),"")</f>
        <v>T</v>
      </c>
      <c r="M120" s="3">
        <v>74</v>
      </c>
      <c r="N120" s="3" t="str">
        <f>IFERROR(MID(VLOOKUP($B120,Seqs!$A:$B,2,0),O120,1),"")</f>
        <v>G</v>
      </c>
      <c r="O120" s="3">
        <v>105</v>
      </c>
      <c r="P120" s="3" t="str">
        <f>IFERROR(MID(VLOOKUP($B120,Seqs!$A:$B,2,0),Q120,1),"")</f>
        <v>T</v>
      </c>
      <c r="Q120" s="3">
        <v>106</v>
      </c>
      <c r="R120" s="3" t="str">
        <f>IFERROR(MID(VLOOKUP($B120,Seqs!$A:$B,2,0),S120,1),"")</f>
        <v>W</v>
      </c>
      <c r="S120" s="3">
        <v>109</v>
      </c>
      <c r="T120" s="3" t="str">
        <f>IFERROR(MID(VLOOKUP($B120,Seqs!$A:$B,2,0),U120,1),"")</f>
        <v>G</v>
      </c>
      <c r="U120" s="3">
        <v>110</v>
      </c>
      <c r="V120" s="3" t="str">
        <f>IFERROR(MID(VLOOKUP($B120,Seqs!$A:$B,2,0),W120,1),"")</f>
        <v>S</v>
      </c>
      <c r="W120" s="3">
        <v>145</v>
      </c>
      <c r="X120" s="3" t="str">
        <f>IFERROR(MID(VLOOKUP($B120,Seqs!$A:$B,2,0),Y120,1),"")</f>
        <v>P</v>
      </c>
      <c r="Y120" s="3">
        <v>146</v>
      </c>
      <c r="Z120" s="3" t="str">
        <f>IFERROR(MID(VLOOKUP($B120,Seqs!$A:$B,2,0),AA120,1),"")</f>
        <v>M</v>
      </c>
      <c r="AA120" s="3">
        <v>153</v>
      </c>
      <c r="AB120" s="3" t="str">
        <f>IFERROR(MID(VLOOKUP($B120,Seqs!$A:$B,2,0),AC120,1),"")</f>
        <v>T</v>
      </c>
      <c r="AC120" s="9">
        <v>154</v>
      </c>
      <c r="AD120" s="3" t="str">
        <f>IFERROR(MID(VLOOKUP($B120,Seqs!$A:$B,2,0),AE120,1),"")</f>
        <v>H</v>
      </c>
      <c r="AE120" s="3">
        <v>180</v>
      </c>
      <c r="AF120" s="3" t="str">
        <f>IFERROR(MID(VLOOKUP($B120,Seqs!$A:$B,2,0),AG120,1),"")</f>
        <v>C</v>
      </c>
      <c r="AG120" s="3">
        <v>199</v>
      </c>
      <c r="AH120" s="3" t="str">
        <f>IFERROR(MID(VLOOKUP($B120,Seqs!$A:$B,2,0),AI120,1),"")</f>
        <v>F</v>
      </c>
      <c r="AI120" s="3">
        <v>201</v>
      </c>
      <c r="AJ120" s="3" t="str">
        <f>IFERROR(MID(VLOOKUP($B120,Seqs!$A:$B,2,0),AK120,1),"")</f>
        <v>N</v>
      </c>
      <c r="AK120" s="3">
        <v>204</v>
      </c>
      <c r="AL120" s="3" t="str">
        <f>IFERROR(MID(VLOOKUP($B120,Seqs!$A:$B,2,0),AM120,1),"")</f>
        <v>I</v>
      </c>
      <c r="AM120" s="3">
        <v>238</v>
      </c>
      <c r="AN120" s="3" t="str">
        <f>IFERROR(MID(VLOOKUP($B120,Seqs!$A:$B,2,0),AO120,1),"")</f>
        <v>R</v>
      </c>
      <c r="AO120" s="3">
        <v>275</v>
      </c>
      <c r="AP120" s="3" t="str">
        <f>IFERROR(MID(VLOOKUP($B120,Seqs!$A:$B,2,0),AQ120,1),"")</f>
        <v>N</v>
      </c>
      <c r="AQ120" s="3">
        <v>316</v>
      </c>
      <c r="AR120" s="3" t="str">
        <f>IFERROR(MID(VLOOKUP($B120,Seqs!$A:$B,2,0),AS120,1),"")</f>
        <v>P</v>
      </c>
      <c r="AS120" s="3">
        <v>321</v>
      </c>
      <c r="AT120" s="3" t="str">
        <f>IFERROR(MID(VLOOKUP($B120,Seqs!$A:$B,2,0),AU120,1),"")</f>
        <v>R</v>
      </c>
      <c r="AU120" s="3">
        <v>345</v>
      </c>
      <c r="AV120" s="3" t="str">
        <f>IFERROR(MID(VLOOKUP($B120,Seqs!$A:$B,2,0),AW120,1),"")</f>
        <v>S</v>
      </c>
      <c r="AW120" s="3">
        <v>346</v>
      </c>
      <c r="AX120" s="3" t="str">
        <f>IFERROR(MID(VLOOKUP($B120,Seqs!$A:$B,2,0),AY120,1),"")</f>
        <v>C</v>
      </c>
      <c r="AY120" s="3">
        <v>358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700"/>
        <v>1</v>
      </c>
      <c r="BC120" s="23">
        <f t="shared" si="309"/>
        <v>266</v>
      </c>
      <c r="BD120" s="4" t="s">
        <v>23</v>
      </c>
      <c r="BE120" s="3" t="s">
        <v>1368</v>
      </c>
      <c r="BF120" s="118">
        <v>2.8</v>
      </c>
      <c r="BG120" s="49" t="s">
        <v>1371</v>
      </c>
      <c r="BH120" s="49" t="s">
        <v>1371</v>
      </c>
      <c r="BI120" s="1"/>
      <c r="BJ120" s="70" t="s">
        <v>1281</v>
      </c>
      <c r="BK120" s="57" t="s">
        <v>1281</v>
      </c>
      <c r="BL120" s="57" t="s">
        <v>1281</v>
      </c>
      <c r="BM120" s="57" t="s">
        <v>1281</v>
      </c>
      <c r="BN120" s="57" t="s">
        <v>1281</v>
      </c>
      <c r="BO120" s="57" t="s">
        <v>1281</v>
      </c>
      <c r="BP120" s="57" t="s">
        <v>1281</v>
      </c>
      <c r="BQ120" s="57" t="s">
        <v>1281</v>
      </c>
      <c r="BR120" s="57" t="s">
        <v>1281</v>
      </c>
      <c r="BS120" s="57" t="s">
        <v>1281</v>
      </c>
      <c r="BT120" s="57" t="s">
        <v>1281</v>
      </c>
      <c r="BU120" s="57" t="s">
        <v>1281</v>
      </c>
      <c r="BV120" s="70">
        <f t="shared" si="310"/>
        <v>33</v>
      </c>
      <c r="BW120" s="71">
        <f t="shared" si="311"/>
        <v>70</v>
      </c>
      <c r="BX120" s="72">
        <f t="shared" si="312"/>
        <v>74</v>
      </c>
      <c r="BY120" s="71">
        <f t="shared" si="313"/>
        <v>106</v>
      </c>
      <c r="BZ120" s="72">
        <f t="shared" si="314"/>
        <v>110</v>
      </c>
      <c r="CA120" s="71">
        <f t="shared" si="315"/>
        <v>146</v>
      </c>
      <c r="CB120" s="72">
        <f t="shared" si="316"/>
        <v>154</v>
      </c>
      <c r="CC120" s="71">
        <f t="shared" si="317"/>
        <v>199</v>
      </c>
      <c r="CD120" s="72">
        <f t="shared" si="318"/>
        <v>204</v>
      </c>
      <c r="CE120" s="71">
        <f t="shared" si="319"/>
        <v>275</v>
      </c>
      <c r="CF120" s="72">
        <f t="shared" si="320"/>
        <v>321</v>
      </c>
      <c r="CG120" s="71">
        <f t="shared" si="321"/>
        <v>346</v>
      </c>
      <c r="CH120" s="70">
        <f t="shared" si="322"/>
        <v>69</v>
      </c>
      <c r="CI120" s="71">
        <f t="shared" si="323"/>
        <v>73</v>
      </c>
      <c r="CJ120" s="72">
        <f t="shared" si="324"/>
        <v>105</v>
      </c>
      <c r="CK120" s="72">
        <f t="shared" si="325"/>
        <v>109</v>
      </c>
      <c r="CL120" s="72">
        <f t="shared" si="326"/>
        <v>145</v>
      </c>
      <c r="CM120" s="72">
        <f t="shared" si="327"/>
        <v>153</v>
      </c>
      <c r="CN120" s="72">
        <f t="shared" si="328"/>
        <v>180</v>
      </c>
      <c r="CO120" s="72">
        <f t="shared" si="329"/>
        <v>201</v>
      </c>
      <c r="CP120" s="72">
        <f t="shared" si="330"/>
        <v>238</v>
      </c>
      <c r="CQ120" s="72">
        <f t="shared" si="331"/>
        <v>316</v>
      </c>
      <c r="CR120" s="72">
        <f t="shared" si="332"/>
        <v>345</v>
      </c>
      <c r="CS120" s="72">
        <f t="shared" si="333"/>
        <v>358</v>
      </c>
      <c r="CT120" s="23">
        <f t="shared" si="334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699"/>
        <v>adrb1_melga_3ZPR</v>
      </c>
      <c r="B121" s="3" t="s">
        <v>905</v>
      </c>
      <c r="C121" s="3" t="s">
        <v>1032</v>
      </c>
      <c r="D121" s="3" t="str">
        <f>IFERROR(MID(VLOOKUP($B121,Seqs!$A:$B,2,0),E121,1),"")</f>
        <v>A</v>
      </c>
      <c r="E121" s="3">
        <v>33</v>
      </c>
      <c r="F121" s="3" t="str">
        <f>IFERROR(MID(VLOOKUP($B121,Seqs!$A:$B,2,0),G121,1),"")</f>
        <v>T</v>
      </c>
      <c r="G121" s="3">
        <v>69</v>
      </c>
      <c r="H121" s="3" t="str">
        <f>IFERROR(MID(VLOOKUP($B121,Seqs!$A:$B,2,0),I121,1),"")</f>
        <v>Q</v>
      </c>
      <c r="I121" s="23">
        <v>70</v>
      </c>
      <c r="J121" s="3" t="str">
        <f>IFERROR(MID(VLOOKUP($B121,Seqs!$A:$B,2,0),K121,1),"")</f>
        <v>Q</v>
      </c>
      <c r="K121" s="23">
        <v>73</v>
      </c>
      <c r="L121" s="3" t="str">
        <f>IFERROR(MID(VLOOKUP($B121,Seqs!$A:$B,2,0),M121,1),"")</f>
        <v>T</v>
      </c>
      <c r="M121" s="3">
        <v>74</v>
      </c>
      <c r="N121" s="3" t="str">
        <f>IFERROR(MID(VLOOKUP($B121,Seqs!$A:$B,2,0),O121,1),"")</f>
        <v>G</v>
      </c>
      <c r="O121" s="3">
        <v>105</v>
      </c>
      <c r="P121" s="3" t="str">
        <f>IFERROR(MID(VLOOKUP($B121,Seqs!$A:$B,2,0),Q121,1),"")</f>
        <v>T</v>
      </c>
      <c r="Q121" s="3">
        <v>106</v>
      </c>
      <c r="R121" s="3" t="str">
        <f>IFERROR(MID(VLOOKUP($B121,Seqs!$A:$B,2,0),S121,1),"")</f>
        <v>W</v>
      </c>
      <c r="S121" s="3">
        <v>109</v>
      </c>
      <c r="T121" s="3" t="str">
        <f>IFERROR(MID(VLOOKUP($B121,Seqs!$A:$B,2,0),U121,1),"")</f>
        <v>G</v>
      </c>
      <c r="U121" s="3">
        <v>110</v>
      </c>
      <c r="V121" s="3" t="str">
        <f>IFERROR(MID(VLOOKUP($B121,Seqs!$A:$B,2,0),W121,1),"")</f>
        <v>S</v>
      </c>
      <c r="W121" s="3">
        <v>145</v>
      </c>
      <c r="X121" s="3" t="str">
        <f>IFERROR(MID(VLOOKUP($B121,Seqs!$A:$B,2,0),Y121,1),"")</f>
        <v>P</v>
      </c>
      <c r="Y121" s="3">
        <v>146</v>
      </c>
      <c r="Z121" s="3" t="str">
        <f>IFERROR(MID(VLOOKUP($B121,Seqs!$A:$B,2,0),AA121,1),"")</f>
        <v>M</v>
      </c>
      <c r="AA121" s="3">
        <v>153</v>
      </c>
      <c r="AB121" s="3" t="str">
        <f>IFERROR(MID(VLOOKUP($B121,Seqs!$A:$B,2,0),AC121,1),"")</f>
        <v>T</v>
      </c>
      <c r="AC121" s="9">
        <v>154</v>
      </c>
      <c r="AD121" s="3" t="str">
        <f>IFERROR(MID(VLOOKUP($B121,Seqs!$A:$B,2,0),AE121,1),"")</f>
        <v>H</v>
      </c>
      <c r="AE121" s="3">
        <v>180</v>
      </c>
      <c r="AF121" s="3" t="str">
        <f>IFERROR(MID(VLOOKUP($B121,Seqs!$A:$B,2,0),AG121,1),"")</f>
        <v>C</v>
      </c>
      <c r="AG121" s="3">
        <v>199</v>
      </c>
      <c r="AH121" s="3" t="str">
        <f>IFERROR(MID(VLOOKUP($B121,Seqs!$A:$B,2,0),AI121,1),"")</f>
        <v>F</v>
      </c>
      <c r="AI121" s="3">
        <v>201</v>
      </c>
      <c r="AJ121" s="3" t="str">
        <f>IFERROR(MID(VLOOKUP($B121,Seqs!$A:$B,2,0),AK121,1),"")</f>
        <v>N</v>
      </c>
      <c r="AK121" s="3">
        <v>204</v>
      </c>
      <c r="AL121" s="3" t="str">
        <f>IFERROR(MID(VLOOKUP($B121,Seqs!$A:$B,2,0),AM121,1),"")</f>
        <v>I</v>
      </c>
      <c r="AM121" s="3">
        <v>238</v>
      </c>
      <c r="AN121" s="3" t="str">
        <f>IFERROR(MID(VLOOKUP($B121,Seqs!$A:$B,2,0),AO121,1),"")</f>
        <v>R</v>
      </c>
      <c r="AO121" s="3">
        <v>275</v>
      </c>
      <c r="AP121" s="3" t="str">
        <f>IFERROR(MID(VLOOKUP($B121,Seqs!$A:$B,2,0),AQ121,1),"")</f>
        <v>N</v>
      </c>
      <c r="AQ121" s="3">
        <v>316</v>
      </c>
      <c r="AR121" s="3" t="str">
        <f>IFERROR(MID(VLOOKUP($B121,Seqs!$A:$B,2,0),AS121,1),"")</f>
        <v>P</v>
      </c>
      <c r="AS121" s="3">
        <v>321</v>
      </c>
      <c r="AT121" s="3" t="str">
        <f>IFERROR(MID(VLOOKUP($B121,Seqs!$A:$B,2,0),AU121,1),"")</f>
        <v>R</v>
      </c>
      <c r="AU121" s="3">
        <v>345</v>
      </c>
      <c r="AV121" s="3" t="str">
        <f>IFERROR(MID(VLOOKUP($B121,Seqs!$A:$B,2,0),AW121,1),"")</f>
        <v>S</v>
      </c>
      <c r="AW121" s="3">
        <v>346</v>
      </c>
      <c r="AX121" s="3" t="str">
        <f>IFERROR(MID(VLOOKUP($B121,Seqs!$A:$B,2,0),AY121,1),"")</f>
        <v>C</v>
      </c>
      <c r="AY121" s="3">
        <v>358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700"/>
        <v>1</v>
      </c>
      <c r="BC121" s="23">
        <f t="shared" si="309"/>
        <v>266</v>
      </c>
      <c r="BD121" s="4" t="s">
        <v>23</v>
      </c>
      <c r="BE121" s="3" t="s">
        <v>1368</v>
      </c>
      <c r="BF121" s="118">
        <v>2.7</v>
      </c>
      <c r="BG121" s="49" t="s">
        <v>1371</v>
      </c>
      <c r="BH121" s="49" t="s">
        <v>1371</v>
      </c>
      <c r="BI121" s="1"/>
      <c r="BJ121" s="70" t="s">
        <v>1281</v>
      </c>
      <c r="BK121" s="57" t="s">
        <v>1281</v>
      </c>
      <c r="BL121" s="57" t="s">
        <v>1281</v>
      </c>
      <c r="BM121" s="57" t="s">
        <v>1281</v>
      </c>
      <c r="BN121" s="57" t="s">
        <v>1281</v>
      </c>
      <c r="BO121" s="57" t="s">
        <v>1281</v>
      </c>
      <c r="BP121" s="57" t="s">
        <v>1281</v>
      </c>
      <c r="BQ121" s="57" t="s">
        <v>1281</v>
      </c>
      <c r="BR121" s="57" t="s">
        <v>1281</v>
      </c>
      <c r="BS121" s="57" t="s">
        <v>1281</v>
      </c>
      <c r="BT121" s="57" t="s">
        <v>1281</v>
      </c>
      <c r="BU121" s="57" t="s">
        <v>1281</v>
      </c>
      <c r="BV121" s="70">
        <f t="shared" si="310"/>
        <v>33</v>
      </c>
      <c r="BW121" s="71">
        <f t="shared" si="311"/>
        <v>70</v>
      </c>
      <c r="BX121" s="72">
        <f t="shared" si="312"/>
        <v>74</v>
      </c>
      <c r="BY121" s="71">
        <f t="shared" si="313"/>
        <v>106</v>
      </c>
      <c r="BZ121" s="72">
        <f t="shared" si="314"/>
        <v>110</v>
      </c>
      <c r="CA121" s="71">
        <f t="shared" si="315"/>
        <v>146</v>
      </c>
      <c r="CB121" s="72">
        <f t="shared" si="316"/>
        <v>154</v>
      </c>
      <c r="CC121" s="71">
        <f t="shared" si="317"/>
        <v>199</v>
      </c>
      <c r="CD121" s="72">
        <f t="shared" si="318"/>
        <v>204</v>
      </c>
      <c r="CE121" s="71">
        <f t="shared" si="319"/>
        <v>275</v>
      </c>
      <c r="CF121" s="72">
        <f t="shared" si="320"/>
        <v>321</v>
      </c>
      <c r="CG121" s="71">
        <f t="shared" si="321"/>
        <v>346</v>
      </c>
      <c r="CH121" s="70">
        <f t="shared" si="322"/>
        <v>69</v>
      </c>
      <c r="CI121" s="71">
        <f t="shared" si="323"/>
        <v>73</v>
      </c>
      <c r="CJ121" s="72">
        <f t="shared" si="324"/>
        <v>105</v>
      </c>
      <c r="CK121" s="72">
        <f t="shared" si="325"/>
        <v>109</v>
      </c>
      <c r="CL121" s="72">
        <f t="shared" si="326"/>
        <v>145</v>
      </c>
      <c r="CM121" s="72">
        <f t="shared" si="327"/>
        <v>153</v>
      </c>
      <c r="CN121" s="72">
        <f t="shared" si="328"/>
        <v>180</v>
      </c>
      <c r="CO121" s="72">
        <f t="shared" si="329"/>
        <v>201</v>
      </c>
      <c r="CP121" s="72">
        <f t="shared" si="330"/>
        <v>238</v>
      </c>
      <c r="CQ121" s="72">
        <f t="shared" si="331"/>
        <v>316</v>
      </c>
      <c r="CR121" s="72">
        <f t="shared" si="332"/>
        <v>345</v>
      </c>
      <c r="CS121" s="72">
        <f t="shared" si="333"/>
        <v>358</v>
      </c>
      <c r="CT121" s="23">
        <f t="shared" si="334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699"/>
        <v>adrb1_melga_4AMI</v>
      </c>
      <c r="B122" s="3" t="s">
        <v>905</v>
      </c>
      <c r="C122" s="3" t="s">
        <v>1033</v>
      </c>
      <c r="D122" s="3" t="str">
        <f>IFERROR(MID(VLOOKUP($B122,Seqs!$A:$B,2,0),E122,1),"")</f>
        <v>A</v>
      </c>
      <c r="E122" s="3">
        <v>33</v>
      </c>
      <c r="F122" s="3" t="str">
        <f>IFERROR(MID(VLOOKUP($B122,Seqs!$A:$B,2,0),G122,1),"")</f>
        <v>T</v>
      </c>
      <c r="G122" s="3">
        <v>69</v>
      </c>
      <c r="H122" s="3" t="str">
        <f>IFERROR(MID(VLOOKUP($B122,Seqs!$A:$B,2,0),I122,1),"")</f>
        <v>Q</v>
      </c>
      <c r="I122" s="23">
        <v>70</v>
      </c>
      <c r="J122" s="3" t="str">
        <f>IFERROR(MID(VLOOKUP($B122,Seqs!$A:$B,2,0),K122,1),"")</f>
        <v>Q</v>
      </c>
      <c r="K122" s="23">
        <v>73</v>
      </c>
      <c r="L122" s="3" t="str">
        <f>IFERROR(MID(VLOOKUP($B122,Seqs!$A:$B,2,0),M122,1),"")</f>
        <v>T</v>
      </c>
      <c r="M122" s="3">
        <v>74</v>
      </c>
      <c r="N122" s="3" t="str">
        <f>IFERROR(MID(VLOOKUP($B122,Seqs!$A:$B,2,0),O122,1),"")</f>
        <v>G</v>
      </c>
      <c r="O122" s="3">
        <v>105</v>
      </c>
      <c r="P122" s="3" t="str">
        <f>IFERROR(MID(VLOOKUP($B122,Seqs!$A:$B,2,0),Q122,1),"")</f>
        <v>T</v>
      </c>
      <c r="Q122" s="3">
        <v>106</v>
      </c>
      <c r="R122" s="3" t="str">
        <f>IFERROR(MID(VLOOKUP($B122,Seqs!$A:$B,2,0),S122,1),"")</f>
        <v>W</v>
      </c>
      <c r="S122" s="3">
        <v>109</v>
      </c>
      <c r="T122" s="3" t="str">
        <f>IFERROR(MID(VLOOKUP($B122,Seqs!$A:$B,2,0),U122,1),"")</f>
        <v>G</v>
      </c>
      <c r="U122" s="3">
        <v>110</v>
      </c>
      <c r="V122" s="3" t="str">
        <f>IFERROR(MID(VLOOKUP($B122,Seqs!$A:$B,2,0),W122,1),"")</f>
        <v>S</v>
      </c>
      <c r="W122" s="3">
        <v>145</v>
      </c>
      <c r="X122" s="3" t="str">
        <f>IFERROR(MID(VLOOKUP($B122,Seqs!$A:$B,2,0),Y122,1),"")</f>
        <v>P</v>
      </c>
      <c r="Y122" s="3">
        <v>146</v>
      </c>
      <c r="Z122" s="3" t="str">
        <f>IFERROR(MID(VLOOKUP($B122,Seqs!$A:$B,2,0),AA122,1),"")</f>
        <v>M</v>
      </c>
      <c r="AA122" s="3">
        <v>153</v>
      </c>
      <c r="AB122" s="3" t="str">
        <f>IFERROR(MID(VLOOKUP($B122,Seqs!$A:$B,2,0),AC122,1),"")</f>
        <v>T</v>
      </c>
      <c r="AC122" s="9">
        <v>154</v>
      </c>
      <c r="AD122" s="3" t="str">
        <f>IFERROR(MID(VLOOKUP($B122,Seqs!$A:$B,2,0),AE122,1),"")</f>
        <v>H</v>
      </c>
      <c r="AE122" s="3">
        <v>180</v>
      </c>
      <c r="AF122" s="3" t="str">
        <f>IFERROR(MID(VLOOKUP($B122,Seqs!$A:$B,2,0),AG122,1),"")</f>
        <v>C</v>
      </c>
      <c r="AG122" s="3">
        <v>199</v>
      </c>
      <c r="AH122" s="3" t="str">
        <f>IFERROR(MID(VLOOKUP($B122,Seqs!$A:$B,2,0),AI122,1),"")</f>
        <v>F</v>
      </c>
      <c r="AI122" s="3">
        <v>201</v>
      </c>
      <c r="AJ122" s="3" t="str">
        <f>IFERROR(MID(VLOOKUP($B122,Seqs!$A:$B,2,0),AK122,1),"")</f>
        <v>N</v>
      </c>
      <c r="AK122" s="3">
        <v>204</v>
      </c>
      <c r="AL122" s="3" t="str">
        <f>IFERROR(MID(VLOOKUP($B122,Seqs!$A:$B,2,0),AM122,1),"")</f>
        <v>E</v>
      </c>
      <c r="AM122" s="3">
        <v>236</v>
      </c>
      <c r="AN122" s="3" t="str">
        <f>IFERROR(MID(VLOOKUP($B122,Seqs!$A:$B,2,0),AO122,1),"")</f>
        <v>A</v>
      </c>
      <c r="AO122" s="3">
        <v>288</v>
      </c>
      <c r="AP122" s="3" t="str">
        <f>IFERROR(MID(VLOOKUP($B122,Seqs!$A:$B,2,0),AQ122,1),"")</f>
        <v>N</v>
      </c>
      <c r="AQ122" s="3">
        <v>316</v>
      </c>
      <c r="AR122" s="3" t="str">
        <f>IFERROR(MID(VLOOKUP($B122,Seqs!$A:$B,2,0),AS122,1),"")</f>
        <v>P</v>
      </c>
      <c r="AS122" s="3">
        <v>321</v>
      </c>
      <c r="AT122" s="3" t="str">
        <f>IFERROR(MID(VLOOKUP($B122,Seqs!$A:$B,2,0),AU122,1),"")</f>
        <v>R</v>
      </c>
      <c r="AU122" s="3">
        <v>345</v>
      </c>
      <c r="AV122" s="3" t="str">
        <f>IFERROR(MID(VLOOKUP($B122,Seqs!$A:$B,2,0),AW122,1),"")</f>
        <v>S</v>
      </c>
      <c r="AW122" s="3">
        <v>346</v>
      </c>
      <c r="AX122" s="3" t="str">
        <f>IFERROR(MID(VLOOKUP($B122,Seqs!$A:$B,2,0),AY122,1),"")</f>
        <v>C</v>
      </c>
      <c r="AY122" s="3">
        <v>358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700"/>
        <v>1</v>
      </c>
      <c r="BC122" s="23">
        <f t="shared" si="309"/>
        <v>251</v>
      </c>
      <c r="BD122" s="4" t="s">
        <v>23</v>
      </c>
      <c r="BE122" s="3" t="s">
        <v>1368</v>
      </c>
      <c r="BF122" s="118">
        <v>3.2</v>
      </c>
      <c r="BG122" s="49" t="s">
        <v>1371</v>
      </c>
      <c r="BH122" s="49" t="s">
        <v>1371</v>
      </c>
      <c r="BI122" s="1"/>
      <c r="BJ122" s="70" t="s">
        <v>1281</v>
      </c>
      <c r="BK122" s="57" t="s">
        <v>1281</v>
      </c>
      <c r="BL122" s="57" t="s">
        <v>1281</v>
      </c>
      <c r="BM122" s="57" t="s">
        <v>1281</v>
      </c>
      <c r="BN122" s="57" t="s">
        <v>1281</v>
      </c>
      <c r="BO122" s="57" t="s">
        <v>1281</v>
      </c>
      <c r="BP122" s="57" t="s">
        <v>1281</v>
      </c>
      <c r="BQ122" s="57" t="s">
        <v>1281</v>
      </c>
      <c r="BR122" s="57" t="s">
        <v>1281</v>
      </c>
      <c r="BS122" s="57" t="s">
        <v>1281</v>
      </c>
      <c r="BT122" s="57" t="s">
        <v>1281</v>
      </c>
      <c r="BU122" s="57" t="s">
        <v>1281</v>
      </c>
      <c r="BV122" s="70">
        <f t="shared" si="310"/>
        <v>33</v>
      </c>
      <c r="BW122" s="71">
        <f t="shared" si="311"/>
        <v>70</v>
      </c>
      <c r="BX122" s="72">
        <f t="shared" si="312"/>
        <v>74</v>
      </c>
      <c r="BY122" s="71">
        <f t="shared" si="313"/>
        <v>106</v>
      </c>
      <c r="BZ122" s="72">
        <f t="shared" si="314"/>
        <v>110</v>
      </c>
      <c r="CA122" s="71">
        <f t="shared" si="315"/>
        <v>146</v>
      </c>
      <c r="CB122" s="72">
        <f t="shared" si="316"/>
        <v>154</v>
      </c>
      <c r="CC122" s="71">
        <f t="shared" si="317"/>
        <v>199</v>
      </c>
      <c r="CD122" s="72">
        <f t="shared" si="318"/>
        <v>204</v>
      </c>
      <c r="CE122" s="71">
        <f t="shared" si="319"/>
        <v>288</v>
      </c>
      <c r="CF122" s="72">
        <f t="shared" si="320"/>
        <v>321</v>
      </c>
      <c r="CG122" s="71">
        <f t="shared" si="321"/>
        <v>346</v>
      </c>
      <c r="CH122" s="70">
        <f t="shared" si="322"/>
        <v>69</v>
      </c>
      <c r="CI122" s="71">
        <f t="shared" si="323"/>
        <v>73</v>
      </c>
      <c r="CJ122" s="72">
        <f t="shared" si="324"/>
        <v>105</v>
      </c>
      <c r="CK122" s="72">
        <f t="shared" si="325"/>
        <v>109</v>
      </c>
      <c r="CL122" s="72">
        <f t="shared" si="326"/>
        <v>145</v>
      </c>
      <c r="CM122" s="72">
        <f t="shared" si="327"/>
        <v>153</v>
      </c>
      <c r="CN122" s="72">
        <f t="shared" si="328"/>
        <v>180</v>
      </c>
      <c r="CO122" s="72">
        <f t="shared" si="329"/>
        <v>201</v>
      </c>
      <c r="CP122" s="72">
        <f t="shared" si="330"/>
        <v>236</v>
      </c>
      <c r="CQ122" s="72">
        <f t="shared" si="331"/>
        <v>316</v>
      </c>
      <c r="CR122" s="72">
        <f t="shared" si="332"/>
        <v>345</v>
      </c>
      <c r="CS122" s="72">
        <f t="shared" si="333"/>
        <v>358</v>
      </c>
      <c r="CT122" s="23">
        <f t="shared" si="334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699"/>
        <v>adrb1_melga_4AMJ</v>
      </c>
      <c r="B123" s="3" t="s">
        <v>905</v>
      </c>
      <c r="C123" s="3" t="s">
        <v>1034</v>
      </c>
      <c r="D123" s="3" t="str">
        <f>IFERROR(MID(VLOOKUP($B123,Seqs!$A:$B,2,0),E123,1),"")</f>
        <v>A</v>
      </c>
      <c r="E123" s="3">
        <v>33</v>
      </c>
      <c r="F123" s="3" t="str">
        <f>IFERROR(MID(VLOOKUP($B123,Seqs!$A:$B,2,0),G123,1),"")</f>
        <v>T</v>
      </c>
      <c r="G123" s="3">
        <v>69</v>
      </c>
      <c r="H123" s="3" t="str">
        <f>IFERROR(MID(VLOOKUP($B123,Seqs!$A:$B,2,0),I123,1),"")</f>
        <v>Q</v>
      </c>
      <c r="I123" s="23">
        <v>70</v>
      </c>
      <c r="J123" s="3" t="str">
        <f>IFERROR(MID(VLOOKUP($B123,Seqs!$A:$B,2,0),K123,1),"")</f>
        <v>Q</v>
      </c>
      <c r="K123" s="23">
        <v>73</v>
      </c>
      <c r="L123" s="3" t="str">
        <f>IFERROR(MID(VLOOKUP($B123,Seqs!$A:$B,2,0),M123,1),"")</f>
        <v>T</v>
      </c>
      <c r="M123" s="3">
        <v>74</v>
      </c>
      <c r="N123" s="3" t="str">
        <f>IFERROR(MID(VLOOKUP($B123,Seqs!$A:$B,2,0),O123,1),"")</f>
        <v>G</v>
      </c>
      <c r="O123" s="3">
        <v>105</v>
      </c>
      <c r="P123" s="3" t="str">
        <f>IFERROR(MID(VLOOKUP($B123,Seqs!$A:$B,2,0),Q123,1),"")</f>
        <v>T</v>
      </c>
      <c r="Q123" s="3">
        <v>106</v>
      </c>
      <c r="R123" s="3" t="str">
        <f>IFERROR(MID(VLOOKUP($B123,Seqs!$A:$B,2,0),S123,1),"")</f>
        <v>W</v>
      </c>
      <c r="S123" s="3">
        <v>109</v>
      </c>
      <c r="T123" s="3" t="str">
        <f>IFERROR(MID(VLOOKUP($B123,Seqs!$A:$B,2,0),U123,1),"")</f>
        <v>G</v>
      </c>
      <c r="U123" s="3">
        <v>110</v>
      </c>
      <c r="V123" s="3" t="str">
        <f>IFERROR(MID(VLOOKUP($B123,Seqs!$A:$B,2,0),W123,1),"")</f>
        <v>S</v>
      </c>
      <c r="W123" s="3">
        <v>145</v>
      </c>
      <c r="X123" s="3" t="str">
        <f>IFERROR(MID(VLOOKUP($B123,Seqs!$A:$B,2,0),Y123,1),"")</f>
        <v>P</v>
      </c>
      <c r="Y123" s="3">
        <v>146</v>
      </c>
      <c r="Z123" s="3" t="str">
        <f>IFERROR(MID(VLOOKUP($B123,Seqs!$A:$B,2,0),AA123,1),"")</f>
        <v>M</v>
      </c>
      <c r="AA123" s="3">
        <v>153</v>
      </c>
      <c r="AB123" s="3" t="str">
        <f>IFERROR(MID(VLOOKUP($B123,Seqs!$A:$B,2,0),AC123,1),"")</f>
        <v>T</v>
      </c>
      <c r="AC123" s="9">
        <v>154</v>
      </c>
      <c r="AD123" s="3" t="str">
        <f>IFERROR(MID(VLOOKUP($B123,Seqs!$A:$B,2,0),AE123,1),"")</f>
        <v>H</v>
      </c>
      <c r="AE123" s="3">
        <v>180</v>
      </c>
      <c r="AF123" s="3" t="str">
        <f>IFERROR(MID(VLOOKUP($B123,Seqs!$A:$B,2,0),AG123,1),"")</f>
        <v>C</v>
      </c>
      <c r="AG123" s="3">
        <v>199</v>
      </c>
      <c r="AH123" s="3" t="str">
        <f>IFERROR(MID(VLOOKUP($B123,Seqs!$A:$B,2,0),AI123,1),"")</f>
        <v>F</v>
      </c>
      <c r="AI123" s="3">
        <v>201</v>
      </c>
      <c r="AJ123" s="3" t="str">
        <f>IFERROR(MID(VLOOKUP($B123,Seqs!$A:$B,2,0),AK123,1),"")</f>
        <v>N</v>
      </c>
      <c r="AK123" s="3">
        <v>204</v>
      </c>
      <c r="AL123" s="3" t="str">
        <f>IFERROR(MID(VLOOKUP($B123,Seqs!$A:$B,2,0),AM123,1),"")</f>
        <v>I</v>
      </c>
      <c r="AM123" s="3">
        <v>238</v>
      </c>
      <c r="AN123" s="3" t="str">
        <f>IFERROR(MID(VLOOKUP($B123,Seqs!$A:$B,2,0),AO123,1),"")</f>
        <v>R</v>
      </c>
      <c r="AO123" s="3">
        <v>275</v>
      </c>
      <c r="AP123" s="3" t="str">
        <f>IFERROR(MID(VLOOKUP($B123,Seqs!$A:$B,2,0),AQ123,1),"")</f>
        <v>N</v>
      </c>
      <c r="AQ123" s="3">
        <v>316</v>
      </c>
      <c r="AR123" s="3" t="str">
        <f>IFERROR(MID(VLOOKUP($B123,Seqs!$A:$B,2,0),AS123,1),"")</f>
        <v>P</v>
      </c>
      <c r="AS123" s="3">
        <v>321</v>
      </c>
      <c r="AT123" s="3" t="str">
        <f>IFERROR(MID(VLOOKUP($B123,Seqs!$A:$B,2,0),AU123,1),"")</f>
        <v>R</v>
      </c>
      <c r="AU123" s="3">
        <v>345</v>
      </c>
      <c r="AV123" s="3" t="str">
        <f>IFERROR(MID(VLOOKUP($B123,Seqs!$A:$B,2,0),AW123,1),"")</f>
        <v>S</v>
      </c>
      <c r="AW123" s="3">
        <v>346</v>
      </c>
      <c r="AX123" s="3" t="str">
        <f>IFERROR(MID(VLOOKUP($B123,Seqs!$A:$B,2,0),AY123,1),"")</f>
        <v>C</v>
      </c>
      <c r="AY123" s="3">
        <v>358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700"/>
        <v>1</v>
      </c>
      <c r="BC123" s="23">
        <f t="shared" si="309"/>
        <v>266</v>
      </c>
      <c r="BD123" s="2" t="s">
        <v>1370</v>
      </c>
      <c r="BE123" s="3" t="s">
        <v>1368</v>
      </c>
      <c r="BF123" s="118">
        <v>2.2999999999999998</v>
      </c>
      <c r="BG123" s="49" t="s">
        <v>1371</v>
      </c>
      <c r="BH123" s="49" t="s">
        <v>1371</v>
      </c>
      <c r="BI123" s="1"/>
      <c r="BJ123" s="70" t="s">
        <v>1281</v>
      </c>
      <c r="BK123" s="57" t="s">
        <v>1281</v>
      </c>
      <c r="BL123" s="57" t="s">
        <v>1281</v>
      </c>
      <c r="BM123" s="57" t="s">
        <v>1281</v>
      </c>
      <c r="BN123" s="57" t="s">
        <v>1281</v>
      </c>
      <c r="BO123" s="57" t="s">
        <v>1281</v>
      </c>
      <c r="BP123" s="57" t="s">
        <v>1281</v>
      </c>
      <c r="BQ123" s="57" t="s">
        <v>1281</v>
      </c>
      <c r="BR123" s="57" t="s">
        <v>1281</v>
      </c>
      <c r="BS123" s="57" t="s">
        <v>1281</v>
      </c>
      <c r="BT123" s="57" t="s">
        <v>1281</v>
      </c>
      <c r="BU123" s="57" t="s">
        <v>1281</v>
      </c>
      <c r="BV123" s="70">
        <f t="shared" si="310"/>
        <v>33</v>
      </c>
      <c r="BW123" s="71">
        <f t="shared" si="311"/>
        <v>70</v>
      </c>
      <c r="BX123" s="72">
        <f t="shared" si="312"/>
        <v>74</v>
      </c>
      <c r="BY123" s="71">
        <f t="shared" si="313"/>
        <v>106</v>
      </c>
      <c r="BZ123" s="72">
        <f t="shared" si="314"/>
        <v>110</v>
      </c>
      <c r="CA123" s="71">
        <f t="shared" si="315"/>
        <v>146</v>
      </c>
      <c r="CB123" s="72">
        <f t="shared" si="316"/>
        <v>154</v>
      </c>
      <c r="CC123" s="71">
        <f t="shared" si="317"/>
        <v>199</v>
      </c>
      <c r="CD123" s="72">
        <f t="shared" si="318"/>
        <v>204</v>
      </c>
      <c r="CE123" s="71">
        <f t="shared" si="319"/>
        <v>275</v>
      </c>
      <c r="CF123" s="72">
        <f t="shared" si="320"/>
        <v>321</v>
      </c>
      <c r="CG123" s="71">
        <f t="shared" si="321"/>
        <v>346</v>
      </c>
      <c r="CH123" s="70">
        <f t="shared" si="322"/>
        <v>69</v>
      </c>
      <c r="CI123" s="71">
        <f t="shared" si="323"/>
        <v>73</v>
      </c>
      <c r="CJ123" s="72">
        <f t="shared" si="324"/>
        <v>105</v>
      </c>
      <c r="CK123" s="72">
        <f t="shared" si="325"/>
        <v>109</v>
      </c>
      <c r="CL123" s="72">
        <f t="shared" si="326"/>
        <v>145</v>
      </c>
      <c r="CM123" s="72">
        <f t="shared" si="327"/>
        <v>153</v>
      </c>
      <c r="CN123" s="72">
        <f t="shared" si="328"/>
        <v>180</v>
      </c>
      <c r="CO123" s="72">
        <f t="shared" si="329"/>
        <v>201</v>
      </c>
      <c r="CP123" s="72">
        <f t="shared" si="330"/>
        <v>238</v>
      </c>
      <c r="CQ123" s="72">
        <f t="shared" si="331"/>
        <v>316</v>
      </c>
      <c r="CR123" s="72">
        <f t="shared" si="332"/>
        <v>345</v>
      </c>
      <c r="CS123" s="72">
        <f t="shared" si="333"/>
        <v>358</v>
      </c>
      <c r="CT123" s="23">
        <f t="shared" si="334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699"/>
        <v>adrb1_melga_4BVN</v>
      </c>
      <c r="B124" s="3" t="s">
        <v>905</v>
      </c>
      <c r="C124" s="3" t="s">
        <v>82</v>
      </c>
      <c r="D124" s="3" t="str">
        <f>IFERROR(MID(VLOOKUP($B124,Seqs!$A:$B,2,0),E124,1),"")</f>
        <v>S</v>
      </c>
      <c r="E124" s="3">
        <v>37</v>
      </c>
      <c r="F124" s="3" t="str">
        <f>IFERROR(MID(VLOOKUP($B124,Seqs!$A:$B,2,0),G124,1),"")</f>
        <v>T</v>
      </c>
      <c r="G124" s="3">
        <v>69</v>
      </c>
      <c r="H124" s="3" t="str">
        <f>IFERROR(MID(VLOOKUP($B124,Seqs!$A:$B,2,0),I124,1),"")</f>
        <v>Q</v>
      </c>
      <c r="I124" s="23">
        <v>70</v>
      </c>
      <c r="J124" s="3" t="str">
        <f>IFERROR(MID(VLOOKUP($B124,Seqs!$A:$B,2,0),K124,1),"")</f>
        <v>Q</v>
      </c>
      <c r="K124" s="23">
        <v>73</v>
      </c>
      <c r="L124" s="3" t="str">
        <f>IFERROR(MID(VLOOKUP($B124,Seqs!$A:$B,2,0),M124,1),"")</f>
        <v>T</v>
      </c>
      <c r="M124" s="3">
        <v>74</v>
      </c>
      <c r="N124" s="3" t="str">
        <f>IFERROR(MID(VLOOKUP($B124,Seqs!$A:$B,2,0),O124,1),"")</f>
        <v>G</v>
      </c>
      <c r="O124" s="3">
        <v>105</v>
      </c>
      <c r="P124" s="3" t="str">
        <f>IFERROR(MID(VLOOKUP($B124,Seqs!$A:$B,2,0),Q124,1),"")</f>
        <v>T</v>
      </c>
      <c r="Q124" s="3">
        <v>106</v>
      </c>
      <c r="R124" s="3" t="str">
        <f>IFERROR(MID(VLOOKUP($B124,Seqs!$A:$B,2,0),S124,1),"")</f>
        <v>W</v>
      </c>
      <c r="S124" s="3">
        <v>109</v>
      </c>
      <c r="T124" s="3" t="str">
        <f>IFERROR(MID(VLOOKUP($B124,Seqs!$A:$B,2,0),U124,1),"")</f>
        <v>G</v>
      </c>
      <c r="U124" s="3">
        <v>110</v>
      </c>
      <c r="V124" s="3" t="str">
        <f>IFERROR(MID(VLOOKUP($B124,Seqs!$A:$B,2,0),W124,1),"")</f>
        <v>S</v>
      </c>
      <c r="W124" s="3">
        <v>145</v>
      </c>
      <c r="X124" s="3" t="str">
        <f>IFERROR(MID(VLOOKUP($B124,Seqs!$A:$B,2,0),Y124,1),"")</f>
        <v>P</v>
      </c>
      <c r="Y124" s="3">
        <v>146</v>
      </c>
      <c r="Z124" s="3" t="str">
        <f>IFERROR(MID(VLOOKUP($B124,Seqs!$A:$B,2,0),AA124,1),"")</f>
        <v>M</v>
      </c>
      <c r="AA124" s="3">
        <v>153</v>
      </c>
      <c r="AB124" s="3" t="str">
        <f>IFERROR(MID(VLOOKUP($B124,Seqs!$A:$B,2,0),AC124,1),"")</f>
        <v>T</v>
      </c>
      <c r="AC124" s="9">
        <v>154</v>
      </c>
      <c r="AD124" s="3" t="str">
        <f>IFERROR(MID(VLOOKUP($B124,Seqs!$A:$B,2,0),AE124,1),"")</f>
        <v>H</v>
      </c>
      <c r="AE124" s="3">
        <v>180</v>
      </c>
      <c r="AF124" s="3" t="str">
        <f>IFERROR(MID(VLOOKUP($B124,Seqs!$A:$B,2,0),AG124,1),"")</f>
        <v>C</v>
      </c>
      <c r="AG124" s="3">
        <v>199</v>
      </c>
      <c r="AH124" s="3" t="str">
        <f>IFERROR(MID(VLOOKUP($B124,Seqs!$A:$B,2,0),AI124,1),"")</f>
        <v>F</v>
      </c>
      <c r="AI124" s="3">
        <v>201</v>
      </c>
      <c r="AJ124" s="3" t="str">
        <f>IFERROR(MID(VLOOKUP($B124,Seqs!$A:$B,2,0),AK124,1),"")</f>
        <v>N</v>
      </c>
      <c r="AK124" s="3">
        <v>204</v>
      </c>
      <c r="AL124" s="3" t="str">
        <f>IFERROR(MID(VLOOKUP($B124,Seqs!$A:$B,2,0),AM124,1),"")</f>
        <v>R</v>
      </c>
      <c r="AM124" s="3">
        <v>239</v>
      </c>
      <c r="AN124" s="3" t="str">
        <f>IFERROR(MID(VLOOKUP($B124,Seqs!$A:$B,2,0),AO124,1),"")</f>
        <v>R</v>
      </c>
      <c r="AO124" s="3">
        <v>279</v>
      </c>
      <c r="AP124" s="3" t="str">
        <f>IFERROR(MID(VLOOKUP($B124,Seqs!$A:$B,2,0),AQ124,1),"")</f>
        <v>N</v>
      </c>
      <c r="AQ124" s="3">
        <v>316</v>
      </c>
      <c r="AR124" s="3" t="str">
        <f>IFERROR(MID(VLOOKUP($B124,Seqs!$A:$B,2,0),AS124,1),"")</f>
        <v>P</v>
      </c>
      <c r="AS124" s="3">
        <v>321</v>
      </c>
      <c r="AT124" s="3" t="str">
        <f>IFERROR(MID(VLOOKUP($B124,Seqs!$A:$B,2,0),AU124,1),"")</f>
        <v>R</v>
      </c>
      <c r="AU124" s="3">
        <v>345</v>
      </c>
      <c r="AV124" s="3" t="str">
        <f>IFERROR(MID(VLOOKUP($B124,Seqs!$A:$B,2,0),AW124,1),"")</f>
        <v>S</v>
      </c>
      <c r="AW124" s="3">
        <v>346</v>
      </c>
      <c r="AX124" s="3" t="str">
        <f>IFERROR(MID(VLOOKUP($B124,Seqs!$A:$B,2,0),AY124,1),"")</f>
        <v>C</v>
      </c>
      <c r="AY124" s="3">
        <v>358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700"/>
        <v>1</v>
      </c>
      <c r="BC124" s="23">
        <f t="shared" ref="BC124:BC216" si="1121">_xlfn.AGGREGATE(9,6,CH124:CS124)-_xlfn.AGGREGATE(9,6,BV124:CG124)+12</f>
        <v>259</v>
      </c>
      <c r="BD124" s="4" t="s">
        <v>23</v>
      </c>
      <c r="BE124" s="3" t="s">
        <v>1368</v>
      </c>
      <c r="BF124" s="118">
        <v>2.1</v>
      </c>
      <c r="BG124" s="49" t="s">
        <v>1371</v>
      </c>
      <c r="BH124" s="49" t="s">
        <v>1371</v>
      </c>
      <c r="BI124" s="1"/>
      <c r="BJ124" s="70" t="s">
        <v>1281</v>
      </c>
      <c r="BK124" s="57" t="s">
        <v>1281</v>
      </c>
      <c r="BL124" s="57" t="s">
        <v>1281</v>
      </c>
      <c r="BM124" s="57" t="s">
        <v>1281</v>
      </c>
      <c r="BN124" s="57" t="s">
        <v>1281</v>
      </c>
      <c r="BO124" s="57" t="s">
        <v>1281</v>
      </c>
      <c r="BP124" s="57" t="s">
        <v>1281</v>
      </c>
      <c r="BQ124" s="57" t="s">
        <v>1281</v>
      </c>
      <c r="BR124" s="57" t="s">
        <v>1281</v>
      </c>
      <c r="BS124" s="57" t="s">
        <v>1281</v>
      </c>
      <c r="BT124" s="57" t="s">
        <v>1281</v>
      </c>
      <c r="BU124" s="57" t="s">
        <v>1281</v>
      </c>
      <c r="BV124" s="70">
        <f t="shared" ref="BV124:BV216" si="1122">E124</f>
        <v>37</v>
      </c>
      <c r="BW124" s="71">
        <f t="shared" ref="BW124:BW216" si="1123">I124</f>
        <v>70</v>
      </c>
      <c r="BX124" s="72">
        <f t="shared" ref="BX124:BX216" si="1124">M124</f>
        <v>74</v>
      </c>
      <c r="BY124" s="71">
        <f t="shared" ref="BY124:BY216" si="1125">Q124</f>
        <v>106</v>
      </c>
      <c r="BZ124" s="72">
        <f t="shared" ref="BZ124:BZ216" si="1126">U124</f>
        <v>110</v>
      </c>
      <c r="CA124" s="71">
        <f t="shared" ref="CA124:CA216" si="1127">Y124</f>
        <v>146</v>
      </c>
      <c r="CB124" s="72">
        <f t="shared" ref="CB124:CB216" si="1128">AC124</f>
        <v>154</v>
      </c>
      <c r="CC124" s="71">
        <f t="shared" ref="CC124:CC216" si="1129">AG124</f>
        <v>199</v>
      </c>
      <c r="CD124" s="72">
        <f t="shared" ref="CD124:CD216" si="1130">AK124</f>
        <v>204</v>
      </c>
      <c r="CE124" s="71">
        <f t="shared" ref="CE124:CE216" si="1131">AO124</f>
        <v>279</v>
      </c>
      <c r="CF124" s="72">
        <f t="shared" ref="CF124:CF216" si="1132">AS124</f>
        <v>321</v>
      </c>
      <c r="CG124" s="71">
        <f t="shared" ref="CG124:CG216" si="1133">AW124</f>
        <v>346</v>
      </c>
      <c r="CH124" s="70">
        <f t="shared" ref="CH124:CH216" si="1134">G124</f>
        <v>69</v>
      </c>
      <c r="CI124" s="71">
        <f t="shared" ref="CI124:CI216" si="1135">K124</f>
        <v>73</v>
      </c>
      <c r="CJ124" s="72">
        <f t="shared" ref="CJ124:CJ216" si="1136">O124</f>
        <v>105</v>
      </c>
      <c r="CK124" s="72">
        <f t="shared" ref="CK124:CK216" si="1137">S124</f>
        <v>109</v>
      </c>
      <c r="CL124" s="72">
        <f t="shared" ref="CL124:CL216" si="1138">W124</f>
        <v>145</v>
      </c>
      <c r="CM124" s="72">
        <f t="shared" ref="CM124:CM216" si="1139">AA124</f>
        <v>153</v>
      </c>
      <c r="CN124" s="72">
        <f t="shared" ref="CN124:CN216" si="1140">AE124</f>
        <v>180</v>
      </c>
      <c r="CO124" s="72">
        <f t="shared" ref="CO124:CO216" si="1141">AI124</f>
        <v>201</v>
      </c>
      <c r="CP124" s="72">
        <f t="shared" ref="CP124:CP216" si="1142">AM124</f>
        <v>239</v>
      </c>
      <c r="CQ124" s="72">
        <f t="shared" ref="CQ124:CQ216" si="1143">AQ124</f>
        <v>316</v>
      </c>
      <c r="CR124" s="72">
        <f t="shared" ref="CR124:CR216" si="1144">AU124</f>
        <v>345</v>
      </c>
      <c r="CS124" s="72">
        <f t="shared" ref="CS124:CS216" si="1145">AY124</f>
        <v>358</v>
      </c>
      <c r="CT124" s="23">
        <f t="shared" ref="CT124:CT216" si="1146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699"/>
        <v>adrb1_melga_4GPO</v>
      </c>
      <c r="B125" s="3" t="s">
        <v>905</v>
      </c>
      <c r="C125" s="3" t="s">
        <v>1035</v>
      </c>
      <c r="D125" s="3" t="str">
        <f>IFERROR(MID(VLOOKUP($B125,Seqs!$A:$B,2,0),E125,1),"")</f>
        <v>S</v>
      </c>
      <c r="E125" s="3">
        <v>37</v>
      </c>
      <c r="F125" s="3" t="str">
        <f>IFERROR(MID(VLOOKUP($B125,Seqs!$A:$B,2,0),G125,1),"")</f>
        <v>T</v>
      </c>
      <c r="G125" s="3">
        <v>69</v>
      </c>
      <c r="H125" s="3" t="str">
        <f>IFERROR(MID(VLOOKUP($B125,Seqs!$A:$B,2,0),I125,1),"")</f>
        <v>Q</v>
      </c>
      <c r="I125" s="23">
        <v>70</v>
      </c>
      <c r="J125" s="3" t="str">
        <f>IFERROR(MID(VLOOKUP($B125,Seqs!$A:$B,2,0),K125,1),"")</f>
        <v>Q</v>
      </c>
      <c r="K125" s="23">
        <v>73</v>
      </c>
      <c r="L125" s="3" t="str">
        <f>IFERROR(MID(VLOOKUP($B125,Seqs!$A:$B,2,0),M125,1),"")</f>
        <v>T</v>
      </c>
      <c r="M125" s="3">
        <v>74</v>
      </c>
      <c r="N125" s="3" t="str">
        <f>IFERROR(MID(VLOOKUP($B125,Seqs!$A:$B,2,0),O125,1),"")</f>
        <v>R</v>
      </c>
      <c r="O125" s="3">
        <v>104</v>
      </c>
      <c r="P125" s="3" t="str">
        <f>IFERROR(MID(VLOOKUP($B125,Seqs!$A:$B,2,0),Q125,1),"")</f>
        <v>T</v>
      </c>
      <c r="Q125" s="3">
        <v>106</v>
      </c>
      <c r="R125" s="3" t="str">
        <f>IFERROR(MID(VLOOKUP($B125,Seqs!$A:$B,2,0),S125,1),"")</f>
        <v>W</v>
      </c>
      <c r="S125" s="3">
        <v>109</v>
      </c>
      <c r="T125" s="3" t="str">
        <f>IFERROR(MID(VLOOKUP($B125,Seqs!$A:$B,2,0),U125,1),"")</f>
        <v>G</v>
      </c>
      <c r="U125" s="3">
        <v>110</v>
      </c>
      <c r="V125" s="3" t="str">
        <f>IFERROR(MID(VLOOKUP($B125,Seqs!$A:$B,2,0),W125,1),"")</f>
        <v>S</v>
      </c>
      <c r="W125" s="3">
        <v>145</v>
      </c>
      <c r="X125" s="3" t="str">
        <f>IFERROR(MID(VLOOKUP($B125,Seqs!$A:$B,2,0),Y125,1),"")</f>
        <v>P</v>
      </c>
      <c r="Y125" s="3">
        <v>146</v>
      </c>
      <c r="Z125" s="3" t="str">
        <f>IFERROR(MID(VLOOKUP($B125,Seqs!$A:$B,2,0),AA125,1),"")</f>
        <v>M</v>
      </c>
      <c r="AA125" s="3">
        <v>153</v>
      </c>
      <c r="AB125" s="3" t="str">
        <f>IFERROR(MID(VLOOKUP($B125,Seqs!$A:$B,2,0),AC125,1),"")</f>
        <v>T</v>
      </c>
      <c r="AC125" s="9">
        <v>154</v>
      </c>
      <c r="AD125" s="3" t="str">
        <f>IFERROR(MID(VLOOKUP($B125,Seqs!$A:$B,2,0),AE125,1),"")</f>
        <v>H</v>
      </c>
      <c r="AE125" s="3">
        <v>180</v>
      </c>
      <c r="AF125" s="3" t="str">
        <f>IFERROR(MID(VLOOKUP($B125,Seqs!$A:$B,2,0),AG125,1),"")</f>
        <v>C</v>
      </c>
      <c r="AG125" s="3">
        <v>199</v>
      </c>
      <c r="AH125" s="3" t="str">
        <f>IFERROR(MID(VLOOKUP($B125,Seqs!$A:$B,2,0),AI125,1),"")</f>
        <v>F</v>
      </c>
      <c r="AI125" s="3">
        <v>201</v>
      </c>
      <c r="AJ125" s="3" t="str">
        <f>IFERROR(MID(VLOOKUP($B125,Seqs!$A:$B,2,0),AK125,1),"")</f>
        <v>N</v>
      </c>
      <c r="AK125" s="3">
        <v>204</v>
      </c>
      <c r="AL125" s="3" t="str">
        <f>IFERROR(MID(VLOOKUP($B125,Seqs!$A:$B,2,0),AM125,1),"")</f>
        <v>E</v>
      </c>
      <c r="AM125" s="3">
        <v>233</v>
      </c>
      <c r="AN125" s="3" t="str">
        <f>IFERROR(MID(VLOOKUP($B125,Seqs!$A:$B,2,0),AO125,1),"")</f>
        <v>M</v>
      </c>
      <c r="AO125" s="3">
        <v>283</v>
      </c>
      <c r="AP125" s="3" t="str">
        <f>IFERROR(MID(VLOOKUP($B125,Seqs!$A:$B,2,0),AQ125,1),"")</f>
        <v>N</v>
      </c>
      <c r="AQ125" s="3">
        <v>316</v>
      </c>
      <c r="AR125" s="3" t="str">
        <f>IFERROR(MID(VLOOKUP($B125,Seqs!$A:$B,2,0),AS125,1),"")</f>
        <v>P</v>
      </c>
      <c r="AS125" s="3">
        <v>321</v>
      </c>
      <c r="AT125" s="3" t="str">
        <f>IFERROR(MID(VLOOKUP($B125,Seqs!$A:$B,2,0),AU125,1),"")</f>
        <v>R</v>
      </c>
      <c r="AU125" s="3">
        <v>345</v>
      </c>
      <c r="AV125" s="3" t="str">
        <f>IFERROR(MID(VLOOKUP($B125,Seqs!$A:$B,2,0),AW125,1),"")</f>
        <v>S</v>
      </c>
      <c r="AW125" s="3">
        <v>346</v>
      </c>
      <c r="AX125" s="3" t="str">
        <f>IFERROR(MID(VLOOKUP($B125,Seqs!$A:$B,2,0),AY125,1),"")</f>
        <v>L</v>
      </c>
      <c r="AY125" s="3">
        <v>356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700"/>
        <v>1</v>
      </c>
      <c r="BC125" s="23">
        <f t="shared" si="1121"/>
        <v>246</v>
      </c>
      <c r="BD125" s="4" t="s">
        <v>23</v>
      </c>
      <c r="BE125" s="3" t="s">
        <v>1368</v>
      </c>
      <c r="BF125" s="118">
        <v>3.5</v>
      </c>
      <c r="BG125" s="49" t="s">
        <v>1371</v>
      </c>
      <c r="BH125" s="49" t="s">
        <v>1371</v>
      </c>
      <c r="BI125" s="1"/>
      <c r="BJ125" s="70" t="s">
        <v>1281</v>
      </c>
      <c r="BK125" s="57" t="s">
        <v>1281</v>
      </c>
      <c r="BL125" s="57" t="s">
        <v>1281</v>
      </c>
      <c r="BM125" s="57" t="s">
        <v>1281</v>
      </c>
      <c r="BN125" s="57" t="s">
        <v>1281</v>
      </c>
      <c r="BO125" s="57" t="s">
        <v>1281</v>
      </c>
      <c r="BP125" s="57" t="s">
        <v>1281</v>
      </c>
      <c r="BQ125" s="57" t="s">
        <v>1281</v>
      </c>
      <c r="BR125" s="57" t="s">
        <v>1281</v>
      </c>
      <c r="BS125" s="57" t="s">
        <v>1281</v>
      </c>
      <c r="BT125" s="57" t="s">
        <v>1281</v>
      </c>
      <c r="BU125" s="57" t="s">
        <v>1281</v>
      </c>
      <c r="BV125" s="70">
        <f t="shared" si="1122"/>
        <v>37</v>
      </c>
      <c r="BW125" s="71">
        <f t="shared" si="1123"/>
        <v>70</v>
      </c>
      <c r="BX125" s="72">
        <f t="shared" si="1124"/>
        <v>74</v>
      </c>
      <c r="BY125" s="71">
        <f t="shared" si="1125"/>
        <v>106</v>
      </c>
      <c r="BZ125" s="72">
        <f t="shared" si="1126"/>
        <v>110</v>
      </c>
      <c r="CA125" s="71">
        <f t="shared" si="1127"/>
        <v>146</v>
      </c>
      <c r="CB125" s="72">
        <f t="shared" si="1128"/>
        <v>154</v>
      </c>
      <c r="CC125" s="71">
        <f t="shared" si="1129"/>
        <v>199</v>
      </c>
      <c r="CD125" s="72">
        <f t="shared" si="1130"/>
        <v>204</v>
      </c>
      <c r="CE125" s="71">
        <f t="shared" si="1131"/>
        <v>283</v>
      </c>
      <c r="CF125" s="72">
        <f t="shared" si="1132"/>
        <v>321</v>
      </c>
      <c r="CG125" s="71">
        <f t="shared" si="1133"/>
        <v>346</v>
      </c>
      <c r="CH125" s="70">
        <f t="shared" si="1134"/>
        <v>69</v>
      </c>
      <c r="CI125" s="71">
        <f t="shared" si="1135"/>
        <v>73</v>
      </c>
      <c r="CJ125" s="72">
        <f t="shared" si="1136"/>
        <v>104</v>
      </c>
      <c r="CK125" s="72">
        <f t="shared" si="1137"/>
        <v>109</v>
      </c>
      <c r="CL125" s="72">
        <f t="shared" si="1138"/>
        <v>145</v>
      </c>
      <c r="CM125" s="72">
        <f t="shared" si="1139"/>
        <v>153</v>
      </c>
      <c r="CN125" s="72">
        <f t="shared" si="1140"/>
        <v>180</v>
      </c>
      <c r="CO125" s="72">
        <f t="shared" si="1141"/>
        <v>201</v>
      </c>
      <c r="CP125" s="72">
        <f t="shared" si="1142"/>
        <v>233</v>
      </c>
      <c r="CQ125" s="72">
        <f t="shared" si="1143"/>
        <v>316</v>
      </c>
      <c r="CR125" s="72">
        <f t="shared" si="1144"/>
        <v>345</v>
      </c>
      <c r="CS125" s="72">
        <f t="shared" si="1145"/>
        <v>356</v>
      </c>
      <c r="CT125" s="23">
        <f t="shared" si="1146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699"/>
        <v>adrb1_melga_5A8E</v>
      </c>
      <c r="B126" s="3" t="s">
        <v>905</v>
      </c>
      <c r="C126" s="3" t="s">
        <v>1052</v>
      </c>
      <c r="D126" s="3" t="str">
        <f>IFERROR(MID(VLOOKUP($B126,Seqs!$A:$B,2,0),E126,1),"")</f>
        <v>S</v>
      </c>
      <c r="E126" s="3">
        <v>37</v>
      </c>
      <c r="F126" s="3" t="str">
        <f>IFERROR(MID(VLOOKUP($B126,Seqs!$A:$B,2,0),G126,1),"")</f>
        <v>T</v>
      </c>
      <c r="G126" s="3">
        <v>69</v>
      </c>
      <c r="H126" s="3" t="str">
        <f>IFERROR(MID(VLOOKUP($B126,Seqs!$A:$B,2,0),I126,1),"")</f>
        <v>Q</v>
      </c>
      <c r="I126" s="23">
        <v>70</v>
      </c>
      <c r="J126" s="3" t="str">
        <f>IFERROR(MID(VLOOKUP($B126,Seqs!$A:$B,2,0),K126,1),"")</f>
        <v>Q</v>
      </c>
      <c r="K126" s="23">
        <v>73</v>
      </c>
      <c r="L126" s="3" t="str">
        <f>IFERROR(MID(VLOOKUP($B126,Seqs!$A:$B,2,0),M126,1),"")</f>
        <v>T</v>
      </c>
      <c r="M126" s="3">
        <v>74</v>
      </c>
      <c r="N126" s="3" t="str">
        <f>IFERROR(MID(VLOOKUP($B126,Seqs!$A:$B,2,0),O126,1),"")</f>
        <v>G</v>
      </c>
      <c r="O126" s="3">
        <v>105</v>
      </c>
      <c r="P126" s="3" t="str">
        <f>IFERROR(MID(VLOOKUP($B126,Seqs!$A:$B,2,0),Q126,1),"")</f>
        <v>T</v>
      </c>
      <c r="Q126" s="3">
        <v>106</v>
      </c>
      <c r="R126" s="3" t="str">
        <f>IFERROR(MID(VLOOKUP($B126,Seqs!$A:$B,2,0),S126,1),"")</f>
        <v>W</v>
      </c>
      <c r="S126" s="3">
        <v>109</v>
      </c>
      <c r="T126" s="3" t="str">
        <f>IFERROR(MID(VLOOKUP($B126,Seqs!$A:$B,2,0),U126,1),"")</f>
        <v>G</v>
      </c>
      <c r="U126" s="3">
        <v>110</v>
      </c>
      <c r="V126" s="3" t="str">
        <f>IFERROR(MID(VLOOKUP($B126,Seqs!$A:$B,2,0),W126,1),"")</f>
        <v>S</v>
      </c>
      <c r="W126" s="3">
        <v>145</v>
      </c>
      <c r="X126" s="3" t="str">
        <f>IFERROR(MID(VLOOKUP($B126,Seqs!$A:$B,2,0),Y126,1),"")</f>
        <v>P</v>
      </c>
      <c r="Y126" s="3">
        <v>146</v>
      </c>
      <c r="Z126" s="3" t="str">
        <f>IFERROR(MID(VLOOKUP($B126,Seqs!$A:$B,2,0),AA126,1),"")</f>
        <v>M</v>
      </c>
      <c r="AA126" s="3">
        <v>153</v>
      </c>
      <c r="AB126" s="3" t="str">
        <f>IFERROR(MID(VLOOKUP($B126,Seqs!$A:$B,2,0),AC126,1),"")</f>
        <v>T</v>
      </c>
      <c r="AC126" s="9">
        <v>154</v>
      </c>
      <c r="AD126" s="3" t="str">
        <f>IFERROR(MID(VLOOKUP($B126,Seqs!$A:$B,2,0),AE126,1),"")</f>
        <v>H</v>
      </c>
      <c r="AE126" s="3">
        <v>180</v>
      </c>
      <c r="AF126" s="3" t="str">
        <f>IFERROR(MID(VLOOKUP($B126,Seqs!$A:$B,2,0),AG126,1),"")</f>
        <v>C</v>
      </c>
      <c r="AG126" s="3">
        <v>199</v>
      </c>
      <c r="AH126" s="3" t="str">
        <f>IFERROR(MID(VLOOKUP($B126,Seqs!$A:$B,2,0),AI126,1),"")</f>
        <v>F</v>
      </c>
      <c r="AI126" s="3">
        <v>201</v>
      </c>
      <c r="AJ126" s="3" t="str">
        <f>IFERROR(MID(VLOOKUP($B126,Seqs!$A:$B,2,0),AK126,1),"")</f>
        <v>N</v>
      </c>
      <c r="AK126" s="3">
        <v>204</v>
      </c>
      <c r="AL126" s="3" t="str">
        <f>IFERROR(MID(VLOOKUP($B126,Seqs!$A:$B,2,0),AM126,1),"")</f>
        <v>R</v>
      </c>
      <c r="AM126" s="3">
        <v>239</v>
      </c>
      <c r="AN126" s="3" t="str">
        <f>IFERROR(MID(VLOOKUP($B126,Seqs!$A:$B,2,0),AO126,1),"")</f>
        <v>R</v>
      </c>
      <c r="AO126" s="3">
        <v>279</v>
      </c>
      <c r="AP126" s="3" t="str">
        <f>IFERROR(MID(VLOOKUP($B126,Seqs!$A:$B,2,0),AQ126,1),"")</f>
        <v>N</v>
      </c>
      <c r="AQ126" s="3">
        <v>316</v>
      </c>
      <c r="AR126" s="3" t="str">
        <f>IFERROR(MID(VLOOKUP($B126,Seqs!$A:$B,2,0),AS126,1),"")</f>
        <v>P</v>
      </c>
      <c r="AS126" s="3">
        <v>321</v>
      </c>
      <c r="AT126" s="3" t="str">
        <f>IFERROR(MID(VLOOKUP($B126,Seqs!$A:$B,2,0),AU126,1),"")</f>
        <v>R</v>
      </c>
      <c r="AU126" s="3">
        <v>345</v>
      </c>
      <c r="AV126" s="3" t="str">
        <f>IFERROR(MID(VLOOKUP($B126,Seqs!$A:$B,2,0),AW126,1),"")</f>
        <v>S</v>
      </c>
      <c r="AW126" s="3">
        <v>346</v>
      </c>
      <c r="AX126" s="3" t="str">
        <f>IFERROR(MID(VLOOKUP($B126,Seqs!$A:$B,2,0),AY126,1),"")</f>
        <v>K</v>
      </c>
      <c r="AY126" s="3">
        <v>354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si="700"/>
        <v>1</v>
      </c>
      <c r="BC126" s="23">
        <f t="shared" si="1121"/>
        <v>255</v>
      </c>
      <c r="BD126" s="4" t="s">
        <v>23</v>
      </c>
      <c r="BE126" s="3" t="s">
        <v>1368</v>
      </c>
      <c r="BF126" s="118">
        <v>2.42</v>
      </c>
      <c r="BG126" s="49" t="s">
        <v>1371</v>
      </c>
      <c r="BH126" s="49" t="s">
        <v>1371</v>
      </c>
      <c r="BI126" s="1"/>
      <c r="BJ126" s="70" t="s">
        <v>1281</v>
      </c>
      <c r="BK126" s="57" t="s">
        <v>1281</v>
      </c>
      <c r="BL126" s="57" t="s">
        <v>1281</v>
      </c>
      <c r="BM126" s="57" t="s">
        <v>1281</v>
      </c>
      <c r="BN126" s="57" t="s">
        <v>1281</v>
      </c>
      <c r="BO126" s="57" t="s">
        <v>1281</v>
      </c>
      <c r="BP126" s="57" t="s">
        <v>1281</v>
      </c>
      <c r="BQ126" s="57" t="s">
        <v>1281</v>
      </c>
      <c r="BR126" s="57" t="s">
        <v>1281</v>
      </c>
      <c r="BS126" s="57" t="s">
        <v>1281</v>
      </c>
      <c r="BT126" s="57" t="s">
        <v>1281</v>
      </c>
      <c r="BU126" s="57" t="s">
        <v>1281</v>
      </c>
      <c r="BV126" s="70">
        <f t="shared" si="1122"/>
        <v>37</v>
      </c>
      <c r="BW126" s="71">
        <f t="shared" si="1123"/>
        <v>70</v>
      </c>
      <c r="BX126" s="72">
        <f t="shared" si="1124"/>
        <v>74</v>
      </c>
      <c r="BY126" s="71">
        <f t="shared" si="1125"/>
        <v>106</v>
      </c>
      <c r="BZ126" s="72">
        <f t="shared" si="1126"/>
        <v>110</v>
      </c>
      <c r="CA126" s="71">
        <f t="shared" si="1127"/>
        <v>146</v>
      </c>
      <c r="CB126" s="72">
        <f t="shared" si="1128"/>
        <v>154</v>
      </c>
      <c r="CC126" s="71">
        <f t="shared" si="1129"/>
        <v>199</v>
      </c>
      <c r="CD126" s="72">
        <f t="shared" si="1130"/>
        <v>204</v>
      </c>
      <c r="CE126" s="71">
        <f t="shared" si="1131"/>
        <v>279</v>
      </c>
      <c r="CF126" s="72">
        <f t="shared" si="1132"/>
        <v>321</v>
      </c>
      <c r="CG126" s="71">
        <f t="shared" si="1133"/>
        <v>346</v>
      </c>
      <c r="CH126" s="70">
        <f t="shared" si="1134"/>
        <v>69</v>
      </c>
      <c r="CI126" s="71">
        <f t="shared" si="1135"/>
        <v>73</v>
      </c>
      <c r="CJ126" s="72">
        <f t="shared" si="1136"/>
        <v>105</v>
      </c>
      <c r="CK126" s="72">
        <f t="shared" si="1137"/>
        <v>109</v>
      </c>
      <c r="CL126" s="72">
        <f t="shared" si="1138"/>
        <v>145</v>
      </c>
      <c r="CM126" s="72">
        <f t="shared" si="1139"/>
        <v>153</v>
      </c>
      <c r="CN126" s="72">
        <f t="shared" si="1140"/>
        <v>180</v>
      </c>
      <c r="CO126" s="72">
        <f t="shared" si="1141"/>
        <v>201</v>
      </c>
      <c r="CP126" s="72">
        <f t="shared" si="1142"/>
        <v>239</v>
      </c>
      <c r="CQ126" s="72">
        <f t="shared" si="1143"/>
        <v>316</v>
      </c>
      <c r="CR126" s="72">
        <f t="shared" si="1144"/>
        <v>345</v>
      </c>
      <c r="CS126" s="72">
        <f t="shared" si="1145"/>
        <v>354</v>
      </c>
      <c r="CT126" s="23">
        <f t="shared" si="1146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699"/>
        <v>adrb1_melga_5F8U</v>
      </c>
      <c r="B127" s="3" t="s">
        <v>905</v>
      </c>
      <c r="C127" s="3" t="s">
        <v>1348</v>
      </c>
      <c r="D127" s="3" t="str">
        <f>IFERROR(MID(VLOOKUP($B127,Seqs!$A:$B,2,0),E127,1),"")</f>
        <v>W</v>
      </c>
      <c r="E127" s="3">
        <v>40</v>
      </c>
      <c r="F127" s="3" t="str">
        <f>IFERROR(MID(VLOOKUP($B127,Seqs!$A:$B,2,0),G127,1),"")</f>
        <v>T</v>
      </c>
      <c r="G127" s="3">
        <v>69</v>
      </c>
      <c r="H127" s="3" t="str">
        <f>IFERROR(MID(VLOOKUP($B127,Seqs!$A:$B,2,0),I127,1),"")</f>
        <v>Q</v>
      </c>
      <c r="I127" s="23">
        <v>70</v>
      </c>
      <c r="J127" s="3" t="str">
        <f>IFERROR(MID(VLOOKUP($B127,Seqs!$A:$B,2,0),K127,1),"")</f>
        <v>Q</v>
      </c>
      <c r="K127" s="23">
        <v>73</v>
      </c>
      <c r="L127" s="3" t="str">
        <f>IFERROR(MID(VLOOKUP($B127,Seqs!$A:$B,2,0),M127,1),"")</f>
        <v>T</v>
      </c>
      <c r="M127" s="3">
        <v>74</v>
      </c>
      <c r="N127" s="3" t="str">
        <f>IFERROR(MID(VLOOKUP($B127,Seqs!$A:$B,2,0),O127,1),"")</f>
        <v>G</v>
      </c>
      <c r="O127" s="3">
        <v>105</v>
      </c>
      <c r="P127" s="3" t="str">
        <f>IFERROR(MID(VLOOKUP($B127,Seqs!$A:$B,2,0),Q127,1),"")</f>
        <v>T</v>
      </c>
      <c r="Q127" s="3">
        <v>106</v>
      </c>
      <c r="R127" s="3" t="str">
        <f>IFERROR(MID(VLOOKUP($B127,Seqs!$A:$B,2,0),S127,1),"")</f>
        <v>W</v>
      </c>
      <c r="S127" s="3">
        <v>109</v>
      </c>
      <c r="T127" s="3" t="str">
        <f>IFERROR(MID(VLOOKUP($B127,Seqs!$A:$B,2,0),U127,1),"")</f>
        <v>G</v>
      </c>
      <c r="U127" s="3">
        <v>110</v>
      </c>
      <c r="V127" s="3" t="str">
        <f>IFERROR(MID(VLOOKUP($B127,Seqs!$A:$B,2,0),W127,1),"")</f>
        <v>S</v>
      </c>
      <c r="W127" s="3">
        <v>145</v>
      </c>
      <c r="X127" s="3" t="str">
        <f>IFERROR(MID(VLOOKUP($B127,Seqs!$A:$B,2,0),Y127,1),"")</f>
        <v>P</v>
      </c>
      <c r="Y127" s="3">
        <v>146</v>
      </c>
      <c r="Z127" s="3" t="str">
        <f>IFERROR(MID(VLOOKUP($B127,Seqs!$A:$B,2,0),AA127,1),"")</f>
        <v>M</v>
      </c>
      <c r="AA127" s="3">
        <v>153</v>
      </c>
      <c r="AB127" s="3" t="str">
        <f>IFERROR(MID(VLOOKUP($B127,Seqs!$A:$B,2,0),AC127,1),"")</f>
        <v>T</v>
      </c>
      <c r="AC127" s="9">
        <v>154</v>
      </c>
      <c r="AD127" s="3" t="str">
        <f>IFERROR(MID(VLOOKUP($B127,Seqs!$A:$B,2,0),AE127,1),"")</f>
        <v>H</v>
      </c>
      <c r="AE127" s="3">
        <v>180</v>
      </c>
      <c r="AF127" s="3" t="str">
        <f>IFERROR(MID(VLOOKUP($B127,Seqs!$A:$B,2,0),AG127,1),"")</f>
        <v>C</v>
      </c>
      <c r="AG127" s="3">
        <v>199</v>
      </c>
      <c r="AH127" s="3" t="str">
        <f>IFERROR(MID(VLOOKUP($B127,Seqs!$A:$B,2,0),AI127,1),"")</f>
        <v>F</v>
      </c>
      <c r="AI127" s="3">
        <v>201</v>
      </c>
      <c r="AJ127" s="3" t="str">
        <f>IFERROR(MID(VLOOKUP($B127,Seqs!$A:$B,2,0),AK127,1),"")</f>
        <v>N</v>
      </c>
      <c r="AK127" s="3">
        <v>204</v>
      </c>
      <c r="AL127" s="3" t="str">
        <f>IFERROR(MID(VLOOKUP($B127,Seqs!$A:$B,2,0),AM127,1),"")</f>
        <v>Q</v>
      </c>
      <c r="AM127" s="3">
        <v>237</v>
      </c>
      <c r="AN127" s="3" t="str">
        <f>IFERROR(MID(VLOOKUP($B127,Seqs!$A:$B,2,0),AO127,1),"")</f>
        <v>R</v>
      </c>
      <c r="AO127" s="3">
        <v>284</v>
      </c>
      <c r="AP127" s="3" t="str">
        <f>IFERROR(MID(VLOOKUP($B127,Seqs!$A:$B,2,0),AQ127,1),"")</f>
        <v>N</v>
      </c>
      <c r="AQ127" s="3">
        <v>316</v>
      </c>
      <c r="AR127" s="3" t="str">
        <f>IFERROR(MID(VLOOKUP($B127,Seqs!$A:$B,2,0),AS127,1),"")</f>
        <v>P</v>
      </c>
      <c r="AS127" s="3">
        <v>321</v>
      </c>
      <c r="AT127" s="3" t="str">
        <f>IFERROR(MID(VLOOKUP($B127,Seqs!$A:$B,2,0),AU127,1),"")</f>
        <v>R</v>
      </c>
      <c r="AU127" s="3">
        <v>345</v>
      </c>
      <c r="AV127" s="3" t="str">
        <f>IFERROR(MID(VLOOKUP($B127,Seqs!$A:$B,2,0),AW127,1),"")</f>
        <v>S</v>
      </c>
      <c r="AW127" s="3">
        <v>346</v>
      </c>
      <c r="AX127" s="3" t="str">
        <f>IFERROR(MID(VLOOKUP($B127,Seqs!$A:$B,2,0),AY127,1),"")</f>
        <v>C</v>
      </c>
      <c r="AY127" s="3">
        <v>358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si="700"/>
        <v>1</v>
      </c>
      <c r="BC127" s="23">
        <f t="shared" si="1121"/>
        <v>249</v>
      </c>
      <c r="BD127" s="5" t="s">
        <v>23</v>
      </c>
      <c r="BE127" s="3" t="s">
        <v>1368</v>
      </c>
      <c r="BF127" s="118">
        <v>3.35</v>
      </c>
      <c r="BG127" s="49" t="s">
        <v>1371</v>
      </c>
      <c r="BH127" s="49" t="s">
        <v>1371</v>
      </c>
      <c r="BI127" s="1"/>
      <c r="BJ127" s="70" t="s">
        <v>1281</v>
      </c>
      <c r="BK127" s="57" t="s">
        <v>1281</v>
      </c>
      <c r="BL127" s="57" t="s">
        <v>1281</v>
      </c>
      <c r="BM127" s="57" t="s">
        <v>1281</v>
      </c>
      <c r="BN127" s="57" t="s">
        <v>1281</v>
      </c>
      <c r="BO127" s="57" t="s">
        <v>1281</v>
      </c>
      <c r="BP127" s="57" t="s">
        <v>1281</v>
      </c>
      <c r="BQ127" s="57" t="s">
        <v>1281</v>
      </c>
      <c r="BR127" s="57" t="s">
        <v>1281</v>
      </c>
      <c r="BS127" s="57" t="s">
        <v>1281</v>
      </c>
      <c r="BT127" s="57" t="s">
        <v>1281</v>
      </c>
      <c r="BU127" s="57" t="s">
        <v>1281</v>
      </c>
      <c r="BV127" s="70">
        <f t="shared" si="1122"/>
        <v>40</v>
      </c>
      <c r="BW127" s="71">
        <f t="shared" si="1123"/>
        <v>70</v>
      </c>
      <c r="BX127" s="72">
        <f t="shared" si="1124"/>
        <v>74</v>
      </c>
      <c r="BY127" s="71">
        <f t="shared" si="1125"/>
        <v>106</v>
      </c>
      <c r="BZ127" s="72">
        <f t="shared" si="1126"/>
        <v>110</v>
      </c>
      <c r="CA127" s="71">
        <f t="shared" si="1127"/>
        <v>146</v>
      </c>
      <c r="CB127" s="72">
        <f t="shared" si="1128"/>
        <v>154</v>
      </c>
      <c r="CC127" s="71">
        <f t="shared" si="1129"/>
        <v>199</v>
      </c>
      <c r="CD127" s="72">
        <f t="shared" si="1130"/>
        <v>204</v>
      </c>
      <c r="CE127" s="71">
        <f t="shared" si="1131"/>
        <v>284</v>
      </c>
      <c r="CF127" s="72">
        <f t="shared" si="1132"/>
        <v>321</v>
      </c>
      <c r="CG127" s="71">
        <f t="shared" si="1133"/>
        <v>346</v>
      </c>
      <c r="CH127" s="70">
        <f t="shared" si="1134"/>
        <v>69</v>
      </c>
      <c r="CI127" s="71">
        <f t="shared" si="1135"/>
        <v>73</v>
      </c>
      <c r="CJ127" s="72">
        <f t="shared" si="1136"/>
        <v>105</v>
      </c>
      <c r="CK127" s="72">
        <f t="shared" si="1137"/>
        <v>109</v>
      </c>
      <c r="CL127" s="72">
        <f t="shared" si="1138"/>
        <v>145</v>
      </c>
      <c r="CM127" s="72">
        <f t="shared" si="1139"/>
        <v>153</v>
      </c>
      <c r="CN127" s="72">
        <f t="shared" si="1140"/>
        <v>180</v>
      </c>
      <c r="CO127" s="72">
        <f t="shared" si="1141"/>
        <v>201</v>
      </c>
      <c r="CP127" s="72">
        <f t="shared" si="1142"/>
        <v>237</v>
      </c>
      <c r="CQ127" s="72">
        <f t="shared" si="1143"/>
        <v>316</v>
      </c>
      <c r="CR127" s="72">
        <f t="shared" si="1144"/>
        <v>345</v>
      </c>
      <c r="CS127" s="72">
        <f t="shared" si="1145"/>
        <v>358</v>
      </c>
      <c r="CT127" s="23">
        <f t="shared" si="1146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ref="A128" si="1147">CONCATENATE(B128,"_",C128)</f>
        <v>adrb1_melga_6H7J</v>
      </c>
      <c r="B128" s="3" t="s">
        <v>905</v>
      </c>
      <c r="C128" s="3" t="s">
        <v>1513</v>
      </c>
      <c r="D128" s="3" t="str">
        <f>IFERROR(MID(VLOOKUP($B128,Seqs!$A:$B,2,0),E128,1),"")</f>
        <v>W</v>
      </c>
      <c r="E128" s="3">
        <v>40</v>
      </c>
      <c r="F128" s="3" t="str">
        <f>IFERROR(MID(VLOOKUP($B128,Seqs!$A:$B,2,0),G128,1),"")</f>
        <v>T</v>
      </c>
      <c r="G128" s="3">
        <v>69</v>
      </c>
      <c r="H128" s="3" t="str">
        <f>IFERROR(MID(VLOOKUP($B128,Seqs!$A:$B,2,0),I128,1),"")</f>
        <v>Q</v>
      </c>
      <c r="I128" s="23">
        <v>70</v>
      </c>
      <c r="J128" s="3" t="str">
        <f>IFERROR(MID(VLOOKUP($B128,Seqs!$A:$B,2,0),K128,1),"")</f>
        <v>Q</v>
      </c>
      <c r="K128" s="23">
        <v>73</v>
      </c>
      <c r="L128" s="3" t="str">
        <f>IFERROR(MID(VLOOKUP($B128,Seqs!$A:$B,2,0),M128,1),"")</f>
        <v>T</v>
      </c>
      <c r="M128" s="3">
        <v>74</v>
      </c>
      <c r="N128" s="3" t="str">
        <f>IFERROR(MID(VLOOKUP($B128,Seqs!$A:$B,2,0),O128,1),"")</f>
        <v>R</v>
      </c>
      <c r="O128" s="3">
        <v>104</v>
      </c>
      <c r="P128" s="3" t="str">
        <f>IFERROR(MID(VLOOKUP($B128,Seqs!$A:$B,2,0),Q128,1),"")</f>
        <v>T</v>
      </c>
      <c r="Q128" s="3">
        <v>106</v>
      </c>
      <c r="R128" s="3" t="str">
        <f>IFERROR(MID(VLOOKUP($B128,Seqs!$A:$B,2,0),S128,1),"")</f>
        <v>W</v>
      </c>
      <c r="S128" s="3">
        <v>109</v>
      </c>
      <c r="T128" s="3" t="str">
        <f>IFERROR(MID(VLOOKUP($B128,Seqs!$A:$B,2,0),U128,1),"")</f>
        <v>G</v>
      </c>
      <c r="U128" s="3">
        <v>110</v>
      </c>
      <c r="V128" s="3" t="str">
        <f>IFERROR(MID(VLOOKUP($B128,Seqs!$A:$B,2,0),W128,1),"")</f>
        <v>S</v>
      </c>
      <c r="W128" s="3">
        <v>145</v>
      </c>
      <c r="X128" s="3" t="str">
        <f>IFERROR(MID(VLOOKUP($B128,Seqs!$A:$B,2,0),Y128,1),"")</f>
        <v>P</v>
      </c>
      <c r="Y128" s="3">
        <v>146</v>
      </c>
      <c r="Z128" s="3" t="str">
        <f>IFERROR(MID(VLOOKUP($B128,Seqs!$A:$B,2,0),AA128,1),"")</f>
        <v>M</v>
      </c>
      <c r="AA128" s="3">
        <v>153</v>
      </c>
      <c r="AB128" s="3" t="str">
        <f>IFERROR(MID(VLOOKUP($B128,Seqs!$A:$B,2,0),AC128,1),"")</f>
        <v>T</v>
      </c>
      <c r="AC128" s="3">
        <v>154</v>
      </c>
      <c r="AD128" s="3" t="str">
        <f>IFERROR(MID(VLOOKUP($B128,Seqs!$A:$B,2,0),AE128,1),"")</f>
        <v>H</v>
      </c>
      <c r="AE128" s="3">
        <v>180</v>
      </c>
      <c r="AF128" s="3" t="str">
        <f>IFERROR(MID(VLOOKUP($B128,Seqs!$A:$B,2,0),AG128,1),"")</f>
        <v>C</v>
      </c>
      <c r="AG128" s="3">
        <v>199</v>
      </c>
      <c r="AH128" s="3" t="str">
        <f>IFERROR(MID(VLOOKUP($B128,Seqs!$A:$B,2,0),AI128,1),"")</f>
        <v>F</v>
      </c>
      <c r="AI128" s="3">
        <v>201</v>
      </c>
      <c r="AJ128" s="3" t="str">
        <f>IFERROR(MID(VLOOKUP($B128,Seqs!$A:$B,2,0),AK128,1),"")</f>
        <v>N</v>
      </c>
      <c r="AK128" s="3">
        <v>204</v>
      </c>
      <c r="AL128" s="3" t="str">
        <f>IFERROR(MID(VLOOKUP($B128,Seqs!$A:$B,2,0),AM128,1),"")</f>
        <v>S</v>
      </c>
      <c r="AM128" s="3">
        <v>273</v>
      </c>
      <c r="AN128" s="3" t="str">
        <f>IFERROR(MID(VLOOKUP($B128,Seqs!$A:$B,2,0),AO128,1),"")</f>
        <v>A</v>
      </c>
      <c r="AO128" s="3">
        <v>282</v>
      </c>
      <c r="AP128" s="3" t="str">
        <f>IFERROR(MID(VLOOKUP($B128,Seqs!$A:$B,2,0),AQ128,1),"")</f>
        <v>N</v>
      </c>
      <c r="AQ128" s="3">
        <v>316</v>
      </c>
      <c r="AR128" s="3" t="str">
        <f>IFERROR(MID(VLOOKUP($B128,Seqs!$A:$B,2,0),AS128,1),"")</f>
        <v>P</v>
      </c>
      <c r="AS128" s="3">
        <v>321</v>
      </c>
      <c r="AT128" s="3" t="str">
        <f>IFERROR(MID(VLOOKUP($B128,Seqs!$A:$B,2,0),AU128,1),"")</f>
        <v>R</v>
      </c>
      <c r="AU128" s="3">
        <v>345</v>
      </c>
      <c r="AV128" s="3" t="str">
        <f>IFERROR(MID(VLOOKUP($B128,Seqs!$A:$B,2,0),AW128,1),"")</f>
        <v>S</v>
      </c>
      <c r="AW128" s="3">
        <v>346</v>
      </c>
      <c r="AX128" s="3" t="str">
        <f>IFERROR(MID(VLOOKUP($B128,Seqs!$A:$B,2,0),AY128,1),"")</f>
        <v>L</v>
      </c>
      <c r="AY128" s="3">
        <v>357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ref="BB128" si="1148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 t="shared" ref="BC128" si="1149">_xlfn.AGGREGATE(9,6,CH128:CS128)-_xlfn.AGGREGATE(9,6,BV128:CG128)+12</f>
        <v>285</v>
      </c>
      <c r="BD128" s="5" t="s">
        <v>23</v>
      </c>
      <c r="BE128" s="3" t="s">
        <v>1285</v>
      </c>
      <c r="BF128" s="118">
        <v>2.8</v>
      </c>
      <c r="BG128" s="49" t="s">
        <v>1</v>
      </c>
      <c r="BH128" s="49" t="s">
        <v>1</v>
      </c>
      <c r="BI128" s="1"/>
      <c r="BJ128" s="70" t="s">
        <v>1281</v>
      </c>
      <c r="BK128" s="57" t="s">
        <v>1281</v>
      </c>
      <c r="BL128" s="57" t="s">
        <v>1281</v>
      </c>
      <c r="BM128" s="57" t="s">
        <v>1281</v>
      </c>
      <c r="BN128" s="57" t="s">
        <v>1281</v>
      </c>
      <c r="BO128" s="57" t="s">
        <v>1281</v>
      </c>
      <c r="BP128" s="57" t="s">
        <v>1281</v>
      </c>
      <c r="BQ128" s="57" t="s">
        <v>1281</v>
      </c>
      <c r="BR128" s="57" t="s">
        <v>1281</v>
      </c>
      <c r="BS128" s="57" t="s">
        <v>1281</v>
      </c>
      <c r="BT128" s="57" t="s">
        <v>1281</v>
      </c>
      <c r="BU128" s="57" t="s">
        <v>1281</v>
      </c>
      <c r="BV128" s="70">
        <f t="shared" ref="BV128" si="1150">E128</f>
        <v>40</v>
      </c>
      <c r="BW128" s="71">
        <f t="shared" ref="BW128" si="1151">I128</f>
        <v>70</v>
      </c>
      <c r="BX128" s="72">
        <f t="shared" ref="BX128" si="1152">M128</f>
        <v>74</v>
      </c>
      <c r="BY128" s="71">
        <f t="shared" ref="BY128" si="1153">Q128</f>
        <v>106</v>
      </c>
      <c r="BZ128" s="72">
        <f t="shared" ref="BZ128" si="1154">U128</f>
        <v>110</v>
      </c>
      <c r="CA128" s="71">
        <f t="shared" ref="CA128" si="1155">Y128</f>
        <v>146</v>
      </c>
      <c r="CB128" s="72">
        <f t="shared" ref="CB128" si="1156">AC128</f>
        <v>154</v>
      </c>
      <c r="CC128" s="71">
        <f t="shared" ref="CC128" si="1157">AG128</f>
        <v>199</v>
      </c>
      <c r="CD128" s="72">
        <f t="shared" ref="CD128" si="1158">AK128</f>
        <v>204</v>
      </c>
      <c r="CE128" s="71">
        <f t="shared" ref="CE128" si="1159">AO128</f>
        <v>282</v>
      </c>
      <c r="CF128" s="72">
        <f t="shared" ref="CF128" si="1160">AS128</f>
        <v>321</v>
      </c>
      <c r="CG128" s="71">
        <f t="shared" ref="CG128" si="1161">AW128</f>
        <v>346</v>
      </c>
      <c r="CH128" s="70">
        <f t="shared" ref="CH128" si="1162">G128</f>
        <v>69</v>
      </c>
      <c r="CI128" s="71">
        <f t="shared" ref="CI128" si="1163">K128</f>
        <v>73</v>
      </c>
      <c r="CJ128" s="72">
        <f t="shared" ref="CJ128" si="1164">O128</f>
        <v>104</v>
      </c>
      <c r="CK128" s="72">
        <f t="shared" ref="CK128" si="1165">S128</f>
        <v>109</v>
      </c>
      <c r="CL128" s="72">
        <f t="shared" ref="CL128" si="1166">W128</f>
        <v>145</v>
      </c>
      <c r="CM128" s="72">
        <f t="shared" ref="CM128" si="1167">AA128</f>
        <v>153</v>
      </c>
      <c r="CN128" s="72">
        <f t="shared" ref="CN128" si="1168">AE128</f>
        <v>180</v>
      </c>
      <c r="CO128" s="72">
        <f t="shared" ref="CO128" si="1169">AI128</f>
        <v>201</v>
      </c>
      <c r="CP128" s="72">
        <f t="shared" ref="CP128" si="1170">AM128</f>
        <v>273</v>
      </c>
      <c r="CQ128" s="72">
        <f t="shared" ref="CQ128" si="1171">AQ128</f>
        <v>316</v>
      </c>
      <c r="CR128" s="72">
        <f t="shared" ref="CR128" si="1172">AU128</f>
        <v>345</v>
      </c>
      <c r="CS128" s="72">
        <f t="shared" ref="CS128" si="1173">AY128</f>
        <v>357</v>
      </c>
      <c r="CT128" s="23">
        <f t="shared" ref="CT128" si="1174"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3" t="str">
        <f t="shared" ref="A129" si="1175">CONCATENATE(B129,"_",C129)</f>
        <v>adrb1_melga_6H7L</v>
      </c>
      <c r="B129" s="3" t="s">
        <v>905</v>
      </c>
      <c r="C129" s="3" t="s">
        <v>1514</v>
      </c>
      <c r="D129" s="3" t="str">
        <f>IFERROR(MID(VLOOKUP($B129,Seqs!$A:$B,2,0),E129,1),"")</f>
        <v>W</v>
      </c>
      <c r="E129" s="3">
        <v>40</v>
      </c>
      <c r="F129" s="3" t="str">
        <f>IFERROR(MID(VLOOKUP($B129,Seqs!$A:$B,2,0),G129,1),"")</f>
        <v>T</v>
      </c>
      <c r="G129" s="3">
        <v>69</v>
      </c>
      <c r="H129" s="3" t="str">
        <f>IFERROR(MID(VLOOKUP($B129,Seqs!$A:$B,2,0),I129,1),"")</f>
        <v>Q</v>
      </c>
      <c r="I129" s="23">
        <v>70</v>
      </c>
      <c r="J129" s="3" t="str">
        <f>IFERROR(MID(VLOOKUP($B129,Seqs!$A:$B,2,0),K129,1),"")</f>
        <v>Q</v>
      </c>
      <c r="K129" s="23">
        <v>73</v>
      </c>
      <c r="L129" s="3" t="str">
        <f>IFERROR(MID(VLOOKUP($B129,Seqs!$A:$B,2,0),M129,1),"")</f>
        <v>T</v>
      </c>
      <c r="M129" s="3">
        <v>74</v>
      </c>
      <c r="N129" s="3" t="str">
        <f>IFERROR(MID(VLOOKUP($B129,Seqs!$A:$B,2,0),O129,1),"")</f>
        <v>G</v>
      </c>
      <c r="O129" s="3">
        <v>105</v>
      </c>
      <c r="P129" s="3" t="str">
        <f>IFERROR(MID(VLOOKUP($B129,Seqs!$A:$B,2,0),Q129,1),"")</f>
        <v>T</v>
      </c>
      <c r="Q129" s="3">
        <v>106</v>
      </c>
      <c r="R129" s="3" t="str">
        <f>IFERROR(MID(VLOOKUP($B129,Seqs!$A:$B,2,0),S129,1),"")</f>
        <v>W</v>
      </c>
      <c r="S129" s="3">
        <v>109</v>
      </c>
      <c r="T129" s="3" t="str">
        <f>IFERROR(MID(VLOOKUP($B129,Seqs!$A:$B,2,0),U129,1),"")</f>
        <v>G</v>
      </c>
      <c r="U129" s="3">
        <v>110</v>
      </c>
      <c r="V129" s="3" t="str">
        <f>IFERROR(MID(VLOOKUP($B129,Seqs!$A:$B,2,0),W129,1),"")</f>
        <v>S</v>
      </c>
      <c r="W129" s="3">
        <v>145</v>
      </c>
      <c r="X129" s="3" t="str">
        <f>IFERROR(MID(VLOOKUP($B129,Seqs!$A:$B,2,0),Y129,1),"")</f>
        <v>P</v>
      </c>
      <c r="Y129" s="3">
        <v>146</v>
      </c>
      <c r="Z129" s="3" t="str">
        <f>IFERROR(MID(VLOOKUP($B129,Seqs!$A:$B,2,0),AA129,1),"")</f>
        <v>M</v>
      </c>
      <c r="AA129" s="3">
        <v>153</v>
      </c>
      <c r="AB129" s="3" t="str">
        <f>IFERROR(MID(VLOOKUP($B129,Seqs!$A:$B,2,0),AC129,1),"")</f>
        <v>T</v>
      </c>
      <c r="AC129" s="3">
        <v>154</v>
      </c>
      <c r="AD129" s="3" t="str">
        <f>IFERROR(MID(VLOOKUP($B129,Seqs!$A:$B,2,0),AE129,1),"")</f>
        <v>H</v>
      </c>
      <c r="AE129" s="3">
        <v>180</v>
      </c>
      <c r="AF129" s="3" t="str">
        <f>IFERROR(MID(VLOOKUP($B129,Seqs!$A:$B,2,0),AG129,1),"")</f>
        <v>C</v>
      </c>
      <c r="AG129" s="3">
        <v>199</v>
      </c>
      <c r="AH129" s="3" t="str">
        <f>IFERROR(MID(VLOOKUP($B129,Seqs!$A:$B,2,0),AI129,1),"")</f>
        <v>F</v>
      </c>
      <c r="AI129" s="3">
        <v>201</v>
      </c>
      <c r="AJ129" s="3" t="str">
        <f>IFERROR(MID(VLOOKUP($B129,Seqs!$A:$B,2,0),AK129,1),"")</f>
        <v>N</v>
      </c>
      <c r="AK129" s="3">
        <v>204</v>
      </c>
      <c r="AL129" s="3" t="str">
        <f>IFERROR(MID(VLOOKUP($B129,Seqs!$A:$B,2,0),AM129,1),"")</f>
        <v>S</v>
      </c>
      <c r="AM129" s="3">
        <v>273</v>
      </c>
      <c r="AN129" s="3" t="str">
        <f>IFERROR(MID(VLOOKUP($B129,Seqs!$A:$B,2,0),AO129,1),"")</f>
        <v>A</v>
      </c>
      <c r="AO129" s="3">
        <v>282</v>
      </c>
      <c r="AP129" s="3" t="str">
        <f>IFERROR(MID(VLOOKUP($B129,Seqs!$A:$B,2,0),AQ129,1),"")</f>
        <v>N</v>
      </c>
      <c r="AQ129" s="3">
        <v>316</v>
      </c>
      <c r="AR129" s="3" t="str">
        <f>IFERROR(MID(VLOOKUP($B129,Seqs!$A:$B,2,0),AS129,1),"")</f>
        <v>P</v>
      </c>
      <c r="AS129" s="3">
        <v>321</v>
      </c>
      <c r="AT129" s="3" t="str">
        <f>IFERROR(MID(VLOOKUP($B129,Seqs!$A:$B,2,0),AU129,1),"")</f>
        <v>R</v>
      </c>
      <c r="AU129" s="3">
        <v>345</v>
      </c>
      <c r="AV129" s="3" t="str">
        <f>IFERROR(MID(VLOOKUP($B129,Seqs!$A:$B,2,0),AW129,1),"")</f>
        <v>S</v>
      </c>
      <c r="AW129" s="3">
        <v>346</v>
      </c>
      <c r="AX129" s="3" t="str">
        <f>IFERROR(MID(VLOOKUP($B129,Seqs!$A:$B,2,0),AY129,1),"")</f>
        <v>L</v>
      </c>
      <c r="AY129" s="3">
        <v>357</v>
      </c>
      <c r="AZ129" s="77" t="str">
        <f>VLOOKUP(B129,Classification!A:D,2,0)</f>
        <v>A</v>
      </c>
      <c r="BA129" s="94" t="str">
        <f>VLOOKUP(B129,Classification!A:D,4,0)</f>
        <v>Adrenoceptors</v>
      </c>
      <c r="BB129" s="27" t="b">
        <f t="shared" ref="BB129" si="1176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23">
        <f t="shared" ref="BC129" si="1177">_xlfn.AGGREGATE(9,6,CH129:CS129)-_xlfn.AGGREGATE(9,6,BV129:CG129)+12</f>
        <v>286</v>
      </c>
      <c r="BD129" s="5" t="s">
        <v>23</v>
      </c>
      <c r="BE129" s="3" t="s">
        <v>1285</v>
      </c>
      <c r="BF129" s="118">
        <v>2.7</v>
      </c>
      <c r="BG129" s="49" t="s">
        <v>1</v>
      </c>
      <c r="BH129" s="49" t="s">
        <v>1</v>
      </c>
      <c r="BI129" s="1"/>
      <c r="BJ129" s="70" t="s">
        <v>1281</v>
      </c>
      <c r="BK129" s="57" t="s">
        <v>1281</v>
      </c>
      <c r="BL129" s="57" t="s">
        <v>1281</v>
      </c>
      <c r="BM129" s="57" t="s">
        <v>1281</v>
      </c>
      <c r="BN129" s="57" t="s">
        <v>1281</v>
      </c>
      <c r="BO129" s="57" t="s">
        <v>1281</v>
      </c>
      <c r="BP129" s="57" t="s">
        <v>1281</v>
      </c>
      <c r="BQ129" s="57" t="s">
        <v>1281</v>
      </c>
      <c r="BR129" s="57" t="s">
        <v>1281</v>
      </c>
      <c r="BS129" s="57" t="s">
        <v>1281</v>
      </c>
      <c r="BT129" s="57" t="s">
        <v>1281</v>
      </c>
      <c r="BU129" s="57" t="s">
        <v>1281</v>
      </c>
      <c r="BV129" s="70">
        <f t="shared" ref="BV129" si="1178">E129</f>
        <v>40</v>
      </c>
      <c r="BW129" s="71">
        <f t="shared" ref="BW129" si="1179">I129</f>
        <v>70</v>
      </c>
      <c r="BX129" s="72">
        <f t="shared" ref="BX129" si="1180">M129</f>
        <v>74</v>
      </c>
      <c r="BY129" s="71">
        <f t="shared" ref="BY129" si="1181">Q129</f>
        <v>106</v>
      </c>
      <c r="BZ129" s="72">
        <f t="shared" ref="BZ129" si="1182">U129</f>
        <v>110</v>
      </c>
      <c r="CA129" s="71">
        <f t="shared" ref="CA129" si="1183">Y129</f>
        <v>146</v>
      </c>
      <c r="CB129" s="72">
        <f t="shared" ref="CB129" si="1184">AC129</f>
        <v>154</v>
      </c>
      <c r="CC129" s="71">
        <f t="shared" ref="CC129" si="1185">AG129</f>
        <v>199</v>
      </c>
      <c r="CD129" s="72">
        <f t="shared" ref="CD129" si="1186">AK129</f>
        <v>204</v>
      </c>
      <c r="CE129" s="71">
        <f t="shared" ref="CE129" si="1187">AO129</f>
        <v>282</v>
      </c>
      <c r="CF129" s="72">
        <f t="shared" ref="CF129" si="1188">AS129</f>
        <v>321</v>
      </c>
      <c r="CG129" s="71">
        <f t="shared" ref="CG129" si="1189">AW129</f>
        <v>346</v>
      </c>
      <c r="CH129" s="70">
        <f t="shared" ref="CH129" si="1190">G129</f>
        <v>69</v>
      </c>
      <c r="CI129" s="71">
        <f t="shared" ref="CI129" si="1191">K129</f>
        <v>73</v>
      </c>
      <c r="CJ129" s="72">
        <f t="shared" ref="CJ129" si="1192">O129</f>
        <v>105</v>
      </c>
      <c r="CK129" s="72">
        <f t="shared" ref="CK129" si="1193">S129</f>
        <v>109</v>
      </c>
      <c r="CL129" s="72">
        <f t="shared" ref="CL129" si="1194">W129</f>
        <v>145</v>
      </c>
      <c r="CM129" s="72">
        <f t="shared" ref="CM129" si="1195">AA129</f>
        <v>153</v>
      </c>
      <c r="CN129" s="72">
        <f t="shared" ref="CN129" si="1196">AE129</f>
        <v>180</v>
      </c>
      <c r="CO129" s="72">
        <f t="shared" ref="CO129" si="1197">AI129</f>
        <v>201</v>
      </c>
      <c r="CP129" s="72">
        <f t="shared" ref="CP129" si="1198">AM129</f>
        <v>273</v>
      </c>
      <c r="CQ129" s="72">
        <f t="shared" ref="CQ129" si="1199">AQ129</f>
        <v>316</v>
      </c>
      <c r="CR129" s="72">
        <f t="shared" ref="CR129" si="1200">AU129</f>
        <v>345</v>
      </c>
      <c r="CS129" s="72">
        <f t="shared" ref="CS129" si="1201">AY129</f>
        <v>357</v>
      </c>
      <c r="CT129" s="23">
        <f t="shared" ref="CT129" si="1202">M129-K129</f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ref="A130" si="1203">CONCATENATE(B130,"_",C130)</f>
        <v>adrb1_melga_6H7M</v>
      </c>
      <c r="B130" s="3" t="s">
        <v>905</v>
      </c>
      <c r="C130" s="3" t="s">
        <v>1515</v>
      </c>
      <c r="D130" s="3" t="str">
        <f>IFERROR(MID(VLOOKUP($B130,Seqs!$A:$B,2,0),E130,1),"")</f>
        <v>W</v>
      </c>
      <c r="E130" s="3">
        <v>40</v>
      </c>
      <c r="F130" s="3" t="str">
        <f>IFERROR(MID(VLOOKUP($B130,Seqs!$A:$B,2,0),G130,1),"")</f>
        <v>T</v>
      </c>
      <c r="G130" s="3">
        <v>69</v>
      </c>
      <c r="H130" s="3" t="str">
        <f>IFERROR(MID(VLOOKUP($B130,Seqs!$A:$B,2,0),I130,1),"")</f>
        <v>Q</v>
      </c>
      <c r="I130" s="23">
        <v>70</v>
      </c>
      <c r="J130" s="3" t="str">
        <f>IFERROR(MID(VLOOKUP($B130,Seqs!$A:$B,2,0),K130,1),"")</f>
        <v>Q</v>
      </c>
      <c r="K130" s="23">
        <v>73</v>
      </c>
      <c r="L130" s="3" t="str">
        <f>IFERROR(MID(VLOOKUP($B130,Seqs!$A:$B,2,0),M130,1),"")</f>
        <v>T</v>
      </c>
      <c r="M130" s="3">
        <v>74</v>
      </c>
      <c r="N130" s="3" t="str">
        <f>IFERROR(MID(VLOOKUP($B130,Seqs!$A:$B,2,0),O130,1),"")</f>
        <v>G</v>
      </c>
      <c r="O130" s="3">
        <v>105</v>
      </c>
      <c r="P130" s="3" t="str">
        <f>IFERROR(MID(VLOOKUP($B130,Seqs!$A:$B,2,0),Q130,1),"")</f>
        <v>T</v>
      </c>
      <c r="Q130" s="3">
        <v>106</v>
      </c>
      <c r="R130" s="3" t="str">
        <f>IFERROR(MID(VLOOKUP($B130,Seqs!$A:$B,2,0),S130,1),"")</f>
        <v>W</v>
      </c>
      <c r="S130" s="3">
        <v>109</v>
      </c>
      <c r="T130" s="3" t="str">
        <f>IFERROR(MID(VLOOKUP($B130,Seqs!$A:$B,2,0),U130,1),"")</f>
        <v>G</v>
      </c>
      <c r="U130" s="3">
        <v>110</v>
      </c>
      <c r="V130" s="3" t="str">
        <f>IFERROR(MID(VLOOKUP($B130,Seqs!$A:$B,2,0),W130,1),"")</f>
        <v>S</v>
      </c>
      <c r="W130" s="3">
        <v>145</v>
      </c>
      <c r="X130" s="3" t="str">
        <f>IFERROR(MID(VLOOKUP($B130,Seqs!$A:$B,2,0),Y130,1),"")</f>
        <v>P</v>
      </c>
      <c r="Y130" s="3">
        <v>146</v>
      </c>
      <c r="Z130" s="3" t="str">
        <f>IFERROR(MID(VLOOKUP($B130,Seqs!$A:$B,2,0),AA130,1),"")</f>
        <v>M</v>
      </c>
      <c r="AA130" s="3">
        <v>153</v>
      </c>
      <c r="AB130" s="3" t="str">
        <f>IFERROR(MID(VLOOKUP($B130,Seqs!$A:$B,2,0),AC130,1),"")</f>
        <v>T</v>
      </c>
      <c r="AC130" s="3">
        <v>154</v>
      </c>
      <c r="AD130" s="3" t="str">
        <f>IFERROR(MID(VLOOKUP($B130,Seqs!$A:$B,2,0),AE130,1),"")</f>
        <v>H</v>
      </c>
      <c r="AE130" s="3">
        <v>180</v>
      </c>
      <c r="AF130" s="3" t="str">
        <f>IFERROR(MID(VLOOKUP($B130,Seqs!$A:$B,2,0),AG130,1),"")</f>
        <v>C</v>
      </c>
      <c r="AG130" s="3">
        <v>199</v>
      </c>
      <c r="AH130" s="3" t="str">
        <f>IFERROR(MID(VLOOKUP($B130,Seqs!$A:$B,2,0),AI130,1),"")</f>
        <v>F</v>
      </c>
      <c r="AI130" s="3">
        <v>201</v>
      </c>
      <c r="AJ130" s="3" t="str">
        <f>IFERROR(MID(VLOOKUP($B130,Seqs!$A:$B,2,0),AK130,1),"")</f>
        <v>N</v>
      </c>
      <c r="AK130" s="3">
        <v>204</v>
      </c>
      <c r="AL130" s="3" t="str">
        <f>IFERROR(MID(VLOOKUP($B130,Seqs!$A:$B,2,0),AM130,1),"")</f>
        <v>S</v>
      </c>
      <c r="AM130" s="3">
        <v>273</v>
      </c>
      <c r="AN130" s="3" t="str">
        <f>IFERROR(MID(VLOOKUP($B130,Seqs!$A:$B,2,0),AO130,1),"")</f>
        <v>A</v>
      </c>
      <c r="AO130" s="3">
        <v>282</v>
      </c>
      <c r="AP130" s="3" t="str">
        <f>IFERROR(MID(VLOOKUP($B130,Seqs!$A:$B,2,0),AQ130,1),"")</f>
        <v>N</v>
      </c>
      <c r="AQ130" s="3">
        <v>316</v>
      </c>
      <c r="AR130" s="3" t="str">
        <f>IFERROR(MID(VLOOKUP($B130,Seqs!$A:$B,2,0),AS130,1),"")</f>
        <v>P</v>
      </c>
      <c r="AS130" s="3">
        <v>321</v>
      </c>
      <c r="AT130" s="3" t="str">
        <f>IFERROR(MID(VLOOKUP($B130,Seqs!$A:$B,2,0),AU130,1),"")</f>
        <v>R</v>
      </c>
      <c r="AU130" s="3">
        <v>345</v>
      </c>
      <c r="AV130" s="3" t="str">
        <f>IFERROR(MID(VLOOKUP($B130,Seqs!$A:$B,2,0),AW130,1),"")</f>
        <v>S</v>
      </c>
      <c r="AW130" s="3">
        <v>346</v>
      </c>
      <c r="AX130" s="3" t="str">
        <f>IFERROR(MID(VLOOKUP($B130,Seqs!$A:$B,2,0),AY130,1),"")</f>
        <v>L</v>
      </c>
      <c r="AY130" s="3">
        <v>357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ref="BB130" si="1204"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23">
        <f t="shared" ref="BC130" si="1205">_xlfn.AGGREGATE(9,6,CH130:CS130)-_xlfn.AGGREGATE(9,6,BV130:CG130)+12</f>
        <v>286</v>
      </c>
      <c r="BD130" s="5" t="s">
        <v>23</v>
      </c>
      <c r="BE130" s="3" t="s">
        <v>1285</v>
      </c>
      <c r="BF130" s="118">
        <v>2.76</v>
      </c>
      <c r="BG130" s="49" t="s">
        <v>1</v>
      </c>
      <c r="BH130" s="49" t="s">
        <v>1</v>
      </c>
      <c r="BI130" s="1"/>
      <c r="BJ130" s="70" t="s">
        <v>1281</v>
      </c>
      <c r="BK130" s="57" t="s">
        <v>1281</v>
      </c>
      <c r="BL130" s="57" t="s">
        <v>1281</v>
      </c>
      <c r="BM130" s="57" t="s">
        <v>1281</v>
      </c>
      <c r="BN130" s="57" t="s">
        <v>1281</v>
      </c>
      <c r="BO130" s="57" t="s">
        <v>1281</v>
      </c>
      <c r="BP130" s="57" t="s">
        <v>1281</v>
      </c>
      <c r="BQ130" s="57" t="s">
        <v>1281</v>
      </c>
      <c r="BR130" s="57" t="s">
        <v>1281</v>
      </c>
      <c r="BS130" s="57" t="s">
        <v>1281</v>
      </c>
      <c r="BT130" s="57" t="s">
        <v>1281</v>
      </c>
      <c r="BU130" s="57" t="s">
        <v>1281</v>
      </c>
      <c r="BV130" s="70">
        <f t="shared" ref="BV130" si="1206">E130</f>
        <v>40</v>
      </c>
      <c r="BW130" s="71">
        <f t="shared" ref="BW130" si="1207">I130</f>
        <v>70</v>
      </c>
      <c r="BX130" s="72">
        <f t="shared" ref="BX130" si="1208">M130</f>
        <v>74</v>
      </c>
      <c r="BY130" s="71">
        <f t="shared" ref="BY130" si="1209">Q130</f>
        <v>106</v>
      </c>
      <c r="BZ130" s="72">
        <f t="shared" ref="BZ130" si="1210">U130</f>
        <v>110</v>
      </c>
      <c r="CA130" s="71">
        <f t="shared" ref="CA130" si="1211">Y130</f>
        <v>146</v>
      </c>
      <c r="CB130" s="72">
        <f t="shared" ref="CB130" si="1212">AC130</f>
        <v>154</v>
      </c>
      <c r="CC130" s="71">
        <f t="shared" ref="CC130" si="1213">AG130</f>
        <v>199</v>
      </c>
      <c r="CD130" s="72">
        <f t="shared" ref="CD130" si="1214">AK130</f>
        <v>204</v>
      </c>
      <c r="CE130" s="71">
        <f t="shared" ref="CE130" si="1215">AO130</f>
        <v>282</v>
      </c>
      <c r="CF130" s="72">
        <f t="shared" ref="CF130" si="1216">AS130</f>
        <v>321</v>
      </c>
      <c r="CG130" s="71">
        <f t="shared" ref="CG130" si="1217">AW130</f>
        <v>346</v>
      </c>
      <c r="CH130" s="70">
        <f t="shared" ref="CH130" si="1218">G130</f>
        <v>69</v>
      </c>
      <c r="CI130" s="71">
        <f t="shared" ref="CI130" si="1219">K130</f>
        <v>73</v>
      </c>
      <c r="CJ130" s="72">
        <f t="shared" ref="CJ130" si="1220">O130</f>
        <v>105</v>
      </c>
      <c r="CK130" s="72">
        <f t="shared" ref="CK130" si="1221">S130</f>
        <v>109</v>
      </c>
      <c r="CL130" s="72">
        <f t="shared" ref="CL130" si="1222">W130</f>
        <v>145</v>
      </c>
      <c r="CM130" s="72">
        <f t="shared" ref="CM130" si="1223">AA130</f>
        <v>153</v>
      </c>
      <c r="CN130" s="72">
        <f t="shared" ref="CN130" si="1224">AE130</f>
        <v>180</v>
      </c>
      <c r="CO130" s="72">
        <f t="shared" ref="CO130" si="1225">AI130</f>
        <v>201</v>
      </c>
      <c r="CP130" s="72">
        <f t="shared" ref="CP130" si="1226">AM130</f>
        <v>273</v>
      </c>
      <c r="CQ130" s="72">
        <f t="shared" ref="CQ130" si="1227">AQ130</f>
        <v>316</v>
      </c>
      <c r="CR130" s="72">
        <f t="shared" ref="CR130" si="1228">AU130</f>
        <v>345</v>
      </c>
      <c r="CS130" s="72">
        <f t="shared" ref="CS130" si="1229">AY130</f>
        <v>357</v>
      </c>
      <c r="CT130" s="23">
        <f t="shared" ref="CT130" si="1230">M130-K130</f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ref="A131" si="1231">CONCATENATE(B131,"_",C131)</f>
        <v>adrb1_melga_6H7N</v>
      </c>
      <c r="B131" s="3" t="s">
        <v>905</v>
      </c>
      <c r="C131" s="3" t="s">
        <v>1516</v>
      </c>
      <c r="D131" s="3" t="str">
        <f>IFERROR(MID(VLOOKUP($B131,Seqs!$A:$B,2,0),E131,1),"")</f>
        <v>W</v>
      </c>
      <c r="E131" s="3">
        <v>40</v>
      </c>
      <c r="F131" s="3" t="str">
        <f>IFERROR(MID(VLOOKUP($B131,Seqs!$A:$B,2,0),G131,1),"")</f>
        <v>T</v>
      </c>
      <c r="G131" s="3">
        <v>69</v>
      </c>
      <c r="H131" s="3" t="str">
        <f>IFERROR(MID(VLOOKUP($B131,Seqs!$A:$B,2,0),I131,1),"")</f>
        <v>Q</v>
      </c>
      <c r="I131" s="23">
        <v>70</v>
      </c>
      <c r="J131" s="3" t="str">
        <f>IFERROR(MID(VLOOKUP($B131,Seqs!$A:$B,2,0),K131,1),"")</f>
        <v>Q</v>
      </c>
      <c r="K131" s="23">
        <v>73</v>
      </c>
      <c r="L131" s="3" t="str">
        <f>IFERROR(MID(VLOOKUP($B131,Seqs!$A:$B,2,0),M131,1),"")</f>
        <v>T</v>
      </c>
      <c r="M131" s="3">
        <v>74</v>
      </c>
      <c r="N131" s="3" t="str">
        <f>IFERROR(MID(VLOOKUP($B131,Seqs!$A:$B,2,0),O131,1),"")</f>
        <v>G</v>
      </c>
      <c r="O131" s="3">
        <v>105</v>
      </c>
      <c r="P131" s="3" t="str">
        <f>IFERROR(MID(VLOOKUP($B131,Seqs!$A:$B,2,0),Q131,1),"")</f>
        <v>T</v>
      </c>
      <c r="Q131" s="3">
        <v>106</v>
      </c>
      <c r="R131" s="3" t="str">
        <f>IFERROR(MID(VLOOKUP($B131,Seqs!$A:$B,2,0),S131,1),"")</f>
        <v>W</v>
      </c>
      <c r="S131" s="3">
        <v>109</v>
      </c>
      <c r="T131" s="3" t="str">
        <f>IFERROR(MID(VLOOKUP($B131,Seqs!$A:$B,2,0),U131,1),"")</f>
        <v>G</v>
      </c>
      <c r="U131" s="3">
        <v>110</v>
      </c>
      <c r="V131" s="3" t="str">
        <f>IFERROR(MID(VLOOKUP($B131,Seqs!$A:$B,2,0),W131,1),"")</f>
        <v>S</v>
      </c>
      <c r="W131" s="3">
        <v>145</v>
      </c>
      <c r="X131" s="3" t="str">
        <f>IFERROR(MID(VLOOKUP($B131,Seqs!$A:$B,2,0),Y131,1),"")</f>
        <v>P</v>
      </c>
      <c r="Y131" s="3">
        <v>146</v>
      </c>
      <c r="Z131" s="3" t="str">
        <f>IFERROR(MID(VLOOKUP($B131,Seqs!$A:$B,2,0),AA131,1),"")</f>
        <v>M</v>
      </c>
      <c r="AA131" s="3">
        <v>153</v>
      </c>
      <c r="AB131" s="3" t="str">
        <f>IFERROR(MID(VLOOKUP($B131,Seqs!$A:$B,2,0),AC131,1),"")</f>
        <v>T</v>
      </c>
      <c r="AC131" s="3">
        <v>154</v>
      </c>
      <c r="AD131" s="3" t="str">
        <f>IFERROR(MID(VLOOKUP($B131,Seqs!$A:$B,2,0),AE131,1),"")</f>
        <v>H</v>
      </c>
      <c r="AE131" s="3">
        <v>180</v>
      </c>
      <c r="AF131" s="3" t="str">
        <f>IFERROR(MID(VLOOKUP($B131,Seqs!$A:$B,2,0),AG131,1),"")</f>
        <v>C</v>
      </c>
      <c r="AG131" s="3">
        <v>199</v>
      </c>
      <c r="AH131" s="3" t="str">
        <f>IFERROR(MID(VLOOKUP($B131,Seqs!$A:$B,2,0),AI131,1),"")</f>
        <v>F</v>
      </c>
      <c r="AI131" s="3">
        <v>201</v>
      </c>
      <c r="AJ131" s="3" t="str">
        <f>IFERROR(MID(VLOOKUP($B131,Seqs!$A:$B,2,0),AK131,1),"")</f>
        <v>N</v>
      </c>
      <c r="AK131" s="3">
        <v>204</v>
      </c>
      <c r="AL131" s="3" t="str">
        <f>IFERROR(MID(VLOOKUP($B131,Seqs!$A:$B,2,0),AM131,1),"")</f>
        <v>S</v>
      </c>
      <c r="AM131" s="3">
        <v>273</v>
      </c>
      <c r="AN131" s="3" t="str">
        <f>IFERROR(MID(VLOOKUP($B131,Seqs!$A:$B,2,0),AO131,1),"")</f>
        <v>A</v>
      </c>
      <c r="AO131" s="3">
        <v>282</v>
      </c>
      <c r="AP131" s="3" t="str">
        <f>IFERROR(MID(VLOOKUP($B131,Seqs!$A:$B,2,0),AQ131,1),"")</f>
        <v>N</v>
      </c>
      <c r="AQ131" s="3">
        <v>316</v>
      </c>
      <c r="AR131" s="3" t="str">
        <f>IFERROR(MID(VLOOKUP($B131,Seqs!$A:$B,2,0),AS131,1),"")</f>
        <v>P</v>
      </c>
      <c r="AS131" s="3">
        <v>321</v>
      </c>
      <c r="AT131" s="3" t="str">
        <f>IFERROR(MID(VLOOKUP($B131,Seqs!$A:$B,2,0),AU131,1),"")</f>
        <v>R</v>
      </c>
      <c r="AU131" s="3">
        <v>345</v>
      </c>
      <c r="AV131" s="3" t="str">
        <f>IFERROR(MID(VLOOKUP($B131,Seqs!$A:$B,2,0),AW131,1),"")</f>
        <v>S</v>
      </c>
      <c r="AW131" s="3">
        <v>346</v>
      </c>
      <c r="AX131" s="3" t="str">
        <f>IFERROR(MID(VLOOKUP($B131,Seqs!$A:$B,2,0),AY131,1),"")</f>
        <v>L</v>
      </c>
      <c r="AY131" s="3">
        <v>357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ref="BB131" si="1232">AND(E131&lt;G131,OR(G131&lt;I131,I131="-"),OR(I131&lt;K131,I131="-"),OR(K131&lt;M131,K131="-"),M131&lt;O131,OR(O131&lt;Q131,Q131="-"),OR(Q131&lt;S131,Q131="-"),OR(S131&lt;U131,S131="-"),U131&lt;W131,OR(W131&lt;Y131,Y131="-"),OR(Y131&lt;AA131,Y131="-"),OR(AA131&lt;AC131,AA131="-"),AC131&lt;AE131,OR(AE131&lt;AG131,AG131="-"),OR(AG131&lt;AI131,AG131="-"),OR(AI131&lt;AK131,AI131="-"),AK131&lt;AM131,AM131&lt;AO131,AO131&lt;AQ131,AQ131&lt;AS131,AS131&lt;AU131,OR(AU131&lt;AW131,AW131="-"),OR(AW131&lt;AY131,AW131="-"))</f>
        <v>1</v>
      </c>
      <c r="BC131" s="23">
        <f t="shared" ref="BC131" si="1233">_xlfn.AGGREGATE(9,6,CH131:CS131)-_xlfn.AGGREGATE(9,6,BV131:CG131)+12</f>
        <v>286</v>
      </c>
      <c r="BD131" s="5" t="s">
        <v>1369</v>
      </c>
      <c r="BE131" s="3" t="s">
        <v>1285</v>
      </c>
      <c r="BF131" s="118">
        <v>2.5</v>
      </c>
      <c r="BG131" s="49" t="s">
        <v>1</v>
      </c>
      <c r="BH131" s="49" t="s">
        <v>1</v>
      </c>
      <c r="BI131" s="1"/>
      <c r="BJ131" s="70" t="s">
        <v>1281</v>
      </c>
      <c r="BK131" s="57" t="s">
        <v>1281</v>
      </c>
      <c r="BL131" s="57" t="s">
        <v>1281</v>
      </c>
      <c r="BM131" s="57" t="s">
        <v>1281</v>
      </c>
      <c r="BN131" s="57" t="s">
        <v>1281</v>
      </c>
      <c r="BO131" s="57" t="s">
        <v>1281</v>
      </c>
      <c r="BP131" s="57" t="s">
        <v>1281</v>
      </c>
      <c r="BQ131" s="57" t="s">
        <v>1281</v>
      </c>
      <c r="BR131" s="57" t="s">
        <v>1281</v>
      </c>
      <c r="BS131" s="57" t="s">
        <v>1281</v>
      </c>
      <c r="BT131" s="57" t="s">
        <v>1281</v>
      </c>
      <c r="BU131" s="57" t="s">
        <v>1281</v>
      </c>
      <c r="BV131" s="70">
        <f t="shared" ref="BV131" si="1234">E131</f>
        <v>40</v>
      </c>
      <c r="BW131" s="71">
        <f t="shared" ref="BW131" si="1235">I131</f>
        <v>70</v>
      </c>
      <c r="BX131" s="72">
        <f t="shared" ref="BX131" si="1236">M131</f>
        <v>74</v>
      </c>
      <c r="BY131" s="71">
        <f t="shared" ref="BY131" si="1237">Q131</f>
        <v>106</v>
      </c>
      <c r="BZ131" s="72">
        <f t="shared" ref="BZ131" si="1238">U131</f>
        <v>110</v>
      </c>
      <c r="CA131" s="71">
        <f t="shared" ref="CA131" si="1239">Y131</f>
        <v>146</v>
      </c>
      <c r="CB131" s="72">
        <f t="shared" ref="CB131" si="1240">AC131</f>
        <v>154</v>
      </c>
      <c r="CC131" s="71">
        <f t="shared" ref="CC131" si="1241">AG131</f>
        <v>199</v>
      </c>
      <c r="CD131" s="72">
        <f t="shared" ref="CD131" si="1242">AK131</f>
        <v>204</v>
      </c>
      <c r="CE131" s="71">
        <f t="shared" ref="CE131" si="1243">AO131</f>
        <v>282</v>
      </c>
      <c r="CF131" s="72">
        <f t="shared" ref="CF131" si="1244">AS131</f>
        <v>321</v>
      </c>
      <c r="CG131" s="71">
        <f t="shared" ref="CG131" si="1245">AW131</f>
        <v>346</v>
      </c>
      <c r="CH131" s="70">
        <f t="shared" ref="CH131" si="1246">G131</f>
        <v>69</v>
      </c>
      <c r="CI131" s="71">
        <f t="shared" ref="CI131" si="1247">K131</f>
        <v>73</v>
      </c>
      <c r="CJ131" s="72">
        <f t="shared" ref="CJ131" si="1248">O131</f>
        <v>105</v>
      </c>
      <c r="CK131" s="72">
        <f t="shared" ref="CK131" si="1249">S131</f>
        <v>109</v>
      </c>
      <c r="CL131" s="72">
        <f t="shared" ref="CL131" si="1250">W131</f>
        <v>145</v>
      </c>
      <c r="CM131" s="72">
        <f t="shared" ref="CM131" si="1251">AA131</f>
        <v>153</v>
      </c>
      <c r="CN131" s="72">
        <f t="shared" ref="CN131" si="1252">AE131</f>
        <v>180</v>
      </c>
      <c r="CO131" s="72">
        <f t="shared" ref="CO131" si="1253">AI131</f>
        <v>201</v>
      </c>
      <c r="CP131" s="72">
        <f t="shared" ref="CP131" si="1254">AM131</f>
        <v>273</v>
      </c>
      <c r="CQ131" s="72">
        <f t="shared" ref="CQ131" si="1255">AQ131</f>
        <v>316</v>
      </c>
      <c r="CR131" s="72">
        <f t="shared" ref="CR131" si="1256">AU131</f>
        <v>345</v>
      </c>
      <c r="CS131" s="72">
        <f t="shared" ref="CS131" si="1257">AY131</f>
        <v>357</v>
      </c>
      <c r="CT131" s="23">
        <f t="shared" ref="CT131" si="1258">M131-K131</f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ref="A132" si="1259">CONCATENATE(B132,"_",C132)</f>
        <v>adrb1_melga_6H7O</v>
      </c>
      <c r="B132" s="3" t="s">
        <v>905</v>
      </c>
      <c r="C132" s="3" t="s">
        <v>1517</v>
      </c>
      <c r="D132" s="3" t="str">
        <f>IFERROR(MID(VLOOKUP($B132,Seqs!$A:$B,2,0),E132,1),"")</f>
        <v>W</v>
      </c>
      <c r="E132" s="3">
        <v>40</v>
      </c>
      <c r="F132" s="3" t="str">
        <f>IFERROR(MID(VLOOKUP($B132,Seqs!$A:$B,2,0),G132,1),"")</f>
        <v>T</v>
      </c>
      <c r="G132" s="3">
        <v>69</v>
      </c>
      <c r="H132" s="3" t="str">
        <f>IFERROR(MID(VLOOKUP($B132,Seqs!$A:$B,2,0),I132,1),"")</f>
        <v>Q</v>
      </c>
      <c r="I132" s="23">
        <v>70</v>
      </c>
      <c r="J132" s="3" t="str">
        <f>IFERROR(MID(VLOOKUP($B132,Seqs!$A:$B,2,0),K132,1),"")</f>
        <v>Q</v>
      </c>
      <c r="K132" s="23">
        <v>73</v>
      </c>
      <c r="L132" s="3" t="str">
        <f>IFERROR(MID(VLOOKUP($B132,Seqs!$A:$B,2,0),M132,1),"")</f>
        <v>T</v>
      </c>
      <c r="M132" s="3">
        <v>74</v>
      </c>
      <c r="N132" s="3" t="str">
        <f>IFERROR(MID(VLOOKUP($B132,Seqs!$A:$B,2,0),O132,1),"")</f>
        <v>G</v>
      </c>
      <c r="O132" s="3">
        <v>105</v>
      </c>
      <c r="P132" s="3" t="str">
        <f>IFERROR(MID(VLOOKUP($B132,Seqs!$A:$B,2,0),Q132,1),"")</f>
        <v>T</v>
      </c>
      <c r="Q132" s="3">
        <v>106</v>
      </c>
      <c r="R132" s="3" t="str">
        <f>IFERROR(MID(VLOOKUP($B132,Seqs!$A:$B,2,0),S132,1),"")</f>
        <v>W</v>
      </c>
      <c r="S132" s="3">
        <v>109</v>
      </c>
      <c r="T132" s="3" t="str">
        <f>IFERROR(MID(VLOOKUP($B132,Seqs!$A:$B,2,0),U132,1),"")</f>
        <v>G</v>
      </c>
      <c r="U132" s="3">
        <v>110</v>
      </c>
      <c r="V132" s="3" t="str">
        <f>IFERROR(MID(VLOOKUP($B132,Seqs!$A:$B,2,0),W132,1),"")</f>
        <v>S</v>
      </c>
      <c r="W132" s="3">
        <v>145</v>
      </c>
      <c r="X132" s="3" t="str">
        <f>IFERROR(MID(VLOOKUP($B132,Seqs!$A:$B,2,0),Y132,1),"")</f>
        <v>P</v>
      </c>
      <c r="Y132" s="3">
        <v>146</v>
      </c>
      <c r="Z132" s="3" t="str">
        <f>IFERROR(MID(VLOOKUP($B132,Seqs!$A:$B,2,0),AA132,1),"")</f>
        <v>M</v>
      </c>
      <c r="AA132" s="3">
        <v>153</v>
      </c>
      <c r="AB132" s="3" t="str">
        <f>IFERROR(MID(VLOOKUP($B132,Seqs!$A:$B,2,0),AC132,1),"")</f>
        <v>T</v>
      </c>
      <c r="AC132" s="3">
        <v>154</v>
      </c>
      <c r="AD132" s="3" t="str">
        <f>IFERROR(MID(VLOOKUP($B132,Seqs!$A:$B,2,0),AE132,1),"")</f>
        <v>H</v>
      </c>
      <c r="AE132" s="3">
        <v>180</v>
      </c>
      <c r="AF132" s="3" t="str">
        <f>IFERROR(MID(VLOOKUP($B132,Seqs!$A:$B,2,0),AG132,1),"")</f>
        <v>C</v>
      </c>
      <c r="AG132" s="3">
        <v>199</v>
      </c>
      <c r="AH132" s="3" t="str">
        <f>IFERROR(MID(VLOOKUP($B132,Seqs!$A:$B,2,0),AI132,1),"")</f>
        <v>F</v>
      </c>
      <c r="AI132" s="3">
        <v>201</v>
      </c>
      <c r="AJ132" s="3" t="str">
        <f>IFERROR(MID(VLOOKUP($B132,Seqs!$A:$B,2,0),AK132,1),"")</f>
        <v>N</v>
      </c>
      <c r="AK132" s="3">
        <v>204</v>
      </c>
      <c r="AL132" s="3" t="str">
        <f>IFERROR(MID(VLOOKUP($B132,Seqs!$A:$B,2,0),AM132,1),"")</f>
        <v>S</v>
      </c>
      <c r="AM132" s="3">
        <v>273</v>
      </c>
      <c r="AN132" s="3" t="str">
        <f>IFERROR(MID(VLOOKUP($B132,Seqs!$A:$B,2,0),AO132,1),"")</f>
        <v>A</v>
      </c>
      <c r="AO132" s="3">
        <v>282</v>
      </c>
      <c r="AP132" s="3" t="str">
        <f>IFERROR(MID(VLOOKUP($B132,Seqs!$A:$B,2,0),AQ132,1),"")</f>
        <v>N</v>
      </c>
      <c r="AQ132" s="3">
        <v>316</v>
      </c>
      <c r="AR132" s="3" t="str">
        <f>IFERROR(MID(VLOOKUP($B132,Seqs!$A:$B,2,0),AS132,1),"")</f>
        <v>P</v>
      </c>
      <c r="AS132" s="3">
        <v>321</v>
      </c>
      <c r="AT132" s="3" t="str">
        <f>IFERROR(MID(VLOOKUP($B132,Seqs!$A:$B,2,0),AU132,1),"")</f>
        <v>R</v>
      </c>
      <c r="AU132" s="3">
        <v>345</v>
      </c>
      <c r="AV132" s="3" t="str">
        <f>IFERROR(MID(VLOOKUP($B132,Seqs!$A:$B,2,0),AW132,1),"")</f>
        <v>S</v>
      </c>
      <c r="AW132" s="3">
        <v>346</v>
      </c>
      <c r="AX132" s="3" t="str">
        <f>IFERROR(MID(VLOOKUP($B132,Seqs!$A:$B,2,0),AY132,1),"")</f>
        <v>L</v>
      </c>
      <c r="AY132" s="3">
        <v>357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ref="BB132" si="1260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23">
        <f t="shared" ref="BC132" si="1261">_xlfn.AGGREGATE(9,6,CH132:CS132)-_xlfn.AGGREGATE(9,6,BV132:CG132)+12</f>
        <v>286</v>
      </c>
      <c r="BD132" s="5" t="s">
        <v>23</v>
      </c>
      <c r="BE132" s="3" t="s">
        <v>1285</v>
      </c>
      <c r="BF132" s="118">
        <v>2.8</v>
      </c>
      <c r="BG132" s="49" t="s">
        <v>1</v>
      </c>
      <c r="BH132" s="49" t="s">
        <v>1</v>
      </c>
      <c r="BI132" s="1"/>
      <c r="BJ132" s="70" t="s">
        <v>1281</v>
      </c>
      <c r="BK132" s="57" t="s">
        <v>1281</v>
      </c>
      <c r="BL132" s="57" t="s">
        <v>1281</v>
      </c>
      <c r="BM132" s="57" t="s">
        <v>1281</v>
      </c>
      <c r="BN132" s="57" t="s">
        <v>1281</v>
      </c>
      <c r="BO132" s="57" t="s">
        <v>1281</v>
      </c>
      <c r="BP132" s="57" t="s">
        <v>1281</v>
      </c>
      <c r="BQ132" s="57" t="s">
        <v>1281</v>
      </c>
      <c r="BR132" s="57" t="s">
        <v>1281</v>
      </c>
      <c r="BS132" s="57" t="s">
        <v>1281</v>
      </c>
      <c r="BT132" s="57" t="s">
        <v>1281</v>
      </c>
      <c r="BU132" s="57" t="s">
        <v>1281</v>
      </c>
      <c r="BV132" s="70">
        <f t="shared" ref="BV132" si="1262">E132</f>
        <v>40</v>
      </c>
      <c r="BW132" s="71">
        <f t="shared" ref="BW132" si="1263">I132</f>
        <v>70</v>
      </c>
      <c r="BX132" s="72">
        <f t="shared" ref="BX132" si="1264">M132</f>
        <v>74</v>
      </c>
      <c r="BY132" s="71">
        <f t="shared" ref="BY132" si="1265">Q132</f>
        <v>106</v>
      </c>
      <c r="BZ132" s="72">
        <f t="shared" ref="BZ132" si="1266">U132</f>
        <v>110</v>
      </c>
      <c r="CA132" s="71">
        <f t="shared" ref="CA132" si="1267">Y132</f>
        <v>146</v>
      </c>
      <c r="CB132" s="72">
        <f t="shared" ref="CB132" si="1268">AC132</f>
        <v>154</v>
      </c>
      <c r="CC132" s="71">
        <f t="shared" ref="CC132" si="1269">AG132</f>
        <v>199</v>
      </c>
      <c r="CD132" s="72">
        <f t="shared" ref="CD132" si="1270">AK132</f>
        <v>204</v>
      </c>
      <c r="CE132" s="71">
        <f t="shared" ref="CE132" si="1271">AO132</f>
        <v>282</v>
      </c>
      <c r="CF132" s="72">
        <f t="shared" ref="CF132" si="1272">AS132</f>
        <v>321</v>
      </c>
      <c r="CG132" s="71">
        <f t="shared" ref="CG132" si="1273">AW132</f>
        <v>346</v>
      </c>
      <c r="CH132" s="70">
        <f t="shared" ref="CH132" si="1274">G132</f>
        <v>69</v>
      </c>
      <c r="CI132" s="71">
        <f t="shared" ref="CI132" si="1275">K132</f>
        <v>73</v>
      </c>
      <c r="CJ132" s="72">
        <f t="shared" ref="CJ132" si="1276">O132</f>
        <v>105</v>
      </c>
      <c r="CK132" s="72">
        <f t="shared" ref="CK132" si="1277">S132</f>
        <v>109</v>
      </c>
      <c r="CL132" s="72">
        <f t="shared" ref="CL132" si="1278">W132</f>
        <v>145</v>
      </c>
      <c r="CM132" s="72">
        <f t="shared" ref="CM132" si="1279">AA132</f>
        <v>153</v>
      </c>
      <c r="CN132" s="72">
        <f t="shared" ref="CN132" si="1280">AE132</f>
        <v>180</v>
      </c>
      <c r="CO132" s="72">
        <f t="shared" ref="CO132" si="1281">AI132</f>
        <v>201</v>
      </c>
      <c r="CP132" s="72">
        <f t="shared" ref="CP132" si="1282">AM132</f>
        <v>273</v>
      </c>
      <c r="CQ132" s="72">
        <f t="shared" ref="CQ132" si="1283">AQ132</f>
        <v>316</v>
      </c>
      <c r="CR132" s="72">
        <f t="shared" ref="CR132" si="1284">AU132</f>
        <v>345</v>
      </c>
      <c r="CS132" s="72">
        <f t="shared" ref="CS132" si="1285">AY132</f>
        <v>357</v>
      </c>
      <c r="CT132" s="23">
        <f t="shared" ref="CT132" si="1286">M132-K132</f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ref="A133" si="1287">CONCATENATE(B133,"_",C133)</f>
        <v>adrb1_melga_6IBL</v>
      </c>
      <c r="B133" s="3" t="s">
        <v>905</v>
      </c>
      <c r="C133" s="3" t="s">
        <v>1544</v>
      </c>
      <c r="D133" s="3" t="str">
        <f>IFERROR(MID(VLOOKUP($B133,Seqs!$A:$B,2,0),E133,1),"")</f>
        <v>E</v>
      </c>
      <c r="E133" s="3">
        <v>41</v>
      </c>
      <c r="F133" s="3" t="str">
        <f>IFERROR(MID(VLOOKUP($B133,Seqs!$A:$B,2,0),G133,1),"")</f>
        <v>T</v>
      </c>
      <c r="G133" s="3">
        <v>69</v>
      </c>
      <c r="H133" s="3" t="str">
        <f>IFERROR(MID(VLOOKUP($B133,Seqs!$A:$B,2,0),I133,1),"")</f>
        <v>Q</v>
      </c>
      <c r="I133" s="23">
        <v>70</v>
      </c>
      <c r="J133" s="3" t="str">
        <f>IFERROR(MID(VLOOKUP($B133,Seqs!$A:$B,2,0),K133,1),"")</f>
        <v>Q</v>
      </c>
      <c r="K133" s="23">
        <v>73</v>
      </c>
      <c r="L133" s="3" t="str">
        <f>IFERROR(MID(VLOOKUP($B133,Seqs!$A:$B,2,0),M133,1),"")</f>
        <v>T</v>
      </c>
      <c r="M133" s="3">
        <v>74</v>
      </c>
      <c r="N133" s="3" t="str">
        <f>IFERROR(MID(VLOOKUP($B133,Seqs!$A:$B,2,0),O133,1),"")</f>
        <v>G</v>
      </c>
      <c r="O133" s="3">
        <v>105</v>
      </c>
      <c r="P133" s="3" t="str">
        <f>IFERROR(MID(VLOOKUP($B133,Seqs!$A:$B,2,0),Q133,1),"")</f>
        <v>T</v>
      </c>
      <c r="Q133" s="3">
        <v>106</v>
      </c>
      <c r="R133" s="3" t="str">
        <f>IFERROR(MID(VLOOKUP($B133,Seqs!$A:$B,2,0),S133,1),"")</f>
        <v>W</v>
      </c>
      <c r="S133" s="3">
        <v>109</v>
      </c>
      <c r="T133" s="3" t="str">
        <f>IFERROR(MID(VLOOKUP($B133,Seqs!$A:$B,2,0),U133,1),"")</f>
        <v>G</v>
      </c>
      <c r="U133" s="3">
        <v>110</v>
      </c>
      <c r="V133" s="3" t="str">
        <f>IFERROR(MID(VLOOKUP($B133,Seqs!$A:$B,2,0),W133,1),"")</f>
        <v>S</v>
      </c>
      <c r="W133" s="3">
        <v>145</v>
      </c>
      <c r="X133" s="3" t="str">
        <f>IFERROR(MID(VLOOKUP($B133,Seqs!$A:$B,2,0),Y133,1),"")</f>
        <v>P</v>
      </c>
      <c r="Y133" s="3">
        <v>146</v>
      </c>
      <c r="Z133" s="3" t="str">
        <f>IFERROR(MID(VLOOKUP($B133,Seqs!$A:$B,2,0),AA133,1),"")</f>
        <v>M</v>
      </c>
      <c r="AA133" s="3">
        <v>153</v>
      </c>
      <c r="AB133" s="3" t="str">
        <f>IFERROR(MID(VLOOKUP($B133,Seqs!$A:$B,2,0),AC133,1),"")</f>
        <v>T</v>
      </c>
      <c r="AC133" s="3">
        <v>154</v>
      </c>
      <c r="AD133" s="3" t="str">
        <f>IFERROR(MID(VLOOKUP($B133,Seqs!$A:$B,2,0),AE133,1),"")</f>
        <v>H</v>
      </c>
      <c r="AE133" s="3">
        <v>180</v>
      </c>
      <c r="AF133" s="3" t="str">
        <f>IFERROR(MID(VLOOKUP($B133,Seqs!$A:$B,2,0),AG133,1),"")</f>
        <v>C</v>
      </c>
      <c r="AG133" s="3">
        <v>199</v>
      </c>
      <c r="AH133" s="3" t="str">
        <f>IFERROR(MID(VLOOKUP($B133,Seqs!$A:$B,2,0),AI133,1),"")</f>
        <v>F</v>
      </c>
      <c r="AI133" s="3">
        <v>201</v>
      </c>
      <c r="AJ133" s="3" t="str">
        <f>IFERROR(MID(VLOOKUP($B133,Seqs!$A:$B,2,0),AK133,1),"")</f>
        <v>N</v>
      </c>
      <c r="AK133" s="3">
        <v>204</v>
      </c>
      <c r="AL133" s="3" t="str">
        <f>IFERROR(MID(VLOOKUP($B133,Seqs!$A:$B,2,0),AM133,1),"")</f>
        <v>S</v>
      </c>
      <c r="AM133" s="3">
        <v>273</v>
      </c>
      <c r="AN133" s="3" t="str">
        <f>IFERROR(MID(VLOOKUP($B133,Seqs!$A:$B,2,0),AO133,1),"")</f>
        <v>A</v>
      </c>
      <c r="AO133" s="3">
        <v>282</v>
      </c>
      <c r="AP133" s="3" t="str">
        <f>IFERROR(MID(VLOOKUP($B133,Seqs!$A:$B,2,0),AQ133,1),"")</f>
        <v>N</v>
      </c>
      <c r="AQ133" s="3">
        <v>316</v>
      </c>
      <c r="AR133" s="3" t="str">
        <f>IFERROR(MID(VLOOKUP($B133,Seqs!$A:$B,2,0),AS133,1),"")</f>
        <v>P</v>
      </c>
      <c r="AS133" s="3">
        <v>321</v>
      </c>
      <c r="AT133" s="3" t="str">
        <f>IFERROR(MID(VLOOKUP($B133,Seqs!$A:$B,2,0),AU133,1),"")</f>
        <v>C</v>
      </c>
      <c r="AU133" s="3">
        <v>344</v>
      </c>
      <c r="AV133" s="3" t="str">
        <f>IFERROR(MID(VLOOKUP($B133,Seqs!$A:$B,2,0),AW133,1),"")</f>
        <v>S</v>
      </c>
      <c r="AW133" s="3">
        <v>346</v>
      </c>
      <c r="AX133" s="3" t="str">
        <f>IFERROR(MID(VLOOKUP($B133,Seqs!$A:$B,2,0),AY133,1),"")</f>
        <v>L</v>
      </c>
      <c r="AY133" s="3">
        <v>357</v>
      </c>
      <c r="AZ133" s="77" t="str">
        <f>VLOOKUP(B133,Classification!A:D,2,0)</f>
        <v>A</v>
      </c>
      <c r="BA133" s="94" t="str">
        <f>VLOOKUP(B133,Classification!A:D,4,0)</f>
        <v>Adrenoceptors</v>
      </c>
      <c r="BB133" s="27" t="b">
        <f t="shared" ref="BB133" si="1288"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 t="shared" ref="BC133" si="1289">_xlfn.AGGREGATE(9,6,CH133:CS133)-_xlfn.AGGREGATE(9,6,BV133:CG133)+12</f>
        <v>284</v>
      </c>
      <c r="BD133" s="5" t="s">
        <v>23</v>
      </c>
      <c r="BE133" s="3" t="s">
        <v>1285</v>
      </c>
      <c r="BF133" s="118">
        <v>2.7</v>
      </c>
      <c r="BG133" s="49" t="s">
        <v>1</v>
      </c>
      <c r="BH133" s="49" t="s">
        <v>1</v>
      </c>
      <c r="BI133" s="1"/>
      <c r="BJ133" s="70" t="s">
        <v>1281</v>
      </c>
      <c r="BK133" s="57" t="s">
        <v>1281</v>
      </c>
      <c r="BL133" s="57" t="s">
        <v>1281</v>
      </c>
      <c r="BM133" s="57" t="s">
        <v>1281</v>
      </c>
      <c r="BN133" s="57" t="s">
        <v>1281</v>
      </c>
      <c r="BO133" s="57" t="s">
        <v>1281</v>
      </c>
      <c r="BP133" s="57" t="s">
        <v>1281</v>
      </c>
      <c r="BQ133" s="57" t="s">
        <v>1281</v>
      </c>
      <c r="BR133" s="57" t="s">
        <v>1281</v>
      </c>
      <c r="BS133" s="57" t="s">
        <v>1281</v>
      </c>
      <c r="BT133" s="57" t="s">
        <v>1281</v>
      </c>
      <c r="BU133" s="57" t="s">
        <v>1281</v>
      </c>
      <c r="BV133" s="70">
        <f t="shared" ref="BV133" si="1290">E133</f>
        <v>41</v>
      </c>
      <c r="BW133" s="71">
        <f t="shared" ref="BW133" si="1291">I133</f>
        <v>70</v>
      </c>
      <c r="BX133" s="72">
        <f t="shared" ref="BX133" si="1292">M133</f>
        <v>74</v>
      </c>
      <c r="BY133" s="71">
        <f t="shared" ref="BY133" si="1293">Q133</f>
        <v>106</v>
      </c>
      <c r="BZ133" s="72">
        <f t="shared" ref="BZ133" si="1294">U133</f>
        <v>110</v>
      </c>
      <c r="CA133" s="71">
        <f t="shared" ref="CA133" si="1295">Y133</f>
        <v>146</v>
      </c>
      <c r="CB133" s="72">
        <f t="shared" ref="CB133" si="1296">AC133</f>
        <v>154</v>
      </c>
      <c r="CC133" s="71">
        <f t="shared" ref="CC133" si="1297">AG133</f>
        <v>199</v>
      </c>
      <c r="CD133" s="72">
        <f t="shared" ref="CD133" si="1298">AK133</f>
        <v>204</v>
      </c>
      <c r="CE133" s="71">
        <f t="shared" ref="CE133" si="1299">AO133</f>
        <v>282</v>
      </c>
      <c r="CF133" s="72">
        <f t="shared" ref="CF133" si="1300">AS133</f>
        <v>321</v>
      </c>
      <c r="CG133" s="71">
        <f t="shared" ref="CG133" si="1301">AW133</f>
        <v>346</v>
      </c>
      <c r="CH133" s="70">
        <f t="shared" ref="CH133" si="1302">G133</f>
        <v>69</v>
      </c>
      <c r="CI133" s="71">
        <f t="shared" ref="CI133" si="1303">K133</f>
        <v>73</v>
      </c>
      <c r="CJ133" s="72">
        <f t="shared" ref="CJ133" si="1304">O133</f>
        <v>105</v>
      </c>
      <c r="CK133" s="72">
        <f t="shared" ref="CK133" si="1305">S133</f>
        <v>109</v>
      </c>
      <c r="CL133" s="72">
        <f t="shared" ref="CL133" si="1306">W133</f>
        <v>145</v>
      </c>
      <c r="CM133" s="72">
        <f t="shared" ref="CM133" si="1307">AA133</f>
        <v>153</v>
      </c>
      <c r="CN133" s="72">
        <f t="shared" ref="CN133" si="1308">AE133</f>
        <v>180</v>
      </c>
      <c r="CO133" s="72">
        <f t="shared" ref="CO133" si="1309">AI133</f>
        <v>201</v>
      </c>
      <c r="CP133" s="72">
        <f t="shared" ref="CP133" si="1310">AM133</f>
        <v>273</v>
      </c>
      <c r="CQ133" s="72">
        <f t="shared" ref="CQ133" si="1311">AQ133</f>
        <v>316</v>
      </c>
      <c r="CR133" s="72">
        <f t="shared" ref="CR133" si="1312">AU133</f>
        <v>344</v>
      </c>
      <c r="CS133" s="72">
        <f t="shared" ref="CS133" si="1313">AY133</f>
        <v>357</v>
      </c>
      <c r="CT133" s="23">
        <f t="shared" ref="CT133" si="1314">M133-K133</f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s="12" customFormat="1" x14ac:dyDescent="0.2">
      <c r="A134" s="9" t="str">
        <f t="shared" ref="A134" si="1315">CONCATENATE(B134,"_",C134)</f>
        <v>adrb1_melga_6TKO</v>
      </c>
      <c r="B134" s="9" t="s">
        <v>905</v>
      </c>
      <c r="C134" s="9" t="s">
        <v>1678</v>
      </c>
      <c r="D134" s="9" t="str">
        <f>IFERROR(MID(VLOOKUP($B134,Seqs!$A:$B,2,0),E134,1),"")</f>
        <v>M</v>
      </c>
      <c r="E134" s="9">
        <v>44</v>
      </c>
      <c r="F134" s="9" t="str">
        <f>IFERROR(MID(VLOOKUP($B134,Seqs!$A:$B,2,0),G134,1),"")</f>
        <v>T</v>
      </c>
      <c r="G134" s="9">
        <v>69</v>
      </c>
      <c r="H134" s="9" t="str">
        <f>IFERROR(MID(VLOOKUP($B134,Seqs!$A:$B,2,0),I134,1),"")</f>
        <v>Q</v>
      </c>
      <c r="I134" s="109">
        <v>70</v>
      </c>
      <c r="J134" s="9" t="str">
        <f>IFERROR(MID(VLOOKUP($B134,Seqs!$A:$B,2,0),K134,1),"")</f>
        <v>Q</v>
      </c>
      <c r="K134" s="109">
        <v>73</v>
      </c>
      <c r="L134" s="9" t="str">
        <f>IFERROR(MID(VLOOKUP($B134,Seqs!$A:$B,2,0),M134,1),"")</f>
        <v>T</v>
      </c>
      <c r="M134" s="9">
        <v>74</v>
      </c>
      <c r="N134" s="9" t="str">
        <f>IFERROR(MID(VLOOKUP($B134,Seqs!$A:$B,2,0),O134,1),"")</f>
        <v>G</v>
      </c>
      <c r="O134" s="9">
        <v>105</v>
      </c>
      <c r="P134" s="9" t="str">
        <f>IFERROR(MID(VLOOKUP($B134,Seqs!$A:$B,2,0),Q134,1),"")</f>
        <v>T</v>
      </c>
      <c r="Q134" s="9">
        <v>106</v>
      </c>
      <c r="R134" s="9" t="str">
        <f>IFERROR(MID(VLOOKUP($B134,Seqs!$A:$B,2,0),S134,1),"")</f>
        <v>W</v>
      </c>
      <c r="S134" s="9">
        <v>109</v>
      </c>
      <c r="T134" s="9" t="str">
        <f>IFERROR(MID(VLOOKUP($B134,Seqs!$A:$B,2,0),U134,1),"")</f>
        <v>G</v>
      </c>
      <c r="U134" s="9">
        <v>110</v>
      </c>
      <c r="V134" s="9" t="str">
        <f>IFERROR(MID(VLOOKUP($B134,Seqs!$A:$B,2,0),W134,1),"")</f>
        <v>S</v>
      </c>
      <c r="W134" s="9">
        <v>145</v>
      </c>
      <c r="X134" s="9" t="str">
        <f>IFERROR(MID(VLOOKUP($B134,Seqs!$A:$B,2,0),Y134,1),"")</f>
        <v>P</v>
      </c>
      <c r="Y134" s="9">
        <v>146</v>
      </c>
      <c r="Z134" s="9" t="str">
        <f>IFERROR(MID(VLOOKUP($B134,Seqs!$A:$B,2,0),AA134,1),"")</f>
        <v>M</v>
      </c>
      <c r="AA134" s="9">
        <v>153</v>
      </c>
      <c r="AB134" s="9" t="str">
        <f>IFERROR(MID(VLOOKUP($B134,Seqs!$A:$B,2,0),AC134,1),"")</f>
        <v>T</v>
      </c>
      <c r="AC134" s="9">
        <v>154</v>
      </c>
      <c r="AD134" s="9" t="str">
        <f>IFERROR(MID(VLOOKUP($B134,Seqs!$A:$B,2,0),AE134,1),"")</f>
        <v>H</v>
      </c>
      <c r="AE134" s="9">
        <v>180</v>
      </c>
      <c r="AF134" s="9" t="str">
        <f>IFERROR(MID(VLOOKUP($B134,Seqs!$A:$B,2,0),AG134,1),"")</f>
        <v>C</v>
      </c>
      <c r="AG134" s="9">
        <v>199</v>
      </c>
      <c r="AH134" s="9" t="str">
        <f>IFERROR(MID(VLOOKUP($B134,Seqs!$A:$B,2,0),AI134,1),"")</f>
        <v>F</v>
      </c>
      <c r="AI134" s="9">
        <v>201</v>
      </c>
      <c r="AJ134" s="9" t="str">
        <f>IFERROR(MID(VLOOKUP($B134,Seqs!$A:$B,2,0),AK134,1),"")</f>
        <v>N</v>
      </c>
      <c r="AK134" s="9">
        <v>204</v>
      </c>
      <c r="AL134" s="9" t="str">
        <f>IFERROR(MID(VLOOKUP($B134,Seqs!$A:$B,2,0),AM134,1),"")</f>
        <v>D</v>
      </c>
      <c r="AM134" s="9">
        <v>242</v>
      </c>
      <c r="AN134" s="9" t="str">
        <f>IFERROR(MID(VLOOKUP($B134,Seqs!$A:$B,2,0),AO134,1),"")</f>
        <v>V</v>
      </c>
      <c r="AO134" s="9">
        <v>280</v>
      </c>
      <c r="AP134" s="9" t="str">
        <f>IFERROR(MID(VLOOKUP($B134,Seqs!$A:$B,2,0),AQ134,1),"")</f>
        <v>N</v>
      </c>
      <c r="AQ134" s="9">
        <v>316</v>
      </c>
      <c r="AR134" s="9" t="str">
        <f>IFERROR(MID(VLOOKUP($B134,Seqs!$A:$B,2,0),AS134,1),"")</f>
        <v>P</v>
      </c>
      <c r="AS134" s="9">
        <v>321</v>
      </c>
      <c r="AT134" s="9" t="str">
        <f>IFERROR(MID(VLOOKUP($B134,Seqs!$A:$B,2,0),AU134,1),"")</f>
        <v>Y</v>
      </c>
      <c r="AU134" s="9">
        <v>343</v>
      </c>
      <c r="AV134" s="9" t="str">
        <f>IFERROR(MID(VLOOKUP($B134,Seqs!$A:$B,2,0),AW134,1),"")</f>
        <v>S</v>
      </c>
      <c r="AW134" s="9">
        <v>346</v>
      </c>
      <c r="AX134" s="9" t="str">
        <f>IFERROR(MID(VLOOKUP($B134,Seqs!$A:$B,2,0),AY134,1),"")</f>
        <v>C</v>
      </c>
      <c r="AY134" s="9">
        <v>358</v>
      </c>
      <c r="AZ134" s="110" t="str">
        <f>VLOOKUP(B134,Classification!A:D,2,0)</f>
        <v>A</v>
      </c>
      <c r="BA134" s="98" t="str">
        <f>VLOOKUP(B134,Classification!A:D,4,0)</f>
        <v>Adrenoceptors</v>
      </c>
      <c r="BB134" s="36" t="b">
        <f t="shared" ref="BB134" si="1316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109">
        <f t="shared" ref="BC134" si="1317">_xlfn.AGGREGATE(9,6,CH134:CS134)-_xlfn.AGGREGATE(9,6,BV134:CG134)+12</f>
        <v>252</v>
      </c>
      <c r="BD134" s="13" t="s">
        <v>23</v>
      </c>
      <c r="BE134" s="9" t="s">
        <v>1285</v>
      </c>
      <c r="BF134" s="119">
        <v>3.3</v>
      </c>
      <c r="BG134" s="51" t="s">
        <v>1</v>
      </c>
      <c r="BH134" s="51" t="s">
        <v>1</v>
      </c>
      <c r="BJ134" s="111" t="s">
        <v>1281</v>
      </c>
      <c r="BK134" s="112" t="s">
        <v>1281</v>
      </c>
      <c r="BL134" s="112" t="s">
        <v>1281</v>
      </c>
      <c r="BM134" s="112" t="s">
        <v>1281</v>
      </c>
      <c r="BN134" s="112" t="s">
        <v>1281</v>
      </c>
      <c r="BO134" s="112" t="s">
        <v>1281</v>
      </c>
      <c r="BP134" s="112" t="s">
        <v>1281</v>
      </c>
      <c r="BQ134" s="112" t="s">
        <v>1281</v>
      </c>
      <c r="BR134" s="112" t="s">
        <v>1281</v>
      </c>
      <c r="BS134" s="112" t="s">
        <v>1281</v>
      </c>
      <c r="BT134" s="112" t="s">
        <v>1281</v>
      </c>
      <c r="BU134" s="112" t="s">
        <v>1281</v>
      </c>
      <c r="BV134" s="111">
        <f t="shared" ref="BV134" si="1318">E134</f>
        <v>44</v>
      </c>
      <c r="BW134" s="113">
        <f t="shared" ref="BW134" si="1319">I134</f>
        <v>70</v>
      </c>
      <c r="BX134" s="114">
        <f t="shared" ref="BX134" si="1320">M134</f>
        <v>74</v>
      </c>
      <c r="BY134" s="113">
        <f t="shared" ref="BY134" si="1321">Q134</f>
        <v>106</v>
      </c>
      <c r="BZ134" s="114">
        <f t="shared" ref="BZ134" si="1322">U134</f>
        <v>110</v>
      </c>
      <c r="CA134" s="113">
        <f t="shared" ref="CA134" si="1323">Y134</f>
        <v>146</v>
      </c>
      <c r="CB134" s="114">
        <f t="shared" ref="CB134" si="1324">AC134</f>
        <v>154</v>
      </c>
      <c r="CC134" s="113">
        <f t="shared" ref="CC134" si="1325">AG134</f>
        <v>199</v>
      </c>
      <c r="CD134" s="114">
        <f t="shared" ref="CD134" si="1326">AK134</f>
        <v>204</v>
      </c>
      <c r="CE134" s="113">
        <f t="shared" ref="CE134" si="1327">AO134</f>
        <v>280</v>
      </c>
      <c r="CF134" s="114">
        <f t="shared" ref="CF134" si="1328">AS134</f>
        <v>321</v>
      </c>
      <c r="CG134" s="113">
        <f t="shared" ref="CG134" si="1329">AW134</f>
        <v>346</v>
      </c>
      <c r="CH134" s="111">
        <f t="shared" ref="CH134" si="1330">G134</f>
        <v>69</v>
      </c>
      <c r="CI134" s="113">
        <f t="shared" ref="CI134" si="1331">K134</f>
        <v>73</v>
      </c>
      <c r="CJ134" s="114">
        <f t="shared" ref="CJ134" si="1332">O134</f>
        <v>105</v>
      </c>
      <c r="CK134" s="114">
        <f t="shared" ref="CK134" si="1333">S134</f>
        <v>109</v>
      </c>
      <c r="CL134" s="114">
        <f t="shared" ref="CL134" si="1334">W134</f>
        <v>145</v>
      </c>
      <c r="CM134" s="114">
        <f t="shared" ref="CM134" si="1335">AA134</f>
        <v>153</v>
      </c>
      <c r="CN134" s="114">
        <f t="shared" ref="CN134" si="1336">AE134</f>
        <v>180</v>
      </c>
      <c r="CO134" s="114">
        <f t="shared" ref="CO134" si="1337">AI134</f>
        <v>201</v>
      </c>
      <c r="CP134" s="114">
        <f t="shared" ref="CP134" si="1338">AM134</f>
        <v>242</v>
      </c>
      <c r="CQ134" s="114">
        <f t="shared" ref="CQ134" si="1339">AQ134</f>
        <v>316</v>
      </c>
      <c r="CR134" s="114">
        <f t="shared" ref="CR134" si="1340">AU134</f>
        <v>343</v>
      </c>
      <c r="CS134" s="114">
        <f t="shared" ref="CS134" si="1341">AY134</f>
        <v>358</v>
      </c>
      <c r="CT134" s="109">
        <f t="shared" ref="CT134" si="1342">M134-K134</f>
        <v>1</v>
      </c>
    </row>
    <row r="135" spans="1:1029" x14ac:dyDescent="0.2">
      <c r="A135" s="3" t="str">
        <f t="shared" si="699"/>
        <v>adrb2_human__wt</v>
      </c>
      <c r="B135" s="3" t="s">
        <v>126</v>
      </c>
      <c r="C135" s="3" t="s">
        <v>100</v>
      </c>
      <c r="D135" s="3" t="str">
        <f>IFERROR(MID(VLOOKUP($B135,Seqs!$A:$B,2,0),E135,1),"")</f>
        <v>Q</v>
      </c>
      <c r="E135" s="3">
        <v>26</v>
      </c>
      <c r="F135" s="3" t="str">
        <f>IFERROR(MID(VLOOKUP($B135,Seqs!$A:$B,2,0),G135,1),"")</f>
        <v>F</v>
      </c>
      <c r="G135" s="3">
        <v>61</v>
      </c>
      <c r="H135" s="3" t="str">
        <f>IFERROR(MID(VLOOKUP($B135,Seqs!$A:$B,2,0),I135,1),"")</f>
        <v>E</v>
      </c>
      <c r="I135" s="23">
        <v>62</v>
      </c>
      <c r="J135" s="3" t="str">
        <f>IFERROR(MID(VLOOKUP($B135,Seqs!$A:$B,2,0),K135,1),"")</f>
        <v>Q</v>
      </c>
      <c r="K135" s="23">
        <v>65</v>
      </c>
      <c r="L135" s="3" t="str">
        <f>IFERROR(MID(VLOOKUP($B135,Seqs!$A:$B,2,0),M135,1),"")</f>
        <v>T</v>
      </c>
      <c r="M135" s="3">
        <v>66</v>
      </c>
      <c r="N135" s="3" t="str">
        <f>IFERROR(MID(VLOOKUP($B135,Seqs!$A:$B,2,0),O135,1),"")</f>
        <v>K</v>
      </c>
      <c r="O135" s="105">
        <v>97</v>
      </c>
      <c r="P135" s="3" t="str">
        <f>IFERROR(MID(VLOOKUP($B135,Seqs!$A:$B,2,0),Q135,1),"")</f>
        <v>M</v>
      </c>
      <c r="Q135" s="3">
        <v>98</v>
      </c>
      <c r="R135" s="3" t="str">
        <f>IFERROR(MID(VLOOKUP($B135,Seqs!$A:$B,2,0),S135,1),"")</f>
        <v>F</v>
      </c>
      <c r="S135" s="3">
        <v>101</v>
      </c>
      <c r="T135" s="3" t="str">
        <f>IFERROR(MID(VLOOKUP($B135,Seqs!$A:$B,2,0),U135,1),"")</f>
        <v>G</v>
      </c>
      <c r="U135" s="3">
        <v>102</v>
      </c>
      <c r="V135" s="3" t="str">
        <f>IFERROR(MID(VLOOKUP($B135,Seqs!$A:$B,2,0),W135,1),"")</f>
        <v>S</v>
      </c>
      <c r="W135" s="3">
        <v>137</v>
      </c>
      <c r="X135" s="3" t="str">
        <f>IFERROR(MID(VLOOKUP($B135,Seqs!$A:$B,2,0),Y135,1),"")</f>
        <v>P</v>
      </c>
      <c r="Y135" s="3">
        <v>138</v>
      </c>
      <c r="Z135" s="3" t="str">
        <f>IFERROR(MID(VLOOKUP($B135,Seqs!$A:$B,2,0),AA135,1),"")</f>
        <v>L</v>
      </c>
      <c r="AA135" s="3">
        <v>145</v>
      </c>
      <c r="AB135" s="3" t="str">
        <f>IFERROR(MID(VLOOKUP($B135,Seqs!$A:$B,2,0),AC135,1),"")</f>
        <v>T</v>
      </c>
      <c r="AC135" s="9">
        <v>146</v>
      </c>
      <c r="AD135" s="3" t="str">
        <f>IFERROR(MID(VLOOKUP($B135,Seqs!$A:$B,2,0),AE135,1),"")</f>
        <v>H</v>
      </c>
      <c r="AE135" s="3">
        <v>172</v>
      </c>
      <c r="AF135" s="3" t="str">
        <f>IFERROR(MID(VLOOKUP($B135,Seqs!$A:$B,2,0),AG135,1),"")</f>
        <v>C</v>
      </c>
      <c r="AG135" s="3">
        <v>191</v>
      </c>
      <c r="AH135" s="3" t="str">
        <f>IFERROR(MID(VLOOKUP($B135,Seqs!$A:$B,2,0),AI135,1),"")</f>
        <v>F</v>
      </c>
      <c r="AI135" s="3">
        <v>193</v>
      </c>
      <c r="AJ135" s="3" t="str">
        <f>IFERROR(MID(VLOOKUP($B135,Seqs!$A:$B,2,0),AK135,1),"")</f>
        <v>N</v>
      </c>
      <c r="AK135" s="3">
        <v>196</v>
      </c>
      <c r="AL135" s="3" t="str">
        <f>IFERROR(MID(VLOOKUP($B135,Seqs!$A:$B,2,0),AM135,1),"")</f>
        <v>E</v>
      </c>
      <c r="AM135" s="3">
        <v>237</v>
      </c>
      <c r="AN135" s="3" t="str">
        <f>IFERROR(MID(VLOOKUP($B135,Seqs!$A:$B,2,0),AO135,1),"")</f>
        <v>S</v>
      </c>
      <c r="AO135" s="3">
        <v>262</v>
      </c>
      <c r="AP135" s="3" t="str">
        <f>IFERROR(MID(VLOOKUP($B135,Seqs!$A:$B,2,0),AQ135,1),"")</f>
        <v>Q</v>
      </c>
      <c r="AQ135" s="3">
        <v>299</v>
      </c>
      <c r="AR135" s="3" t="str">
        <f>IFERROR(MID(VLOOKUP($B135,Seqs!$A:$B,2,0),AS135,1),"")</f>
        <v>R</v>
      </c>
      <c r="AS135" s="3">
        <v>304</v>
      </c>
      <c r="AT135" s="3" t="str">
        <f>IFERROR(MID(VLOOKUP($B135,Seqs!$A:$B,2,0),AU135,1),"")</f>
        <v>R</v>
      </c>
      <c r="AU135" s="3">
        <v>328</v>
      </c>
      <c r="AV135" s="3" t="str">
        <f>IFERROR(MID(VLOOKUP($B135,Seqs!$A:$B,2,0),AW135,1),"")</f>
        <v>S</v>
      </c>
      <c r="AW135" s="3">
        <v>329</v>
      </c>
      <c r="AX135" s="3" t="str">
        <f>IFERROR(MID(VLOOKUP($B135,Seqs!$A:$B,2,0),AY135,1),"")</f>
        <v>C</v>
      </c>
      <c r="AY135" s="3">
        <v>341</v>
      </c>
      <c r="AZ135" s="77" t="str">
        <f>VLOOKUP(B135,Classification!A:D,2,0)</f>
        <v>A</v>
      </c>
      <c r="BA135" s="94" t="str">
        <f>VLOOKUP(B135,Classification!A:D,4,0)</f>
        <v>Adrenoceptors</v>
      </c>
      <c r="BB135" s="27" t="b">
        <f t="shared" si="700"/>
        <v>1</v>
      </c>
      <c r="BC135" s="23">
        <f t="shared" si="1121"/>
        <v>268</v>
      </c>
      <c r="BD135" s="56" t="s">
        <v>23</v>
      </c>
      <c r="BE135" s="3" t="s">
        <v>23</v>
      </c>
      <c r="BF135" s="118" t="s">
        <v>23</v>
      </c>
      <c r="BG135" s="49" t="s">
        <v>1366</v>
      </c>
      <c r="BH135" s="49" t="s">
        <v>1371</v>
      </c>
      <c r="BI135" s="3" t="s">
        <v>1159</v>
      </c>
      <c r="BJ135" s="70" t="s">
        <v>1281</v>
      </c>
      <c r="BK135" s="57" t="s">
        <v>1281</v>
      </c>
      <c r="BL135" s="57" t="s">
        <v>1281</v>
      </c>
      <c r="BM135" s="57" t="s">
        <v>1281</v>
      </c>
      <c r="BN135" s="57" t="s">
        <v>1281</v>
      </c>
      <c r="BO135" s="57" t="s">
        <v>1281</v>
      </c>
      <c r="BP135" s="57" t="s">
        <v>1281</v>
      </c>
      <c r="BQ135" s="57" t="s">
        <v>1281</v>
      </c>
      <c r="BR135" s="57" t="s">
        <v>1281</v>
      </c>
      <c r="BS135" s="57" t="s">
        <v>1281</v>
      </c>
      <c r="BT135" s="57" t="s">
        <v>1281</v>
      </c>
      <c r="BU135" s="57" t="s">
        <v>1281</v>
      </c>
      <c r="BV135" s="70">
        <f t="shared" si="1122"/>
        <v>26</v>
      </c>
      <c r="BW135" s="71">
        <f t="shared" si="1123"/>
        <v>62</v>
      </c>
      <c r="BX135" s="72">
        <f t="shared" si="1124"/>
        <v>66</v>
      </c>
      <c r="BY135" s="71">
        <f t="shared" si="1125"/>
        <v>98</v>
      </c>
      <c r="BZ135" s="72">
        <f t="shared" si="1126"/>
        <v>102</v>
      </c>
      <c r="CA135" s="71">
        <f t="shared" si="1127"/>
        <v>138</v>
      </c>
      <c r="CB135" s="72">
        <f t="shared" si="1128"/>
        <v>146</v>
      </c>
      <c r="CC135" s="71">
        <f t="shared" si="1129"/>
        <v>191</v>
      </c>
      <c r="CD135" s="72">
        <f t="shared" si="1130"/>
        <v>196</v>
      </c>
      <c r="CE135" s="71">
        <f t="shared" si="1131"/>
        <v>262</v>
      </c>
      <c r="CF135" s="72">
        <f t="shared" si="1132"/>
        <v>304</v>
      </c>
      <c r="CG135" s="71">
        <f t="shared" si="1133"/>
        <v>329</v>
      </c>
      <c r="CH135" s="70">
        <f t="shared" si="1134"/>
        <v>61</v>
      </c>
      <c r="CI135" s="71">
        <f t="shared" si="1135"/>
        <v>65</v>
      </c>
      <c r="CJ135" s="72">
        <f t="shared" si="1136"/>
        <v>97</v>
      </c>
      <c r="CK135" s="72">
        <f t="shared" si="1137"/>
        <v>101</v>
      </c>
      <c r="CL135" s="72">
        <f t="shared" si="1138"/>
        <v>137</v>
      </c>
      <c r="CM135" s="72">
        <f t="shared" si="1139"/>
        <v>145</v>
      </c>
      <c r="CN135" s="72">
        <f t="shared" si="1140"/>
        <v>172</v>
      </c>
      <c r="CO135" s="72">
        <f t="shared" si="1141"/>
        <v>193</v>
      </c>
      <c r="CP135" s="72">
        <f t="shared" si="1142"/>
        <v>237</v>
      </c>
      <c r="CQ135" s="72">
        <f t="shared" si="1143"/>
        <v>299</v>
      </c>
      <c r="CR135" s="72">
        <f t="shared" si="1144"/>
        <v>328</v>
      </c>
      <c r="CS135" s="72">
        <f t="shared" si="1145"/>
        <v>341</v>
      </c>
      <c r="CT135" s="23">
        <f t="shared" si="114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699"/>
        <v>adrb2_human_2RH1</v>
      </c>
      <c r="B136" s="3" t="s">
        <v>126</v>
      </c>
      <c r="C136" s="3" t="s">
        <v>75</v>
      </c>
      <c r="D136" s="3" t="str">
        <f>IFERROR(MID(VLOOKUP($B136,Seqs!$A:$B,2,0),E136,1),"")</f>
        <v>D</v>
      </c>
      <c r="E136" s="3">
        <v>29</v>
      </c>
      <c r="F136" s="3" t="str">
        <f>IFERROR(MID(VLOOKUP($B136,Seqs!$A:$B,2,0),G136,1),"")</f>
        <v>F</v>
      </c>
      <c r="G136" s="3">
        <v>61</v>
      </c>
      <c r="H136" s="3" t="str">
        <f>IFERROR(MID(VLOOKUP($B136,Seqs!$A:$B,2,0),I136,1),"")</f>
        <v>E</v>
      </c>
      <c r="I136" s="23">
        <v>62</v>
      </c>
      <c r="J136" s="3" t="str">
        <f>IFERROR(MID(VLOOKUP($B136,Seqs!$A:$B,2,0),K136,1),"")</f>
        <v>Q</v>
      </c>
      <c r="K136" s="23">
        <v>65</v>
      </c>
      <c r="L136" s="3" t="str">
        <f>IFERROR(MID(VLOOKUP($B136,Seqs!$A:$B,2,0),M136,1),"")</f>
        <v>T</v>
      </c>
      <c r="M136" s="3">
        <v>66</v>
      </c>
      <c r="N136" s="3" t="str">
        <f>IFERROR(MID(VLOOKUP($B136,Seqs!$A:$B,2,0),O136,1),"")</f>
        <v>M</v>
      </c>
      <c r="O136" s="3">
        <v>96</v>
      </c>
      <c r="P136" s="3" t="str">
        <f>IFERROR(MID(VLOOKUP($B136,Seqs!$A:$B,2,0),Q136,1),"")</f>
        <v>M</v>
      </c>
      <c r="Q136" s="3">
        <v>98</v>
      </c>
      <c r="R136" s="3" t="str">
        <f>IFERROR(MID(VLOOKUP($B136,Seqs!$A:$B,2,0),S136,1),"")</f>
        <v>F</v>
      </c>
      <c r="S136" s="3">
        <v>101</v>
      </c>
      <c r="T136" s="3" t="str">
        <f>IFERROR(MID(VLOOKUP($B136,Seqs!$A:$B,2,0),U136,1),"")</f>
        <v>G</v>
      </c>
      <c r="U136" s="3">
        <v>102</v>
      </c>
      <c r="V136" s="3" t="str">
        <f>IFERROR(MID(VLOOKUP($B136,Seqs!$A:$B,2,0),W136,1),"")</f>
        <v>S</v>
      </c>
      <c r="W136" s="3">
        <v>137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T</v>
      </c>
      <c r="AC136" s="9">
        <v>146</v>
      </c>
      <c r="AD136" s="3" t="str">
        <f>IFERROR(MID(VLOOKUP($B136,Seqs!$A:$B,2,0),AE136,1),"")</f>
        <v>H</v>
      </c>
      <c r="AE136" s="3">
        <v>172</v>
      </c>
      <c r="AF136" s="3" t="str">
        <f>IFERROR(MID(VLOOKUP($B136,Seqs!$A:$B,2,0),AG136,1),"")</f>
        <v>C</v>
      </c>
      <c r="AG136" s="3">
        <v>191</v>
      </c>
      <c r="AH136" s="3" t="str">
        <f>IFERROR(MID(VLOOKUP($B136,Seqs!$A:$B,2,0),AI136,1),"")</f>
        <v>F</v>
      </c>
      <c r="AI136" s="3">
        <v>193</v>
      </c>
      <c r="AJ136" s="3" t="str">
        <f>IFERROR(MID(VLOOKUP($B136,Seqs!$A:$B,2,0),AK136,1),"")</f>
        <v>N</v>
      </c>
      <c r="AK136" s="3">
        <v>196</v>
      </c>
      <c r="AL136" s="3" t="str">
        <f>IFERROR(MID(VLOOKUP($B136,Seqs!$A:$B,2,0),AM136,1),"")</f>
        <v>Q</v>
      </c>
      <c r="AM136" s="3">
        <v>229</v>
      </c>
      <c r="AN136" s="3" t="str">
        <f>IFERROR(MID(VLOOKUP($B136,Seqs!$A:$B,2,0),AO136,1),"")</f>
        <v>K</v>
      </c>
      <c r="AO136" s="3">
        <v>267</v>
      </c>
      <c r="AP136" s="3" t="str">
        <f>IFERROR(MID(VLOOKUP($B136,Seqs!$A:$B,2,0),AQ136,1),"")</f>
        <v>Q</v>
      </c>
      <c r="AQ136" s="3">
        <v>299</v>
      </c>
      <c r="AR136" s="3" t="str">
        <f>IFERROR(MID(VLOOKUP($B136,Seqs!$A:$B,2,0),AS136,1),"")</f>
        <v>R</v>
      </c>
      <c r="AS136" s="3">
        <v>304</v>
      </c>
      <c r="AT136" s="3" t="str">
        <f>IFERROR(MID(VLOOKUP($B136,Seqs!$A:$B,2,0),AU136,1),"")</f>
        <v>R</v>
      </c>
      <c r="AU136" s="3">
        <v>328</v>
      </c>
      <c r="AV136" s="3" t="str">
        <f>IFERROR(MID(VLOOKUP($B136,Seqs!$A:$B,2,0),AW136,1),"")</f>
        <v>S</v>
      </c>
      <c r="AW136" s="3">
        <v>329</v>
      </c>
      <c r="AX136" s="3" t="str">
        <f>IFERROR(MID(VLOOKUP($B136,Seqs!$A:$B,2,0),AY136,1),"")</f>
        <v>C</v>
      </c>
      <c r="AY136" s="3">
        <v>341</v>
      </c>
      <c r="AZ136" s="77" t="str">
        <f>VLOOKUP(B136,Classification!A:D,2,0)</f>
        <v>A</v>
      </c>
      <c r="BA136" s="94" t="str">
        <f>VLOOKUP(B136,Classification!A:D,4,0)</f>
        <v>Adrenoceptors</v>
      </c>
      <c r="BB136" s="27" t="b">
        <f t="shared" si="700"/>
        <v>1</v>
      </c>
      <c r="BC136" s="23">
        <f t="shared" si="1121"/>
        <v>244</v>
      </c>
      <c r="BD136" s="4" t="s">
        <v>23</v>
      </c>
      <c r="BE136" s="3" t="s">
        <v>1368</v>
      </c>
      <c r="BF136" s="118">
        <v>2.4</v>
      </c>
      <c r="BG136" s="49" t="s">
        <v>1371</v>
      </c>
      <c r="BH136" s="49" t="s">
        <v>1371</v>
      </c>
      <c r="BI136" s="1"/>
      <c r="BJ136" s="70" t="s">
        <v>1281</v>
      </c>
      <c r="BK136" s="57" t="s">
        <v>1281</v>
      </c>
      <c r="BL136" s="57" t="s">
        <v>1281</v>
      </c>
      <c r="BM136" s="57" t="s">
        <v>1281</v>
      </c>
      <c r="BN136" s="57" t="s">
        <v>1281</v>
      </c>
      <c r="BO136" s="57" t="s">
        <v>1281</v>
      </c>
      <c r="BP136" s="57" t="s">
        <v>1281</v>
      </c>
      <c r="BQ136" s="57" t="s">
        <v>1281</v>
      </c>
      <c r="BR136" s="57" t="s">
        <v>1281</v>
      </c>
      <c r="BS136" s="57" t="s">
        <v>1281</v>
      </c>
      <c r="BT136" s="57" t="s">
        <v>1281</v>
      </c>
      <c r="BU136" s="57" t="s">
        <v>1281</v>
      </c>
      <c r="BV136" s="70">
        <f t="shared" si="1122"/>
        <v>29</v>
      </c>
      <c r="BW136" s="71">
        <f t="shared" si="1123"/>
        <v>62</v>
      </c>
      <c r="BX136" s="72">
        <f t="shared" si="1124"/>
        <v>66</v>
      </c>
      <c r="BY136" s="71">
        <f t="shared" si="1125"/>
        <v>98</v>
      </c>
      <c r="BZ136" s="72">
        <f t="shared" si="1126"/>
        <v>102</v>
      </c>
      <c r="CA136" s="71" t="str">
        <f t="shared" si="1127"/>
        <v>-</v>
      </c>
      <c r="CB136" s="72">
        <f t="shared" si="1128"/>
        <v>146</v>
      </c>
      <c r="CC136" s="71">
        <f t="shared" si="1129"/>
        <v>191</v>
      </c>
      <c r="CD136" s="72">
        <f t="shared" si="1130"/>
        <v>196</v>
      </c>
      <c r="CE136" s="71">
        <f t="shared" si="1131"/>
        <v>267</v>
      </c>
      <c r="CF136" s="72">
        <f t="shared" si="1132"/>
        <v>304</v>
      </c>
      <c r="CG136" s="71">
        <f t="shared" si="1133"/>
        <v>329</v>
      </c>
      <c r="CH136" s="70">
        <f t="shared" si="1134"/>
        <v>61</v>
      </c>
      <c r="CI136" s="71">
        <f t="shared" si="1135"/>
        <v>65</v>
      </c>
      <c r="CJ136" s="72">
        <f t="shared" si="1136"/>
        <v>96</v>
      </c>
      <c r="CK136" s="72">
        <f t="shared" si="1137"/>
        <v>101</v>
      </c>
      <c r="CL136" s="72">
        <f t="shared" si="1138"/>
        <v>137</v>
      </c>
      <c r="CM136" s="72" t="str">
        <f t="shared" si="1139"/>
        <v>-</v>
      </c>
      <c r="CN136" s="72">
        <f t="shared" si="1140"/>
        <v>172</v>
      </c>
      <c r="CO136" s="72">
        <f t="shared" si="1141"/>
        <v>193</v>
      </c>
      <c r="CP136" s="72">
        <f t="shared" si="1142"/>
        <v>229</v>
      </c>
      <c r="CQ136" s="72">
        <f t="shared" si="1143"/>
        <v>299</v>
      </c>
      <c r="CR136" s="72">
        <f t="shared" si="1144"/>
        <v>328</v>
      </c>
      <c r="CS136" s="72">
        <f t="shared" si="1145"/>
        <v>341</v>
      </c>
      <c r="CT136" s="23">
        <f t="shared" si="1146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699"/>
        <v>adrb2_human_3D4S</v>
      </c>
      <c r="B137" s="3" t="s">
        <v>126</v>
      </c>
      <c r="C137" s="3" t="s">
        <v>76</v>
      </c>
      <c r="D137" s="3" t="str">
        <f>IFERROR(MID(VLOOKUP($B137,Seqs!$A:$B,2,0),E137,1),"")</f>
        <v>W</v>
      </c>
      <c r="E137" s="3">
        <v>32</v>
      </c>
      <c r="F137" s="3" t="str">
        <f>IFERROR(MID(VLOOKUP($B137,Seqs!$A:$B,2,0),G137,1),"")</f>
        <v>F</v>
      </c>
      <c r="G137" s="3">
        <v>61</v>
      </c>
      <c r="H137" s="3" t="str">
        <f>IFERROR(MID(VLOOKUP($B137,Seqs!$A:$B,2,0),I137,1),"")</f>
        <v>E</v>
      </c>
      <c r="I137" s="23">
        <v>62</v>
      </c>
      <c r="J137" s="3" t="str">
        <f>IFERROR(MID(VLOOKUP($B137,Seqs!$A:$B,2,0),K137,1),"")</f>
        <v>Q</v>
      </c>
      <c r="K137" s="23">
        <v>65</v>
      </c>
      <c r="L137" s="3" t="str">
        <f>IFERROR(MID(VLOOKUP($B137,Seqs!$A:$B,2,0),M137,1),"")</f>
        <v>T</v>
      </c>
      <c r="M137" s="3">
        <v>66</v>
      </c>
      <c r="N137" s="3" t="str">
        <f>IFERROR(MID(VLOOKUP($B137,Seqs!$A:$B,2,0),O137,1),"")</f>
        <v>M</v>
      </c>
      <c r="O137" s="3">
        <v>96</v>
      </c>
      <c r="P137" s="3" t="str">
        <f>IFERROR(MID(VLOOKUP($B137,Seqs!$A:$B,2,0),Q137,1),"")</f>
        <v>M</v>
      </c>
      <c r="Q137" s="3">
        <v>98</v>
      </c>
      <c r="R137" s="3" t="str">
        <f>IFERROR(MID(VLOOKUP($B137,Seqs!$A:$B,2,0),S137,1),"")</f>
        <v>F</v>
      </c>
      <c r="S137" s="3">
        <v>101</v>
      </c>
      <c r="T137" s="3" t="str">
        <f>IFERROR(MID(VLOOKUP($B137,Seqs!$A:$B,2,0),U137,1),"")</f>
        <v>G</v>
      </c>
      <c r="U137" s="3">
        <v>102</v>
      </c>
      <c r="V137" s="3" t="str">
        <f>IFERROR(MID(VLOOKUP($B137,Seqs!$A:$B,2,0),W137,1),"")</f>
        <v>S</v>
      </c>
      <c r="W137" s="3">
        <v>137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T</v>
      </c>
      <c r="AC137" s="9">
        <v>146</v>
      </c>
      <c r="AD137" s="3" t="str">
        <f>IFERROR(MID(VLOOKUP($B137,Seqs!$A:$B,2,0),AE137,1),"")</f>
        <v>H</v>
      </c>
      <c r="AE137" s="3">
        <v>172</v>
      </c>
      <c r="AF137" s="3" t="str">
        <f>IFERROR(MID(VLOOKUP($B137,Seqs!$A:$B,2,0),AG137,1),"")</f>
        <v>C</v>
      </c>
      <c r="AG137" s="3">
        <v>191</v>
      </c>
      <c r="AH137" s="3" t="str">
        <f>IFERROR(MID(VLOOKUP($B137,Seqs!$A:$B,2,0),AI137,1),"")</f>
        <v>F</v>
      </c>
      <c r="AI137" s="3">
        <v>193</v>
      </c>
      <c r="AJ137" s="3" t="str">
        <f>IFERROR(MID(VLOOKUP($B137,Seqs!$A:$B,2,0),AK137,1),"")</f>
        <v>N</v>
      </c>
      <c r="AK137" s="3">
        <v>196</v>
      </c>
      <c r="AL137" s="3" t="str">
        <f>IFERROR(MID(VLOOKUP($B137,Seqs!$A:$B,2,0),AM137,1),"")</f>
        <v>Q</v>
      </c>
      <c r="AM137" s="3">
        <v>229</v>
      </c>
      <c r="AN137" s="3" t="str">
        <f>IFERROR(MID(VLOOKUP($B137,Seqs!$A:$B,2,0),AO137,1),"")</f>
        <v>K</v>
      </c>
      <c r="AO137" s="3">
        <v>267</v>
      </c>
      <c r="AP137" s="3" t="str">
        <f>IFERROR(MID(VLOOKUP($B137,Seqs!$A:$B,2,0),AQ137,1),"")</f>
        <v>Q</v>
      </c>
      <c r="AQ137" s="3">
        <v>299</v>
      </c>
      <c r="AR137" s="3" t="str">
        <f>IFERROR(MID(VLOOKUP($B137,Seqs!$A:$B,2,0),AS137,1),"")</f>
        <v>R</v>
      </c>
      <c r="AS137" s="3">
        <v>304</v>
      </c>
      <c r="AT137" s="3" t="str">
        <f>IFERROR(MID(VLOOKUP($B137,Seqs!$A:$B,2,0),AU137,1),"")</f>
        <v>R</v>
      </c>
      <c r="AU137" s="3">
        <v>328</v>
      </c>
      <c r="AV137" s="3" t="str">
        <f>IFERROR(MID(VLOOKUP($B137,Seqs!$A:$B,2,0),AW137,1),"")</f>
        <v>S</v>
      </c>
      <c r="AW137" s="3">
        <v>329</v>
      </c>
      <c r="AX137" s="3" t="str">
        <f>IFERROR(MID(VLOOKUP($B137,Seqs!$A:$B,2,0),AY137,1),"")</f>
        <v>C</v>
      </c>
      <c r="AY137" s="3">
        <v>341</v>
      </c>
      <c r="AZ137" s="77" t="str">
        <f>VLOOKUP(B137,Classification!A:D,2,0)</f>
        <v>A</v>
      </c>
      <c r="BA137" s="94" t="str">
        <f>VLOOKUP(B137,Classification!A:D,4,0)</f>
        <v>Adrenoceptors</v>
      </c>
      <c r="BB137" s="27" t="b">
        <f t="shared" si="700"/>
        <v>1</v>
      </c>
      <c r="BC137" s="23">
        <f t="shared" si="1121"/>
        <v>241</v>
      </c>
      <c r="BD137" s="4" t="s">
        <v>23</v>
      </c>
      <c r="BE137" s="3" t="s">
        <v>1368</v>
      </c>
      <c r="BF137" s="118">
        <v>2.8</v>
      </c>
      <c r="BG137" s="49" t="s">
        <v>1371</v>
      </c>
      <c r="BH137" s="49" t="s">
        <v>1371</v>
      </c>
      <c r="BI137" s="1"/>
      <c r="BJ137" s="70" t="s">
        <v>1281</v>
      </c>
      <c r="BK137" s="57" t="s">
        <v>1281</v>
      </c>
      <c r="BL137" s="57" t="s">
        <v>1281</v>
      </c>
      <c r="BM137" s="57" t="s">
        <v>1281</v>
      </c>
      <c r="BN137" s="57" t="s">
        <v>1281</v>
      </c>
      <c r="BO137" s="57" t="s">
        <v>1281</v>
      </c>
      <c r="BP137" s="57" t="s">
        <v>1281</v>
      </c>
      <c r="BQ137" s="57" t="s">
        <v>1281</v>
      </c>
      <c r="BR137" s="57" t="s">
        <v>1281</v>
      </c>
      <c r="BS137" s="57" t="s">
        <v>1281</v>
      </c>
      <c r="BT137" s="57" t="s">
        <v>1281</v>
      </c>
      <c r="BU137" s="57" t="s">
        <v>1281</v>
      </c>
      <c r="BV137" s="70">
        <f t="shared" si="1122"/>
        <v>32</v>
      </c>
      <c r="BW137" s="71">
        <f t="shared" si="1123"/>
        <v>62</v>
      </c>
      <c r="BX137" s="72">
        <f t="shared" si="1124"/>
        <v>66</v>
      </c>
      <c r="BY137" s="71">
        <f t="shared" si="1125"/>
        <v>98</v>
      </c>
      <c r="BZ137" s="72">
        <f t="shared" si="1126"/>
        <v>102</v>
      </c>
      <c r="CA137" s="71" t="str">
        <f t="shared" si="1127"/>
        <v>-</v>
      </c>
      <c r="CB137" s="72">
        <f t="shared" si="1128"/>
        <v>146</v>
      </c>
      <c r="CC137" s="71">
        <f t="shared" si="1129"/>
        <v>191</v>
      </c>
      <c r="CD137" s="72">
        <f t="shared" si="1130"/>
        <v>196</v>
      </c>
      <c r="CE137" s="71">
        <f t="shared" si="1131"/>
        <v>267</v>
      </c>
      <c r="CF137" s="72">
        <f t="shared" si="1132"/>
        <v>304</v>
      </c>
      <c r="CG137" s="71">
        <f t="shared" si="1133"/>
        <v>329</v>
      </c>
      <c r="CH137" s="70">
        <f t="shared" si="1134"/>
        <v>61</v>
      </c>
      <c r="CI137" s="71">
        <f t="shared" si="1135"/>
        <v>65</v>
      </c>
      <c r="CJ137" s="72">
        <f t="shared" si="1136"/>
        <v>96</v>
      </c>
      <c r="CK137" s="72">
        <f t="shared" si="1137"/>
        <v>101</v>
      </c>
      <c r="CL137" s="72">
        <f t="shared" si="1138"/>
        <v>137</v>
      </c>
      <c r="CM137" s="72" t="str">
        <f t="shared" si="1139"/>
        <v>-</v>
      </c>
      <c r="CN137" s="72">
        <f t="shared" si="1140"/>
        <v>172</v>
      </c>
      <c r="CO137" s="72">
        <f t="shared" si="1141"/>
        <v>193</v>
      </c>
      <c r="CP137" s="72">
        <f t="shared" si="1142"/>
        <v>229</v>
      </c>
      <c r="CQ137" s="72">
        <f t="shared" si="1143"/>
        <v>299</v>
      </c>
      <c r="CR137" s="72">
        <f t="shared" si="1144"/>
        <v>328</v>
      </c>
      <c r="CS137" s="72">
        <f t="shared" si="1145"/>
        <v>341</v>
      </c>
      <c r="CT137" s="23">
        <f t="shared" si="1146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si="699"/>
        <v>adrb2_human_3NY8</v>
      </c>
      <c r="B138" s="3" t="s">
        <v>126</v>
      </c>
      <c r="C138" s="3" t="s">
        <v>1327</v>
      </c>
      <c r="D138" s="3" t="str">
        <f>IFERROR(MID(VLOOKUP($B138,Seqs!$A:$B,2,0),E138,1),"")</f>
        <v>W</v>
      </c>
      <c r="E138" s="3">
        <v>32</v>
      </c>
      <c r="F138" s="3" t="str">
        <f>IFERROR(MID(VLOOKUP($B138,Seqs!$A:$B,2,0),G138,1),"")</f>
        <v>F</v>
      </c>
      <c r="G138" s="3">
        <v>61</v>
      </c>
      <c r="H138" s="3" t="str">
        <f>IFERROR(MID(VLOOKUP($B138,Seqs!$A:$B,2,0),I138,1),"")</f>
        <v>E</v>
      </c>
      <c r="I138" s="23">
        <v>62</v>
      </c>
      <c r="J138" s="3" t="str">
        <f>IFERROR(MID(VLOOKUP($B138,Seqs!$A:$B,2,0),K138,1),"")</f>
        <v>Q</v>
      </c>
      <c r="K138" s="23">
        <v>65</v>
      </c>
      <c r="L138" s="3" t="str">
        <f>IFERROR(MID(VLOOKUP($B138,Seqs!$A:$B,2,0),M138,1),"")</f>
        <v>T</v>
      </c>
      <c r="M138" s="3">
        <v>66</v>
      </c>
      <c r="N138" s="3" t="str">
        <f>IFERROR(MID(VLOOKUP($B138,Seqs!$A:$B,2,0),O138,1),"")</f>
        <v>K</v>
      </c>
      <c r="O138" s="3">
        <v>97</v>
      </c>
      <c r="P138" s="3" t="str">
        <f>IFERROR(MID(VLOOKUP($B138,Seqs!$A:$B,2,0),Q138,1),"")</f>
        <v>M</v>
      </c>
      <c r="Q138" s="3">
        <v>98</v>
      </c>
      <c r="R138" s="3" t="str">
        <f>IFERROR(MID(VLOOKUP($B138,Seqs!$A:$B,2,0),S138,1),"")</f>
        <v>F</v>
      </c>
      <c r="S138" s="3">
        <v>101</v>
      </c>
      <c r="T138" s="3" t="str">
        <f>IFERROR(MID(VLOOKUP($B138,Seqs!$A:$B,2,0),U138,1),"")</f>
        <v>G</v>
      </c>
      <c r="U138" s="3">
        <v>102</v>
      </c>
      <c r="V138" s="3" t="str">
        <f>IFERROR(MID(VLOOKUP($B138,Seqs!$A:$B,2,0),W138,1),"")</f>
        <v>S</v>
      </c>
      <c r="W138" s="3">
        <v>137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T</v>
      </c>
      <c r="AC138" s="9">
        <v>146</v>
      </c>
      <c r="AD138" s="3" t="str">
        <f>IFERROR(MID(VLOOKUP($B138,Seqs!$A:$B,2,0),AE138,1),"")</f>
        <v>H</v>
      </c>
      <c r="AE138" s="3">
        <v>172</v>
      </c>
      <c r="AF138" s="3" t="str">
        <f>IFERROR(MID(VLOOKUP($B138,Seqs!$A:$B,2,0),AG138,1),"")</f>
        <v>C</v>
      </c>
      <c r="AG138" s="3">
        <v>191</v>
      </c>
      <c r="AH138" s="3" t="str">
        <f>IFERROR(MID(VLOOKUP($B138,Seqs!$A:$B,2,0),AI138,1),"")</f>
        <v>F</v>
      </c>
      <c r="AI138" s="3">
        <v>193</v>
      </c>
      <c r="AJ138" s="3" t="str">
        <f>IFERROR(MID(VLOOKUP($B138,Seqs!$A:$B,2,0),AK138,1),"")</f>
        <v>N</v>
      </c>
      <c r="AK138" s="3">
        <v>196</v>
      </c>
      <c r="AL138" s="3" t="str">
        <f>IFERROR(MID(VLOOKUP($B138,Seqs!$A:$B,2,0),AM138,1),"")</f>
        <v>Q</v>
      </c>
      <c r="AM138" s="3">
        <v>229</v>
      </c>
      <c r="AN138" s="3" t="str">
        <f>IFERROR(MID(VLOOKUP($B138,Seqs!$A:$B,2,0),AO138,1),"")</f>
        <v>K</v>
      </c>
      <c r="AO138" s="3">
        <v>267</v>
      </c>
      <c r="AP138" s="3" t="str">
        <f>IFERROR(MID(VLOOKUP($B138,Seqs!$A:$B,2,0),AQ138,1),"")</f>
        <v>Q</v>
      </c>
      <c r="AQ138" s="3">
        <v>299</v>
      </c>
      <c r="AR138" s="3" t="str">
        <f>IFERROR(MID(VLOOKUP($B138,Seqs!$A:$B,2,0),AS138,1),"")</f>
        <v>R</v>
      </c>
      <c r="AS138" s="3">
        <v>304</v>
      </c>
      <c r="AT138" s="3" t="str">
        <f>IFERROR(MID(VLOOKUP($B138,Seqs!$A:$B,2,0),AU138,1),"")</f>
        <v>R</v>
      </c>
      <c r="AU138" s="3">
        <v>328</v>
      </c>
      <c r="AV138" s="3" t="str">
        <f>IFERROR(MID(VLOOKUP($B138,Seqs!$A:$B,2,0),AW138,1),"")</f>
        <v>S</v>
      </c>
      <c r="AW138" s="3">
        <v>329</v>
      </c>
      <c r="AX138" s="3" t="str">
        <f>IFERROR(MID(VLOOKUP($B138,Seqs!$A:$B,2,0),AY138,1),"")</f>
        <v>C</v>
      </c>
      <c r="AY138" s="3">
        <v>341</v>
      </c>
      <c r="AZ138" s="77" t="str">
        <f>VLOOKUP(B138,Classification!A:D,2,0)</f>
        <v>A</v>
      </c>
      <c r="BA138" s="94" t="str">
        <f>VLOOKUP(B138,Classification!A:D,4,0)</f>
        <v>Adrenoceptors</v>
      </c>
      <c r="BB138" s="27" t="b">
        <f t="shared" si="700"/>
        <v>1</v>
      </c>
      <c r="BC138" s="23">
        <f t="shared" si="1121"/>
        <v>242</v>
      </c>
      <c r="BD138" s="4" t="s">
        <v>23</v>
      </c>
      <c r="BE138" s="3" t="s">
        <v>1368</v>
      </c>
      <c r="BF138" s="118">
        <v>2.84</v>
      </c>
      <c r="BG138" s="49" t="s">
        <v>1371</v>
      </c>
      <c r="BH138" s="49" t="s">
        <v>1371</v>
      </c>
      <c r="BI138" s="1"/>
      <c r="BJ138" s="70" t="s">
        <v>1281</v>
      </c>
      <c r="BK138" s="57" t="s">
        <v>1281</v>
      </c>
      <c r="BL138" s="57" t="s">
        <v>1281</v>
      </c>
      <c r="BM138" s="57" t="s">
        <v>1281</v>
      </c>
      <c r="BN138" s="57" t="s">
        <v>1281</v>
      </c>
      <c r="BO138" s="57" t="s">
        <v>1281</v>
      </c>
      <c r="BP138" s="57" t="s">
        <v>1281</v>
      </c>
      <c r="BQ138" s="57" t="s">
        <v>1281</v>
      </c>
      <c r="BR138" s="57" t="s">
        <v>1281</v>
      </c>
      <c r="BS138" s="57" t="s">
        <v>1281</v>
      </c>
      <c r="BT138" s="57" t="s">
        <v>1281</v>
      </c>
      <c r="BU138" s="57" t="s">
        <v>1281</v>
      </c>
      <c r="BV138" s="70">
        <f t="shared" si="1122"/>
        <v>32</v>
      </c>
      <c r="BW138" s="71">
        <f t="shared" si="1123"/>
        <v>62</v>
      </c>
      <c r="BX138" s="72">
        <f t="shared" si="1124"/>
        <v>66</v>
      </c>
      <c r="BY138" s="71">
        <f t="shared" si="1125"/>
        <v>98</v>
      </c>
      <c r="BZ138" s="72">
        <f t="shared" si="1126"/>
        <v>102</v>
      </c>
      <c r="CA138" s="71" t="str">
        <f t="shared" si="1127"/>
        <v>-</v>
      </c>
      <c r="CB138" s="72">
        <f t="shared" si="1128"/>
        <v>146</v>
      </c>
      <c r="CC138" s="71">
        <f t="shared" si="1129"/>
        <v>191</v>
      </c>
      <c r="CD138" s="72">
        <f t="shared" si="1130"/>
        <v>196</v>
      </c>
      <c r="CE138" s="71">
        <f t="shared" si="1131"/>
        <v>267</v>
      </c>
      <c r="CF138" s="72">
        <f t="shared" si="1132"/>
        <v>304</v>
      </c>
      <c r="CG138" s="71">
        <f t="shared" si="1133"/>
        <v>329</v>
      </c>
      <c r="CH138" s="70">
        <f t="shared" si="1134"/>
        <v>61</v>
      </c>
      <c r="CI138" s="71">
        <f t="shared" si="1135"/>
        <v>65</v>
      </c>
      <c r="CJ138" s="72">
        <f t="shared" si="1136"/>
        <v>97</v>
      </c>
      <c r="CK138" s="72">
        <f t="shared" si="1137"/>
        <v>101</v>
      </c>
      <c r="CL138" s="72">
        <f t="shared" si="1138"/>
        <v>137</v>
      </c>
      <c r="CM138" s="72" t="str">
        <f t="shared" si="1139"/>
        <v>-</v>
      </c>
      <c r="CN138" s="72">
        <f t="shared" si="1140"/>
        <v>172</v>
      </c>
      <c r="CO138" s="72">
        <f t="shared" si="1141"/>
        <v>193</v>
      </c>
      <c r="CP138" s="72">
        <f t="shared" si="1142"/>
        <v>229</v>
      </c>
      <c r="CQ138" s="72">
        <f t="shared" si="1143"/>
        <v>299</v>
      </c>
      <c r="CR138" s="72">
        <f t="shared" si="1144"/>
        <v>328</v>
      </c>
      <c r="CS138" s="72">
        <f t="shared" si="1145"/>
        <v>341</v>
      </c>
      <c r="CT138" s="23">
        <f t="shared" si="1146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si="699"/>
        <v>adrb2_human_3NY9</v>
      </c>
      <c r="B139" s="3" t="s">
        <v>126</v>
      </c>
      <c r="C139" s="3" t="s">
        <v>1023</v>
      </c>
      <c r="D139" s="3" t="str">
        <f>IFERROR(MID(VLOOKUP($B139,Seqs!$A:$B,2,0),E139,1),"")</f>
        <v>W</v>
      </c>
      <c r="E139" s="3">
        <v>32</v>
      </c>
      <c r="F139" s="3" t="str">
        <f>IFERROR(MID(VLOOKUP($B139,Seqs!$A:$B,2,0),G139,1),"")</f>
        <v>F</v>
      </c>
      <c r="G139" s="3">
        <v>61</v>
      </c>
      <c r="H139" s="3" t="str">
        <f>IFERROR(MID(VLOOKUP($B139,Seqs!$A:$B,2,0),I139,1),"")</f>
        <v>E</v>
      </c>
      <c r="I139" s="23">
        <v>62</v>
      </c>
      <c r="J139" s="3" t="str">
        <f>IFERROR(MID(VLOOKUP($B139,Seqs!$A:$B,2,0),K139,1),"")</f>
        <v>Q</v>
      </c>
      <c r="K139" s="23">
        <v>65</v>
      </c>
      <c r="L139" s="3" t="str">
        <f>IFERROR(MID(VLOOKUP($B139,Seqs!$A:$B,2,0),M139,1),"")</f>
        <v>T</v>
      </c>
      <c r="M139" s="3">
        <v>66</v>
      </c>
      <c r="N139" s="3" t="str">
        <f>IFERROR(MID(VLOOKUP($B139,Seqs!$A:$B,2,0),O139,1),"")</f>
        <v>K</v>
      </c>
      <c r="O139" s="3">
        <v>97</v>
      </c>
      <c r="P139" s="3" t="str">
        <f>IFERROR(MID(VLOOKUP($B139,Seqs!$A:$B,2,0),Q139,1),"")</f>
        <v>M</v>
      </c>
      <c r="Q139" s="3">
        <v>98</v>
      </c>
      <c r="R139" s="3" t="str">
        <f>IFERROR(MID(VLOOKUP($B139,Seqs!$A:$B,2,0),S139,1),"")</f>
        <v>F</v>
      </c>
      <c r="S139" s="3">
        <v>101</v>
      </c>
      <c r="T139" s="3" t="str">
        <f>IFERROR(MID(VLOOKUP($B139,Seqs!$A:$B,2,0),U139,1),"")</f>
        <v>G</v>
      </c>
      <c r="U139" s="3">
        <v>102</v>
      </c>
      <c r="V139" s="3" t="str">
        <f>IFERROR(MID(VLOOKUP($B139,Seqs!$A:$B,2,0),W139,1),"")</f>
        <v>S</v>
      </c>
      <c r="W139" s="3">
        <v>137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T</v>
      </c>
      <c r="AC139" s="9">
        <v>146</v>
      </c>
      <c r="AD139" s="3" t="str">
        <f>IFERROR(MID(VLOOKUP($B139,Seqs!$A:$B,2,0),AE139,1),"")</f>
        <v>H</v>
      </c>
      <c r="AE139" s="3">
        <v>172</v>
      </c>
      <c r="AF139" s="3" t="str">
        <f>IFERROR(MID(VLOOKUP($B139,Seqs!$A:$B,2,0),AG139,1),"")</f>
        <v>C</v>
      </c>
      <c r="AG139" s="3">
        <v>191</v>
      </c>
      <c r="AH139" s="3" t="str">
        <f>IFERROR(MID(VLOOKUP($B139,Seqs!$A:$B,2,0),AI139,1),"")</f>
        <v>F</v>
      </c>
      <c r="AI139" s="3">
        <v>193</v>
      </c>
      <c r="AJ139" s="3" t="str">
        <f>IFERROR(MID(VLOOKUP($B139,Seqs!$A:$B,2,0),AK139,1),"")</f>
        <v>N</v>
      </c>
      <c r="AK139" s="3">
        <v>196</v>
      </c>
      <c r="AL139" s="3" t="str">
        <f>IFERROR(MID(VLOOKUP($B139,Seqs!$A:$B,2,0),AM139,1),"")</f>
        <v>Q</v>
      </c>
      <c r="AM139" s="3">
        <v>229</v>
      </c>
      <c r="AN139" s="3" t="str">
        <f>IFERROR(MID(VLOOKUP($B139,Seqs!$A:$B,2,0),AO139,1),"")</f>
        <v>K</v>
      </c>
      <c r="AO139" s="3">
        <v>267</v>
      </c>
      <c r="AP139" s="3" t="str">
        <f>IFERROR(MID(VLOOKUP($B139,Seqs!$A:$B,2,0),AQ139,1),"")</f>
        <v>Q</v>
      </c>
      <c r="AQ139" s="3">
        <v>299</v>
      </c>
      <c r="AR139" s="3" t="str">
        <f>IFERROR(MID(VLOOKUP($B139,Seqs!$A:$B,2,0),AS139,1),"")</f>
        <v>R</v>
      </c>
      <c r="AS139" s="3">
        <v>304</v>
      </c>
      <c r="AT139" s="3" t="str">
        <f>IFERROR(MID(VLOOKUP($B139,Seqs!$A:$B,2,0),AU139,1),"")</f>
        <v>R</v>
      </c>
      <c r="AU139" s="3">
        <v>328</v>
      </c>
      <c r="AV139" s="3" t="str">
        <f>IFERROR(MID(VLOOKUP($B139,Seqs!$A:$B,2,0),AW139,1),"")</f>
        <v>S</v>
      </c>
      <c r="AW139" s="3">
        <v>329</v>
      </c>
      <c r="AX139" s="3" t="str">
        <f>IFERROR(MID(VLOOKUP($B139,Seqs!$A:$B,2,0),AY139,1),"")</f>
        <v>C</v>
      </c>
      <c r="AY139" s="3">
        <v>341</v>
      </c>
      <c r="AZ139" s="77" t="str">
        <f>VLOOKUP(B139,Classification!A:D,2,0)</f>
        <v>A</v>
      </c>
      <c r="BA139" s="94" t="str">
        <f>VLOOKUP(B139,Classification!A:D,4,0)</f>
        <v>Adrenoceptors</v>
      </c>
      <c r="BB139" s="27" t="b">
        <f t="shared" si="700"/>
        <v>1</v>
      </c>
      <c r="BC139" s="23">
        <f t="shared" si="1121"/>
        <v>242</v>
      </c>
      <c r="BD139" s="4" t="s">
        <v>23</v>
      </c>
      <c r="BE139" s="3" t="s">
        <v>1368</v>
      </c>
      <c r="BF139" s="118">
        <v>2.84</v>
      </c>
      <c r="BG139" s="49" t="s">
        <v>1371</v>
      </c>
      <c r="BH139" s="49" t="s">
        <v>1371</v>
      </c>
      <c r="BI139" s="1"/>
      <c r="BJ139" s="70" t="s">
        <v>1281</v>
      </c>
      <c r="BK139" s="57" t="s">
        <v>1281</v>
      </c>
      <c r="BL139" s="57" t="s">
        <v>1281</v>
      </c>
      <c r="BM139" s="57" t="s">
        <v>1281</v>
      </c>
      <c r="BN139" s="57" t="s">
        <v>1281</v>
      </c>
      <c r="BO139" s="57" t="s">
        <v>1281</v>
      </c>
      <c r="BP139" s="57" t="s">
        <v>1281</v>
      </c>
      <c r="BQ139" s="57" t="s">
        <v>1281</v>
      </c>
      <c r="BR139" s="57" t="s">
        <v>1281</v>
      </c>
      <c r="BS139" s="57" t="s">
        <v>1281</v>
      </c>
      <c r="BT139" s="57" t="s">
        <v>1281</v>
      </c>
      <c r="BU139" s="57" t="s">
        <v>1281</v>
      </c>
      <c r="BV139" s="70">
        <f t="shared" si="1122"/>
        <v>32</v>
      </c>
      <c r="BW139" s="71">
        <f t="shared" si="1123"/>
        <v>62</v>
      </c>
      <c r="BX139" s="72">
        <f t="shared" si="1124"/>
        <v>66</v>
      </c>
      <c r="BY139" s="71">
        <f t="shared" si="1125"/>
        <v>98</v>
      </c>
      <c r="BZ139" s="72">
        <f t="shared" si="1126"/>
        <v>102</v>
      </c>
      <c r="CA139" s="71" t="str">
        <f t="shared" si="1127"/>
        <v>-</v>
      </c>
      <c r="CB139" s="72">
        <f t="shared" si="1128"/>
        <v>146</v>
      </c>
      <c r="CC139" s="71">
        <f t="shared" si="1129"/>
        <v>191</v>
      </c>
      <c r="CD139" s="72">
        <f t="shared" si="1130"/>
        <v>196</v>
      </c>
      <c r="CE139" s="71">
        <f t="shared" si="1131"/>
        <v>267</v>
      </c>
      <c r="CF139" s="72">
        <f t="shared" si="1132"/>
        <v>304</v>
      </c>
      <c r="CG139" s="71">
        <f t="shared" si="1133"/>
        <v>329</v>
      </c>
      <c r="CH139" s="70">
        <f t="shared" si="1134"/>
        <v>61</v>
      </c>
      <c r="CI139" s="71">
        <f t="shared" si="1135"/>
        <v>65</v>
      </c>
      <c r="CJ139" s="72">
        <f t="shared" si="1136"/>
        <v>97</v>
      </c>
      <c r="CK139" s="72">
        <f t="shared" si="1137"/>
        <v>101</v>
      </c>
      <c r="CL139" s="72">
        <f t="shared" si="1138"/>
        <v>137</v>
      </c>
      <c r="CM139" s="72" t="str">
        <f t="shared" si="1139"/>
        <v>-</v>
      </c>
      <c r="CN139" s="72">
        <f t="shared" si="1140"/>
        <v>172</v>
      </c>
      <c r="CO139" s="72">
        <f t="shared" si="1141"/>
        <v>193</v>
      </c>
      <c r="CP139" s="72">
        <f t="shared" si="1142"/>
        <v>229</v>
      </c>
      <c r="CQ139" s="72">
        <f t="shared" si="1143"/>
        <v>299</v>
      </c>
      <c r="CR139" s="72">
        <f t="shared" si="1144"/>
        <v>328</v>
      </c>
      <c r="CS139" s="72">
        <f t="shared" si="1145"/>
        <v>341</v>
      </c>
      <c r="CT139" s="23">
        <f t="shared" si="1146"/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699"/>
        <v>adrb2_human_3NYA</v>
      </c>
      <c r="B140" s="3" t="s">
        <v>126</v>
      </c>
      <c r="C140" s="3" t="s">
        <v>1328</v>
      </c>
      <c r="D140" s="3" t="str">
        <f>IFERROR(MID(VLOOKUP($B140,Seqs!$A:$B,2,0),E140,1),"")</f>
        <v>W</v>
      </c>
      <c r="E140" s="3">
        <v>32</v>
      </c>
      <c r="F140" s="3" t="str">
        <f>IFERROR(MID(VLOOKUP($B140,Seqs!$A:$B,2,0),G140,1),"")</f>
        <v>F</v>
      </c>
      <c r="G140" s="3">
        <v>61</v>
      </c>
      <c r="H140" s="3" t="str">
        <f>IFERROR(MID(VLOOKUP($B140,Seqs!$A:$B,2,0),I140,1),"")</f>
        <v>E</v>
      </c>
      <c r="I140" s="23">
        <v>62</v>
      </c>
      <c r="J140" s="3" t="str">
        <f>IFERROR(MID(VLOOKUP($B140,Seqs!$A:$B,2,0),K140,1),"")</f>
        <v>Q</v>
      </c>
      <c r="K140" s="23">
        <v>65</v>
      </c>
      <c r="L140" s="3" t="str">
        <f>IFERROR(MID(VLOOKUP($B140,Seqs!$A:$B,2,0),M140,1),"")</f>
        <v>T</v>
      </c>
      <c r="M140" s="3">
        <v>66</v>
      </c>
      <c r="N140" s="3" t="str">
        <f>IFERROR(MID(VLOOKUP($B140,Seqs!$A:$B,2,0),O140,1),"")</f>
        <v>K</v>
      </c>
      <c r="O140" s="3">
        <v>97</v>
      </c>
      <c r="P140" s="3" t="str">
        <f>IFERROR(MID(VLOOKUP($B140,Seqs!$A:$B,2,0),Q140,1),"")</f>
        <v>M</v>
      </c>
      <c r="Q140" s="3">
        <v>98</v>
      </c>
      <c r="R140" s="3" t="str">
        <f>IFERROR(MID(VLOOKUP($B140,Seqs!$A:$B,2,0),S140,1),"")</f>
        <v>F</v>
      </c>
      <c r="S140" s="3">
        <v>101</v>
      </c>
      <c r="T140" s="3" t="str">
        <f>IFERROR(MID(VLOOKUP($B140,Seqs!$A:$B,2,0),U140,1),"")</f>
        <v>G</v>
      </c>
      <c r="U140" s="3">
        <v>102</v>
      </c>
      <c r="V140" s="3" t="str">
        <f>IFERROR(MID(VLOOKUP($B140,Seqs!$A:$B,2,0),W140,1),"")</f>
        <v>S</v>
      </c>
      <c r="W140" s="3">
        <v>137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T</v>
      </c>
      <c r="AC140" s="9">
        <v>146</v>
      </c>
      <c r="AD140" s="3" t="str">
        <f>IFERROR(MID(VLOOKUP($B140,Seqs!$A:$B,2,0),AE140,1),"")</f>
        <v>H</v>
      </c>
      <c r="AE140" s="3">
        <v>172</v>
      </c>
      <c r="AF140" s="3" t="str">
        <f>IFERROR(MID(VLOOKUP($B140,Seqs!$A:$B,2,0),AG140,1),"")</f>
        <v>C</v>
      </c>
      <c r="AG140" s="3">
        <v>191</v>
      </c>
      <c r="AH140" s="3" t="str">
        <f>IFERROR(MID(VLOOKUP($B140,Seqs!$A:$B,2,0),AI140,1),"")</f>
        <v>F</v>
      </c>
      <c r="AI140" s="3">
        <v>193</v>
      </c>
      <c r="AJ140" s="3" t="str">
        <f>IFERROR(MID(VLOOKUP($B140,Seqs!$A:$B,2,0),AK140,1),"")</f>
        <v>N</v>
      </c>
      <c r="AK140" s="3">
        <v>196</v>
      </c>
      <c r="AL140" s="3" t="str">
        <f>IFERROR(MID(VLOOKUP($B140,Seqs!$A:$B,2,0),AM140,1),"")</f>
        <v>Q</v>
      </c>
      <c r="AM140" s="3">
        <v>229</v>
      </c>
      <c r="AN140" s="3" t="str">
        <f>IFERROR(MID(VLOOKUP($B140,Seqs!$A:$B,2,0),AO140,1),"")</f>
        <v>K</v>
      </c>
      <c r="AO140" s="3">
        <v>267</v>
      </c>
      <c r="AP140" s="3" t="str">
        <f>IFERROR(MID(VLOOKUP($B140,Seqs!$A:$B,2,0),AQ140,1),"")</f>
        <v>Q</v>
      </c>
      <c r="AQ140" s="3">
        <v>299</v>
      </c>
      <c r="AR140" s="3" t="str">
        <f>IFERROR(MID(VLOOKUP($B140,Seqs!$A:$B,2,0),AS140,1),"")</f>
        <v>R</v>
      </c>
      <c r="AS140" s="3">
        <v>304</v>
      </c>
      <c r="AT140" s="3" t="str">
        <f>IFERROR(MID(VLOOKUP($B140,Seqs!$A:$B,2,0),AU140,1),"")</f>
        <v>R</v>
      </c>
      <c r="AU140" s="3">
        <v>328</v>
      </c>
      <c r="AV140" s="3" t="str">
        <f>IFERROR(MID(VLOOKUP($B140,Seqs!$A:$B,2,0),AW140,1),"")</f>
        <v>S</v>
      </c>
      <c r="AW140" s="3">
        <v>329</v>
      </c>
      <c r="AX140" s="3" t="str">
        <f>IFERROR(MID(VLOOKUP($B140,Seqs!$A:$B,2,0),AY140,1),"")</f>
        <v>C</v>
      </c>
      <c r="AY140" s="3">
        <v>341</v>
      </c>
      <c r="AZ140" s="77" t="str">
        <f>VLOOKUP(B140,Classification!A:D,2,0)</f>
        <v>A</v>
      </c>
      <c r="BA140" s="94" t="str">
        <f>VLOOKUP(B140,Classification!A:D,4,0)</f>
        <v>Adrenoceptors</v>
      </c>
      <c r="BB140" s="27" t="b">
        <f t="shared" si="700"/>
        <v>1</v>
      </c>
      <c r="BC140" s="23">
        <f t="shared" si="1121"/>
        <v>242</v>
      </c>
      <c r="BD140" s="4" t="s">
        <v>23</v>
      </c>
      <c r="BE140" s="3" t="s">
        <v>1368</v>
      </c>
      <c r="BF140" s="118">
        <v>3.16</v>
      </c>
      <c r="BG140" s="49" t="s">
        <v>1371</v>
      </c>
      <c r="BH140" s="49" t="s">
        <v>1371</v>
      </c>
      <c r="BI140" s="1"/>
      <c r="BJ140" s="70" t="s">
        <v>1281</v>
      </c>
      <c r="BK140" s="57" t="s">
        <v>1281</v>
      </c>
      <c r="BL140" s="57" t="s">
        <v>1281</v>
      </c>
      <c r="BM140" s="57" t="s">
        <v>1281</v>
      </c>
      <c r="BN140" s="57" t="s">
        <v>1281</v>
      </c>
      <c r="BO140" s="57" t="s">
        <v>1281</v>
      </c>
      <c r="BP140" s="57" t="s">
        <v>1281</v>
      </c>
      <c r="BQ140" s="57" t="s">
        <v>1281</v>
      </c>
      <c r="BR140" s="57" t="s">
        <v>1281</v>
      </c>
      <c r="BS140" s="57" t="s">
        <v>1281</v>
      </c>
      <c r="BT140" s="57" t="s">
        <v>1281</v>
      </c>
      <c r="BU140" s="57" t="s">
        <v>1281</v>
      </c>
      <c r="BV140" s="70">
        <f t="shared" si="1122"/>
        <v>32</v>
      </c>
      <c r="BW140" s="71">
        <f t="shared" si="1123"/>
        <v>62</v>
      </c>
      <c r="BX140" s="72">
        <f t="shared" si="1124"/>
        <v>66</v>
      </c>
      <c r="BY140" s="71">
        <f t="shared" si="1125"/>
        <v>98</v>
      </c>
      <c r="BZ140" s="72">
        <f t="shared" si="1126"/>
        <v>102</v>
      </c>
      <c r="CA140" s="71" t="str">
        <f t="shared" si="1127"/>
        <v>-</v>
      </c>
      <c r="CB140" s="72">
        <f t="shared" si="1128"/>
        <v>146</v>
      </c>
      <c r="CC140" s="71">
        <f t="shared" si="1129"/>
        <v>191</v>
      </c>
      <c r="CD140" s="72">
        <f t="shared" si="1130"/>
        <v>196</v>
      </c>
      <c r="CE140" s="71">
        <f t="shared" si="1131"/>
        <v>267</v>
      </c>
      <c r="CF140" s="72">
        <f t="shared" si="1132"/>
        <v>304</v>
      </c>
      <c r="CG140" s="71">
        <f t="shared" si="1133"/>
        <v>329</v>
      </c>
      <c r="CH140" s="70">
        <f t="shared" si="1134"/>
        <v>61</v>
      </c>
      <c r="CI140" s="71">
        <f t="shared" si="1135"/>
        <v>65</v>
      </c>
      <c r="CJ140" s="72">
        <f t="shared" si="1136"/>
        <v>97</v>
      </c>
      <c r="CK140" s="72">
        <f t="shared" si="1137"/>
        <v>101</v>
      </c>
      <c r="CL140" s="72">
        <f t="shared" si="1138"/>
        <v>137</v>
      </c>
      <c r="CM140" s="72" t="str">
        <f t="shared" si="1139"/>
        <v>-</v>
      </c>
      <c r="CN140" s="72">
        <f t="shared" si="1140"/>
        <v>172</v>
      </c>
      <c r="CO140" s="72">
        <f t="shared" si="1141"/>
        <v>193</v>
      </c>
      <c r="CP140" s="72">
        <f t="shared" si="1142"/>
        <v>229</v>
      </c>
      <c r="CQ140" s="72">
        <f t="shared" si="1143"/>
        <v>299</v>
      </c>
      <c r="CR140" s="72">
        <f t="shared" si="1144"/>
        <v>328</v>
      </c>
      <c r="CS140" s="72">
        <f t="shared" si="1145"/>
        <v>341</v>
      </c>
      <c r="CT140" s="23">
        <f t="shared" si="1146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699"/>
        <v>adrb2_human_3P0G</v>
      </c>
      <c r="B141" s="3" t="s">
        <v>126</v>
      </c>
      <c r="C141" s="3" t="s">
        <v>66</v>
      </c>
      <c r="D141" s="3" t="str">
        <f>IFERROR(MID(VLOOKUP($B141,Seqs!$A:$B,2,0),E141,1),"")</f>
        <v>Q</v>
      </c>
      <c r="E141" s="3">
        <v>26</v>
      </c>
      <c r="F141" s="3" t="str">
        <f>IFERROR(MID(VLOOKUP($B141,Seqs!$A:$B,2,0),G141,1),"")</f>
        <v>F</v>
      </c>
      <c r="G141" s="3">
        <v>61</v>
      </c>
      <c r="H141" s="3" t="str">
        <f>IFERROR(MID(VLOOKUP($B141,Seqs!$A:$B,2,0),I141,1),"")</f>
        <v>E</v>
      </c>
      <c r="I141" s="23">
        <v>62</v>
      </c>
      <c r="J141" s="3" t="str">
        <f>IFERROR(MID(VLOOKUP($B141,Seqs!$A:$B,2,0),K141,1),"")</f>
        <v>Q</v>
      </c>
      <c r="K141" s="23">
        <v>65</v>
      </c>
      <c r="L141" s="3" t="str">
        <f>IFERROR(MID(VLOOKUP($B141,Seqs!$A:$B,2,0),M141,1),"")</f>
        <v>T</v>
      </c>
      <c r="M141" s="3">
        <v>66</v>
      </c>
      <c r="N141" s="3" t="str">
        <f>IFERROR(MID(VLOOKUP($B141,Seqs!$A:$B,2,0),O141,1),"")</f>
        <v>K</v>
      </c>
      <c r="O141" s="3">
        <v>97</v>
      </c>
      <c r="P141" s="3" t="str">
        <f>IFERROR(MID(VLOOKUP($B141,Seqs!$A:$B,2,0),Q141,1),"")</f>
        <v>M</v>
      </c>
      <c r="Q141" s="3">
        <v>98</v>
      </c>
      <c r="R141" s="3" t="str">
        <f>IFERROR(MID(VLOOKUP($B141,Seqs!$A:$B,2,0),S141,1),"")</f>
        <v>F</v>
      </c>
      <c r="S141" s="3">
        <v>101</v>
      </c>
      <c r="T141" s="3" t="str">
        <f>IFERROR(MID(VLOOKUP($B141,Seqs!$A:$B,2,0),U141,1),"")</f>
        <v>G</v>
      </c>
      <c r="U141" s="3">
        <v>102</v>
      </c>
      <c r="V141" s="3" t="str">
        <f>IFERROR(MID(VLOOKUP($B141,Seqs!$A:$B,2,0),W141,1),"")</f>
        <v>S</v>
      </c>
      <c r="W141" s="3">
        <v>137</v>
      </c>
      <c r="X141" s="3" t="str">
        <f>IFERROR(MID(VLOOKUP($B141,Seqs!$A:$B,2,0),Y141,1),"")</f>
        <v>P</v>
      </c>
      <c r="Y141" s="3">
        <v>138</v>
      </c>
      <c r="Z141" s="3" t="str">
        <f>IFERROR(MID(VLOOKUP($B141,Seqs!$A:$B,2,0),AA141,1),"")</f>
        <v>L</v>
      </c>
      <c r="AA141" s="3">
        <v>145</v>
      </c>
      <c r="AB141" s="3" t="str">
        <f>IFERROR(MID(VLOOKUP($B141,Seqs!$A:$B,2,0),AC141,1),"")</f>
        <v>T</v>
      </c>
      <c r="AC141" s="9">
        <v>146</v>
      </c>
      <c r="AD141" s="3" t="str">
        <f>IFERROR(MID(VLOOKUP($B141,Seqs!$A:$B,2,0),AE141,1),"")</f>
        <v>H</v>
      </c>
      <c r="AE141" s="3">
        <v>172</v>
      </c>
      <c r="AF141" s="3" t="str">
        <f>IFERROR(MID(VLOOKUP($B141,Seqs!$A:$B,2,0),AG141,1),"")</f>
        <v>C</v>
      </c>
      <c r="AG141" s="3">
        <v>191</v>
      </c>
      <c r="AH141" s="3" t="str">
        <f>IFERROR(MID(VLOOKUP($B141,Seqs!$A:$B,2,0),AI141,1),"")</f>
        <v>F</v>
      </c>
      <c r="AI141" s="3">
        <v>193</v>
      </c>
      <c r="AJ141" s="3" t="str">
        <f>IFERROR(MID(VLOOKUP($B141,Seqs!$A:$B,2,0),AK141,1),"")</f>
        <v>N</v>
      </c>
      <c r="AK141" s="3">
        <v>196</v>
      </c>
      <c r="AL141" s="3" t="str">
        <f>IFERROR(MID(VLOOKUP($B141,Seqs!$A:$B,2,0),AM141,1),"")</f>
        <v>A</v>
      </c>
      <c r="AM141" s="3">
        <v>226</v>
      </c>
      <c r="AN141" s="3" t="str">
        <f>IFERROR(MID(VLOOKUP($B141,Seqs!$A:$B,2,0),AO141,1),"")</f>
        <v>H</v>
      </c>
      <c r="AO141" s="3">
        <v>269</v>
      </c>
      <c r="AP141" s="3" t="str">
        <f>IFERROR(MID(VLOOKUP($B141,Seqs!$A:$B,2,0),AQ141,1),"")</f>
        <v>Q</v>
      </c>
      <c r="AQ141" s="3">
        <v>299</v>
      </c>
      <c r="AR141" s="3" t="str">
        <f>IFERROR(MID(VLOOKUP($B141,Seqs!$A:$B,2,0),AS141,1),"")</f>
        <v>R</v>
      </c>
      <c r="AS141" s="3">
        <v>304</v>
      </c>
      <c r="AT141" s="3" t="str">
        <f>IFERROR(MID(VLOOKUP($B141,Seqs!$A:$B,2,0),AU141,1),"")</f>
        <v>R</v>
      </c>
      <c r="AU141" s="3">
        <v>328</v>
      </c>
      <c r="AV141" s="3" t="str">
        <f>IFERROR(MID(VLOOKUP($B141,Seqs!$A:$B,2,0),AW141,1),"")</f>
        <v>S</v>
      </c>
      <c r="AW141" s="3">
        <v>329</v>
      </c>
      <c r="AX141" s="3" t="str">
        <f>IFERROR(MID(VLOOKUP($B141,Seqs!$A:$B,2,0),AY141,1),"")</f>
        <v>C</v>
      </c>
      <c r="AY141" s="3">
        <v>341</v>
      </c>
      <c r="AZ141" s="77" t="str">
        <f>VLOOKUP(B141,Classification!A:D,2,0)</f>
        <v>A</v>
      </c>
      <c r="BA141" s="94" t="str">
        <f>VLOOKUP(B141,Classification!A:D,4,0)</f>
        <v>Adrenoceptors</v>
      </c>
      <c r="BB141" s="27" t="b">
        <f t="shared" si="700"/>
        <v>1</v>
      </c>
      <c r="BC141" s="23">
        <f t="shared" si="1121"/>
        <v>250</v>
      </c>
      <c r="BD141" s="16" t="s">
        <v>23</v>
      </c>
      <c r="BE141" s="3" t="s">
        <v>1285</v>
      </c>
      <c r="BF141" s="118">
        <v>3.5</v>
      </c>
      <c r="BG141" s="49" t="s">
        <v>1371</v>
      </c>
      <c r="BH141" s="49" t="s">
        <v>1371</v>
      </c>
      <c r="BI141" s="1"/>
      <c r="BJ141" s="70" t="s">
        <v>1281</v>
      </c>
      <c r="BK141" s="57" t="s">
        <v>1281</v>
      </c>
      <c r="BL141" s="57" t="s">
        <v>1281</v>
      </c>
      <c r="BM141" s="57" t="s">
        <v>1281</v>
      </c>
      <c r="BN141" s="57" t="s">
        <v>1281</v>
      </c>
      <c r="BO141" s="57" t="s">
        <v>1281</v>
      </c>
      <c r="BP141" s="57" t="s">
        <v>1281</v>
      </c>
      <c r="BQ141" s="57" t="s">
        <v>1281</v>
      </c>
      <c r="BR141" s="57" t="s">
        <v>1281</v>
      </c>
      <c r="BS141" s="57" t="s">
        <v>1281</v>
      </c>
      <c r="BT141" s="57" t="s">
        <v>1281</v>
      </c>
      <c r="BU141" s="57" t="s">
        <v>1281</v>
      </c>
      <c r="BV141" s="70">
        <f t="shared" si="1122"/>
        <v>26</v>
      </c>
      <c r="BW141" s="71">
        <f t="shared" si="1123"/>
        <v>62</v>
      </c>
      <c r="BX141" s="72">
        <f t="shared" si="1124"/>
        <v>66</v>
      </c>
      <c r="BY141" s="71">
        <f t="shared" si="1125"/>
        <v>98</v>
      </c>
      <c r="BZ141" s="72">
        <f t="shared" si="1126"/>
        <v>102</v>
      </c>
      <c r="CA141" s="71">
        <f t="shared" si="1127"/>
        <v>138</v>
      </c>
      <c r="CB141" s="72">
        <f t="shared" si="1128"/>
        <v>146</v>
      </c>
      <c r="CC141" s="71">
        <f t="shared" si="1129"/>
        <v>191</v>
      </c>
      <c r="CD141" s="72">
        <f t="shared" si="1130"/>
        <v>196</v>
      </c>
      <c r="CE141" s="71">
        <f t="shared" si="1131"/>
        <v>269</v>
      </c>
      <c r="CF141" s="72">
        <f t="shared" si="1132"/>
        <v>304</v>
      </c>
      <c r="CG141" s="71">
        <f t="shared" si="1133"/>
        <v>329</v>
      </c>
      <c r="CH141" s="70">
        <f t="shared" si="1134"/>
        <v>61</v>
      </c>
      <c r="CI141" s="71">
        <f t="shared" si="1135"/>
        <v>65</v>
      </c>
      <c r="CJ141" s="72">
        <f t="shared" si="1136"/>
        <v>97</v>
      </c>
      <c r="CK141" s="72">
        <f t="shared" si="1137"/>
        <v>101</v>
      </c>
      <c r="CL141" s="72">
        <f t="shared" si="1138"/>
        <v>137</v>
      </c>
      <c r="CM141" s="72">
        <f t="shared" si="1139"/>
        <v>145</v>
      </c>
      <c r="CN141" s="72">
        <f t="shared" si="1140"/>
        <v>172</v>
      </c>
      <c r="CO141" s="72">
        <f t="shared" si="1141"/>
        <v>193</v>
      </c>
      <c r="CP141" s="72">
        <f t="shared" si="1142"/>
        <v>226</v>
      </c>
      <c r="CQ141" s="72">
        <f t="shared" si="1143"/>
        <v>299</v>
      </c>
      <c r="CR141" s="72">
        <f t="shared" si="1144"/>
        <v>328</v>
      </c>
      <c r="CS141" s="72">
        <f t="shared" si="1145"/>
        <v>341</v>
      </c>
      <c r="CT141" s="23">
        <f t="shared" si="114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699"/>
        <v>adrb2_human_3PDS</v>
      </c>
      <c r="B142" s="3" t="s">
        <v>126</v>
      </c>
      <c r="C142" s="3" t="s">
        <v>1329</v>
      </c>
      <c r="D142" s="3" t="str">
        <f>IFERROR(MID(VLOOKUP($B142,Seqs!$A:$B,2,0),E142,1),"")</f>
        <v>D</v>
      </c>
      <c r="E142" s="3">
        <v>29</v>
      </c>
      <c r="F142" s="3" t="str">
        <f>IFERROR(MID(VLOOKUP($B142,Seqs!$A:$B,2,0),G142,1),"")</f>
        <v>F</v>
      </c>
      <c r="G142" s="3">
        <v>61</v>
      </c>
      <c r="H142" s="3" t="str">
        <f>IFERROR(MID(VLOOKUP($B142,Seqs!$A:$B,2,0),I142,1),"")</f>
        <v>E</v>
      </c>
      <c r="I142" s="23">
        <v>62</v>
      </c>
      <c r="J142" s="3" t="str">
        <f>IFERROR(MID(VLOOKUP($B142,Seqs!$A:$B,2,0),K142,1),"")</f>
        <v>Q</v>
      </c>
      <c r="K142" s="23">
        <v>65</v>
      </c>
      <c r="L142" s="3" t="str">
        <f>IFERROR(MID(VLOOKUP($B142,Seqs!$A:$B,2,0),M142,1),"")</f>
        <v>T</v>
      </c>
      <c r="M142" s="3">
        <v>66</v>
      </c>
      <c r="N142" s="3" t="str">
        <f>IFERROR(MID(VLOOKUP($B142,Seqs!$A:$B,2,0),O142,1),"")</f>
        <v>M</v>
      </c>
      <c r="O142" s="3">
        <v>96</v>
      </c>
      <c r="P142" s="3" t="str">
        <f>IFERROR(MID(VLOOKUP($B142,Seqs!$A:$B,2,0),Q142,1),"")</f>
        <v>M</v>
      </c>
      <c r="Q142" s="3">
        <v>98</v>
      </c>
      <c r="R142" s="3" t="str">
        <f>IFERROR(MID(VLOOKUP($B142,Seqs!$A:$B,2,0),S142,1),"")</f>
        <v>F</v>
      </c>
      <c r="S142" s="3">
        <v>101</v>
      </c>
      <c r="T142" s="3" t="str">
        <f>IFERROR(MID(VLOOKUP($B142,Seqs!$A:$B,2,0),U142,1),"")</f>
        <v>G</v>
      </c>
      <c r="U142" s="3">
        <v>102</v>
      </c>
      <c r="V142" s="3" t="str">
        <f>IFERROR(MID(VLOOKUP($B142,Seqs!$A:$B,2,0),W142,1),"")</f>
        <v>S</v>
      </c>
      <c r="W142" s="3">
        <v>137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T</v>
      </c>
      <c r="AC142" s="9">
        <v>146</v>
      </c>
      <c r="AD142" s="3" t="str">
        <f>IFERROR(MID(VLOOKUP($B142,Seqs!$A:$B,2,0),AE142,1),"")</f>
        <v>H</v>
      </c>
      <c r="AE142" s="3">
        <v>172</v>
      </c>
      <c r="AF142" s="3" t="str">
        <f>IFERROR(MID(VLOOKUP($B142,Seqs!$A:$B,2,0),AG142,1),"")</f>
        <v>C</v>
      </c>
      <c r="AG142" s="3">
        <v>191</v>
      </c>
      <c r="AH142" s="3" t="str">
        <f>IFERROR(MID(VLOOKUP($B142,Seqs!$A:$B,2,0),AI142,1),"")</f>
        <v>F</v>
      </c>
      <c r="AI142" s="3">
        <v>193</v>
      </c>
      <c r="AJ142" s="3" t="str">
        <f>IFERROR(MID(VLOOKUP($B142,Seqs!$A:$B,2,0),AK142,1),"")</f>
        <v>N</v>
      </c>
      <c r="AK142" s="3">
        <v>196</v>
      </c>
      <c r="AL142" s="3" t="str">
        <f>IFERROR(MID(VLOOKUP($B142,Seqs!$A:$B,2,0),AM142,1),"")</f>
        <v>Q</v>
      </c>
      <c r="AM142" s="3">
        <v>229</v>
      </c>
      <c r="AN142" s="3" t="str">
        <f>IFERROR(MID(VLOOKUP($B142,Seqs!$A:$B,2,0),AO142,1),"")</f>
        <v>L</v>
      </c>
      <c r="AO142" s="3">
        <v>266</v>
      </c>
      <c r="AP142" s="3" t="str">
        <f>IFERROR(MID(VLOOKUP($B142,Seqs!$A:$B,2,0),AQ142,1),"")</f>
        <v>Q</v>
      </c>
      <c r="AQ142" s="3">
        <v>299</v>
      </c>
      <c r="AR142" s="3" t="str">
        <f>IFERROR(MID(VLOOKUP($B142,Seqs!$A:$B,2,0),AS142,1),"")</f>
        <v>R</v>
      </c>
      <c r="AS142" s="3">
        <v>304</v>
      </c>
      <c r="AT142" s="3" t="str">
        <f>IFERROR(MID(VLOOKUP($B142,Seqs!$A:$B,2,0),AU142,1),"")</f>
        <v>R</v>
      </c>
      <c r="AU142" s="3">
        <v>328</v>
      </c>
      <c r="AV142" s="3" t="str">
        <f>IFERROR(MID(VLOOKUP($B142,Seqs!$A:$B,2,0),AW142,1),"")</f>
        <v>S</v>
      </c>
      <c r="AW142" s="3">
        <v>329</v>
      </c>
      <c r="AX142" s="3" t="str">
        <f>IFERROR(MID(VLOOKUP($B142,Seqs!$A:$B,2,0),AY142,1),"")</f>
        <v>C</v>
      </c>
      <c r="AY142" s="3">
        <v>341</v>
      </c>
      <c r="AZ142" s="77" t="str">
        <f>VLOOKUP(B142,Classification!A:D,2,0)</f>
        <v>A</v>
      </c>
      <c r="BA142" s="94" t="str">
        <f>VLOOKUP(B142,Classification!A:D,4,0)</f>
        <v>Adrenoceptors</v>
      </c>
      <c r="BB142" s="27" t="b">
        <f t="shared" si="700"/>
        <v>1</v>
      </c>
      <c r="BC142" s="23">
        <f t="shared" si="1121"/>
        <v>245</v>
      </c>
      <c r="BD142" s="5" t="s">
        <v>23</v>
      </c>
      <c r="BE142" s="3" t="s">
        <v>1368</v>
      </c>
      <c r="BF142" s="118">
        <v>3.5</v>
      </c>
      <c r="BG142" s="49" t="s">
        <v>1371</v>
      </c>
      <c r="BH142" s="49" t="s">
        <v>1371</v>
      </c>
      <c r="BI142" s="1"/>
      <c r="BJ142" s="70" t="s">
        <v>1281</v>
      </c>
      <c r="BK142" s="57" t="s">
        <v>1281</v>
      </c>
      <c r="BL142" s="57" t="s">
        <v>1281</v>
      </c>
      <c r="BM142" s="57" t="s">
        <v>1281</v>
      </c>
      <c r="BN142" s="57" t="s">
        <v>1281</v>
      </c>
      <c r="BO142" s="57" t="s">
        <v>1281</v>
      </c>
      <c r="BP142" s="57" t="s">
        <v>1281</v>
      </c>
      <c r="BQ142" s="57" t="s">
        <v>1281</v>
      </c>
      <c r="BR142" s="57" t="s">
        <v>1281</v>
      </c>
      <c r="BS142" s="57" t="s">
        <v>1281</v>
      </c>
      <c r="BT142" s="57" t="s">
        <v>1281</v>
      </c>
      <c r="BU142" s="57" t="s">
        <v>1281</v>
      </c>
      <c r="BV142" s="70">
        <f t="shared" si="1122"/>
        <v>29</v>
      </c>
      <c r="BW142" s="71">
        <f t="shared" si="1123"/>
        <v>62</v>
      </c>
      <c r="BX142" s="72">
        <f t="shared" si="1124"/>
        <v>66</v>
      </c>
      <c r="BY142" s="71">
        <f t="shared" si="1125"/>
        <v>98</v>
      </c>
      <c r="BZ142" s="72">
        <f t="shared" si="1126"/>
        <v>102</v>
      </c>
      <c r="CA142" s="71" t="str">
        <f t="shared" si="1127"/>
        <v>-</v>
      </c>
      <c r="CB142" s="72">
        <f t="shared" si="1128"/>
        <v>146</v>
      </c>
      <c r="CC142" s="71">
        <f t="shared" si="1129"/>
        <v>191</v>
      </c>
      <c r="CD142" s="72">
        <f t="shared" si="1130"/>
        <v>196</v>
      </c>
      <c r="CE142" s="71">
        <f t="shared" si="1131"/>
        <v>266</v>
      </c>
      <c r="CF142" s="72">
        <f t="shared" si="1132"/>
        <v>304</v>
      </c>
      <c r="CG142" s="71">
        <f t="shared" si="1133"/>
        <v>329</v>
      </c>
      <c r="CH142" s="70">
        <f t="shared" si="1134"/>
        <v>61</v>
      </c>
      <c r="CI142" s="71">
        <f t="shared" si="1135"/>
        <v>65</v>
      </c>
      <c r="CJ142" s="72">
        <f t="shared" si="1136"/>
        <v>96</v>
      </c>
      <c r="CK142" s="72">
        <f t="shared" si="1137"/>
        <v>101</v>
      </c>
      <c r="CL142" s="72">
        <f t="shared" si="1138"/>
        <v>137</v>
      </c>
      <c r="CM142" s="72" t="str">
        <f t="shared" si="1139"/>
        <v>-</v>
      </c>
      <c r="CN142" s="72">
        <f t="shared" si="1140"/>
        <v>172</v>
      </c>
      <c r="CO142" s="72">
        <f t="shared" si="1141"/>
        <v>193</v>
      </c>
      <c r="CP142" s="72">
        <f t="shared" si="1142"/>
        <v>229</v>
      </c>
      <c r="CQ142" s="72">
        <f t="shared" si="1143"/>
        <v>299</v>
      </c>
      <c r="CR142" s="72">
        <f t="shared" si="1144"/>
        <v>328</v>
      </c>
      <c r="CS142" s="72">
        <f t="shared" si="1145"/>
        <v>341</v>
      </c>
      <c r="CT142" s="23">
        <f t="shared" si="114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ht="17" customHeight="1" x14ac:dyDescent="0.2">
      <c r="A143" s="3" t="str">
        <f t="shared" si="699"/>
        <v>adrb2_human_3SN6</v>
      </c>
      <c r="B143" s="3" t="s">
        <v>126</v>
      </c>
      <c r="C143" s="3" t="s">
        <v>85</v>
      </c>
      <c r="D143" s="3" t="str">
        <f>IFERROR(MID(VLOOKUP($B143,Seqs!$A:$B,2,0),E143,1),"")</f>
        <v>D</v>
      </c>
      <c r="E143" s="3">
        <v>29</v>
      </c>
      <c r="F143" s="3" t="str">
        <f>IFERROR(MID(VLOOKUP($B143,Seqs!$A:$B,2,0),G143,1),"")</f>
        <v>F</v>
      </c>
      <c r="G143" s="3">
        <v>61</v>
      </c>
      <c r="H143" s="3" t="str">
        <f>IFERROR(MID(VLOOKUP($B143,Seqs!$A:$B,2,0),I143,1),"")</f>
        <v>E</v>
      </c>
      <c r="I143" s="23">
        <v>62</v>
      </c>
      <c r="J143" s="3" t="str">
        <f>IFERROR(MID(VLOOKUP($B143,Seqs!$A:$B,2,0),K143,1),"")</f>
        <v>Q</v>
      </c>
      <c r="K143" s="23">
        <v>65</v>
      </c>
      <c r="L143" s="3" t="str">
        <f>IFERROR(MID(VLOOKUP($B143,Seqs!$A:$B,2,0),M143,1),"")</f>
        <v>T</v>
      </c>
      <c r="M143" s="3">
        <v>66</v>
      </c>
      <c r="N143" s="3" t="str">
        <f>IFERROR(MID(VLOOKUP($B143,Seqs!$A:$B,2,0),O143,1),"")</f>
        <v>M</v>
      </c>
      <c r="O143" s="3">
        <v>96</v>
      </c>
      <c r="P143" s="3" t="str">
        <f>IFERROR(MID(VLOOKUP($B143,Seqs!$A:$B,2,0),Q143,1),"")</f>
        <v>M</v>
      </c>
      <c r="Q143" s="3">
        <v>98</v>
      </c>
      <c r="R143" s="3" t="str">
        <f>IFERROR(MID(VLOOKUP($B143,Seqs!$A:$B,2,0),S143,1),"")</f>
        <v>F</v>
      </c>
      <c r="S143" s="3">
        <v>101</v>
      </c>
      <c r="T143" s="3" t="str">
        <f>IFERROR(MID(VLOOKUP($B143,Seqs!$A:$B,2,0),U143,1),"")</f>
        <v>G</v>
      </c>
      <c r="U143" s="3">
        <v>102</v>
      </c>
      <c r="V143" s="3" t="str">
        <f>IFERROR(MID(VLOOKUP($B143,Seqs!$A:$B,2,0),W143,1),"")</f>
        <v>S</v>
      </c>
      <c r="W143" s="3">
        <v>137</v>
      </c>
      <c r="X143" s="3" t="str">
        <f>IFERROR(MID(VLOOKUP($B143,Seqs!$A:$B,2,0),Y143,1),"")</f>
        <v>P</v>
      </c>
      <c r="Y143" s="3">
        <v>138</v>
      </c>
      <c r="Z143" s="3" t="str">
        <f>IFERROR(MID(VLOOKUP($B143,Seqs!$A:$B,2,0),AA143,1),"")</f>
        <v>L</v>
      </c>
      <c r="AA143" s="3">
        <v>145</v>
      </c>
      <c r="AB143" s="3" t="str">
        <f>IFERROR(MID(VLOOKUP($B143,Seqs!$A:$B,2,0),AC143,1),"")</f>
        <v>T</v>
      </c>
      <c r="AC143" s="9">
        <v>146</v>
      </c>
      <c r="AD143" s="3" t="str">
        <f>IFERROR(MID(VLOOKUP($B143,Seqs!$A:$B,2,0),AE143,1),"")</f>
        <v>H</v>
      </c>
      <c r="AE143" s="3">
        <v>172</v>
      </c>
      <c r="AF143" s="3" t="str">
        <f>IFERROR(MID(VLOOKUP($B143,Seqs!$A:$B,2,0),AG143,1),"")</f>
        <v>C</v>
      </c>
      <c r="AG143" s="3">
        <v>191</v>
      </c>
      <c r="AH143" s="3" t="str">
        <f>IFERROR(MID(VLOOKUP($B143,Seqs!$A:$B,2,0),AI143,1),"")</f>
        <v>F</v>
      </c>
      <c r="AI143" s="3">
        <v>193</v>
      </c>
      <c r="AJ143" s="3" t="str">
        <f>IFERROR(MID(VLOOKUP($B143,Seqs!$A:$B,2,0),AK143,1),"")</f>
        <v>N</v>
      </c>
      <c r="AK143" s="3">
        <v>196</v>
      </c>
      <c r="AL143" s="3" t="str">
        <f>IFERROR(MID(VLOOKUP($B143,Seqs!$A:$B,2,0),AM143,1),"")</f>
        <v>E</v>
      </c>
      <c r="AM143" s="3">
        <v>237</v>
      </c>
      <c r="AN143" s="3" t="str">
        <f>IFERROR(MID(VLOOKUP($B143,Seqs!$A:$B,2,0),AO143,1),"")</f>
        <v>C</v>
      </c>
      <c r="AO143" s="3">
        <v>265</v>
      </c>
      <c r="AP143" s="3" t="str">
        <f>IFERROR(MID(VLOOKUP($B143,Seqs!$A:$B,2,0),AQ143,1),"")</f>
        <v>Q</v>
      </c>
      <c r="AQ143" s="3">
        <v>299</v>
      </c>
      <c r="AR143" s="3" t="str">
        <f>IFERROR(MID(VLOOKUP($B143,Seqs!$A:$B,2,0),AS143,1),"")</f>
        <v>R</v>
      </c>
      <c r="AS143" s="3">
        <v>304</v>
      </c>
      <c r="AT143" s="3" t="str">
        <f>IFERROR(MID(VLOOKUP($B143,Seqs!$A:$B,2,0),AU143,1),"")</f>
        <v>R</v>
      </c>
      <c r="AU143" s="3">
        <v>328</v>
      </c>
      <c r="AV143" s="3" t="str">
        <f>IFERROR(MID(VLOOKUP($B143,Seqs!$A:$B,2,0),AW143,1),"")</f>
        <v>S</v>
      </c>
      <c r="AW143" s="3">
        <v>329</v>
      </c>
      <c r="AX143" s="3" t="str">
        <f>IFERROR(MID(VLOOKUP($B143,Seqs!$A:$B,2,0),AY143,1),"")</f>
        <v>C</v>
      </c>
      <c r="AY143" s="3">
        <v>341</v>
      </c>
      <c r="AZ143" s="77" t="str">
        <f>VLOOKUP(B143,Classification!A:D,2,0)</f>
        <v>A</v>
      </c>
      <c r="BA143" s="94" t="str">
        <f>VLOOKUP(B143,Classification!A:D,4,0)</f>
        <v>Adrenoceptors</v>
      </c>
      <c r="BB143" s="27" t="b">
        <f t="shared" si="700"/>
        <v>1</v>
      </c>
      <c r="BC143" s="23">
        <f t="shared" si="1121"/>
        <v>261</v>
      </c>
      <c r="BD143" s="4" t="s">
        <v>1369</v>
      </c>
      <c r="BE143" s="3" t="s">
        <v>1285</v>
      </c>
      <c r="BF143" s="118">
        <v>3.2</v>
      </c>
      <c r="BG143" s="49" t="s">
        <v>1371</v>
      </c>
      <c r="BH143" s="49" t="s">
        <v>1371</v>
      </c>
      <c r="BI143" s="1"/>
      <c r="BJ143" s="70" t="s">
        <v>1281</v>
      </c>
      <c r="BK143" s="57" t="s">
        <v>1281</v>
      </c>
      <c r="BL143" s="57" t="s">
        <v>1281</v>
      </c>
      <c r="BM143" s="57" t="s">
        <v>1281</v>
      </c>
      <c r="BN143" s="57" t="s">
        <v>1281</v>
      </c>
      <c r="BO143" s="57" t="s">
        <v>1281</v>
      </c>
      <c r="BP143" s="57" t="s">
        <v>1281</v>
      </c>
      <c r="BQ143" s="57" t="s">
        <v>1281</v>
      </c>
      <c r="BR143" s="57" t="s">
        <v>1281</v>
      </c>
      <c r="BS143" s="57" t="s">
        <v>1281</v>
      </c>
      <c r="BT143" s="57" t="s">
        <v>1281</v>
      </c>
      <c r="BU143" s="57" t="s">
        <v>1281</v>
      </c>
      <c r="BV143" s="70">
        <f t="shared" si="1122"/>
        <v>29</v>
      </c>
      <c r="BW143" s="71">
        <f t="shared" si="1123"/>
        <v>62</v>
      </c>
      <c r="BX143" s="72">
        <f t="shared" si="1124"/>
        <v>66</v>
      </c>
      <c r="BY143" s="71">
        <f t="shared" si="1125"/>
        <v>98</v>
      </c>
      <c r="BZ143" s="72">
        <f t="shared" si="1126"/>
        <v>102</v>
      </c>
      <c r="CA143" s="71">
        <f t="shared" si="1127"/>
        <v>138</v>
      </c>
      <c r="CB143" s="72">
        <f t="shared" si="1128"/>
        <v>146</v>
      </c>
      <c r="CC143" s="71">
        <f t="shared" si="1129"/>
        <v>191</v>
      </c>
      <c r="CD143" s="72">
        <f t="shared" si="1130"/>
        <v>196</v>
      </c>
      <c r="CE143" s="71">
        <f t="shared" si="1131"/>
        <v>265</v>
      </c>
      <c r="CF143" s="72">
        <f t="shared" si="1132"/>
        <v>304</v>
      </c>
      <c r="CG143" s="71">
        <f t="shared" si="1133"/>
        <v>329</v>
      </c>
      <c r="CH143" s="70">
        <f t="shared" si="1134"/>
        <v>61</v>
      </c>
      <c r="CI143" s="71">
        <f t="shared" si="1135"/>
        <v>65</v>
      </c>
      <c r="CJ143" s="72">
        <f t="shared" si="1136"/>
        <v>96</v>
      </c>
      <c r="CK143" s="72">
        <f t="shared" si="1137"/>
        <v>101</v>
      </c>
      <c r="CL143" s="72">
        <f t="shared" si="1138"/>
        <v>137</v>
      </c>
      <c r="CM143" s="72">
        <f t="shared" si="1139"/>
        <v>145</v>
      </c>
      <c r="CN143" s="72">
        <f t="shared" si="1140"/>
        <v>172</v>
      </c>
      <c r="CO143" s="72">
        <f t="shared" si="1141"/>
        <v>193</v>
      </c>
      <c r="CP143" s="72">
        <f t="shared" si="1142"/>
        <v>237</v>
      </c>
      <c r="CQ143" s="72">
        <f t="shared" si="1143"/>
        <v>299</v>
      </c>
      <c r="CR143" s="72">
        <f t="shared" si="1144"/>
        <v>328</v>
      </c>
      <c r="CS143" s="72">
        <f t="shared" si="1145"/>
        <v>341</v>
      </c>
      <c r="CT143" s="23">
        <f t="shared" si="1146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ht="17" customHeight="1" x14ac:dyDescent="0.2">
      <c r="A144" s="3" t="str">
        <f t="shared" ref="A144" si="1343">CONCATENATE(B144,"_",C144)</f>
        <v>adrb2_human_4GBR</v>
      </c>
      <c r="B144" s="3" t="s">
        <v>126</v>
      </c>
      <c r="C144" s="3" t="s">
        <v>1100</v>
      </c>
      <c r="D144" s="3" t="str">
        <f>IFERROR(MID(VLOOKUP($B144,Seqs!$A:$B,2,0),E144,1),"")</f>
        <v>D</v>
      </c>
      <c r="E144" s="3">
        <v>29</v>
      </c>
      <c r="F144" s="3" t="str">
        <f>IFERROR(MID(VLOOKUP($B144,Seqs!$A:$B,2,0),G144,1),"")</f>
        <v>F</v>
      </c>
      <c r="G144" s="3">
        <v>61</v>
      </c>
      <c r="H144" s="3" t="str">
        <f>IFERROR(MID(VLOOKUP($B144,Seqs!$A:$B,2,0),I144,1),"")</f>
        <v>E</v>
      </c>
      <c r="I144" s="23">
        <v>62</v>
      </c>
      <c r="J144" s="3" t="str">
        <f>IFERROR(MID(VLOOKUP($B144,Seqs!$A:$B,2,0),K144,1),"")</f>
        <v>Q</v>
      </c>
      <c r="K144" s="23">
        <v>65</v>
      </c>
      <c r="L144" s="3" t="str">
        <f>IFERROR(MID(VLOOKUP($B144,Seqs!$A:$B,2,0),M144,1),"")</f>
        <v>T</v>
      </c>
      <c r="M144" s="3">
        <v>66</v>
      </c>
      <c r="N144" s="3" t="str">
        <f>IFERROR(MID(VLOOKUP($B144,Seqs!$A:$B,2,0),O144,1),"")</f>
        <v>M</v>
      </c>
      <c r="O144" s="3">
        <v>96</v>
      </c>
      <c r="P144" s="3" t="str">
        <f>IFERROR(MID(VLOOKUP($B144,Seqs!$A:$B,2,0),Q144,1),"")</f>
        <v>M</v>
      </c>
      <c r="Q144" s="3">
        <v>98</v>
      </c>
      <c r="R144" s="3" t="str">
        <f>IFERROR(MID(VLOOKUP($B144,Seqs!$A:$B,2,0),S144,1),"")</f>
        <v>F</v>
      </c>
      <c r="S144" s="3">
        <v>101</v>
      </c>
      <c r="T144" s="3" t="str">
        <f>IFERROR(MID(VLOOKUP($B144,Seqs!$A:$B,2,0),U144,1),"")</f>
        <v>G</v>
      </c>
      <c r="U144" s="3">
        <v>102</v>
      </c>
      <c r="V144" s="3" t="str">
        <f>IFERROR(MID(VLOOKUP($B144,Seqs!$A:$B,2,0),W144,1),"")</f>
        <v>T</v>
      </c>
      <c r="W144" s="3">
        <v>136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T</v>
      </c>
      <c r="AC144" s="3">
        <v>146</v>
      </c>
      <c r="AD144" s="3" t="str">
        <f>IFERROR(MID(VLOOKUP($B144,Seqs!$A:$B,2,0),AE144,1),"")</f>
        <v>H</v>
      </c>
      <c r="AE144" s="3">
        <v>172</v>
      </c>
      <c r="AF144" s="3" t="str">
        <f>IFERROR(MID(VLOOKUP($B144,Seqs!$A:$B,2,0),AG144,1),"")</f>
        <v>C</v>
      </c>
      <c r="AG144" s="3">
        <v>191</v>
      </c>
      <c r="AH144" s="3" t="str">
        <f>IFERROR(MID(VLOOKUP($B144,Seqs!$A:$B,2,0),AI144,1),"")</f>
        <v>F</v>
      </c>
      <c r="AI144" s="3">
        <v>193</v>
      </c>
      <c r="AJ144" s="3" t="str">
        <f>IFERROR(MID(VLOOKUP($B144,Seqs!$A:$B,2,0),AK144,1),"")</f>
        <v>N</v>
      </c>
      <c r="AK144" s="3">
        <v>196</v>
      </c>
      <c r="AL144" s="3" t="str">
        <f>IFERROR(MID(VLOOKUP($B144,Seqs!$A:$B,2,0),AM144,1),"")</f>
        <v>K</v>
      </c>
      <c r="AM144" s="3">
        <v>232</v>
      </c>
      <c r="AN144" s="3" t="str">
        <f>IFERROR(MID(VLOOKUP($B144,Seqs!$A:$B,2,0),AO144,1),"")</f>
        <v>E</v>
      </c>
      <c r="AO144" s="3">
        <v>237</v>
      </c>
      <c r="AP144" s="3" t="str">
        <f>IFERROR(MID(VLOOKUP($B144,Seqs!$A:$B,2,0),AQ144,1),"")</f>
        <v>A</v>
      </c>
      <c r="AQ144" s="3">
        <v>271</v>
      </c>
      <c r="AR144" s="3" t="str">
        <f>IFERROR(MID(VLOOKUP($B144,Seqs!$A:$B,2,0),AS144,1),"")</f>
        <v>G</v>
      </c>
      <c r="AS144" s="3">
        <v>276</v>
      </c>
      <c r="AT144" s="3" t="str">
        <f>IFERROR(MID(VLOOKUP($B144,Seqs!$A:$B,2,0),AU144,1),"")</f>
        <v>D</v>
      </c>
      <c r="AU144" s="3">
        <v>300</v>
      </c>
      <c r="AV144" s="3" t="str">
        <f>IFERROR(MID(VLOOKUP($B144,Seqs!$A:$B,2,0),AW144,1),"")</f>
        <v>N</v>
      </c>
      <c r="AW144" s="3">
        <v>301</v>
      </c>
      <c r="AX144" s="3" t="str">
        <f>IFERROR(MID(VLOOKUP($B144,Seqs!$A:$B,2,0),AY144,1),"")</f>
        <v>W</v>
      </c>
      <c r="AY144" s="3">
        <v>313</v>
      </c>
      <c r="AZ144" s="77" t="str">
        <f>VLOOKUP(B144,Classification!A:D,2,0)</f>
        <v>A</v>
      </c>
      <c r="BA144" s="94" t="str">
        <f>VLOOKUP(B144,Classification!A:D,4,0)</f>
        <v>Adrenoceptors</v>
      </c>
      <c r="BB144" s="27" t="b">
        <f t="shared" ref="BB144" si="1344">AND(E144&lt;G144,OR(G144&lt;I144,I144="-"),OR(I144&lt;K144,I144="-"),OR(K144&lt;M144,K144="-"),M144&lt;O144,OR(O144&lt;Q144,Q144="-"),OR(Q144&lt;S144,Q144="-"),OR(S144&lt;U144,S144="-"),U144&lt;W144,OR(W144&lt;Y144,Y144="-"),OR(Y144&lt;AA144,Y144="-"),OR(AA144&lt;AC144,AA144="-"),AC144&lt;AE144,OR(AE144&lt;AG144,AG144="-"),OR(AG144&lt;AI144,AG144="-"),OR(AI144&lt;AK144,AI144="-"),AK144&lt;AM144,AM144&lt;AO144,AO144&lt;AQ144,AQ144&lt;AS144,AS144&lt;AU144,OR(AU144&lt;AW144,AW144="-"),OR(AW144&lt;AY144,AW144="-"))</f>
        <v>1</v>
      </c>
      <c r="BC144" s="23">
        <f t="shared" ref="BC144" si="1345">_xlfn.AGGREGATE(9,6,CH144:CS144)-_xlfn.AGGREGATE(9,6,BV144:CG144)+12</f>
        <v>248</v>
      </c>
      <c r="BD144" s="4" t="s">
        <v>23</v>
      </c>
      <c r="BE144" s="3" t="s">
        <v>1368</v>
      </c>
      <c r="BF144" s="118">
        <v>3.99</v>
      </c>
      <c r="BG144" s="49" t="s">
        <v>1</v>
      </c>
      <c r="BH144" s="49" t="s">
        <v>1</v>
      </c>
      <c r="BI144" s="1"/>
      <c r="BJ144" s="70" t="s">
        <v>1281</v>
      </c>
      <c r="BK144" s="57" t="s">
        <v>1281</v>
      </c>
      <c r="BL144" s="57" t="s">
        <v>1281</v>
      </c>
      <c r="BM144" s="57" t="s">
        <v>1281</v>
      </c>
      <c r="BN144" s="57" t="s">
        <v>1281</v>
      </c>
      <c r="BO144" s="57" t="s">
        <v>1281</v>
      </c>
      <c r="BP144" s="57" t="s">
        <v>1281</v>
      </c>
      <c r="BQ144" s="57" t="s">
        <v>1281</v>
      </c>
      <c r="BR144" s="57" t="s">
        <v>1281</v>
      </c>
      <c r="BS144" s="57" t="s">
        <v>1281</v>
      </c>
      <c r="BT144" s="57" t="s">
        <v>1281</v>
      </c>
      <c r="BU144" s="57" t="s">
        <v>1281</v>
      </c>
      <c r="BV144" s="70">
        <f t="shared" ref="BV144" si="1346">E144</f>
        <v>29</v>
      </c>
      <c r="BW144" s="71">
        <f t="shared" ref="BW144" si="1347">I144</f>
        <v>62</v>
      </c>
      <c r="BX144" s="72">
        <f t="shared" ref="BX144" si="1348">M144</f>
        <v>66</v>
      </c>
      <c r="BY144" s="71">
        <f t="shared" ref="BY144" si="1349">Q144</f>
        <v>98</v>
      </c>
      <c r="BZ144" s="72">
        <f t="shared" ref="BZ144" si="1350">U144</f>
        <v>102</v>
      </c>
      <c r="CA144" s="71" t="str">
        <f t="shared" ref="CA144" si="1351">Y144</f>
        <v>-</v>
      </c>
      <c r="CB144" s="72">
        <f t="shared" ref="CB144" si="1352">AC144</f>
        <v>146</v>
      </c>
      <c r="CC144" s="71">
        <f t="shared" ref="CC144" si="1353">AG144</f>
        <v>191</v>
      </c>
      <c r="CD144" s="72">
        <f t="shared" ref="CD144" si="1354">AK144</f>
        <v>196</v>
      </c>
      <c r="CE144" s="71">
        <f t="shared" ref="CE144" si="1355">AO144</f>
        <v>237</v>
      </c>
      <c r="CF144" s="72">
        <f t="shared" ref="CF144" si="1356">AS144</f>
        <v>276</v>
      </c>
      <c r="CG144" s="71">
        <f t="shared" ref="CG144" si="1357">AW144</f>
        <v>301</v>
      </c>
      <c r="CH144" s="70">
        <f t="shared" ref="CH144" si="1358">G144</f>
        <v>61</v>
      </c>
      <c r="CI144" s="71">
        <f t="shared" ref="CI144" si="1359">K144</f>
        <v>65</v>
      </c>
      <c r="CJ144" s="72">
        <f t="shared" ref="CJ144" si="1360">O144</f>
        <v>96</v>
      </c>
      <c r="CK144" s="72">
        <f t="shared" ref="CK144" si="1361">S144</f>
        <v>101</v>
      </c>
      <c r="CL144" s="72">
        <f t="shared" ref="CL144" si="1362">W144</f>
        <v>136</v>
      </c>
      <c r="CM144" s="72" t="str">
        <f t="shared" ref="CM144" si="1363">AA144</f>
        <v>-</v>
      </c>
      <c r="CN144" s="72">
        <f t="shared" ref="CN144" si="1364">AE144</f>
        <v>172</v>
      </c>
      <c r="CO144" s="72">
        <f t="shared" ref="CO144" si="1365">AI144</f>
        <v>193</v>
      </c>
      <c r="CP144" s="72">
        <f t="shared" ref="CP144" si="1366">AM144</f>
        <v>232</v>
      </c>
      <c r="CQ144" s="72">
        <f t="shared" ref="CQ144" si="1367">AQ144</f>
        <v>271</v>
      </c>
      <c r="CR144" s="72">
        <f t="shared" ref="CR144" si="1368">AU144</f>
        <v>300</v>
      </c>
      <c r="CS144" s="72">
        <f t="shared" ref="CS144" si="1369">AY144</f>
        <v>313</v>
      </c>
      <c r="CT144" s="23">
        <f t="shared" ref="CT144" si="1370">M144-K144</f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 t="shared" ref="A145:A275" si="1371">CONCATENATE(B145,"_",C145)</f>
        <v>adrb2_human_4LDE</v>
      </c>
      <c r="B145" s="3" t="s">
        <v>126</v>
      </c>
      <c r="C145" s="3" t="s">
        <v>77</v>
      </c>
      <c r="D145" s="3" t="str">
        <f>IFERROR(MID(VLOOKUP($B145,Seqs!$A:$B,2,0),E145,1),"")</f>
        <v/>
      </c>
      <c r="E145" s="3">
        <v>1029</v>
      </c>
      <c r="F145" s="3" t="str">
        <f>IFERROR(MID(VLOOKUP($B145,Seqs!$A:$B,2,0),G145,1),"")</f>
        <v/>
      </c>
      <c r="G145" s="3">
        <v>1061</v>
      </c>
      <c r="H145" s="3" t="str">
        <f>IFERROR(MID(VLOOKUP($B145,Seqs!$A:$B,2,0),I145,1),"")</f>
        <v/>
      </c>
      <c r="I145" s="23">
        <v>1062</v>
      </c>
      <c r="J145" s="3" t="str">
        <f>IFERROR(MID(VLOOKUP($B145,Seqs!$A:$B,2,0),K145,1),"")</f>
        <v/>
      </c>
      <c r="K145" s="23">
        <v>1065</v>
      </c>
      <c r="L145" s="3" t="str">
        <f>IFERROR(MID(VLOOKUP($B145,Seqs!$A:$B,2,0),M145,1),"")</f>
        <v/>
      </c>
      <c r="M145" s="3">
        <v>1066</v>
      </c>
      <c r="N145" s="3" t="str">
        <f>IFERROR(MID(VLOOKUP($B145,Seqs!$A:$B,2,0),O145,1),"")</f>
        <v/>
      </c>
      <c r="O145" s="3">
        <v>1097</v>
      </c>
      <c r="P145" s="3" t="str">
        <f>IFERROR(MID(VLOOKUP($B145,Seqs!$A:$B,2,0),Q145,1),"")</f>
        <v/>
      </c>
      <c r="Q145" s="3">
        <v>1098</v>
      </c>
      <c r="R145" s="3" t="str">
        <f>IFERROR(MID(VLOOKUP($B145,Seqs!$A:$B,2,0),S145,1),"")</f>
        <v/>
      </c>
      <c r="S145" s="3">
        <v>1101</v>
      </c>
      <c r="T145" s="3" t="str">
        <f>IFERROR(MID(VLOOKUP($B145,Seqs!$A:$B,2,0),U145,1),"")</f>
        <v/>
      </c>
      <c r="U145" s="3">
        <v>1102</v>
      </c>
      <c r="V145" s="3" t="str">
        <f>IFERROR(MID(VLOOKUP($B145,Seqs!$A:$B,2,0),W145,1),"")</f>
        <v/>
      </c>
      <c r="W145" s="3">
        <v>1137</v>
      </c>
      <c r="X145" s="3" t="str">
        <f>IFERROR(MID(VLOOKUP($B145,Seqs!$A:$B,2,0),Y145,1),"")</f>
        <v/>
      </c>
      <c r="Y145" s="3">
        <v>1138</v>
      </c>
      <c r="Z145" s="3" t="str">
        <f>IFERROR(MID(VLOOKUP($B145,Seqs!$A:$B,2,0),AA145,1),"")</f>
        <v/>
      </c>
      <c r="AA145" s="3">
        <v>1145</v>
      </c>
      <c r="AB145" s="3" t="str">
        <f>IFERROR(MID(VLOOKUP($B145,Seqs!$A:$B,2,0),AC145,1),"")</f>
        <v/>
      </c>
      <c r="AC145" s="9">
        <v>1146</v>
      </c>
      <c r="AD145" s="3" t="str">
        <f>IFERROR(MID(VLOOKUP($B145,Seqs!$A:$B,2,0),AE145,1),"")</f>
        <v/>
      </c>
      <c r="AE145" s="3">
        <v>1172</v>
      </c>
      <c r="AF145" s="3" t="str">
        <f>IFERROR(MID(VLOOKUP($B145,Seqs!$A:$B,2,0),AG145,1),"")</f>
        <v/>
      </c>
      <c r="AG145" s="3">
        <v>1191</v>
      </c>
      <c r="AH145" s="3" t="str">
        <f>IFERROR(MID(VLOOKUP($B145,Seqs!$A:$B,2,0),AI145,1),"")</f>
        <v/>
      </c>
      <c r="AI145" s="3">
        <v>1193</v>
      </c>
      <c r="AJ145" s="3" t="str">
        <f>IFERROR(MID(VLOOKUP($B145,Seqs!$A:$B,2,0),AK145,1),"")</f>
        <v/>
      </c>
      <c r="AK145" s="3">
        <v>1196</v>
      </c>
      <c r="AL145" s="3" t="str">
        <f>IFERROR(MID(VLOOKUP($B145,Seqs!$A:$B,2,0),AM145,1),"")</f>
        <v/>
      </c>
      <c r="AM145" s="3">
        <v>1225</v>
      </c>
      <c r="AN145" s="3" t="str">
        <f>IFERROR(MID(VLOOKUP($B145,Seqs!$A:$B,2,0),AO145,1),"")</f>
        <v/>
      </c>
      <c r="AO145" s="3">
        <v>1266</v>
      </c>
      <c r="AP145" s="3" t="str">
        <f>IFERROR(MID(VLOOKUP($B145,Seqs!$A:$B,2,0),AQ145,1),"")</f>
        <v/>
      </c>
      <c r="AQ145" s="3">
        <v>1299</v>
      </c>
      <c r="AR145" s="3" t="str">
        <f>IFERROR(MID(VLOOKUP($B145,Seqs!$A:$B,2,0),AS145,1),"")</f>
        <v/>
      </c>
      <c r="AS145" s="3">
        <v>1304</v>
      </c>
      <c r="AT145" s="3" t="str">
        <f>IFERROR(MID(VLOOKUP($B145,Seqs!$A:$B,2,0),AU145,1),"")</f>
        <v/>
      </c>
      <c r="AU145" s="3">
        <v>1328</v>
      </c>
      <c r="AV145" s="3" t="str">
        <f>IFERROR(MID(VLOOKUP($B145,Seqs!$A:$B,2,0),AW145,1),"")</f>
        <v/>
      </c>
      <c r="AW145" s="3">
        <v>1329</v>
      </c>
      <c r="AX145" s="3" t="str">
        <f>IFERROR(MID(VLOOKUP($B145,Seqs!$A:$B,2,0),AY145,1),"")</f>
        <v/>
      </c>
      <c r="AY145" s="3">
        <v>1341</v>
      </c>
      <c r="AZ145" s="77" t="str">
        <f>VLOOKUP(B145,Classification!A:D,2,0)</f>
        <v>A</v>
      </c>
      <c r="BA145" s="94" t="str">
        <f>VLOOKUP(B145,Classification!A:D,4,0)</f>
        <v>Adrenoceptors</v>
      </c>
      <c r="BB145" s="27" t="b">
        <f t="shared" ref="BB145:BB275" si="1372">AND(E145&lt;G145,OR(G145&lt;I145,I145="-"),OR(I145&lt;K145,I145="-"),OR(K145&lt;M145,K145="-"),M145&lt;O145,OR(O145&lt;Q145,Q145="-"),OR(Q145&lt;S145,Q145="-"),OR(S145&lt;U145,S145="-"),U145&lt;W145,OR(W145&lt;Y145,Y145="-"),OR(Y145&lt;AA145,Y145="-"),OR(AA145&lt;AC145,AA145="-"),AC145&lt;AE145,OR(AE145&lt;AG145,AG145="-"),OR(AG145&lt;AI145,AG145="-"),OR(AI145&lt;AK145,AI145="-"),AK145&lt;AM145,AM145&lt;AO145,AO145&lt;AQ145,AQ145&lt;AS145,AS145&lt;AU145,OR(AU145&lt;AW145,AW145="-"),OR(AW145&lt;AY145,AW145="-"))</f>
        <v>1</v>
      </c>
      <c r="BC145" s="23">
        <f t="shared" si="1121"/>
        <v>249</v>
      </c>
      <c r="BD145" s="4" t="s">
        <v>23</v>
      </c>
      <c r="BE145" s="3" t="s">
        <v>1285</v>
      </c>
      <c r="BF145" s="118">
        <v>2.79</v>
      </c>
      <c r="BG145" s="49" t="s">
        <v>1371</v>
      </c>
      <c r="BH145" s="49" t="s">
        <v>1371</v>
      </c>
      <c r="BI145" s="1"/>
      <c r="BJ145" s="70" t="s">
        <v>1281</v>
      </c>
      <c r="BK145" s="57" t="s">
        <v>1281</v>
      </c>
      <c r="BL145" s="57" t="s">
        <v>1281</v>
      </c>
      <c r="BM145" s="57" t="s">
        <v>1281</v>
      </c>
      <c r="BN145" s="57" t="s">
        <v>1281</v>
      </c>
      <c r="BO145" s="57" t="s">
        <v>1281</v>
      </c>
      <c r="BP145" s="57" t="s">
        <v>1281</v>
      </c>
      <c r="BQ145" s="57" t="s">
        <v>1281</v>
      </c>
      <c r="BR145" s="57" t="s">
        <v>1281</v>
      </c>
      <c r="BS145" s="57" t="s">
        <v>1281</v>
      </c>
      <c r="BT145" s="57" t="s">
        <v>1281</v>
      </c>
      <c r="BU145" s="57" t="s">
        <v>1281</v>
      </c>
      <c r="BV145" s="70">
        <f t="shared" si="1122"/>
        <v>1029</v>
      </c>
      <c r="BW145" s="71">
        <f t="shared" si="1123"/>
        <v>1062</v>
      </c>
      <c r="BX145" s="72">
        <f t="shared" si="1124"/>
        <v>1066</v>
      </c>
      <c r="BY145" s="71">
        <f t="shared" si="1125"/>
        <v>1098</v>
      </c>
      <c r="BZ145" s="72">
        <f t="shared" si="1126"/>
        <v>1102</v>
      </c>
      <c r="CA145" s="71">
        <f t="shared" si="1127"/>
        <v>1138</v>
      </c>
      <c r="CB145" s="72">
        <f t="shared" si="1128"/>
        <v>1146</v>
      </c>
      <c r="CC145" s="71">
        <f t="shared" si="1129"/>
        <v>1191</v>
      </c>
      <c r="CD145" s="72">
        <f t="shared" si="1130"/>
        <v>1196</v>
      </c>
      <c r="CE145" s="71">
        <f t="shared" si="1131"/>
        <v>1266</v>
      </c>
      <c r="CF145" s="72">
        <f t="shared" si="1132"/>
        <v>1304</v>
      </c>
      <c r="CG145" s="71">
        <f t="shared" si="1133"/>
        <v>1329</v>
      </c>
      <c r="CH145" s="70">
        <f t="shared" si="1134"/>
        <v>1061</v>
      </c>
      <c r="CI145" s="71">
        <f t="shared" si="1135"/>
        <v>1065</v>
      </c>
      <c r="CJ145" s="72">
        <f t="shared" si="1136"/>
        <v>1097</v>
      </c>
      <c r="CK145" s="72">
        <f t="shared" si="1137"/>
        <v>1101</v>
      </c>
      <c r="CL145" s="72">
        <f t="shared" si="1138"/>
        <v>1137</v>
      </c>
      <c r="CM145" s="72">
        <f t="shared" si="1139"/>
        <v>1145</v>
      </c>
      <c r="CN145" s="72">
        <f t="shared" si="1140"/>
        <v>1172</v>
      </c>
      <c r="CO145" s="72">
        <f t="shared" si="1141"/>
        <v>1193</v>
      </c>
      <c r="CP145" s="72">
        <f t="shared" si="1142"/>
        <v>1225</v>
      </c>
      <c r="CQ145" s="72">
        <f t="shared" si="1143"/>
        <v>1299</v>
      </c>
      <c r="CR145" s="72">
        <f t="shared" si="1144"/>
        <v>1328</v>
      </c>
      <c r="CS145" s="72">
        <f t="shared" si="1145"/>
        <v>1341</v>
      </c>
      <c r="CT145" s="23">
        <f t="shared" si="1146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29" x14ac:dyDescent="0.2">
      <c r="A146" s="3" t="str">
        <f t="shared" si="1371"/>
        <v>adrb2_human_4LDL</v>
      </c>
      <c r="B146" s="3" t="s">
        <v>126</v>
      </c>
      <c r="C146" s="3" t="s">
        <v>1038</v>
      </c>
      <c r="D146" s="3" t="str">
        <f>IFERROR(MID(VLOOKUP($B146,Seqs!$A:$B,2,0),E146,1),"")</f>
        <v/>
      </c>
      <c r="E146" s="3">
        <v>1029</v>
      </c>
      <c r="F146" s="3" t="str">
        <f>IFERROR(MID(VLOOKUP($B146,Seqs!$A:$B,2,0),G146,1),"")</f>
        <v/>
      </c>
      <c r="G146" s="3">
        <v>1061</v>
      </c>
      <c r="H146" s="3" t="str">
        <f>IFERROR(MID(VLOOKUP($B146,Seqs!$A:$B,2,0),I146,1),"")</f>
        <v/>
      </c>
      <c r="I146" s="23">
        <v>1062</v>
      </c>
      <c r="J146" s="3" t="str">
        <f>IFERROR(MID(VLOOKUP($B146,Seqs!$A:$B,2,0),K146,1),"")</f>
        <v/>
      </c>
      <c r="K146" s="23">
        <v>1065</v>
      </c>
      <c r="L146" s="3" t="str">
        <f>IFERROR(MID(VLOOKUP($B146,Seqs!$A:$B,2,0),M146,1),"")</f>
        <v/>
      </c>
      <c r="M146" s="3">
        <v>1066</v>
      </c>
      <c r="N146" s="3" t="str">
        <f>IFERROR(MID(VLOOKUP($B146,Seqs!$A:$B,2,0),O146,1),"")</f>
        <v/>
      </c>
      <c r="O146" s="3">
        <v>1097</v>
      </c>
      <c r="P146" s="3" t="str">
        <f>IFERROR(MID(VLOOKUP($B146,Seqs!$A:$B,2,0),Q146,1),"")</f>
        <v/>
      </c>
      <c r="Q146" s="3">
        <v>1098</v>
      </c>
      <c r="R146" s="3" t="str">
        <f>IFERROR(MID(VLOOKUP($B146,Seqs!$A:$B,2,0),S146,1),"")</f>
        <v/>
      </c>
      <c r="S146" s="3">
        <v>1101</v>
      </c>
      <c r="T146" s="3" t="str">
        <f>IFERROR(MID(VLOOKUP($B146,Seqs!$A:$B,2,0),U146,1),"")</f>
        <v/>
      </c>
      <c r="U146" s="3">
        <v>1102</v>
      </c>
      <c r="V146" s="3" t="str">
        <f>IFERROR(MID(VLOOKUP($B146,Seqs!$A:$B,2,0),W146,1),"")</f>
        <v/>
      </c>
      <c r="W146" s="3">
        <v>1137</v>
      </c>
      <c r="X146" s="3" t="str">
        <f>IFERROR(MID(VLOOKUP($B146,Seqs!$A:$B,2,0),Y146,1),"")</f>
        <v/>
      </c>
      <c r="Y146" s="3">
        <v>1138</v>
      </c>
      <c r="Z146" s="3" t="str">
        <f>IFERROR(MID(VLOOKUP($B146,Seqs!$A:$B,2,0),AA146,1),"")</f>
        <v/>
      </c>
      <c r="AA146" s="3">
        <v>1145</v>
      </c>
      <c r="AB146" s="3" t="str">
        <f>IFERROR(MID(VLOOKUP($B146,Seqs!$A:$B,2,0),AC146,1),"")</f>
        <v/>
      </c>
      <c r="AC146" s="9">
        <v>1146</v>
      </c>
      <c r="AD146" s="3" t="str">
        <f>IFERROR(MID(VLOOKUP($B146,Seqs!$A:$B,2,0),AE146,1),"")</f>
        <v/>
      </c>
      <c r="AE146" s="3">
        <v>1172</v>
      </c>
      <c r="AF146" s="3" t="str">
        <f>IFERROR(MID(VLOOKUP($B146,Seqs!$A:$B,2,0),AG146,1),"")</f>
        <v/>
      </c>
      <c r="AG146" s="3">
        <v>1191</v>
      </c>
      <c r="AH146" s="3" t="str">
        <f>IFERROR(MID(VLOOKUP($B146,Seqs!$A:$B,2,0),AI146,1),"")</f>
        <v/>
      </c>
      <c r="AI146" s="3">
        <v>1193</v>
      </c>
      <c r="AJ146" s="3" t="str">
        <f>IFERROR(MID(VLOOKUP($B146,Seqs!$A:$B,2,0),AK146,1),"")</f>
        <v/>
      </c>
      <c r="AK146" s="3">
        <v>1196</v>
      </c>
      <c r="AL146" s="3" t="str">
        <f>IFERROR(MID(VLOOKUP($B146,Seqs!$A:$B,2,0),AM146,1),"")</f>
        <v/>
      </c>
      <c r="AM146" s="3">
        <v>1225</v>
      </c>
      <c r="AN146" s="3" t="str">
        <f>IFERROR(MID(VLOOKUP($B146,Seqs!$A:$B,2,0),AO146,1),"")</f>
        <v/>
      </c>
      <c r="AO146" s="3">
        <v>1266</v>
      </c>
      <c r="AP146" s="3" t="str">
        <f>IFERROR(MID(VLOOKUP($B146,Seqs!$A:$B,2,0),AQ146,1),"")</f>
        <v/>
      </c>
      <c r="AQ146" s="3">
        <v>1299</v>
      </c>
      <c r="AR146" s="3" t="str">
        <f>IFERROR(MID(VLOOKUP($B146,Seqs!$A:$B,2,0),AS146,1),"")</f>
        <v/>
      </c>
      <c r="AS146" s="3">
        <v>1304</v>
      </c>
      <c r="AT146" s="3" t="str">
        <f>IFERROR(MID(VLOOKUP($B146,Seqs!$A:$B,2,0),AU146,1),"")</f>
        <v/>
      </c>
      <c r="AU146" s="3">
        <v>1328</v>
      </c>
      <c r="AV146" s="3" t="str">
        <f>IFERROR(MID(VLOOKUP($B146,Seqs!$A:$B,2,0),AW146,1),"")</f>
        <v/>
      </c>
      <c r="AW146" s="3">
        <v>1329</v>
      </c>
      <c r="AX146" s="3" t="str">
        <f>IFERROR(MID(VLOOKUP($B146,Seqs!$A:$B,2,0),AY146,1),"")</f>
        <v/>
      </c>
      <c r="AY146" s="3">
        <v>1341</v>
      </c>
      <c r="AZ146" s="77" t="str">
        <f>VLOOKUP(B146,Classification!A:D,2,0)</f>
        <v>A</v>
      </c>
      <c r="BA146" s="94" t="str">
        <f>VLOOKUP(B146,Classification!A:D,4,0)</f>
        <v>Adrenoceptors</v>
      </c>
      <c r="BB146" s="27" t="b">
        <f t="shared" si="1372"/>
        <v>1</v>
      </c>
      <c r="BC146" s="23">
        <f t="shared" si="1121"/>
        <v>249</v>
      </c>
      <c r="BD146" s="4" t="s">
        <v>23</v>
      </c>
      <c r="BE146" s="3" t="s">
        <v>1285</v>
      </c>
      <c r="BF146" s="118">
        <v>3.1</v>
      </c>
      <c r="BG146" s="49" t="s">
        <v>1371</v>
      </c>
      <c r="BH146" s="49" t="s">
        <v>1371</v>
      </c>
      <c r="BI146" s="1"/>
      <c r="BJ146" s="70" t="s">
        <v>1281</v>
      </c>
      <c r="BK146" s="57" t="s">
        <v>1281</v>
      </c>
      <c r="BL146" s="57" t="s">
        <v>1281</v>
      </c>
      <c r="BM146" s="57" t="s">
        <v>1281</v>
      </c>
      <c r="BN146" s="57" t="s">
        <v>1281</v>
      </c>
      <c r="BO146" s="57" t="s">
        <v>1281</v>
      </c>
      <c r="BP146" s="57" t="s">
        <v>1281</v>
      </c>
      <c r="BQ146" s="57" t="s">
        <v>1281</v>
      </c>
      <c r="BR146" s="57" t="s">
        <v>1281</v>
      </c>
      <c r="BS146" s="57" t="s">
        <v>1281</v>
      </c>
      <c r="BT146" s="57" t="s">
        <v>1281</v>
      </c>
      <c r="BU146" s="57" t="s">
        <v>1281</v>
      </c>
      <c r="BV146" s="70">
        <f t="shared" si="1122"/>
        <v>1029</v>
      </c>
      <c r="BW146" s="71">
        <f t="shared" si="1123"/>
        <v>1062</v>
      </c>
      <c r="BX146" s="72">
        <f t="shared" si="1124"/>
        <v>1066</v>
      </c>
      <c r="BY146" s="71">
        <f t="shared" si="1125"/>
        <v>1098</v>
      </c>
      <c r="BZ146" s="72">
        <f t="shared" si="1126"/>
        <v>1102</v>
      </c>
      <c r="CA146" s="71">
        <f t="shared" si="1127"/>
        <v>1138</v>
      </c>
      <c r="CB146" s="72">
        <f t="shared" si="1128"/>
        <v>1146</v>
      </c>
      <c r="CC146" s="71">
        <f t="shared" si="1129"/>
        <v>1191</v>
      </c>
      <c r="CD146" s="72">
        <f t="shared" si="1130"/>
        <v>1196</v>
      </c>
      <c r="CE146" s="71">
        <f t="shared" si="1131"/>
        <v>1266</v>
      </c>
      <c r="CF146" s="72">
        <f t="shared" si="1132"/>
        <v>1304</v>
      </c>
      <c r="CG146" s="71">
        <f t="shared" si="1133"/>
        <v>1329</v>
      </c>
      <c r="CH146" s="70">
        <f t="shared" si="1134"/>
        <v>1061</v>
      </c>
      <c r="CI146" s="71">
        <f t="shared" si="1135"/>
        <v>1065</v>
      </c>
      <c r="CJ146" s="72">
        <f t="shared" si="1136"/>
        <v>1097</v>
      </c>
      <c r="CK146" s="72">
        <f t="shared" si="1137"/>
        <v>1101</v>
      </c>
      <c r="CL146" s="72">
        <f t="shared" si="1138"/>
        <v>1137</v>
      </c>
      <c r="CM146" s="72">
        <f t="shared" si="1139"/>
        <v>1145</v>
      </c>
      <c r="CN146" s="72">
        <f t="shared" si="1140"/>
        <v>1172</v>
      </c>
      <c r="CO146" s="72">
        <f t="shared" si="1141"/>
        <v>1193</v>
      </c>
      <c r="CP146" s="72">
        <f t="shared" si="1142"/>
        <v>1225</v>
      </c>
      <c r="CQ146" s="72">
        <f t="shared" si="1143"/>
        <v>1299</v>
      </c>
      <c r="CR146" s="72">
        <f t="shared" si="1144"/>
        <v>1328</v>
      </c>
      <c r="CS146" s="72">
        <f t="shared" si="1145"/>
        <v>1341</v>
      </c>
      <c r="CT146" s="23">
        <f t="shared" si="1146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29" ht="17" customHeight="1" x14ac:dyDescent="0.2">
      <c r="A147" s="3" t="str">
        <f t="shared" si="1371"/>
        <v>adrb2_human_4LDO</v>
      </c>
      <c r="B147" s="3" t="s">
        <v>126</v>
      </c>
      <c r="C147" s="3" t="s">
        <v>1039</v>
      </c>
      <c r="D147" s="3" t="str">
        <f>IFERROR(MID(VLOOKUP($B147,Seqs!$A:$B,2,0),E147,1),"")</f>
        <v/>
      </c>
      <c r="E147" s="3">
        <v>1029</v>
      </c>
      <c r="F147" s="3" t="str">
        <f>IFERROR(MID(VLOOKUP($B147,Seqs!$A:$B,2,0),G147,1),"")</f>
        <v/>
      </c>
      <c r="G147" s="3">
        <v>1061</v>
      </c>
      <c r="H147" s="3" t="str">
        <f>IFERROR(MID(VLOOKUP($B147,Seqs!$A:$B,2,0),I147,1),"")</f>
        <v/>
      </c>
      <c r="I147" s="23">
        <v>1062</v>
      </c>
      <c r="J147" s="3" t="str">
        <f>IFERROR(MID(VLOOKUP($B147,Seqs!$A:$B,2,0),K147,1),"")</f>
        <v/>
      </c>
      <c r="K147" s="23">
        <v>1065</v>
      </c>
      <c r="L147" s="3" t="str">
        <f>IFERROR(MID(VLOOKUP($B147,Seqs!$A:$B,2,0),M147,1),"")</f>
        <v/>
      </c>
      <c r="M147" s="3">
        <v>1066</v>
      </c>
      <c r="N147" s="3" t="str">
        <f>IFERROR(MID(VLOOKUP($B147,Seqs!$A:$B,2,0),O147,1),"")</f>
        <v/>
      </c>
      <c r="O147" s="3">
        <v>1097</v>
      </c>
      <c r="P147" s="3" t="str">
        <f>IFERROR(MID(VLOOKUP($B147,Seqs!$A:$B,2,0),Q147,1),"")</f>
        <v/>
      </c>
      <c r="Q147" s="3">
        <v>1098</v>
      </c>
      <c r="R147" s="3" t="str">
        <f>IFERROR(MID(VLOOKUP($B147,Seqs!$A:$B,2,0),S147,1),"")</f>
        <v/>
      </c>
      <c r="S147" s="3">
        <v>1101</v>
      </c>
      <c r="T147" s="3" t="str">
        <f>IFERROR(MID(VLOOKUP($B147,Seqs!$A:$B,2,0),U147,1),"")</f>
        <v/>
      </c>
      <c r="U147" s="3">
        <v>1102</v>
      </c>
      <c r="V147" s="3" t="str">
        <f>IFERROR(MID(VLOOKUP($B147,Seqs!$A:$B,2,0),W147,1),"")</f>
        <v/>
      </c>
      <c r="W147" s="3">
        <v>1137</v>
      </c>
      <c r="X147" s="3" t="str">
        <f>IFERROR(MID(VLOOKUP($B147,Seqs!$A:$B,2,0),Y147,1),"")</f>
        <v/>
      </c>
      <c r="Y147" s="3">
        <v>1138</v>
      </c>
      <c r="Z147" s="3" t="str">
        <f>IFERROR(MID(VLOOKUP($B147,Seqs!$A:$B,2,0),AA147,1),"")</f>
        <v/>
      </c>
      <c r="AA147" s="3">
        <v>1145</v>
      </c>
      <c r="AB147" s="3" t="str">
        <f>IFERROR(MID(VLOOKUP($B147,Seqs!$A:$B,2,0),AC147,1),"")</f>
        <v/>
      </c>
      <c r="AC147" s="9">
        <v>1146</v>
      </c>
      <c r="AD147" s="3" t="str">
        <f>IFERROR(MID(VLOOKUP($B147,Seqs!$A:$B,2,0),AE147,1),"")</f>
        <v/>
      </c>
      <c r="AE147" s="3">
        <v>1172</v>
      </c>
      <c r="AF147" s="3" t="str">
        <f>IFERROR(MID(VLOOKUP($B147,Seqs!$A:$B,2,0),AG147,1),"")</f>
        <v/>
      </c>
      <c r="AG147" s="3">
        <v>1191</v>
      </c>
      <c r="AH147" s="3" t="str">
        <f>IFERROR(MID(VLOOKUP($B147,Seqs!$A:$B,2,0),AI147,1),"")</f>
        <v/>
      </c>
      <c r="AI147" s="3">
        <v>1193</v>
      </c>
      <c r="AJ147" s="3" t="str">
        <f>IFERROR(MID(VLOOKUP($B147,Seqs!$A:$B,2,0),AK147,1),"")</f>
        <v/>
      </c>
      <c r="AK147" s="3">
        <v>1196</v>
      </c>
      <c r="AL147" s="3" t="str">
        <f>IFERROR(MID(VLOOKUP($B147,Seqs!$A:$B,2,0),AM147,1),"")</f>
        <v/>
      </c>
      <c r="AM147" s="3">
        <v>1225</v>
      </c>
      <c r="AN147" s="3" t="str">
        <f>IFERROR(MID(VLOOKUP($B147,Seqs!$A:$B,2,0),AO147,1),"")</f>
        <v/>
      </c>
      <c r="AO147" s="3">
        <v>1266</v>
      </c>
      <c r="AP147" s="3" t="str">
        <f>IFERROR(MID(VLOOKUP($B147,Seqs!$A:$B,2,0),AQ147,1),"")</f>
        <v/>
      </c>
      <c r="AQ147" s="3">
        <v>1299</v>
      </c>
      <c r="AR147" s="3" t="str">
        <f>IFERROR(MID(VLOOKUP($B147,Seqs!$A:$B,2,0),AS147,1),"")</f>
        <v/>
      </c>
      <c r="AS147" s="3">
        <v>1304</v>
      </c>
      <c r="AT147" s="3" t="str">
        <f>IFERROR(MID(VLOOKUP($B147,Seqs!$A:$B,2,0),AU147,1),"")</f>
        <v/>
      </c>
      <c r="AU147" s="3">
        <v>1328</v>
      </c>
      <c r="AV147" s="3" t="str">
        <f>IFERROR(MID(VLOOKUP($B147,Seqs!$A:$B,2,0),AW147,1),"")</f>
        <v/>
      </c>
      <c r="AW147" s="3">
        <v>1329</v>
      </c>
      <c r="AX147" s="3" t="str">
        <f>IFERROR(MID(VLOOKUP($B147,Seqs!$A:$B,2,0),AY147,1),"")</f>
        <v/>
      </c>
      <c r="AY147" s="3">
        <v>1341</v>
      </c>
      <c r="AZ147" s="77" t="str">
        <f>VLOOKUP(B147,Classification!A:D,2,0)</f>
        <v>A</v>
      </c>
      <c r="BA147" s="94" t="str">
        <f>VLOOKUP(B147,Classification!A:D,4,0)</f>
        <v>Adrenoceptors</v>
      </c>
      <c r="BB147" s="27" t="b">
        <f t="shared" si="1372"/>
        <v>1</v>
      </c>
      <c r="BC147" s="23">
        <f t="shared" si="1121"/>
        <v>249</v>
      </c>
      <c r="BD147" s="4" t="s">
        <v>23</v>
      </c>
      <c r="BE147" s="3" t="s">
        <v>1285</v>
      </c>
      <c r="BF147" s="118">
        <v>3.2</v>
      </c>
      <c r="BG147" s="49" t="s">
        <v>1371</v>
      </c>
      <c r="BH147" s="49" t="s">
        <v>1371</v>
      </c>
      <c r="BI147" s="1"/>
      <c r="BJ147" s="70" t="s">
        <v>1281</v>
      </c>
      <c r="BK147" s="57" t="s">
        <v>1281</v>
      </c>
      <c r="BL147" s="57" t="s">
        <v>1281</v>
      </c>
      <c r="BM147" s="57" t="s">
        <v>1281</v>
      </c>
      <c r="BN147" s="57" t="s">
        <v>1281</v>
      </c>
      <c r="BO147" s="57" t="s">
        <v>1281</v>
      </c>
      <c r="BP147" s="57" t="s">
        <v>1281</v>
      </c>
      <c r="BQ147" s="57" t="s">
        <v>1281</v>
      </c>
      <c r="BR147" s="57" t="s">
        <v>1281</v>
      </c>
      <c r="BS147" s="57" t="s">
        <v>1281</v>
      </c>
      <c r="BT147" s="57" t="s">
        <v>1281</v>
      </c>
      <c r="BU147" s="57" t="s">
        <v>1281</v>
      </c>
      <c r="BV147" s="70">
        <f t="shared" si="1122"/>
        <v>1029</v>
      </c>
      <c r="BW147" s="71">
        <f t="shared" si="1123"/>
        <v>1062</v>
      </c>
      <c r="BX147" s="72">
        <f t="shared" si="1124"/>
        <v>1066</v>
      </c>
      <c r="BY147" s="71">
        <f t="shared" si="1125"/>
        <v>1098</v>
      </c>
      <c r="BZ147" s="72">
        <f t="shared" si="1126"/>
        <v>1102</v>
      </c>
      <c r="CA147" s="71">
        <f t="shared" si="1127"/>
        <v>1138</v>
      </c>
      <c r="CB147" s="72">
        <f t="shared" si="1128"/>
        <v>1146</v>
      </c>
      <c r="CC147" s="71">
        <f t="shared" si="1129"/>
        <v>1191</v>
      </c>
      <c r="CD147" s="72">
        <f t="shared" si="1130"/>
        <v>1196</v>
      </c>
      <c r="CE147" s="71">
        <f t="shared" si="1131"/>
        <v>1266</v>
      </c>
      <c r="CF147" s="72">
        <f t="shared" si="1132"/>
        <v>1304</v>
      </c>
      <c r="CG147" s="71">
        <f t="shared" si="1133"/>
        <v>1329</v>
      </c>
      <c r="CH147" s="70">
        <f t="shared" si="1134"/>
        <v>1061</v>
      </c>
      <c r="CI147" s="71">
        <f t="shared" si="1135"/>
        <v>1065</v>
      </c>
      <c r="CJ147" s="72">
        <f t="shared" si="1136"/>
        <v>1097</v>
      </c>
      <c r="CK147" s="72">
        <f t="shared" si="1137"/>
        <v>1101</v>
      </c>
      <c r="CL147" s="72">
        <f t="shared" si="1138"/>
        <v>1137</v>
      </c>
      <c r="CM147" s="72">
        <f t="shared" si="1139"/>
        <v>1145</v>
      </c>
      <c r="CN147" s="72">
        <f t="shared" si="1140"/>
        <v>1172</v>
      </c>
      <c r="CO147" s="72">
        <f t="shared" si="1141"/>
        <v>1193</v>
      </c>
      <c r="CP147" s="72">
        <f t="shared" si="1142"/>
        <v>1225</v>
      </c>
      <c r="CQ147" s="72">
        <f t="shared" si="1143"/>
        <v>1299</v>
      </c>
      <c r="CR147" s="72">
        <f t="shared" si="1144"/>
        <v>1328</v>
      </c>
      <c r="CS147" s="72">
        <f t="shared" si="1145"/>
        <v>1341</v>
      </c>
      <c r="CT147" s="23">
        <f t="shared" si="1146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29" x14ac:dyDescent="0.2">
      <c r="A148" s="3" t="str">
        <f t="shared" si="1371"/>
        <v>adrb2_human_4QKX</v>
      </c>
      <c r="B148" s="3" t="s">
        <v>126</v>
      </c>
      <c r="C148" s="3" t="s">
        <v>78</v>
      </c>
      <c r="D148" s="3" t="str">
        <f>IFERROR(MID(VLOOKUP($B148,Seqs!$A:$B,2,0),E148,1),"")</f>
        <v/>
      </c>
      <c r="E148" s="3">
        <v>1029</v>
      </c>
      <c r="F148" s="3" t="str">
        <f>IFERROR(MID(VLOOKUP($B148,Seqs!$A:$B,2,0),G148,1),"")</f>
        <v/>
      </c>
      <c r="G148" s="3">
        <v>1061</v>
      </c>
      <c r="H148" s="3" t="str">
        <f>IFERROR(MID(VLOOKUP($B148,Seqs!$A:$B,2,0),I148,1),"")</f>
        <v/>
      </c>
      <c r="I148" s="23">
        <v>1062</v>
      </c>
      <c r="J148" s="3" t="str">
        <f>IFERROR(MID(VLOOKUP($B148,Seqs!$A:$B,2,0),K148,1),"")</f>
        <v/>
      </c>
      <c r="K148" s="23">
        <v>1065</v>
      </c>
      <c r="L148" s="3" t="str">
        <f>IFERROR(MID(VLOOKUP($B148,Seqs!$A:$B,2,0),M148,1),"")</f>
        <v/>
      </c>
      <c r="M148" s="3">
        <v>1066</v>
      </c>
      <c r="N148" s="3" t="str">
        <f>IFERROR(MID(VLOOKUP($B148,Seqs!$A:$B,2,0),O148,1),"")</f>
        <v/>
      </c>
      <c r="O148" s="3">
        <v>1096</v>
      </c>
      <c r="P148" s="3" t="str">
        <f>IFERROR(MID(VLOOKUP($B148,Seqs!$A:$B,2,0),Q148,1),"")</f>
        <v/>
      </c>
      <c r="Q148" s="3">
        <v>1098</v>
      </c>
      <c r="R148" s="3" t="str">
        <f>IFERROR(MID(VLOOKUP($B148,Seqs!$A:$B,2,0),S148,1),"")</f>
        <v/>
      </c>
      <c r="S148" s="3">
        <v>1101</v>
      </c>
      <c r="T148" s="3" t="str">
        <f>IFERROR(MID(VLOOKUP($B148,Seqs!$A:$B,2,0),U148,1),"")</f>
        <v/>
      </c>
      <c r="U148" s="3">
        <v>1102</v>
      </c>
      <c r="V148" s="3" t="str">
        <f>IFERROR(MID(VLOOKUP($B148,Seqs!$A:$B,2,0),W148,1),"")</f>
        <v/>
      </c>
      <c r="W148" s="3">
        <v>1137</v>
      </c>
      <c r="X148" s="3" t="str">
        <f>IFERROR(MID(VLOOKUP($B148,Seqs!$A:$B,2,0),Y148,1),"")</f>
        <v/>
      </c>
      <c r="Y148" s="3">
        <v>1138</v>
      </c>
      <c r="Z148" s="3" t="str">
        <f>IFERROR(MID(VLOOKUP($B148,Seqs!$A:$B,2,0),AA148,1),"")</f>
        <v/>
      </c>
      <c r="AA148" s="3">
        <v>1145</v>
      </c>
      <c r="AB148" s="3" t="str">
        <f>IFERROR(MID(VLOOKUP($B148,Seqs!$A:$B,2,0),AC148,1),"")</f>
        <v/>
      </c>
      <c r="AC148" s="9">
        <v>1146</v>
      </c>
      <c r="AD148" s="3" t="str">
        <f>IFERROR(MID(VLOOKUP($B148,Seqs!$A:$B,2,0),AE148,1),"")</f>
        <v/>
      </c>
      <c r="AE148" s="3">
        <v>1172</v>
      </c>
      <c r="AF148" s="3" t="str">
        <f>IFERROR(MID(VLOOKUP($B148,Seqs!$A:$B,2,0),AG148,1),"")</f>
        <v/>
      </c>
      <c r="AG148" s="3">
        <v>1191</v>
      </c>
      <c r="AH148" s="3" t="str">
        <f>IFERROR(MID(VLOOKUP($B148,Seqs!$A:$B,2,0),AI148,1),"")</f>
        <v/>
      </c>
      <c r="AI148" s="3">
        <v>1193</v>
      </c>
      <c r="AJ148" s="3" t="str">
        <f>IFERROR(MID(VLOOKUP($B148,Seqs!$A:$B,2,0),AK148,1),"")</f>
        <v/>
      </c>
      <c r="AK148" s="3">
        <v>1196</v>
      </c>
      <c r="AL148" s="3" t="str">
        <f>IFERROR(MID(VLOOKUP($B148,Seqs!$A:$B,2,0),AM148,1),"")</f>
        <v/>
      </c>
      <c r="AM148" s="3">
        <v>1225</v>
      </c>
      <c r="AN148" s="3" t="str">
        <f>IFERROR(MID(VLOOKUP($B148,Seqs!$A:$B,2,0),AO148,1),"")</f>
        <v/>
      </c>
      <c r="AO148" s="3">
        <v>1266</v>
      </c>
      <c r="AP148" s="3" t="str">
        <f>IFERROR(MID(VLOOKUP($B148,Seqs!$A:$B,2,0),AQ148,1),"")</f>
        <v/>
      </c>
      <c r="AQ148" s="3">
        <v>1299</v>
      </c>
      <c r="AR148" s="3" t="str">
        <f>IFERROR(MID(VLOOKUP($B148,Seqs!$A:$B,2,0),AS148,1),"")</f>
        <v/>
      </c>
      <c r="AS148" s="3">
        <v>1304</v>
      </c>
      <c r="AT148" s="3" t="str">
        <f>IFERROR(MID(VLOOKUP($B148,Seqs!$A:$B,2,0),AU148,1),"")</f>
        <v/>
      </c>
      <c r="AU148" s="3">
        <v>1328</v>
      </c>
      <c r="AV148" s="3" t="str">
        <f>IFERROR(MID(VLOOKUP($B148,Seqs!$A:$B,2,0),AW148,1),"")</f>
        <v/>
      </c>
      <c r="AW148" s="3">
        <v>1329</v>
      </c>
      <c r="AX148" s="3" t="str">
        <f>IFERROR(MID(VLOOKUP($B148,Seqs!$A:$B,2,0),AY148,1),"")</f>
        <v/>
      </c>
      <c r="AY148" s="3">
        <v>1341</v>
      </c>
      <c r="AZ148" s="77" t="str">
        <f>VLOOKUP(B148,Classification!A:D,2,0)</f>
        <v>A</v>
      </c>
      <c r="BA148" s="94" t="str">
        <f>VLOOKUP(B148,Classification!A:D,4,0)</f>
        <v>Adrenoceptors</v>
      </c>
      <c r="BB148" s="27" t="b">
        <f t="shared" si="1372"/>
        <v>1</v>
      </c>
      <c r="BC148" s="23">
        <f t="shared" si="1121"/>
        <v>248</v>
      </c>
      <c r="BD148" s="4" t="s">
        <v>23</v>
      </c>
      <c r="BE148" s="3" t="s">
        <v>1285</v>
      </c>
      <c r="BF148" s="118">
        <v>3.3</v>
      </c>
      <c r="BG148" s="49" t="s">
        <v>1371</v>
      </c>
      <c r="BH148" s="49" t="s">
        <v>1371</v>
      </c>
      <c r="BI148" s="1"/>
      <c r="BJ148" s="70" t="s">
        <v>1281</v>
      </c>
      <c r="BK148" s="57" t="s">
        <v>1281</v>
      </c>
      <c r="BL148" s="57" t="s">
        <v>1281</v>
      </c>
      <c r="BM148" s="57" t="s">
        <v>1281</v>
      </c>
      <c r="BN148" s="57" t="s">
        <v>1281</v>
      </c>
      <c r="BO148" s="57" t="s">
        <v>1281</v>
      </c>
      <c r="BP148" s="57" t="s">
        <v>1281</v>
      </c>
      <c r="BQ148" s="57" t="s">
        <v>1281</v>
      </c>
      <c r="BR148" s="57" t="s">
        <v>1281</v>
      </c>
      <c r="BS148" s="57" t="s">
        <v>1281</v>
      </c>
      <c r="BT148" s="57" t="s">
        <v>1281</v>
      </c>
      <c r="BU148" s="57" t="s">
        <v>1281</v>
      </c>
      <c r="BV148" s="70">
        <f t="shared" si="1122"/>
        <v>1029</v>
      </c>
      <c r="BW148" s="71">
        <f t="shared" si="1123"/>
        <v>1062</v>
      </c>
      <c r="BX148" s="72">
        <f t="shared" si="1124"/>
        <v>1066</v>
      </c>
      <c r="BY148" s="71">
        <f t="shared" si="1125"/>
        <v>1098</v>
      </c>
      <c r="BZ148" s="72">
        <f t="shared" si="1126"/>
        <v>1102</v>
      </c>
      <c r="CA148" s="71">
        <f t="shared" si="1127"/>
        <v>1138</v>
      </c>
      <c r="CB148" s="72">
        <f t="shared" si="1128"/>
        <v>1146</v>
      </c>
      <c r="CC148" s="71">
        <f t="shared" si="1129"/>
        <v>1191</v>
      </c>
      <c r="CD148" s="72">
        <f t="shared" si="1130"/>
        <v>1196</v>
      </c>
      <c r="CE148" s="71">
        <f t="shared" si="1131"/>
        <v>1266</v>
      </c>
      <c r="CF148" s="72">
        <f t="shared" si="1132"/>
        <v>1304</v>
      </c>
      <c r="CG148" s="71">
        <f t="shared" si="1133"/>
        <v>1329</v>
      </c>
      <c r="CH148" s="70">
        <f t="shared" si="1134"/>
        <v>1061</v>
      </c>
      <c r="CI148" s="71">
        <f t="shared" si="1135"/>
        <v>1065</v>
      </c>
      <c r="CJ148" s="72">
        <f t="shared" si="1136"/>
        <v>1096</v>
      </c>
      <c r="CK148" s="72">
        <f t="shared" si="1137"/>
        <v>1101</v>
      </c>
      <c r="CL148" s="72">
        <f t="shared" si="1138"/>
        <v>1137</v>
      </c>
      <c r="CM148" s="72">
        <f t="shared" si="1139"/>
        <v>1145</v>
      </c>
      <c r="CN148" s="72">
        <f t="shared" si="1140"/>
        <v>1172</v>
      </c>
      <c r="CO148" s="72">
        <f t="shared" si="1141"/>
        <v>1193</v>
      </c>
      <c r="CP148" s="72">
        <f t="shared" si="1142"/>
        <v>1225</v>
      </c>
      <c r="CQ148" s="72">
        <f t="shared" si="1143"/>
        <v>1299</v>
      </c>
      <c r="CR148" s="72">
        <f t="shared" si="1144"/>
        <v>1328</v>
      </c>
      <c r="CS148" s="72">
        <f t="shared" si="1145"/>
        <v>1341</v>
      </c>
      <c r="CT148" s="23">
        <f t="shared" si="1146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x14ac:dyDescent="0.2">
      <c r="A149" s="3" t="str">
        <f t="shared" si="1371"/>
        <v>adrb2_human_5D6L</v>
      </c>
      <c r="B149" s="3" t="s">
        <v>126</v>
      </c>
      <c r="C149" s="3" t="s">
        <v>1337</v>
      </c>
      <c r="D149" s="3" t="str">
        <f>IFERROR(MID(VLOOKUP($B149,Seqs!$A:$B,2,0),E149,1),"")</f>
        <v>D</v>
      </c>
      <c r="E149" s="3">
        <v>29</v>
      </c>
      <c r="F149" s="3" t="str">
        <f>IFERROR(MID(VLOOKUP($B149,Seqs!$A:$B,2,0),G149,1),"")</f>
        <v>F</v>
      </c>
      <c r="G149" s="3">
        <v>61</v>
      </c>
      <c r="H149" s="3" t="str">
        <f>IFERROR(MID(VLOOKUP($B149,Seqs!$A:$B,2,0),I149,1),"")</f>
        <v>E</v>
      </c>
      <c r="I149" s="23">
        <v>62</v>
      </c>
      <c r="J149" s="3" t="str">
        <f>IFERROR(MID(VLOOKUP($B149,Seqs!$A:$B,2,0),K149,1),"")</f>
        <v>Q</v>
      </c>
      <c r="K149" s="23">
        <v>65</v>
      </c>
      <c r="L149" s="3" t="str">
        <f>IFERROR(MID(VLOOKUP($B149,Seqs!$A:$B,2,0),M149,1),"")</f>
        <v>T</v>
      </c>
      <c r="M149" s="3">
        <v>66</v>
      </c>
      <c r="N149" s="3" t="str">
        <f>IFERROR(MID(VLOOKUP($B149,Seqs!$A:$B,2,0),O149,1),"")</f>
        <v>M</v>
      </c>
      <c r="O149" s="3">
        <v>96</v>
      </c>
      <c r="P149" s="3" t="str">
        <f>IFERROR(MID(VLOOKUP($B149,Seqs!$A:$B,2,0),Q149,1),"")</f>
        <v>M</v>
      </c>
      <c r="Q149" s="3">
        <v>98</v>
      </c>
      <c r="R149" s="3" t="str">
        <f>IFERROR(MID(VLOOKUP($B149,Seqs!$A:$B,2,0),S149,1),"")</f>
        <v>F</v>
      </c>
      <c r="S149" s="3">
        <v>101</v>
      </c>
      <c r="T149" s="3" t="str">
        <f>IFERROR(MID(VLOOKUP($B149,Seqs!$A:$B,2,0),U149,1),"")</f>
        <v>G</v>
      </c>
      <c r="U149" s="3">
        <v>102</v>
      </c>
      <c r="V149" s="3" t="str">
        <f>IFERROR(MID(VLOOKUP($B149,Seqs!$A:$B,2,0),W149,1),"")</f>
        <v>S</v>
      </c>
      <c r="W149" s="3">
        <v>137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T</v>
      </c>
      <c r="AC149" s="9">
        <v>146</v>
      </c>
      <c r="AD149" s="3" t="str">
        <f>IFERROR(MID(VLOOKUP($B149,Seqs!$A:$B,2,0),AE149,1),"")</f>
        <v>H</v>
      </c>
      <c r="AE149" s="3">
        <v>172</v>
      </c>
      <c r="AF149" s="3" t="str">
        <f>IFERROR(MID(VLOOKUP($B149,Seqs!$A:$B,2,0),AG149,1),"")</f>
        <v>C</v>
      </c>
      <c r="AG149" s="3">
        <v>191</v>
      </c>
      <c r="AH149" s="3" t="str">
        <f>IFERROR(MID(VLOOKUP($B149,Seqs!$A:$B,2,0),AI149,1),"")</f>
        <v>F</v>
      </c>
      <c r="AI149" s="3">
        <v>193</v>
      </c>
      <c r="AJ149" s="3" t="str">
        <f>IFERROR(MID(VLOOKUP($B149,Seqs!$A:$B,2,0),AK149,1),"")</f>
        <v>N</v>
      </c>
      <c r="AK149" s="3">
        <v>196</v>
      </c>
      <c r="AL149" s="3" t="str">
        <f>IFERROR(MID(VLOOKUP($B149,Seqs!$A:$B,2,0),AM149,1),"")</f>
        <v>Q</v>
      </c>
      <c r="AM149" s="3">
        <v>229</v>
      </c>
      <c r="AN149" s="3" t="str">
        <f>IFERROR(MID(VLOOKUP($B149,Seqs!$A:$B,2,0),AO149,1),"")</f>
        <v>K</v>
      </c>
      <c r="AO149" s="3">
        <v>267</v>
      </c>
      <c r="AP149" s="3" t="str">
        <f>IFERROR(MID(VLOOKUP($B149,Seqs!$A:$B,2,0),AQ149,1),"")</f>
        <v>Q</v>
      </c>
      <c r="AQ149" s="3">
        <v>299</v>
      </c>
      <c r="AR149" s="3" t="str">
        <f>IFERROR(MID(VLOOKUP($B149,Seqs!$A:$B,2,0),AS149,1),"")</f>
        <v>R</v>
      </c>
      <c r="AS149" s="3">
        <v>304</v>
      </c>
      <c r="AT149" s="3" t="str">
        <f>IFERROR(MID(VLOOKUP($B149,Seqs!$A:$B,2,0),AU149,1),"")</f>
        <v>R</v>
      </c>
      <c r="AU149" s="3">
        <v>328</v>
      </c>
      <c r="AV149" s="3" t="str">
        <f>IFERROR(MID(VLOOKUP($B149,Seqs!$A:$B,2,0),AW149,1),"")</f>
        <v>S</v>
      </c>
      <c r="AW149" s="3">
        <v>329</v>
      </c>
      <c r="AX149" s="3" t="str">
        <f>IFERROR(MID(VLOOKUP($B149,Seqs!$A:$B,2,0),AY149,1),"")</f>
        <v>C</v>
      </c>
      <c r="AY149" s="3">
        <v>341</v>
      </c>
      <c r="AZ149" s="77" t="str">
        <f>VLOOKUP(B149,Classification!A:D,2,0)</f>
        <v>A</v>
      </c>
      <c r="BA149" s="94" t="str">
        <f>VLOOKUP(B149,Classification!A:D,4,0)</f>
        <v>Adrenoceptors</v>
      </c>
      <c r="BB149" s="27" t="b">
        <f t="shared" si="1372"/>
        <v>1</v>
      </c>
      <c r="BC149" s="23">
        <f t="shared" si="1121"/>
        <v>244</v>
      </c>
      <c r="BD149" s="4" t="s">
        <v>23</v>
      </c>
      <c r="BE149" s="3" t="s">
        <v>1368</v>
      </c>
      <c r="BF149" s="118">
        <v>3.2</v>
      </c>
      <c r="BG149" s="49" t="s">
        <v>1</v>
      </c>
      <c r="BH149" s="49" t="s">
        <v>1371</v>
      </c>
      <c r="BI149" s="1"/>
      <c r="BJ149" s="70" t="s">
        <v>1281</v>
      </c>
      <c r="BK149" s="57" t="s">
        <v>1281</v>
      </c>
      <c r="BL149" s="57" t="s">
        <v>1281</v>
      </c>
      <c r="BM149" s="57" t="s">
        <v>1281</v>
      </c>
      <c r="BN149" s="57" t="s">
        <v>1281</v>
      </c>
      <c r="BO149" s="57" t="s">
        <v>1281</v>
      </c>
      <c r="BP149" s="57" t="s">
        <v>1281</v>
      </c>
      <c r="BQ149" s="57" t="s">
        <v>1281</v>
      </c>
      <c r="BR149" s="57" t="s">
        <v>1281</v>
      </c>
      <c r="BS149" s="57" t="s">
        <v>1281</v>
      </c>
      <c r="BT149" s="57" t="s">
        <v>1281</v>
      </c>
      <c r="BU149" s="57" t="s">
        <v>1281</v>
      </c>
      <c r="BV149" s="70">
        <f t="shared" si="1122"/>
        <v>29</v>
      </c>
      <c r="BW149" s="71">
        <f t="shared" si="1123"/>
        <v>62</v>
      </c>
      <c r="BX149" s="72">
        <f t="shared" si="1124"/>
        <v>66</v>
      </c>
      <c r="BY149" s="71">
        <f t="shared" si="1125"/>
        <v>98</v>
      </c>
      <c r="BZ149" s="72">
        <f t="shared" si="1126"/>
        <v>102</v>
      </c>
      <c r="CA149" s="71" t="str">
        <f t="shared" si="1127"/>
        <v>-</v>
      </c>
      <c r="CB149" s="72">
        <f t="shared" si="1128"/>
        <v>146</v>
      </c>
      <c r="CC149" s="71">
        <f t="shared" si="1129"/>
        <v>191</v>
      </c>
      <c r="CD149" s="72">
        <f t="shared" si="1130"/>
        <v>196</v>
      </c>
      <c r="CE149" s="71">
        <f t="shared" si="1131"/>
        <v>267</v>
      </c>
      <c r="CF149" s="72">
        <f t="shared" si="1132"/>
        <v>304</v>
      </c>
      <c r="CG149" s="71">
        <f t="shared" si="1133"/>
        <v>329</v>
      </c>
      <c r="CH149" s="70">
        <f t="shared" si="1134"/>
        <v>61</v>
      </c>
      <c r="CI149" s="71">
        <f t="shared" si="1135"/>
        <v>65</v>
      </c>
      <c r="CJ149" s="72">
        <f t="shared" si="1136"/>
        <v>96</v>
      </c>
      <c r="CK149" s="72">
        <f t="shared" si="1137"/>
        <v>101</v>
      </c>
      <c r="CL149" s="72">
        <f t="shared" si="1138"/>
        <v>137</v>
      </c>
      <c r="CM149" s="72" t="str">
        <f t="shared" si="1139"/>
        <v>-</v>
      </c>
      <c r="CN149" s="72">
        <f t="shared" si="1140"/>
        <v>172</v>
      </c>
      <c r="CO149" s="72">
        <f t="shared" si="1141"/>
        <v>193</v>
      </c>
      <c r="CP149" s="72">
        <f t="shared" si="1142"/>
        <v>229</v>
      </c>
      <c r="CQ149" s="72">
        <f t="shared" si="1143"/>
        <v>299</v>
      </c>
      <c r="CR149" s="72">
        <f t="shared" si="1144"/>
        <v>328</v>
      </c>
      <c r="CS149" s="72">
        <f t="shared" si="1145"/>
        <v>341</v>
      </c>
      <c r="CT149" s="23">
        <f t="shared" si="1146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29" x14ac:dyDescent="0.2">
      <c r="A150" s="3" t="str">
        <f t="shared" si="1371"/>
        <v>adrb2_human_5JQH</v>
      </c>
      <c r="B150" s="3" t="s">
        <v>126</v>
      </c>
      <c r="C150" s="3" t="s">
        <v>1338</v>
      </c>
      <c r="D150" s="3" t="str">
        <f>IFERROR(MID(VLOOKUP($B150,Seqs!$A:$B,2,0),E150,1),"")</f>
        <v/>
      </c>
      <c r="E150" s="3">
        <v>1023</v>
      </c>
      <c r="F150" s="3" t="str">
        <f>IFERROR(MID(VLOOKUP($B150,Seqs!$A:$B,2,0),G150,1),"")</f>
        <v/>
      </c>
      <c r="G150" s="3">
        <v>1061</v>
      </c>
      <c r="H150" s="3" t="str">
        <f>IFERROR(MID(VLOOKUP($B150,Seqs!$A:$B,2,0),I150,1),"")</f>
        <v/>
      </c>
      <c r="I150" s="23">
        <v>1062</v>
      </c>
      <c r="J150" s="3" t="str">
        <f>IFERROR(MID(VLOOKUP($B150,Seqs!$A:$B,2,0),K150,1),"")</f>
        <v/>
      </c>
      <c r="K150" s="23">
        <v>1065</v>
      </c>
      <c r="L150" s="3" t="str">
        <f>IFERROR(MID(VLOOKUP($B150,Seqs!$A:$B,2,0),M150,1),"")</f>
        <v/>
      </c>
      <c r="M150" s="3">
        <v>1066</v>
      </c>
      <c r="N150" s="3" t="str">
        <f>IFERROR(MID(VLOOKUP($B150,Seqs!$A:$B,2,0),O150,1),"")</f>
        <v/>
      </c>
      <c r="O150" s="3">
        <v>1096</v>
      </c>
      <c r="P150" s="3" t="str">
        <f>IFERROR(MID(VLOOKUP($B150,Seqs!$A:$B,2,0),Q150,1),"")</f>
        <v/>
      </c>
      <c r="Q150" s="3">
        <v>1098</v>
      </c>
      <c r="R150" s="3" t="str">
        <f>IFERROR(MID(VLOOKUP($B150,Seqs!$A:$B,2,0),S150,1),"")</f>
        <v/>
      </c>
      <c r="S150" s="3">
        <v>1101</v>
      </c>
      <c r="T150" s="3" t="str">
        <f>IFERROR(MID(VLOOKUP($B150,Seqs!$A:$B,2,0),U150,1),"")</f>
        <v/>
      </c>
      <c r="U150" s="3">
        <v>1102</v>
      </c>
      <c r="V150" s="3" t="str">
        <f>IFERROR(MID(VLOOKUP($B150,Seqs!$A:$B,2,0),W150,1),"")</f>
        <v/>
      </c>
      <c r="W150" s="3">
        <v>1137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/>
      </c>
      <c r="AC150" s="9">
        <v>1146</v>
      </c>
      <c r="AD150" s="3" t="str">
        <f>IFERROR(MID(VLOOKUP($B150,Seqs!$A:$B,2,0),AE150,1),"")</f>
        <v/>
      </c>
      <c r="AE150" s="3">
        <v>1172</v>
      </c>
      <c r="AF150" s="3" t="str">
        <f>IFERROR(MID(VLOOKUP($B150,Seqs!$A:$B,2,0),AG150,1),"")</f>
        <v/>
      </c>
      <c r="AG150" s="3">
        <v>1191</v>
      </c>
      <c r="AH150" s="3" t="str">
        <f>IFERROR(MID(VLOOKUP($B150,Seqs!$A:$B,2,0),AI150,1),"")</f>
        <v/>
      </c>
      <c r="AI150" s="3">
        <v>1193</v>
      </c>
      <c r="AJ150" s="3" t="str">
        <f>IFERROR(MID(VLOOKUP($B150,Seqs!$A:$B,2,0),AK150,1),"")</f>
        <v/>
      </c>
      <c r="AK150" s="3">
        <v>1196</v>
      </c>
      <c r="AL150" s="3" t="str">
        <f>IFERROR(MID(VLOOKUP($B150,Seqs!$A:$B,2,0),AM150,1),"")</f>
        <v/>
      </c>
      <c r="AM150" s="3">
        <v>1230</v>
      </c>
      <c r="AN150" s="3" t="str">
        <f>IFERROR(MID(VLOOKUP($B150,Seqs!$A:$B,2,0),AO150,1),"")</f>
        <v/>
      </c>
      <c r="AO150" s="3">
        <v>1271</v>
      </c>
      <c r="AP150" s="3" t="str">
        <f>IFERROR(MID(VLOOKUP($B150,Seqs!$A:$B,2,0),AQ150,1),"")</f>
        <v/>
      </c>
      <c r="AQ150" s="3">
        <v>1299</v>
      </c>
      <c r="AR150" s="3" t="str">
        <f>IFERROR(MID(VLOOKUP($B150,Seqs!$A:$B,2,0),AS150,1),"")</f>
        <v/>
      </c>
      <c r="AS150" s="3">
        <v>1304</v>
      </c>
      <c r="AT150" s="3" t="str">
        <f>IFERROR(MID(VLOOKUP($B150,Seqs!$A:$B,2,0),AU150,1),"")</f>
        <v/>
      </c>
      <c r="AU150" s="3">
        <v>1328</v>
      </c>
      <c r="AV150" s="3" t="str">
        <f>IFERROR(MID(VLOOKUP($B150,Seqs!$A:$B,2,0),AW150,1),"")</f>
        <v/>
      </c>
      <c r="AW150" s="3">
        <v>1329</v>
      </c>
      <c r="AX150" s="3" t="str">
        <f>IFERROR(MID(VLOOKUP($B150,Seqs!$A:$B,2,0),AY150,1),"")</f>
        <v/>
      </c>
      <c r="AY150" s="3">
        <v>1341</v>
      </c>
      <c r="AZ150" s="77" t="str">
        <f>VLOOKUP(B150,Classification!A:D,2,0)</f>
        <v>A</v>
      </c>
      <c r="BA150" s="94" t="str">
        <f>VLOOKUP(B150,Classification!A:D,4,0)</f>
        <v>Adrenoceptors</v>
      </c>
      <c r="BB150" s="27" t="b">
        <f t="shared" si="1372"/>
        <v>1</v>
      </c>
      <c r="BC150" s="23">
        <f t="shared" si="1121"/>
        <v>247</v>
      </c>
      <c r="BD150" s="74" t="s">
        <v>1370</v>
      </c>
      <c r="BE150" s="3" t="s">
        <v>1368</v>
      </c>
      <c r="BF150" s="118">
        <v>3.2</v>
      </c>
      <c r="BG150" s="49" t="s">
        <v>1275</v>
      </c>
      <c r="BH150" s="49" t="s">
        <v>1371</v>
      </c>
      <c r="BI150" s="1"/>
      <c r="BJ150" s="70" t="s">
        <v>1281</v>
      </c>
      <c r="BK150" s="57" t="s">
        <v>1281</v>
      </c>
      <c r="BL150" s="57" t="s">
        <v>1281</v>
      </c>
      <c r="BM150" s="57" t="s">
        <v>1281</v>
      </c>
      <c r="BN150" s="57" t="s">
        <v>1281</v>
      </c>
      <c r="BO150" s="57" t="s">
        <v>1281</v>
      </c>
      <c r="BP150" s="57" t="s">
        <v>1281</v>
      </c>
      <c r="BQ150" s="57" t="s">
        <v>1281</v>
      </c>
      <c r="BR150" s="57" t="s">
        <v>1281</v>
      </c>
      <c r="BS150" s="57" t="s">
        <v>1281</v>
      </c>
      <c r="BT150" s="57" t="s">
        <v>1281</v>
      </c>
      <c r="BU150" s="57" t="s">
        <v>1281</v>
      </c>
      <c r="BV150" s="70">
        <f t="shared" si="1122"/>
        <v>1023</v>
      </c>
      <c r="BW150" s="71">
        <f t="shared" si="1123"/>
        <v>1062</v>
      </c>
      <c r="BX150" s="72">
        <f t="shared" si="1124"/>
        <v>1066</v>
      </c>
      <c r="BY150" s="71">
        <f t="shared" si="1125"/>
        <v>1098</v>
      </c>
      <c r="BZ150" s="72">
        <f t="shared" si="1126"/>
        <v>1102</v>
      </c>
      <c r="CA150" s="71" t="str">
        <f t="shared" si="1127"/>
        <v>-</v>
      </c>
      <c r="CB150" s="72">
        <f t="shared" si="1128"/>
        <v>1146</v>
      </c>
      <c r="CC150" s="71">
        <f t="shared" si="1129"/>
        <v>1191</v>
      </c>
      <c r="CD150" s="72">
        <f t="shared" si="1130"/>
        <v>1196</v>
      </c>
      <c r="CE150" s="71">
        <f t="shared" si="1131"/>
        <v>1271</v>
      </c>
      <c r="CF150" s="72">
        <f t="shared" si="1132"/>
        <v>1304</v>
      </c>
      <c r="CG150" s="71">
        <f t="shared" si="1133"/>
        <v>1329</v>
      </c>
      <c r="CH150" s="70">
        <f t="shared" si="1134"/>
        <v>1061</v>
      </c>
      <c r="CI150" s="71">
        <f t="shared" si="1135"/>
        <v>1065</v>
      </c>
      <c r="CJ150" s="72">
        <f t="shared" si="1136"/>
        <v>1096</v>
      </c>
      <c r="CK150" s="72">
        <f t="shared" si="1137"/>
        <v>1101</v>
      </c>
      <c r="CL150" s="72">
        <f t="shared" si="1138"/>
        <v>1137</v>
      </c>
      <c r="CM150" s="72" t="str">
        <f t="shared" si="1139"/>
        <v>-</v>
      </c>
      <c r="CN150" s="72">
        <f t="shared" si="1140"/>
        <v>1172</v>
      </c>
      <c r="CO150" s="72">
        <f t="shared" si="1141"/>
        <v>1193</v>
      </c>
      <c r="CP150" s="72">
        <f t="shared" si="1142"/>
        <v>1230</v>
      </c>
      <c r="CQ150" s="72">
        <f t="shared" si="1143"/>
        <v>1299</v>
      </c>
      <c r="CR150" s="72">
        <f t="shared" si="1144"/>
        <v>1328</v>
      </c>
      <c r="CS150" s="72">
        <f t="shared" si="1145"/>
        <v>1341</v>
      </c>
      <c r="CT150" s="23">
        <f t="shared" si="1146"/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ref="A151:A163" si="1373">CONCATENATE(B151,"_",C151)</f>
        <v>adrb2_human_5X7D</v>
      </c>
      <c r="B151" s="3" t="s">
        <v>126</v>
      </c>
      <c r="C151" s="3" t="s">
        <v>1431</v>
      </c>
      <c r="D151" s="3" t="str">
        <f>IFERROR(MID(VLOOKUP($B151,Seqs!$A:$B,2,0),E151,1),"")</f>
        <v>V</v>
      </c>
      <c r="E151" s="3">
        <v>33</v>
      </c>
      <c r="F151" s="3" t="str">
        <f>IFERROR(MID(VLOOKUP($B151,Seqs!$A:$B,2,0),G151,1),"")</f>
        <v>F</v>
      </c>
      <c r="G151" s="3">
        <v>61</v>
      </c>
      <c r="H151" s="3" t="str">
        <f>IFERROR(MID(VLOOKUP($B151,Seqs!$A:$B,2,0),I151,1),"")</f>
        <v>E</v>
      </c>
      <c r="I151" s="23">
        <v>62</v>
      </c>
      <c r="J151" s="3" t="str">
        <f>IFERROR(MID(VLOOKUP($B151,Seqs!$A:$B,2,0),K151,1),"")</f>
        <v>Q</v>
      </c>
      <c r="K151" s="23">
        <v>65</v>
      </c>
      <c r="L151" s="3" t="str">
        <f>IFERROR(MID(VLOOKUP($B151,Seqs!$A:$B,2,0),M151,1),"")</f>
        <v>T</v>
      </c>
      <c r="M151" s="3">
        <v>66</v>
      </c>
      <c r="N151" s="3" t="str">
        <f>IFERROR(MID(VLOOKUP($B151,Seqs!$A:$B,2,0),O151,1),"")</f>
        <v>K</v>
      </c>
      <c r="O151" s="3">
        <v>97</v>
      </c>
      <c r="P151" s="3" t="str">
        <f>IFERROR(MID(VLOOKUP($B151,Seqs!$A:$B,2,0),Q151,1),"")</f>
        <v>M</v>
      </c>
      <c r="Q151" s="3">
        <v>98</v>
      </c>
      <c r="R151" s="3" t="str">
        <f>IFERROR(MID(VLOOKUP($B151,Seqs!$A:$B,2,0),S151,1),"")</f>
        <v>F</v>
      </c>
      <c r="S151" s="3">
        <v>101</v>
      </c>
      <c r="T151" s="3" t="str">
        <f>IFERROR(MID(VLOOKUP($B151,Seqs!$A:$B,2,0),U151,1),"")</f>
        <v>G</v>
      </c>
      <c r="U151" s="3">
        <v>102</v>
      </c>
      <c r="V151" s="3" t="str">
        <f>IFERROR(MID(VLOOKUP($B151,Seqs!$A:$B,2,0),W151,1),"")</f>
        <v>T</v>
      </c>
      <c r="W151" s="3">
        <v>136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T</v>
      </c>
      <c r="AC151" s="3">
        <v>146</v>
      </c>
      <c r="AD151" s="3" t="str">
        <f>IFERROR(MID(VLOOKUP($B151,Seqs!$A:$B,2,0),AE151,1),"")</f>
        <v>H</v>
      </c>
      <c r="AE151" s="3">
        <v>172</v>
      </c>
      <c r="AF151" s="3" t="str">
        <f>IFERROR(MID(VLOOKUP($B151,Seqs!$A:$B,2,0),AG151,1),"")</f>
        <v>C</v>
      </c>
      <c r="AG151" s="3">
        <v>191</v>
      </c>
      <c r="AH151" s="3" t="str">
        <f>IFERROR(MID(VLOOKUP($B151,Seqs!$A:$B,2,0),AI151,1),"")</f>
        <v>F</v>
      </c>
      <c r="AI151" s="3">
        <v>193</v>
      </c>
      <c r="AJ151" s="3" t="str">
        <f>IFERROR(MID(VLOOKUP($B151,Seqs!$A:$B,2,0),AK151,1),"")</f>
        <v>N</v>
      </c>
      <c r="AK151" s="3">
        <v>196</v>
      </c>
      <c r="AL151" s="3" t="str">
        <f>IFERROR(MID(VLOOKUP($B151,Seqs!$A:$B,2,0),AM151,1),"")</f>
        <v>L</v>
      </c>
      <c r="AM151" s="3">
        <v>230</v>
      </c>
      <c r="AN151" s="3" t="str">
        <f>IFERROR(MID(VLOOKUP($B151,Seqs!$A:$B,2,0),AO151,1),"")</f>
        <v>A</v>
      </c>
      <c r="AO151" s="3">
        <v>271</v>
      </c>
      <c r="AP151" s="3" t="str">
        <f>IFERROR(MID(VLOOKUP($B151,Seqs!$A:$B,2,0),AQ151,1),"")</f>
        <v>Q</v>
      </c>
      <c r="AQ151" s="3">
        <v>299</v>
      </c>
      <c r="AR151" s="3" t="str">
        <f>IFERROR(MID(VLOOKUP($B151,Seqs!$A:$B,2,0),AS151,1),"")</f>
        <v>R</v>
      </c>
      <c r="AS151" s="3">
        <v>304</v>
      </c>
      <c r="AT151" s="3" t="str">
        <f>IFERROR(MID(VLOOKUP($B151,Seqs!$A:$B,2,0),AU151,1),"")</f>
        <v>R</v>
      </c>
      <c r="AU151" s="3">
        <v>328</v>
      </c>
      <c r="AV151" s="3" t="str">
        <f>IFERROR(MID(VLOOKUP($B151,Seqs!$A:$B,2,0),AW151,1),"")</f>
        <v>S</v>
      </c>
      <c r="AW151" s="3">
        <v>329</v>
      </c>
      <c r="AX151" s="3" t="str">
        <f>IFERROR(MID(VLOOKUP($B151,Seqs!$A:$B,2,0),AY151,1),"")</f>
        <v>C</v>
      </c>
      <c r="AY151" s="3">
        <v>341</v>
      </c>
      <c r="AZ151" s="77" t="str">
        <f>VLOOKUP(B151,Classification!A:D,2,0)</f>
        <v>A</v>
      </c>
      <c r="BA151" s="94" t="str">
        <f>VLOOKUP(B151,Classification!A:D,4,0)</f>
        <v>Adrenoceptors</v>
      </c>
      <c r="BB151" s="27" t="b">
        <f t="shared" ref="BB151:BB164" si="1374"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23">
        <f t="shared" ref="BC151:BC164" si="1375">_xlfn.AGGREGATE(9,6,CH151:CS151)-_xlfn.AGGREGATE(9,6,BV151:CG151)+12</f>
        <v>237</v>
      </c>
      <c r="BD151" s="74" t="s">
        <v>23</v>
      </c>
      <c r="BE151" s="3" t="s">
        <v>1368</v>
      </c>
      <c r="BF151" s="118">
        <v>4.2</v>
      </c>
      <c r="BG151" s="49" t="s">
        <v>1275</v>
      </c>
      <c r="BH151" s="49" t="s">
        <v>1371</v>
      </c>
      <c r="BI151" s="1"/>
      <c r="BJ151" s="70" t="s">
        <v>1281</v>
      </c>
      <c r="BK151" s="57" t="s">
        <v>1281</v>
      </c>
      <c r="BL151" s="57" t="s">
        <v>1281</v>
      </c>
      <c r="BM151" s="57" t="s">
        <v>1281</v>
      </c>
      <c r="BN151" s="57" t="s">
        <v>1281</v>
      </c>
      <c r="BO151" s="57" t="s">
        <v>1281</v>
      </c>
      <c r="BP151" s="57" t="s">
        <v>1281</v>
      </c>
      <c r="BQ151" s="57" t="s">
        <v>1281</v>
      </c>
      <c r="BR151" s="57" t="s">
        <v>1281</v>
      </c>
      <c r="BS151" s="57" t="s">
        <v>1281</v>
      </c>
      <c r="BT151" s="57" t="s">
        <v>1281</v>
      </c>
      <c r="BU151" s="57" t="s">
        <v>1281</v>
      </c>
      <c r="BV151" s="70">
        <f t="shared" ref="BV151:BV164" si="1376">E151</f>
        <v>33</v>
      </c>
      <c r="BW151" s="71">
        <f t="shared" ref="BW151:BW164" si="1377">I151</f>
        <v>62</v>
      </c>
      <c r="BX151" s="72">
        <f t="shared" ref="BX151:BX164" si="1378">M151</f>
        <v>66</v>
      </c>
      <c r="BY151" s="71">
        <f t="shared" ref="BY151:BY164" si="1379">Q151</f>
        <v>98</v>
      </c>
      <c r="BZ151" s="72">
        <f t="shared" ref="BZ151:BZ164" si="1380">U151</f>
        <v>102</v>
      </c>
      <c r="CA151" s="71" t="str">
        <f t="shared" ref="CA151:CA164" si="1381">Y151</f>
        <v>-</v>
      </c>
      <c r="CB151" s="72">
        <f t="shared" ref="CB151:CB164" si="1382">AC151</f>
        <v>146</v>
      </c>
      <c r="CC151" s="71">
        <f t="shared" ref="CC151:CC164" si="1383">AG151</f>
        <v>191</v>
      </c>
      <c r="CD151" s="72">
        <f t="shared" ref="CD151:CD164" si="1384">AK151</f>
        <v>196</v>
      </c>
      <c r="CE151" s="71">
        <f t="shared" ref="CE151:CE164" si="1385">AO151</f>
        <v>271</v>
      </c>
      <c r="CF151" s="72">
        <f t="shared" ref="CF151:CF164" si="1386">AS151</f>
        <v>304</v>
      </c>
      <c r="CG151" s="71">
        <f t="shared" ref="CG151:CG164" si="1387">AW151</f>
        <v>329</v>
      </c>
      <c r="CH151" s="70">
        <f t="shared" ref="CH151:CH164" si="1388">G151</f>
        <v>61</v>
      </c>
      <c r="CI151" s="71">
        <f t="shared" ref="CI151:CI164" si="1389">K151</f>
        <v>65</v>
      </c>
      <c r="CJ151" s="72">
        <f t="shared" ref="CJ151:CJ164" si="1390">O151</f>
        <v>97</v>
      </c>
      <c r="CK151" s="72">
        <f t="shared" ref="CK151:CK164" si="1391">S151</f>
        <v>101</v>
      </c>
      <c r="CL151" s="72">
        <f t="shared" ref="CL151:CL164" si="1392">W151</f>
        <v>136</v>
      </c>
      <c r="CM151" s="72" t="str">
        <f t="shared" ref="CM151:CM164" si="1393">AA151</f>
        <v>-</v>
      </c>
      <c r="CN151" s="72">
        <f t="shared" ref="CN151:CN164" si="1394">AE151</f>
        <v>172</v>
      </c>
      <c r="CO151" s="72">
        <f t="shared" ref="CO151:CO164" si="1395">AI151</f>
        <v>193</v>
      </c>
      <c r="CP151" s="72">
        <f t="shared" ref="CP151:CP164" si="1396">AM151</f>
        <v>230</v>
      </c>
      <c r="CQ151" s="72">
        <f t="shared" ref="CQ151:CQ164" si="1397">AQ151</f>
        <v>299</v>
      </c>
      <c r="CR151" s="72">
        <f t="shared" ref="CR151:CR164" si="1398">AU151</f>
        <v>328</v>
      </c>
      <c r="CS151" s="72">
        <f t="shared" ref="CS151:CS164" si="1399">AY151</f>
        <v>341</v>
      </c>
      <c r="CT151" s="23">
        <f t="shared" ref="CT151:CT164" si="1400">M151-K151</f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si="1373"/>
        <v>adrb2_human_6E67</v>
      </c>
      <c r="B152" s="3" t="s">
        <v>126</v>
      </c>
      <c r="C152" s="130" t="s">
        <v>1573</v>
      </c>
      <c r="D152" s="3" t="str">
        <f>IFERROR(MID(VLOOKUP($B152,Seqs!$A:$B,2,0),E152,1),"")</f>
        <v>D</v>
      </c>
      <c r="E152" s="3">
        <v>29</v>
      </c>
      <c r="F152" s="3" t="str">
        <f>IFERROR(MID(VLOOKUP($B152,Seqs!$A:$B,2,0),G152,1),"")</f>
        <v>K</v>
      </c>
      <c r="G152" s="3">
        <v>60</v>
      </c>
      <c r="H152" s="3" t="str">
        <f>IFERROR(MID(VLOOKUP($B152,Seqs!$A:$B,2,0),I152,1),"")</f>
        <v>E</v>
      </c>
      <c r="I152" s="23">
        <v>62</v>
      </c>
      <c r="J152" s="3" t="str">
        <f>IFERROR(MID(VLOOKUP($B152,Seqs!$A:$B,2,0),K152,1),"")</f>
        <v>Q</v>
      </c>
      <c r="K152" s="23">
        <v>65</v>
      </c>
      <c r="L152" s="3" t="str">
        <f>IFERROR(MID(VLOOKUP($B152,Seqs!$A:$B,2,0),M152,1),"")</f>
        <v>T</v>
      </c>
      <c r="M152" s="3">
        <v>66</v>
      </c>
      <c r="N152" s="3" t="str">
        <f>IFERROR(MID(VLOOKUP($B152,Seqs!$A:$B,2,0),O152,1),"")</f>
        <v>K</v>
      </c>
      <c r="O152" s="3">
        <v>97</v>
      </c>
      <c r="P152" s="3" t="str">
        <f>IFERROR(MID(VLOOKUP($B152,Seqs!$A:$B,2,0),Q152,1),"")</f>
        <v>M</v>
      </c>
      <c r="Q152" s="3">
        <v>98</v>
      </c>
      <c r="R152" s="3" t="str">
        <f>IFERROR(MID(VLOOKUP($B152,Seqs!$A:$B,2,0),S152,1),"")</f>
        <v>F</v>
      </c>
      <c r="S152" s="3">
        <v>101</v>
      </c>
      <c r="T152" s="3" t="str">
        <f>IFERROR(MID(VLOOKUP($B152,Seqs!$A:$B,2,0),U152,1),"")</f>
        <v>G</v>
      </c>
      <c r="U152" s="3">
        <v>102</v>
      </c>
      <c r="V152" s="3" t="str">
        <f>IFERROR(MID(VLOOKUP($B152,Seqs!$A:$B,2,0),W152,1),"")</f>
        <v>S</v>
      </c>
      <c r="W152" s="3">
        <v>137</v>
      </c>
      <c r="X152" s="3" t="str">
        <f>IFERROR(MID(VLOOKUP($B152,Seqs!$A:$B,2,0),Y152,1),"")</f>
        <v>P</v>
      </c>
      <c r="Y152" s="3">
        <v>138</v>
      </c>
      <c r="Z152" s="3" t="str">
        <f>IFERROR(MID(VLOOKUP($B152,Seqs!$A:$B,2,0),AA152,1),"")</f>
        <v>L</v>
      </c>
      <c r="AA152" s="3">
        <v>145</v>
      </c>
      <c r="AB152" s="3" t="str">
        <f>IFERROR(MID(VLOOKUP($B152,Seqs!$A:$B,2,0),AC152,1),"")</f>
        <v>T</v>
      </c>
      <c r="AC152" s="3">
        <v>146</v>
      </c>
      <c r="AD152" s="3" t="str">
        <f>IFERROR(MID(VLOOKUP($B152,Seqs!$A:$B,2,0),AE152,1),"")</f>
        <v>H</v>
      </c>
      <c r="AE152" s="3">
        <v>172</v>
      </c>
      <c r="AF152" s="3" t="str">
        <f>IFERROR(MID(VLOOKUP($B152,Seqs!$A:$B,2,0),AG152,1),"")</f>
        <v>C</v>
      </c>
      <c r="AG152" s="3">
        <v>191</v>
      </c>
      <c r="AH152" s="3" t="str">
        <f>IFERROR(MID(VLOOKUP($B152,Seqs!$A:$B,2,0),AI152,1),"")</f>
        <v>F</v>
      </c>
      <c r="AI152" s="3">
        <v>193</v>
      </c>
      <c r="AJ152" s="3" t="str">
        <f>IFERROR(MID(VLOOKUP($B152,Seqs!$A:$B,2,0),AK152,1),"")</f>
        <v>N</v>
      </c>
      <c r="AK152" s="3">
        <v>196</v>
      </c>
      <c r="AL152" s="3" t="str">
        <f>IFERROR(MID(VLOOKUP($B152,Seqs!$A:$B,2,0),AM152,1),"")</f>
        <v>A</v>
      </c>
      <c r="AM152" s="3">
        <v>226</v>
      </c>
      <c r="AN152" s="3" t="str">
        <f>IFERROR(MID(VLOOKUP($B152,Seqs!$A:$B,2,0),AO152,1),"")</f>
        <v>E</v>
      </c>
      <c r="AO152" s="3">
        <v>268</v>
      </c>
      <c r="AP152" s="3" t="str">
        <f>IFERROR(MID(VLOOKUP($B152,Seqs!$A:$B,2,0),AQ152,1),"")</f>
        <v>Q</v>
      </c>
      <c r="AQ152" s="3">
        <v>299</v>
      </c>
      <c r="AR152" s="3" t="str">
        <f>IFERROR(MID(VLOOKUP($B152,Seqs!$A:$B,2,0),AS152,1),"")</f>
        <v>R</v>
      </c>
      <c r="AS152" s="3">
        <v>304</v>
      </c>
      <c r="AT152" s="3" t="str">
        <f>IFERROR(MID(VLOOKUP($B152,Seqs!$A:$B,2,0),AU152,1),"")</f>
        <v>P</v>
      </c>
      <c r="AU152" s="3">
        <v>323</v>
      </c>
      <c r="AV152" s="3" t="str">
        <f>IFERROR(MID(VLOOKUP($B152,Seqs!$A:$B,2,0),AW152,1),"")</f>
        <v>S</v>
      </c>
      <c r="AW152" s="3">
        <v>329</v>
      </c>
      <c r="AX152" s="3" t="str">
        <f>IFERROR(MID(VLOOKUP($B152,Seqs!$A:$B,2,0),AY152,1),"")</f>
        <v>L</v>
      </c>
      <c r="AY152" s="3">
        <v>340</v>
      </c>
      <c r="AZ152" s="77" t="str">
        <f>VLOOKUP(B152,Classification!A:D,2,0)</f>
        <v>A</v>
      </c>
      <c r="BA152" s="94" t="str">
        <f>VLOOKUP(B152,Classification!A:D,4,0)</f>
        <v>Adrenoceptors</v>
      </c>
      <c r="BB152" s="27" t="b">
        <f t="shared" si="1374"/>
        <v>1</v>
      </c>
      <c r="BC152" s="23">
        <f t="shared" si="1375"/>
        <v>241</v>
      </c>
      <c r="BD152" s="74" t="s">
        <v>23</v>
      </c>
      <c r="BE152" s="3" t="s">
        <v>1285</v>
      </c>
      <c r="BF152" s="118">
        <v>3.7</v>
      </c>
      <c r="BG152" s="49" t="s">
        <v>1275</v>
      </c>
      <c r="BH152" s="49" t="s">
        <v>1275</v>
      </c>
      <c r="BI152" s="1"/>
      <c r="BJ152" s="70" t="s">
        <v>1281</v>
      </c>
      <c r="BK152" s="57" t="s">
        <v>1281</v>
      </c>
      <c r="BL152" s="57" t="s">
        <v>1281</v>
      </c>
      <c r="BM152" s="57" t="s">
        <v>1281</v>
      </c>
      <c r="BN152" s="57" t="s">
        <v>1281</v>
      </c>
      <c r="BO152" s="57" t="s">
        <v>1281</v>
      </c>
      <c r="BP152" s="57" t="s">
        <v>1281</v>
      </c>
      <c r="BQ152" s="57" t="s">
        <v>1281</v>
      </c>
      <c r="BR152" s="57" t="s">
        <v>1281</v>
      </c>
      <c r="BS152" s="57" t="s">
        <v>1281</v>
      </c>
      <c r="BT152" s="57" t="s">
        <v>1281</v>
      </c>
      <c r="BU152" s="57" t="s">
        <v>1281</v>
      </c>
      <c r="BV152" s="70">
        <f t="shared" si="1376"/>
        <v>29</v>
      </c>
      <c r="BW152" s="71">
        <f t="shared" si="1377"/>
        <v>62</v>
      </c>
      <c r="BX152" s="72">
        <f t="shared" si="1378"/>
        <v>66</v>
      </c>
      <c r="BY152" s="71">
        <f t="shared" si="1379"/>
        <v>98</v>
      </c>
      <c r="BZ152" s="72">
        <f t="shared" si="1380"/>
        <v>102</v>
      </c>
      <c r="CA152" s="71">
        <f t="shared" si="1381"/>
        <v>138</v>
      </c>
      <c r="CB152" s="72">
        <f t="shared" si="1382"/>
        <v>146</v>
      </c>
      <c r="CC152" s="71">
        <f t="shared" si="1383"/>
        <v>191</v>
      </c>
      <c r="CD152" s="72">
        <f t="shared" si="1384"/>
        <v>196</v>
      </c>
      <c r="CE152" s="71">
        <f t="shared" si="1385"/>
        <v>268</v>
      </c>
      <c r="CF152" s="72">
        <f t="shared" si="1386"/>
        <v>304</v>
      </c>
      <c r="CG152" s="71">
        <f t="shared" si="1387"/>
        <v>329</v>
      </c>
      <c r="CH152" s="70">
        <f t="shared" si="1388"/>
        <v>60</v>
      </c>
      <c r="CI152" s="71">
        <f t="shared" si="1389"/>
        <v>65</v>
      </c>
      <c r="CJ152" s="72">
        <f t="shared" si="1390"/>
        <v>97</v>
      </c>
      <c r="CK152" s="72">
        <f t="shared" si="1391"/>
        <v>101</v>
      </c>
      <c r="CL152" s="72">
        <f t="shared" si="1392"/>
        <v>137</v>
      </c>
      <c r="CM152" s="72">
        <f t="shared" si="1393"/>
        <v>145</v>
      </c>
      <c r="CN152" s="72">
        <f t="shared" si="1394"/>
        <v>172</v>
      </c>
      <c r="CO152" s="72">
        <f t="shared" si="1395"/>
        <v>193</v>
      </c>
      <c r="CP152" s="72">
        <f t="shared" si="1396"/>
        <v>226</v>
      </c>
      <c r="CQ152" s="72">
        <f t="shared" si="1397"/>
        <v>299</v>
      </c>
      <c r="CR152" s="72">
        <f t="shared" si="1398"/>
        <v>323</v>
      </c>
      <c r="CS152" s="72">
        <f t="shared" si="1399"/>
        <v>340</v>
      </c>
      <c r="CT152" s="23">
        <f t="shared" si="140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1373"/>
        <v>adrb2_human_6MXT</v>
      </c>
      <c r="B153" s="3" t="s">
        <v>126</v>
      </c>
      <c r="C153" s="3" t="s">
        <v>1520</v>
      </c>
      <c r="D153" s="3" t="str">
        <f>IFERROR(MID(VLOOKUP($B153,Seqs!$A:$B,2,0),E153,1),"")</f>
        <v/>
      </c>
      <c r="E153" s="3">
        <v>1029</v>
      </c>
      <c r="F153" s="3" t="str">
        <f>IFERROR(MID(VLOOKUP($B153,Seqs!$A:$B,2,0),G153,1),"")</f>
        <v/>
      </c>
      <c r="G153" s="3">
        <v>1061</v>
      </c>
      <c r="H153" s="3" t="str">
        <f>IFERROR(MID(VLOOKUP($B153,Seqs!$A:$B,2,0),I153,1),"")</f>
        <v/>
      </c>
      <c r="I153" s="23">
        <v>1062</v>
      </c>
      <c r="J153" s="3" t="str">
        <f>IFERROR(MID(VLOOKUP($B153,Seqs!$A:$B,2,0),K153,1),"")</f>
        <v/>
      </c>
      <c r="K153" s="23">
        <v>1065</v>
      </c>
      <c r="L153" s="3" t="str">
        <f>IFERROR(MID(VLOOKUP($B153,Seqs!$A:$B,2,0),M153,1),"")</f>
        <v/>
      </c>
      <c r="M153" s="3">
        <v>1066</v>
      </c>
      <c r="N153" s="3" t="str">
        <f>IFERROR(MID(VLOOKUP($B153,Seqs!$A:$B,2,0),O153,1),"")</f>
        <v/>
      </c>
      <c r="O153" s="3">
        <v>1096</v>
      </c>
      <c r="P153" s="3" t="str">
        <f>IFERROR(MID(VLOOKUP($B153,Seqs!$A:$B,2,0),Q153,1),"")</f>
        <v/>
      </c>
      <c r="Q153" s="3">
        <v>1098</v>
      </c>
      <c r="R153" s="3" t="str">
        <f>IFERROR(MID(VLOOKUP($B153,Seqs!$A:$B,2,0),S153,1),"")</f>
        <v/>
      </c>
      <c r="S153" s="3">
        <v>1101</v>
      </c>
      <c r="T153" s="3" t="str">
        <f>IFERROR(MID(VLOOKUP($B153,Seqs!$A:$B,2,0),U153,1),"")</f>
        <v/>
      </c>
      <c r="U153" s="3">
        <v>1102</v>
      </c>
      <c r="V153" s="3" t="str">
        <f>IFERROR(MID(VLOOKUP($B153,Seqs!$A:$B,2,0),W153,1),"")</f>
        <v/>
      </c>
      <c r="W153" s="3">
        <v>1137</v>
      </c>
      <c r="X153" s="3" t="str">
        <f>IFERROR(MID(VLOOKUP($B153,Seqs!$A:$B,2,0),Y153,1),"")</f>
        <v/>
      </c>
      <c r="Y153" s="3">
        <v>1138</v>
      </c>
      <c r="Z153" s="3" t="str">
        <f>IFERROR(MID(VLOOKUP($B153,Seqs!$A:$B,2,0),AA153,1),"")</f>
        <v/>
      </c>
      <c r="AA153" s="3">
        <v>1145</v>
      </c>
      <c r="AB153" s="3" t="str">
        <f>IFERROR(MID(VLOOKUP($B153,Seqs!$A:$B,2,0),AC153,1),"")</f>
        <v/>
      </c>
      <c r="AC153" s="3">
        <v>1146</v>
      </c>
      <c r="AD153" s="3" t="str">
        <f>IFERROR(MID(VLOOKUP($B153,Seqs!$A:$B,2,0),AE153,1),"")</f>
        <v/>
      </c>
      <c r="AE153" s="3">
        <v>1172</v>
      </c>
      <c r="AF153" s="3" t="str">
        <f>IFERROR(MID(VLOOKUP($B153,Seqs!$A:$B,2,0),AG153,1),"")</f>
        <v/>
      </c>
      <c r="AG153" s="3">
        <v>1191</v>
      </c>
      <c r="AH153" s="3" t="str">
        <f>IFERROR(MID(VLOOKUP($B153,Seqs!$A:$B,2,0),AI153,1),"")</f>
        <v/>
      </c>
      <c r="AI153" s="3">
        <v>1193</v>
      </c>
      <c r="AJ153" s="3" t="str">
        <f>IFERROR(MID(VLOOKUP($B153,Seqs!$A:$B,2,0),AK153,1),"")</f>
        <v/>
      </c>
      <c r="AK153" s="3">
        <v>1196</v>
      </c>
      <c r="AL153" s="3" t="str">
        <f>IFERROR(MID(VLOOKUP($B153,Seqs!$A:$B,2,0),AM153,1),"")</f>
        <v/>
      </c>
      <c r="AM153" s="3">
        <v>1232</v>
      </c>
      <c r="AN153" s="3" t="str">
        <f>IFERROR(MID(VLOOKUP($B153,Seqs!$A:$B,2,0),AO153,1),"")</f>
        <v/>
      </c>
      <c r="AO153" s="3">
        <v>1265</v>
      </c>
      <c r="AP153" s="3" t="str">
        <f>IFERROR(MID(VLOOKUP($B153,Seqs!$A:$B,2,0),AQ153,1),"")</f>
        <v/>
      </c>
      <c r="AQ153" s="3">
        <v>1299</v>
      </c>
      <c r="AR153" s="3" t="str">
        <f>IFERROR(MID(VLOOKUP($B153,Seqs!$A:$B,2,0),AS153,1),"")</f>
        <v/>
      </c>
      <c r="AS153" s="3">
        <v>1304</v>
      </c>
      <c r="AT153" s="3" t="str">
        <f>IFERROR(MID(VLOOKUP($B153,Seqs!$A:$B,2,0),AU153,1),"")</f>
        <v/>
      </c>
      <c r="AU153" s="3">
        <v>1323</v>
      </c>
      <c r="AV153" s="3" t="str">
        <f>IFERROR(MID(VLOOKUP($B153,Seqs!$A:$B,2,0),AW153,1),"")</f>
        <v/>
      </c>
      <c r="AW153" s="3">
        <v>1329</v>
      </c>
      <c r="AX153" s="3" t="str">
        <f>IFERROR(MID(VLOOKUP($B153,Seqs!$A:$B,2,0),AY153,1),"")</f>
        <v/>
      </c>
      <c r="AY153" s="3">
        <v>1342</v>
      </c>
      <c r="AZ153" s="77" t="str">
        <f>VLOOKUP(B153,Classification!A:D,2,0)</f>
        <v>A</v>
      </c>
      <c r="BA153" s="94" t="str">
        <f>VLOOKUP(B153,Classification!A:D,4,0)</f>
        <v>Adrenoceptors</v>
      </c>
      <c r="BB153" s="27" t="b">
        <f t="shared" si="1374"/>
        <v>1</v>
      </c>
      <c r="BC153" s="23">
        <f t="shared" si="1375"/>
        <v>252</v>
      </c>
      <c r="BD153" s="74" t="s">
        <v>23</v>
      </c>
      <c r="BE153" s="3" t="s">
        <v>1285</v>
      </c>
      <c r="BF153" s="118">
        <v>2.96</v>
      </c>
      <c r="BG153" s="49" t="s">
        <v>1</v>
      </c>
      <c r="BH153" s="49" t="s">
        <v>1</v>
      </c>
      <c r="BI153" s="1"/>
      <c r="BJ153" s="70" t="s">
        <v>1281</v>
      </c>
      <c r="BK153" s="57" t="s">
        <v>1281</v>
      </c>
      <c r="BL153" s="57" t="s">
        <v>1281</v>
      </c>
      <c r="BM153" s="57" t="s">
        <v>1281</v>
      </c>
      <c r="BN153" s="57" t="s">
        <v>1281</v>
      </c>
      <c r="BO153" s="57" t="s">
        <v>1281</v>
      </c>
      <c r="BP153" s="57" t="s">
        <v>1281</v>
      </c>
      <c r="BQ153" s="57" t="s">
        <v>1281</v>
      </c>
      <c r="BR153" s="57" t="s">
        <v>1281</v>
      </c>
      <c r="BS153" s="57" t="s">
        <v>1281</v>
      </c>
      <c r="BT153" s="57" t="s">
        <v>1281</v>
      </c>
      <c r="BU153" s="57" t="s">
        <v>1281</v>
      </c>
      <c r="BV153" s="70">
        <f t="shared" si="1376"/>
        <v>1029</v>
      </c>
      <c r="BW153" s="71">
        <f t="shared" si="1377"/>
        <v>1062</v>
      </c>
      <c r="BX153" s="72">
        <f t="shared" si="1378"/>
        <v>1066</v>
      </c>
      <c r="BY153" s="71">
        <f t="shared" si="1379"/>
        <v>1098</v>
      </c>
      <c r="BZ153" s="72">
        <f t="shared" si="1380"/>
        <v>1102</v>
      </c>
      <c r="CA153" s="71">
        <f t="shared" si="1381"/>
        <v>1138</v>
      </c>
      <c r="CB153" s="72">
        <f t="shared" si="1382"/>
        <v>1146</v>
      </c>
      <c r="CC153" s="71">
        <f t="shared" si="1383"/>
        <v>1191</v>
      </c>
      <c r="CD153" s="72">
        <f t="shared" si="1384"/>
        <v>1196</v>
      </c>
      <c r="CE153" s="71">
        <f t="shared" si="1385"/>
        <v>1265</v>
      </c>
      <c r="CF153" s="72">
        <f t="shared" si="1386"/>
        <v>1304</v>
      </c>
      <c r="CG153" s="71">
        <f t="shared" si="1387"/>
        <v>1329</v>
      </c>
      <c r="CH153" s="70">
        <f t="shared" si="1388"/>
        <v>1061</v>
      </c>
      <c r="CI153" s="71">
        <f t="shared" si="1389"/>
        <v>1065</v>
      </c>
      <c r="CJ153" s="72">
        <f t="shared" si="1390"/>
        <v>1096</v>
      </c>
      <c r="CK153" s="72">
        <f t="shared" si="1391"/>
        <v>1101</v>
      </c>
      <c r="CL153" s="72">
        <f t="shared" si="1392"/>
        <v>1137</v>
      </c>
      <c r="CM153" s="72">
        <f t="shared" si="1393"/>
        <v>1145</v>
      </c>
      <c r="CN153" s="72">
        <f t="shared" si="1394"/>
        <v>1172</v>
      </c>
      <c r="CO153" s="72">
        <f t="shared" si="1395"/>
        <v>1193</v>
      </c>
      <c r="CP153" s="72">
        <f t="shared" si="1396"/>
        <v>1232</v>
      </c>
      <c r="CQ153" s="72">
        <f t="shared" si="1397"/>
        <v>1299</v>
      </c>
      <c r="CR153" s="72">
        <f t="shared" si="1398"/>
        <v>1323</v>
      </c>
      <c r="CS153" s="72">
        <f t="shared" si="1399"/>
        <v>1342</v>
      </c>
      <c r="CT153" s="23">
        <f t="shared" si="1400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1373"/>
        <v>adrb2_human_6N48</v>
      </c>
      <c r="B154" s="3" t="s">
        <v>126</v>
      </c>
      <c r="C154" s="3" t="s">
        <v>1575</v>
      </c>
      <c r="D154" s="3" t="str">
        <f>IFERROR(MID(VLOOKUP($B154,Seqs!$A:$B,2,0),E154,1),"")</f>
        <v/>
      </c>
      <c r="E154" s="3">
        <v>1026</v>
      </c>
      <c r="F154" s="3" t="str">
        <f>IFERROR(MID(VLOOKUP($B154,Seqs!$A:$B,2,0),G154,1),"")</f>
        <v/>
      </c>
      <c r="G154" s="3">
        <v>1061</v>
      </c>
      <c r="H154" s="3" t="str">
        <f>IFERROR(MID(VLOOKUP($B154,Seqs!$A:$B,2,0),I154,1),"")</f>
        <v/>
      </c>
      <c r="I154" s="23">
        <v>1062</v>
      </c>
      <c r="J154" s="3" t="str">
        <f>IFERROR(MID(VLOOKUP($B154,Seqs!$A:$B,2,0),K154,1),"")</f>
        <v/>
      </c>
      <c r="K154" s="23">
        <v>1065</v>
      </c>
      <c r="L154" s="3" t="str">
        <f>IFERROR(MID(VLOOKUP($B154,Seqs!$A:$B,2,0),M154,1),"")</f>
        <v/>
      </c>
      <c r="M154" s="3">
        <v>1066</v>
      </c>
      <c r="N154" s="3" t="str">
        <f>IFERROR(MID(VLOOKUP($B154,Seqs!$A:$B,2,0),O154,1),"")</f>
        <v/>
      </c>
      <c r="O154" s="3">
        <v>1097</v>
      </c>
      <c r="P154" s="3" t="str">
        <f>IFERROR(MID(VLOOKUP($B154,Seqs!$A:$B,2,0),Q154,1),"")</f>
        <v/>
      </c>
      <c r="Q154" s="3">
        <v>1098</v>
      </c>
      <c r="R154" s="3" t="str">
        <f>IFERROR(MID(VLOOKUP($B154,Seqs!$A:$B,2,0),S154,1),"")</f>
        <v/>
      </c>
      <c r="S154" s="3">
        <v>1101</v>
      </c>
      <c r="T154" s="3" t="str">
        <f>IFERROR(MID(VLOOKUP($B154,Seqs!$A:$B,2,0),U154,1),"")</f>
        <v/>
      </c>
      <c r="U154" s="3">
        <v>1102</v>
      </c>
      <c r="V154" s="3" t="str">
        <f>IFERROR(MID(VLOOKUP($B154,Seqs!$A:$B,2,0),W154,1),"")</f>
        <v/>
      </c>
      <c r="W154" s="3">
        <v>1137</v>
      </c>
      <c r="X154" s="3" t="str">
        <f>IFERROR(MID(VLOOKUP($B154,Seqs!$A:$B,2,0),Y154,1),"")</f>
        <v/>
      </c>
      <c r="Y154" s="3">
        <v>1138</v>
      </c>
      <c r="Z154" s="3" t="str">
        <f>IFERROR(MID(VLOOKUP($B154,Seqs!$A:$B,2,0),AA154,1),"")</f>
        <v/>
      </c>
      <c r="AA154" s="3">
        <v>1145</v>
      </c>
      <c r="AB154" s="3" t="str">
        <f>IFERROR(MID(VLOOKUP($B154,Seqs!$A:$B,2,0),AC154,1),"")</f>
        <v/>
      </c>
      <c r="AC154" s="3">
        <v>1146</v>
      </c>
      <c r="AD154" s="3" t="str">
        <f>IFERROR(MID(VLOOKUP($B154,Seqs!$A:$B,2,0),AE154,1),"")</f>
        <v/>
      </c>
      <c r="AE154" s="3">
        <v>1172</v>
      </c>
      <c r="AF154" s="3" t="str">
        <f>IFERROR(MID(VLOOKUP($B154,Seqs!$A:$B,2,0),AG154,1),"")</f>
        <v/>
      </c>
      <c r="AG154" s="3">
        <v>1191</v>
      </c>
      <c r="AH154" s="3" t="str">
        <f>IFERROR(MID(VLOOKUP($B154,Seqs!$A:$B,2,0),AI154,1),"")</f>
        <v/>
      </c>
      <c r="AI154" s="3">
        <v>1193</v>
      </c>
      <c r="AJ154" s="3" t="str">
        <f>IFERROR(MID(VLOOKUP($B154,Seqs!$A:$B,2,0),AK154,1),"")</f>
        <v/>
      </c>
      <c r="AK154" s="3">
        <v>1196</v>
      </c>
      <c r="AL154" s="3" t="str">
        <f>IFERROR(MID(VLOOKUP($B154,Seqs!$A:$B,2,0),AM154,1),"")</f>
        <v/>
      </c>
      <c r="AM154" s="3">
        <v>1226</v>
      </c>
      <c r="AN154" s="3" t="str">
        <f>IFERROR(MID(VLOOKUP($B154,Seqs!$A:$B,2,0),AO154,1),"")</f>
        <v/>
      </c>
      <c r="AO154" s="3">
        <v>1265</v>
      </c>
      <c r="AP154" s="3" t="str">
        <f>IFERROR(MID(VLOOKUP($B154,Seqs!$A:$B,2,0),AQ154,1),"")</f>
        <v/>
      </c>
      <c r="AQ154" s="3">
        <v>1299</v>
      </c>
      <c r="AR154" s="3" t="str">
        <f>IFERROR(MID(VLOOKUP($B154,Seqs!$A:$B,2,0),AS154,1),"")</f>
        <v/>
      </c>
      <c r="AS154" s="3">
        <v>1304</v>
      </c>
      <c r="AT154" s="3" t="str">
        <f>IFERROR(MID(VLOOKUP($B154,Seqs!$A:$B,2,0),AU154,1),"")</f>
        <v/>
      </c>
      <c r="AU154" s="3">
        <v>1322</v>
      </c>
      <c r="AV154" s="3" t="str">
        <f>IFERROR(MID(VLOOKUP($B154,Seqs!$A:$B,2,0),AW154,1),"")</f>
        <v/>
      </c>
      <c r="AW154" s="3">
        <v>1329</v>
      </c>
      <c r="AX154" s="3" t="str">
        <f>IFERROR(MID(VLOOKUP($B154,Seqs!$A:$B,2,0),AY154,1),"")</f>
        <v/>
      </c>
      <c r="AY154" s="3">
        <v>1340</v>
      </c>
      <c r="AZ154" s="77" t="str">
        <f>VLOOKUP(B154,Classification!A:D,2,0)</f>
        <v>A</v>
      </c>
      <c r="BA154" s="94" t="str">
        <f>VLOOKUP(B154,Classification!A:D,4,0)</f>
        <v>Adrenoceptors</v>
      </c>
      <c r="BB154" s="27" t="b">
        <f t="shared" si="1374"/>
        <v>1</v>
      </c>
      <c r="BC154" s="23">
        <f t="shared" si="1375"/>
        <v>247</v>
      </c>
      <c r="BD154" s="74" t="s">
        <v>23</v>
      </c>
      <c r="BE154" s="3" t="s">
        <v>1285</v>
      </c>
      <c r="BF154" s="118">
        <v>3.2</v>
      </c>
      <c r="BG154" s="49" t="s">
        <v>1</v>
      </c>
      <c r="BH154" s="49" t="s">
        <v>1</v>
      </c>
      <c r="BI154" s="1"/>
      <c r="BJ154" s="70" t="s">
        <v>1281</v>
      </c>
      <c r="BK154" s="57" t="s">
        <v>1281</v>
      </c>
      <c r="BL154" s="57" t="s">
        <v>1281</v>
      </c>
      <c r="BM154" s="57" t="s">
        <v>1281</v>
      </c>
      <c r="BN154" s="57" t="s">
        <v>1281</v>
      </c>
      <c r="BO154" s="57" t="s">
        <v>1281</v>
      </c>
      <c r="BP154" s="57" t="s">
        <v>1281</v>
      </c>
      <c r="BQ154" s="57" t="s">
        <v>1281</v>
      </c>
      <c r="BR154" s="57" t="s">
        <v>1281</v>
      </c>
      <c r="BS154" s="57" t="s">
        <v>1281</v>
      </c>
      <c r="BT154" s="57" t="s">
        <v>1281</v>
      </c>
      <c r="BU154" s="57" t="s">
        <v>1281</v>
      </c>
      <c r="BV154" s="70">
        <f t="shared" si="1376"/>
        <v>1026</v>
      </c>
      <c r="BW154" s="71">
        <f t="shared" si="1377"/>
        <v>1062</v>
      </c>
      <c r="BX154" s="72">
        <f t="shared" si="1378"/>
        <v>1066</v>
      </c>
      <c r="BY154" s="71">
        <f t="shared" si="1379"/>
        <v>1098</v>
      </c>
      <c r="BZ154" s="72">
        <f t="shared" si="1380"/>
        <v>1102</v>
      </c>
      <c r="CA154" s="71">
        <f t="shared" si="1381"/>
        <v>1138</v>
      </c>
      <c r="CB154" s="72">
        <f t="shared" si="1382"/>
        <v>1146</v>
      </c>
      <c r="CC154" s="71">
        <f t="shared" si="1383"/>
        <v>1191</v>
      </c>
      <c r="CD154" s="72">
        <f t="shared" si="1384"/>
        <v>1196</v>
      </c>
      <c r="CE154" s="71">
        <f t="shared" si="1385"/>
        <v>1265</v>
      </c>
      <c r="CF154" s="72">
        <f t="shared" si="1386"/>
        <v>1304</v>
      </c>
      <c r="CG154" s="71">
        <f t="shared" si="1387"/>
        <v>1329</v>
      </c>
      <c r="CH154" s="70">
        <f t="shared" si="1388"/>
        <v>1061</v>
      </c>
      <c r="CI154" s="71">
        <f t="shared" si="1389"/>
        <v>1065</v>
      </c>
      <c r="CJ154" s="72">
        <f t="shared" si="1390"/>
        <v>1097</v>
      </c>
      <c r="CK154" s="72">
        <f t="shared" si="1391"/>
        <v>1101</v>
      </c>
      <c r="CL154" s="72">
        <f t="shared" si="1392"/>
        <v>1137</v>
      </c>
      <c r="CM154" s="72">
        <f t="shared" si="1393"/>
        <v>1145</v>
      </c>
      <c r="CN154" s="72">
        <f t="shared" si="1394"/>
        <v>1172</v>
      </c>
      <c r="CO154" s="72">
        <f t="shared" si="1395"/>
        <v>1193</v>
      </c>
      <c r="CP154" s="72">
        <f t="shared" si="1396"/>
        <v>1226</v>
      </c>
      <c r="CQ154" s="72">
        <f t="shared" si="1397"/>
        <v>1299</v>
      </c>
      <c r="CR154" s="72">
        <f t="shared" si="1398"/>
        <v>1322</v>
      </c>
      <c r="CS154" s="72">
        <f t="shared" si="1399"/>
        <v>1340</v>
      </c>
      <c r="CT154" s="23">
        <f t="shared" si="1400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>CONCATENATE(B155,"_",C155)</f>
        <v>adrb2_human_6OBA</v>
      </c>
      <c r="B155" s="3" t="s">
        <v>126</v>
      </c>
      <c r="C155" s="3" t="s">
        <v>1652</v>
      </c>
      <c r="D155" s="3" t="str">
        <f>IFERROR(MID(VLOOKUP($B155,Seqs!$A:$B,2,0),E155,1),"")</f>
        <v>W</v>
      </c>
      <c r="E155" s="3">
        <v>32</v>
      </c>
      <c r="F155" s="3" t="str">
        <f>IFERROR(MID(VLOOKUP($B155,Seqs!$A:$B,2,0),G155,1),"")</f>
        <v>F</v>
      </c>
      <c r="G155" s="3">
        <v>61</v>
      </c>
      <c r="H155" s="3" t="str">
        <f>IFERROR(MID(VLOOKUP($B155,Seqs!$A:$B,2,0),I155,1),"")</f>
        <v>E</v>
      </c>
      <c r="I155" s="23">
        <v>62</v>
      </c>
      <c r="J155" s="3" t="str">
        <f>IFERROR(MID(VLOOKUP($B155,Seqs!$A:$B,2,0),K155,1),"")</f>
        <v>Q</v>
      </c>
      <c r="K155" s="23">
        <v>65</v>
      </c>
      <c r="L155" s="3" t="str">
        <f>IFERROR(MID(VLOOKUP($B155,Seqs!$A:$B,2,0),M155,1),"")</f>
        <v>T</v>
      </c>
      <c r="M155" s="3">
        <v>66</v>
      </c>
      <c r="N155" s="3" t="str">
        <f>IFERROR(MID(VLOOKUP($B155,Seqs!$A:$B,2,0),O155,1),"")</f>
        <v>K</v>
      </c>
      <c r="O155" s="3">
        <v>97</v>
      </c>
      <c r="P155" s="3" t="str">
        <f>IFERROR(MID(VLOOKUP($B155,Seqs!$A:$B,2,0),Q155,1),"")</f>
        <v>M</v>
      </c>
      <c r="Q155" s="3">
        <v>98</v>
      </c>
      <c r="R155" s="3" t="str">
        <f>IFERROR(MID(VLOOKUP($B155,Seqs!$A:$B,2,0),S155,1),"")</f>
        <v>F</v>
      </c>
      <c r="S155" s="3">
        <v>101</v>
      </c>
      <c r="T155" s="3" t="str">
        <f>IFERROR(MID(VLOOKUP($B155,Seqs!$A:$B,2,0),U155,1),"")</f>
        <v>G</v>
      </c>
      <c r="U155" s="3">
        <v>102</v>
      </c>
      <c r="V155" s="3" t="str">
        <f>IFERROR(MID(VLOOKUP($B155,Seqs!$A:$B,2,0),W155,1),"")</f>
        <v>S</v>
      </c>
      <c r="W155" s="3">
        <v>137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T</v>
      </c>
      <c r="AC155" s="3">
        <v>146</v>
      </c>
      <c r="AD155" s="3" t="str">
        <f>IFERROR(MID(VLOOKUP($B155,Seqs!$A:$B,2,0),AE155,1),"")</f>
        <v>H</v>
      </c>
      <c r="AE155" s="3">
        <v>172</v>
      </c>
      <c r="AF155" s="3" t="str">
        <f>IFERROR(MID(VLOOKUP($B155,Seqs!$A:$B,2,0),AG155,1),"")</f>
        <v>C</v>
      </c>
      <c r="AG155" s="3">
        <v>191</v>
      </c>
      <c r="AH155" s="3" t="str">
        <f>IFERROR(MID(VLOOKUP($B155,Seqs!$A:$B,2,0),AI155,1),"")</f>
        <v>F</v>
      </c>
      <c r="AI155" s="3">
        <v>193</v>
      </c>
      <c r="AJ155" s="3" t="str">
        <f>IFERROR(MID(VLOOKUP($B155,Seqs!$A:$B,2,0),AK155,1),"")</f>
        <v>N</v>
      </c>
      <c r="AK155" s="3">
        <v>196</v>
      </c>
      <c r="AL155" s="3" t="str">
        <f>IFERROR(MID(VLOOKUP($B155,Seqs!$A:$B,2,0),AM155,1),"")</f>
        <v>Q</v>
      </c>
      <c r="AM155" s="3">
        <v>229</v>
      </c>
      <c r="AN155" s="3" t="str">
        <f>IFERROR(MID(VLOOKUP($B155,Seqs!$A:$B,2,0),AO155,1),"")</f>
        <v>L</v>
      </c>
      <c r="AO155" s="3">
        <v>266</v>
      </c>
      <c r="AP155" s="3" t="str">
        <f>IFERROR(MID(VLOOKUP($B155,Seqs!$A:$B,2,0),AQ155,1),"")</f>
        <v>D</v>
      </c>
      <c r="AQ155" s="3">
        <v>300</v>
      </c>
      <c r="AR155" s="3" t="str">
        <f>IFERROR(MID(VLOOKUP($B155,Seqs!$A:$B,2,0),AS155,1),"")</f>
        <v>R</v>
      </c>
      <c r="AS155" s="3">
        <v>304</v>
      </c>
      <c r="AT155" s="3" t="str">
        <f>IFERROR(MID(VLOOKUP($B155,Seqs!$A:$B,2,0),AU155,1),"")</f>
        <v>R</v>
      </c>
      <c r="AU155" s="3">
        <v>328</v>
      </c>
      <c r="AV155" s="3" t="str">
        <f>IFERROR(MID(VLOOKUP($B155,Seqs!$A:$B,2,0),AW155,1),"")</f>
        <v>S</v>
      </c>
      <c r="AW155" s="3">
        <v>329</v>
      </c>
      <c r="AX155" s="3" t="str">
        <f>IFERROR(MID(VLOOKUP($B155,Seqs!$A:$B,2,0),AY155,1),"")</f>
        <v>C</v>
      </c>
      <c r="AY155" s="3">
        <v>341</v>
      </c>
      <c r="AZ155" s="77" t="str">
        <f>VLOOKUP(B155,Classification!A:D,2,0)</f>
        <v>A</v>
      </c>
      <c r="BA155" s="94" t="str">
        <f>VLOOKUP(B155,Classification!A:D,4,0)</f>
        <v>Adrenoceptors</v>
      </c>
      <c r="BB155" s="27" t="b">
        <f t="shared" ref="BB155" si="1401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23">
        <f t="shared" ref="BC155" si="1402">_xlfn.AGGREGATE(9,6,CH155:CS155)-_xlfn.AGGREGATE(9,6,BV155:CG155)+12</f>
        <v>244</v>
      </c>
      <c r="BD155" s="74" t="s">
        <v>23</v>
      </c>
      <c r="BE155" s="3" t="s">
        <v>1368</v>
      </c>
      <c r="BF155" s="118">
        <v>3.1</v>
      </c>
      <c r="BG155" s="49" t="s">
        <v>1</v>
      </c>
      <c r="BH155" s="49" t="s">
        <v>1</v>
      </c>
      <c r="BI155" s="1"/>
      <c r="BJ155" s="70" t="s">
        <v>1281</v>
      </c>
      <c r="BK155" s="57" t="s">
        <v>1281</v>
      </c>
      <c r="BL155" s="57" t="s">
        <v>1281</v>
      </c>
      <c r="BM155" s="57" t="s">
        <v>1281</v>
      </c>
      <c r="BN155" s="57" t="s">
        <v>1281</v>
      </c>
      <c r="BO155" s="57" t="s">
        <v>1281</v>
      </c>
      <c r="BP155" s="57" t="s">
        <v>1281</v>
      </c>
      <c r="BQ155" s="57" t="s">
        <v>1281</v>
      </c>
      <c r="BR155" s="57" t="s">
        <v>1281</v>
      </c>
      <c r="BS155" s="57" t="s">
        <v>1281</v>
      </c>
      <c r="BT155" s="57" t="s">
        <v>1281</v>
      </c>
      <c r="BU155" s="57" t="s">
        <v>1281</v>
      </c>
      <c r="BV155" s="70">
        <f t="shared" ref="BV155" si="1403">E155</f>
        <v>32</v>
      </c>
      <c r="BW155" s="71">
        <f t="shared" ref="BW155" si="1404">I155</f>
        <v>62</v>
      </c>
      <c r="BX155" s="72">
        <f t="shared" ref="BX155" si="1405">M155</f>
        <v>66</v>
      </c>
      <c r="BY155" s="71">
        <f t="shared" ref="BY155" si="1406">Q155</f>
        <v>98</v>
      </c>
      <c r="BZ155" s="72">
        <f t="shared" ref="BZ155" si="1407">U155</f>
        <v>102</v>
      </c>
      <c r="CA155" s="71" t="str">
        <f t="shared" ref="CA155" si="1408">Y155</f>
        <v>-</v>
      </c>
      <c r="CB155" s="72">
        <f t="shared" ref="CB155" si="1409">AC155</f>
        <v>146</v>
      </c>
      <c r="CC155" s="71">
        <f t="shared" ref="CC155" si="1410">AG155</f>
        <v>191</v>
      </c>
      <c r="CD155" s="72">
        <f t="shared" ref="CD155" si="1411">AK155</f>
        <v>196</v>
      </c>
      <c r="CE155" s="71">
        <f t="shared" ref="CE155" si="1412">AO155</f>
        <v>266</v>
      </c>
      <c r="CF155" s="72">
        <f t="shared" ref="CF155" si="1413">AS155</f>
        <v>304</v>
      </c>
      <c r="CG155" s="71">
        <f t="shared" ref="CG155" si="1414">AW155</f>
        <v>329</v>
      </c>
      <c r="CH155" s="70">
        <f t="shared" ref="CH155" si="1415">G155</f>
        <v>61</v>
      </c>
      <c r="CI155" s="71">
        <f t="shared" ref="CI155" si="1416">K155</f>
        <v>65</v>
      </c>
      <c r="CJ155" s="72">
        <f t="shared" ref="CJ155" si="1417">O155</f>
        <v>97</v>
      </c>
      <c r="CK155" s="72">
        <f t="shared" ref="CK155" si="1418">S155</f>
        <v>101</v>
      </c>
      <c r="CL155" s="72">
        <f t="shared" ref="CL155" si="1419">W155</f>
        <v>137</v>
      </c>
      <c r="CM155" s="72" t="str">
        <f t="shared" ref="CM155" si="1420">AA155</f>
        <v>-</v>
      </c>
      <c r="CN155" s="72">
        <f t="shared" ref="CN155" si="1421">AE155</f>
        <v>172</v>
      </c>
      <c r="CO155" s="72">
        <f t="shared" ref="CO155" si="1422">AI155</f>
        <v>193</v>
      </c>
      <c r="CP155" s="72">
        <f t="shared" ref="CP155" si="1423">AM155</f>
        <v>229</v>
      </c>
      <c r="CQ155" s="72">
        <f t="shared" ref="CQ155" si="1424">AQ155</f>
        <v>300</v>
      </c>
      <c r="CR155" s="72">
        <f t="shared" ref="CR155" si="1425">AU155</f>
        <v>328</v>
      </c>
      <c r="CS155" s="72">
        <f t="shared" ref="CS155" si="1426">AY155</f>
        <v>341</v>
      </c>
      <c r="CT155" s="23">
        <f t="shared" ref="CT155" si="1427">M155-K155</f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x14ac:dyDescent="0.2">
      <c r="A156" s="3" t="str">
        <f t="shared" si="1373"/>
        <v>adrb2_human_6PRZ</v>
      </c>
      <c r="B156" s="3" t="s">
        <v>126</v>
      </c>
      <c r="C156" s="3" t="s">
        <v>1601</v>
      </c>
      <c r="D156" s="3" t="str">
        <f>IFERROR(MID(VLOOKUP($B156,Seqs!$A:$B,2,0),E156,1),"")</f>
        <v>V</v>
      </c>
      <c r="E156" s="3">
        <v>31</v>
      </c>
      <c r="F156" s="3" t="str">
        <f>IFERROR(MID(VLOOKUP($B156,Seqs!$A:$B,2,0),G156,1),"")</f>
        <v>F</v>
      </c>
      <c r="G156" s="3">
        <v>61</v>
      </c>
      <c r="H156" s="3" t="str">
        <f>IFERROR(MID(VLOOKUP($B156,Seqs!$A:$B,2,0),I156,1),"")</f>
        <v>E</v>
      </c>
      <c r="I156" s="23">
        <v>62</v>
      </c>
      <c r="J156" s="3" t="str">
        <f>IFERROR(MID(VLOOKUP($B156,Seqs!$A:$B,2,0),K156,1),"")</f>
        <v>Q</v>
      </c>
      <c r="K156" s="23">
        <v>65</v>
      </c>
      <c r="L156" s="3" t="str">
        <f>IFERROR(MID(VLOOKUP($B156,Seqs!$A:$B,2,0),M156,1),"")</f>
        <v>T</v>
      </c>
      <c r="M156" s="3">
        <v>66</v>
      </c>
      <c r="N156" s="3" t="str">
        <f>IFERROR(MID(VLOOKUP($B156,Seqs!$A:$B,2,0),O156,1),"")</f>
        <v>K</v>
      </c>
      <c r="O156" s="3">
        <v>97</v>
      </c>
      <c r="P156" s="3" t="str">
        <f>IFERROR(MID(VLOOKUP($B156,Seqs!$A:$B,2,0),Q156,1),"")</f>
        <v>M</v>
      </c>
      <c r="Q156" s="3">
        <v>98</v>
      </c>
      <c r="R156" s="3" t="str">
        <f>IFERROR(MID(VLOOKUP($B156,Seqs!$A:$B,2,0),S156,1),"")</f>
        <v>F</v>
      </c>
      <c r="S156" s="3">
        <v>101</v>
      </c>
      <c r="T156" s="3" t="str">
        <f>IFERROR(MID(VLOOKUP($B156,Seqs!$A:$B,2,0),U156,1),"")</f>
        <v>G</v>
      </c>
      <c r="U156" s="3">
        <v>102</v>
      </c>
      <c r="V156" s="3" t="str">
        <f>IFERROR(MID(VLOOKUP($B156,Seqs!$A:$B,2,0),W156,1),"")</f>
        <v>S</v>
      </c>
      <c r="W156" s="3">
        <v>137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T</v>
      </c>
      <c r="AC156" s="3">
        <v>146</v>
      </c>
      <c r="AD156" s="3" t="str">
        <f>IFERROR(MID(VLOOKUP($B156,Seqs!$A:$B,2,0),AE156,1),"")</f>
        <v>H</v>
      </c>
      <c r="AE156" s="3">
        <v>172</v>
      </c>
      <c r="AF156" s="3" t="str">
        <f>IFERROR(MID(VLOOKUP($B156,Seqs!$A:$B,2,0),AG156,1),"")</f>
        <v>C</v>
      </c>
      <c r="AG156" s="3">
        <v>191</v>
      </c>
      <c r="AH156" s="3" t="str">
        <f>IFERROR(MID(VLOOKUP($B156,Seqs!$A:$B,2,0),AI156,1),"")</f>
        <v>F</v>
      </c>
      <c r="AI156" s="3">
        <v>193</v>
      </c>
      <c r="AJ156" s="3" t="str">
        <f>IFERROR(MID(VLOOKUP($B156,Seqs!$A:$B,2,0),AK156,1),"")</f>
        <v>N</v>
      </c>
      <c r="AK156" s="3">
        <v>196</v>
      </c>
      <c r="AL156" s="3" t="str">
        <f>IFERROR(MID(VLOOKUP($B156,Seqs!$A:$B,2,0),AM156,1),"")</f>
        <v>L</v>
      </c>
      <c r="AM156" s="3">
        <v>230</v>
      </c>
      <c r="AN156" s="3" t="str">
        <f>IFERROR(MID(VLOOKUP($B156,Seqs!$A:$B,2,0),AO156,1),"")</f>
        <v>L</v>
      </c>
      <c r="AO156" s="3">
        <v>266</v>
      </c>
      <c r="AP156" s="3" t="str">
        <f>IFERROR(MID(VLOOKUP($B156,Seqs!$A:$B,2,0),AQ156,1),"")</f>
        <v>Q</v>
      </c>
      <c r="AQ156" s="3">
        <v>299</v>
      </c>
      <c r="AR156" s="3" t="str">
        <f>IFERROR(MID(VLOOKUP($B156,Seqs!$A:$B,2,0),AS156,1),"")</f>
        <v>K</v>
      </c>
      <c r="AS156" s="3">
        <v>305</v>
      </c>
      <c r="AT156" s="3" t="str">
        <f>IFERROR(MID(VLOOKUP($B156,Seqs!$A:$B,2,0),AU156,1),"")</f>
        <v>R</v>
      </c>
      <c r="AU156" s="3">
        <v>328</v>
      </c>
      <c r="AV156" s="3" t="str">
        <f>IFERROR(MID(VLOOKUP($B156,Seqs!$A:$B,2,0),AW156,1),"")</f>
        <v>S</v>
      </c>
      <c r="AW156" s="3">
        <v>329</v>
      </c>
      <c r="AX156" s="3" t="str">
        <f>IFERROR(MID(VLOOKUP($B156,Seqs!$A:$B,2,0),AY156,1),"")</f>
        <v>C</v>
      </c>
      <c r="AY156" s="3">
        <v>341</v>
      </c>
      <c r="AZ156" s="77" t="str">
        <f>VLOOKUP(B156,Classification!A:D,2,0)</f>
        <v>A</v>
      </c>
      <c r="BA156" s="94" t="str">
        <f>VLOOKUP(B156,Classification!A:D,4,0)</f>
        <v>Adrenoceptors</v>
      </c>
      <c r="BB156" s="27" t="b">
        <f t="shared" si="1374"/>
        <v>1</v>
      </c>
      <c r="BC156" s="23">
        <f t="shared" si="1375"/>
        <v>244</v>
      </c>
      <c r="BD156" s="74" t="s">
        <v>23</v>
      </c>
      <c r="BE156" s="3" t="s">
        <v>1368</v>
      </c>
      <c r="BF156" s="118">
        <v>2.8</v>
      </c>
      <c r="BG156" s="49" t="s">
        <v>1</v>
      </c>
      <c r="BH156" s="49" t="s">
        <v>1</v>
      </c>
      <c r="BI156" s="1"/>
      <c r="BJ156" s="70" t="s">
        <v>1281</v>
      </c>
      <c r="BK156" s="57" t="s">
        <v>1281</v>
      </c>
      <c r="BL156" s="57" t="s">
        <v>1281</v>
      </c>
      <c r="BM156" s="57" t="s">
        <v>1281</v>
      </c>
      <c r="BN156" s="57" t="s">
        <v>1281</v>
      </c>
      <c r="BO156" s="57" t="s">
        <v>1281</v>
      </c>
      <c r="BP156" s="57" t="s">
        <v>1281</v>
      </c>
      <c r="BQ156" s="57" t="s">
        <v>1281</v>
      </c>
      <c r="BR156" s="57" t="s">
        <v>1281</v>
      </c>
      <c r="BS156" s="57" t="s">
        <v>1281</v>
      </c>
      <c r="BT156" s="57" t="s">
        <v>1281</v>
      </c>
      <c r="BU156" s="57" t="s">
        <v>1281</v>
      </c>
      <c r="BV156" s="70">
        <f t="shared" si="1376"/>
        <v>31</v>
      </c>
      <c r="BW156" s="71">
        <f t="shared" si="1377"/>
        <v>62</v>
      </c>
      <c r="BX156" s="72">
        <f t="shared" si="1378"/>
        <v>66</v>
      </c>
      <c r="BY156" s="71">
        <f t="shared" si="1379"/>
        <v>98</v>
      </c>
      <c r="BZ156" s="72">
        <f t="shared" si="1380"/>
        <v>102</v>
      </c>
      <c r="CA156" s="71" t="str">
        <f t="shared" si="1381"/>
        <v>-</v>
      </c>
      <c r="CB156" s="72">
        <f t="shared" si="1382"/>
        <v>146</v>
      </c>
      <c r="CC156" s="71">
        <f t="shared" si="1383"/>
        <v>191</v>
      </c>
      <c r="CD156" s="72">
        <f t="shared" si="1384"/>
        <v>196</v>
      </c>
      <c r="CE156" s="71">
        <f t="shared" si="1385"/>
        <v>266</v>
      </c>
      <c r="CF156" s="72">
        <f t="shared" si="1386"/>
        <v>305</v>
      </c>
      <c r="CG156" s="71">
        <f t="shared" si="1387"/>
        <v>329</v>
      </c>
      <c r="CH156" s="70">
        <f t="shared" si="1388"/>
        <v>61</v>
      </c>
      <c r="CI156" s="71">
        <f t="shared" si="1389"/>
        <v>65</v>
      </c>
      <c r="CJ156" s="72">
        <f t="shared" si="1390"/>
        <v>97</v>
      </c>
      <c r="CK156" s="72">
        <f t="shared" si="1391"/>
        <v>101</v>
      </c>
      <c r="CL156" s="72">
        <f t="shared" si="1392"/>
        <v>137</v>
      </c>
      <c r="CM156" s="72" t="str">
        <f t="shared" si="1393"/>
        <v>-</v>
      </c>
      <c r="CN156" s="72">
        <f t="shared" si="1394"/>
        <v>172</v>
      </c>
      <c r="CO156" s="72">
        <f t="shared" si="1395"/>
        <v>193</v>
      </c>
      <c r="CP156" s="72">
        <f t="shared" si="1396"/>
        <v>230</v>
      </c>
      <c r="CQ156" s="72">
        <f t="shared" si="1397"/>
        <v>299</v>
      </c>
      <c r="CR156" s="72">
        <f t="shared" si="1398"/>
        <v>328</v>
      </c>
      <c r="CS156" s="72">
        <f t="shared" si="1399"/>
        <v>341</v>
      </c>
      <c r="CT156" s="23">
        <f t="shared" si="1400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373"/>
        <v>adrb2_human_6PS0</v>
      </c>
      <c r="B157" s="3" t="s">
        <v>126</v>
      </c>
      <c r="C157" s="3" t="s">
        <v>1602</v>
      </c>
      <c r="D157" s="3" t="str">
        <f>IFERROR(MID(VLOOKUP($B157,Seqs!$A:$B,2,0),E157,1),"")</f>
        <v>V</v>
      </c>
      <c r="E157" s="3">
        <v>31</v>
      </c>
      <c r="F157" s="3" t="str">
        <f>IFERROR(MID(VLOOKUP($B157,Seqs!$A:$B,2,0),G157,1),"")</f>
        <v>F</v>
      </c>
      <c r="G157" s="3">
        <v>61</v>
      </c>
      <c r="H157" s="3" t="str">
        <f>IFERROR(MID(VLOOKUP($B157,Seqs!$A:$B,2,0),I157,1),"")</f>
        <v>E</v>
      </c>
      <c r="I157" s="23">
        <v>62</v>
      </c>
      <c r="J157" s="3" t="str">
        <f>IFERROR(MID(VLOOKUP($B157,Seqs!$A:$B,2,0),K157,1),"")</f>
        <v>Q</v>
      </c>
      <c r="K157" s="23">
        <v>65</v>
      </c>
      <c r="L157" s="3" t="str">
        <f>IFERROR(MID(VLOOKUP($B157,Seqs!$A:$B,2,0),M157,1),"")</f>
        <v>T</v>
      </c>
      <c r="M157" s="3">
        <v>66</v>
      </c>
      <c r="N157" s="3" t="str">
        <f>IFERROR(MID(VLOOKUP($B157,Seqs!$A:$B,2,0),O157,1),"")</f>
        <v>M</v>
      </c>
      <c r="O157" s="3">
        <v>96</v>
      </c>
      <c r="P157" s="3" t="str">
        <f>IFERROR(MID(VLOOKUP($B157,Seqs!$A:$B,2,0),Q157,1),"")</f>
        <v>M</v>
      </c>
      <c r="Q157" s="3">
        <v>98</v>
      </c>
      <c r="R157" s="3" t="str">
        <f>IFERROR(MID(VLOOKUP($B157,Seqs!$A:$B,2,0),S157,1),"")</f>
        <v>F</v>
      </c>
      <c r="S157" s="3">
        <v>101</v>
      </c>
      <c r="T157" s="3" t="str">
        <f>IFERROR(MID(VLOOKUP($B157,Seqs!$A:$B,2,0),U157,1),"")</f>
        <v>G</v>
      </c>
      <c r="U157" s="3">
        <v>102</v>
      </c>
      <c r="V157" s="3" t="str">
        <f>IFERROR(MID(VLOOKUP($B157,Seqs!$A:$B,2,0),W157,1),"")</f>
        <v>S</v>
      </c>
      <c r="W157" s="3">
        <v>137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T</v>
      </c>
      <c r="AC157" s="3">
        <v>146</v>
      </c>
      <c r="AD157" s="3" t="str">
        <f>IFERROR(MID(VLOOKUP($B157,Seqs!$A:$B,2,0),AE157,1),"")</f>
        <v>H</v>
      </c>
      <c r="AE157" s="3">
        <v>172</v>
      </c>
      <c r="AF157" s="3" t="str">
        <f>IFERROR(MID(VLOOKUP($B157,Seqs!$A:$B,2,0),AG157,1),"")</f>
        <v>C</v>
      </c>
      <c r="AG157" s="3">
        <v>191</v>
      </c>
      <c r="AH157" s="3" t="str">
        <f>IFERROR(MID(VLOOKUP($B157,Seqs!$A:$B,2,0),AI157,1),"")</f>
        <v>F</v>
      </c>
      <c r="AI157" s="3">
        <v>193</v>
      </c>
      <c r="AJ157" s="3" t="str">
        <f>IFERROR(MID(VLOOKUP($B157,Seqs!$A:$B,2,0),AK157,1),"")</f>
        <v>N</v>
      </c>
      <c r="AK157" s="3">
        <v>196</v>
      </c>
      <c r="AL157" s="3" t="str">
        <f>IFERROR(MID(VLOOKUP($B157,Seqs!$A:$B,2,0),AM157,1),"")</f>
        <v>L</v>
      </c>
      <c r="AM157" s="3">
        <v>230</v>
      </c>
      <c r="AN157" s="3" t="str">
        <f>IFERROR(MID(VLOOKUP($B157,Seqs!$A:$B,2,0),AO157,1),"")</f>
        <v>L</v>
      </c>
      <c r="AO157" s="3">
        <v>266</v>
      </c>
      <c r="AP157" s="3" t="str">
        <f>IFERROR(MID(VLOOKUP($B157,Seqs!$A:$B,2,0),AQ157,1),"")</f>
        <v>Q</v>
      </c>
      <c r="AQ157" s="3">
        <v>299</v>
      </c>
      <c r="AR157" s="3" t="str">
        <f>IFERROR(MID(VLOOKUP($B157,Seqs!$A:$B,2,0),AS157,1),"")</f>
        <v>K</v>
      </c>
      <c r="AS157" s="3">
        <v>305</v>
      </c>
      <c r="AT157" s="3" t="str">
        <f>IFERROR(MID(VLOOKUP($B157,Seqs!$A:$B,2,0),AU157,1),"")</f>
        <v>R</v>
      </c>
      <c r="AU157" s="3">
        <v>328</v>
      </c>
      <c r="AV157" s="3" t="str">
        <f>IFERROR(MID(VLOOKUP($B157,Seqs!$A:$B,2,0),AW157,1),"")</f>
        <v>S</v>
      </c>
      <c r="AW157" s="3">
        <v>329</v>
      </c>
      <c r="AX157" s="3" t="str">
        <f>IFERROR(MID(VLOOKUP($B157,Seqs!$A:$B,2,0),AY157,1),"")</f>
        <v>C</v>
      </c>
      <c r="AY157" s="3">
        <v>341</v>
      </c>
      <c r="AZ157" s="77" t="str">
        <f>VLOOKUP(B157,Classification!A:D,2,0)</f>
        <v>A</v>
      </c>
      <c r="BA157" s="94" t="str">
        <f>VLOOKUP(B157,Classification!A:D,4,0)</f>
        <v>Adrenoceptors</v>
      </c>
      <c r="BB157" s="27" t="b">
        <f t="shared" si="1374"/>
        <v>1</v>
      </c>
      <c r="BC157" s="23">
        <f t="shared" si="1375"/>
        <v>243</v>
      </c>
      <c r="BD157" s="74" t="s">
        <v>23</v>
      </c>
      <c r="BE157" s="3" t="s">
        <v>1368</v>
      </c>
      <c r="BF157" s="118">
        <v>3.4</v>
      </c>
      <c r="BG157" s="49" t="s">
        <v>1</v>
      </c>
      <c r="BH157" s="49" t="s">
        <v>1</v>
      </c>
      <c r="BI157" s="1"/>
      <c r="BJ157" s="70" t="s">
        <v>1281</v>
      </c>
      <c r="BK157" s="57" t="s">
        <v>1281</v>
      </c>
      <c r="BL157" s="57" t="s">
        <v>1281</v>
      </c>
      <c r="BM157" s="57" t="s">
        <v>1281</v>
      </c>
      <c r="BN157" s="57" t="s">
        <v>1281</v>
      </c>
      <c r="BO157" s="57" t="s">
        <v>1281</v>
      </c>
      <c r="BP157" s="57" t="s">
        <v>1281</v>
      </c>
      <c r="BQ157" s="57" t="s">
        <v>1281</v>
      </c>
      <c r="BR157" s="57" t="s">
        <v>1281</v>
      </c>
      <c r="BS157" s="57" t="s">
        <v>1281</v>
      </c>
      <c r="BT157" s="57" t="s">
        <v>1281</v>
      </c>
      <c r="BU157" s="57" t="s">
        <v>1281</v>
      </c>
      <c r="BV157" s="70">
        <f t="shared" si="1376"/>
        <v>31</v>
      </c>
      <c r="BW157" s="71">
        <f t="shared" si="1377"/>
        <v>62</v>
      </c>
      <c r="BX157" s="72">
        <f t="shared" si="1378"/>
        <v>66</v>
      </c>
      <c r="BY157" s="71">
        <f t="shared" si="1379"/>
        <v>98</v>
      </c>
      <c r="BZ157" s="72">
        <f t="shared" si="1380"/>
        <v>102</v>
      </c>
      <c r="CA157" s="71" t="str">
        <f t="shared" si="1381"/>
        <v>-</v>
      </c>
      <c r="CB157" s="72">
        <f t="shared" si="1382"/>
        <v>146</v>
      </c>
      <c r="CC157" s="71">
        <f t="shared" si="1383"/>
        <v>191</v>
      </c>
      <c r="CD157" s="72">
        <f t="shared" si="1384"/>
        <v>196</v>
      </c>
      <c r="CE157" s="71">
        <f t="shared" si="1385"/>
        <v>266</v>
      </c>
      <c r="CF157" s="72">
        <f t="shared" si="1386"/>
        <v>305</v>
      </c>
      <c r="CG157" s="71">
        <f t="shared" si="1387"/>
        <v>329</v>
      </c>
      <c r="CH157" s="70">
        <f t="shared" si="1388"/>
        <v>61</v>
      </c>
      <c r="CI157" s="71">
        <f t="shared" si="1389"/>
        <v>65</v>
      </c>
      <c r="CJ157" s="72">
        <f t="shared" si="1390"/>
        <v>96</v>
      </c>
      <c r="CK157" s="72">
        <f t="shared" si="1391"/>
        <v>101</v>
      </c>
      <c r="CL157" s="72">
        <f t="shared" si="1392"/>
        <v>137</v>
      </c>
      <c r="CM157" s="72" t="str">
        <f t="shared" si="1393"/>
        <v>-</v>
      </c>
      <c r="CN157" s="72">
        <f t="shared" si="1394"/>
        <v>172</v>
      </c>
      <c r="CO157" s="72">
        <f t="shared" si="1395"/>
        <v>193</v>
      </c>
      <c r="CP157" s="72">
        <f t="shared" si="1396"/>
        <v>230</v>
      </c>
      <c r="CQ157" s="72">
        <f t="shared" si="1397"/>
        <v>299</v>
      </c>
      <c r="CR157" s="72">
        <f t="shared" si="1398"/>
        <v>328</v>
      </c>
      <c r="CS157" s="72">
        <f t="shared" si="1399"/>
        <v>341</v>
      </c>
      <c r="CT157" s="23">
        <f t="shared" si="1400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 t="shared" si="1373"/>
        <v>adrb2_human_6PS1</v>
      </c>
      <c r="B158" s="3" t="s">
        <v>126</v>
      </c>
      <c r="C158" s="3" t="s">
        <v>1603</v>
      </c>
      <c r="D158" s="3" t="str">
        <f>IFERROR(MID(VLOOKUP($B158,Seqs!$A:$B,2,0),E158,1),"")</f>
        <v>D</v>
      </c>
      <c r="E158" s="3">
        <v>29</v>
      </c>
      <c r="F158" s="3" t="str">
        <f>IFERROR(MID(VLOOKUP($B158,Seqs!$A:$B,2,0),G158,1),"")</f>
        <v>F</v>
      </c>
      <c r="G158" s="3">
        <v>61</v>
      </c>
      <c r="H158" s="3" t="str">
        <f>IFERROR(MID(VLOOKUP($B158,Seqs!$A:$B,2,0),I158,1),"")</f>
        <v>E</v>
      </c>
      <c r="I158" s="23">
        <v>62</v>
      </c>
      <c r="J158" s="3" t="str">
        <f>IFERROR(MID(VLOOKUP($B158,Seqs!$A:$B,2,0),K158,1),"")</f>
        <v>Q</v>
      </c>
      <c r="K158" s="23">
        <v>65</v>
      </c>
      <c r="L158" s="3" t="str">
        <f>IFERROR(MID(VLOOKUP($B158,Seqs!$A:$B,2,0),M158,1),"")</f>
        <v>T</v>
      </c>
      <c r="M158" s="3">
        <v>66</v>
      </c>
      <c r="N158" s="3" t="str">
        <f>IFERROR(MID(VLOOKUP($B158,Seqs!$A:$B,2,0),O158,1),"")</f>
        <v>M</v>
      </c>
      <c r="O158" s="3">
        <v>96</v>
      </c>
      <c r="P158" s="3" t="str">
        <f>IFERROR(MID(VLOOKUP($B158,Seqs!$A:$B,2,0),Q158,1),"")</f>
        <v>M</v>
      </c>
      <c r="Q158" s="3">
        <v>98</v>
      </c>
      <c r="R158" s="3" t="str">
        <f>IFERROR(MID(VLOOKUP($B158,Seqs!$A:$B,2,0),S158,1),"")</f>
        <v>F</v>
      </c>
      <c r="S158" s="3">
        <v>101</v>
      </c>
      <c r="T158" s="3" t="str">
        <f>IFERROR(MID(VLOOKUP($B158,Seqs!$A:$B,2,0),U158,1),"")</f>
        <v>G</v>
      </c>
      <c r="U158" s="3">
        <v>102</v>
      </c>
      <c r="V158" s="3" t="str">
        <f>IFERROR(MID(VLOOKUP($B158,Seqs!$A:$B,2,0),W158,1),"")</f>
        <v>S</v>
      </c>
      <c r="W158" s="3">
        <v>137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T</v>
      </c>
      <c r="AC158" s="3">
        <v>146</v>
      </c>
      <c r="AD158" s="3" t="str">
        <f>IFERROR(MID(VLOOKUP($B158,Seqs!$A:$B,2,0),AE158,1),"")</f>
        <v>H</v>
      </c>
      <c r="AE158" s="3">
        <v>172</v>
      </c>
      <c r="AF158" s="3" t="str">
        <f>IFERROR(MID(VLOOKUP($B158,Seqs!$A:$B,2,0),AG158,1),"")</f>
        <v>C</v>
      </c>
      <c r="AG158" s="3">
        <v>191</v>
      </c>
      <c r="AH158" s="3" t="str">
        <f>IFERROR(MID(VLOOKUP($B158,Seqs!$A:$B,2,0),AI158,1),"")</f>
        <v>F</v>
      </c>
      <c r="AI158" s="3">
        <v>193</v>
      </c>
      <c r="AJ158" s="3" t="str">
        <f>IFERROR(MID(VLOOKUP($B158,Seqs!$A:$B,2,0),AK158,1),"")</f>
        <v>N</v>
      </c>
      <c r="AK158" s="3">
        <v>196</v>
      </c>
      <c r="AL158" s="3" t="str">
        <f>IFERROR(MID(VLOOKUP($B158,Seqs!$A:$B,2,0),AM158,1),"")</f>
        <v>L</v>
      </c>
      <c r="AM158" s="3">
        <v>230</v>
      </c>
      <c r="AN158" s="3" t="str">
        <f>IFERROR(MID(VLOOKUP($B158,Seqs!$A:$B,2,0),AO158,1),"")</f>
        <v>L</v>
      </c>
      <c r="AO158" s="3">
        <v>266</v>
      </c>
      <c r="AP158" s="3" t="str">
        <f>IFERROR(MID(VLOOKUP($B158,Seqs!$A:$B,2,0),AQ158,1),"")</f>
        <v>Q</v>
      </c>
      <c r="AQ158" s="3">
        <v>299</v>
      </c>
      <c r="AR158" s="3" t="str">
        <f>IFERROR(MID(VLOOKUP($B158,Seqs!$A:$B,2,0),AS158,1),"")</f>
        <v>K</v>
      </c>
      <c r="AS158" s="3">
        <v>305</v>
      </c>
      <c r="AT158" s="3" t="str">
        <f>IFERROR(MID(VLOOKUP($B158,Seqs!$A:$B,2,0),AU158,1),"")</f>
        <v>R</v>
      </c>
      <c r="AU158" s="3">
        <v>328</v>
      </c>
      <c r="AV158" s="3" t="str">
        <f>IFERROR(MID(VLOOKUP($B158,Seqs!$A:$B,2,0),AW158,1),"")</f>
        <v>S</v>
      </c>
      <c r="AW158" s="3">
        <v>329</v>
      </c>
      <c r="AX158" s="3" t="str">
        <f>IFERROR(MID(VLOOKUP($B158,Seqs!$A:$B,2,0),AY158,1),"")</f>
        <v>C</v>
      </c>
      <c r="AY158" s="3">
        <v>341</v>
      </c>
      <c r="AZ158" s="77" t="str">
        <f>VLOOKUP(B158,Classification!A:D,2,0)</f>
        <v>A</v>
      </c>
      <c r="BA158" s="94" t="str">
        <f>VLOOKUP(B158,Classification!A:D,4,0)</f>
        <v>Adrenoceptors</v>
      </c>
      <c r="BB158" s="27" t="b">
        <f t="shared" si="1374"/>
        <v>1</v>
      </c>
      <c r="BC158" s="23">
        <f t="shared" si="1375"/>
        <v>245</v>
      </c>
      <c r="BD158" s="74" t="s">
        <v>23</v>
      </c>
      <c r="BE158" s="3" t="s">
        <v>1368</v>
      </c>
      <c r="BF158" s="118">
        <v>3.2</v>
      </c>
      <c r="BG158" s="49" t="s">
        <v>1</v>
      </c>
      <c r="BH158" s="49" t="s">
        <v>1</v>
      </c>
      <c r="BI158" s="1"/>
      <c r="BJ158" s="70" t="s">
        <v>1281</v>
      </c>
      <c r="BK158" s="57" t="s">
        <v>1281</v>
      </c>
      <c r="BL158" s="57" t="s">
        <v>1281</v>
      </c>
      <c r="BM158" s="57" t="s">
        <v>1281</v>
      </c>
      <c r="BN158" s="57" t="s">
        <v>1281</v>
      </c>
      <c r="BO158" s="57" t="s">
        <v>1281</v>
      </c>
      <c r="BP158" s="57" t="s">
        <v>1281</v>
      </c>
      <c r="BQ158" s="57" t="s">
        <v>1281</v>
      </c>
      <c r="BR158" s="57" t="s">
        <v>1281</v>
      </c>
      <c r="BS158" s="57" t="s">
        <v>1281</v>
      </c>
      <c r="BT158" s="57" t="s">
        <v>1281</v>
      </c>
      <c r="BU158" s="57" t="s">
        <v>1281</v>
      </c>
      <c r="BV158" s="70">
        <f t="shared" si="1376"/>
        <v>29</v>
      </c>
      <c r="BW158" s="71">
        <f t="shared" si="1377"/>
        <v>62</v>
      </c>
      <c r="BX158" s="72">
        <f t="shared" si="1378"/>
        <v>66</v>
      </c>
      <c r="BY158" s="71">
        <f t="shared" si="1379"/>
        <v>98</v>
      </c>
      <c r="BZ158" s="72">
        <f t="shared" si="1380"/>
        <v>102</v>
      </c>
      <c r="CA158" s="71" t="str">
        <f t="shared" si="1381"/>
        <v>-</v>
      </c>
      <c r="CB158" s="72">
        <f t="shared" si="1382"/>
        <v>146</v>
      </c>
      <c r="CC158" s="71">
        <f t="shared" si="1383"/>
        <v>191</v>
      </c>
      <c r="CD158" s="72">
        <f t="shared" si="1384"/>
        <v>196</v>
      </c>
      <c r="CE158" s="71">
        <f t="shared" si="1385"/>
        <v>266</v>
      </c>
      <c r="CF158" s="72">
        <f t="shared" si="1386"/>
        <v>305</v>
      </c>
      <c r="CG158" s="71">
        <f t="shared" si="1387"/>
        <v>329</v>
      </c>
      <c r="CH158" s="70">
        <f t="shared" si="1388"/>
        <v>61</v>
      </c>
      <c r="CI158" s="71">
        <f t="shared" si="1389"/>
        <v>65</v>
      </c>
      <c r="CJ158" s="72">
        <f t="shared" si="1390"/>
        <v>96</v>
      </c>
      <c r="CK158" s="72">
        <f t="shared" si="1391"/>
        <v>101</v>
      </c>
      <c r="CL158" s="72">
        <f t="shared" si="1392"/>
        <v>137</v>
      </c>
      <c r="CM158" s="72" t="str">
        <f t="shared" si="1393"/>
        <v>-</v>
      </c>
      <c r="CN158" s="72">
        <f t="shared" si="1394"/>
        <v>172</v>
      </c>
      <c r="CO158" s="72">
        <f t="shared" si="1395"/>
        <v>193</v>
      </c>
      <c r="CP158" s="72">
        <f t="shared" si="1396"/>
        <v>230</v>
      </c>
      <c r="CQ158" s="72">
        <f t="shared" si="1397"/>
        <v>299</v>
      </c>
      <c r="CR158" s="72">
        <f t="shared" si="1398"/>
        <v>328</v>
      </c>
      <c r="CS158" s="72">
        <f t="shared" si="1399"/>
        <v>341</v>
      </c>
      <c r="CT158" s="23">
        <f t="shared" si="1400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 t="shared" si="1373"/>
        <v>adrb2_human_6PS2</v>
      </c>
      <c r="B159" s="3" t="s">
        <v>126</v>
      </c>
      <c r="C159" s="3" t="s">
        <v>1604</v>
      </c>
      <c r="D159" s="3" t="str">
        <f>IFERROR(MID(VLOOKUP($B159,Seqs!$A:$B,2,0),E159,1),"")</f>
        <v>D</v>
      </c>
      <c r="E159" s="3">
        <v>29</v>
      </c>
      <c r="F159" s="3" t="str">
        <f>IFERROR(MID(VLOOKUP($B159,Seqs!$A:$B,2,0),G159,1),"")</f>
        <v>F</v>
      </c>
      <c r="G159" s="3">
        <v>61</v>
      </c>
      <c r="H159" s="3" t="str">
        <f>IFERROR(MID(VLOOKUP($B159,Seqs!$A:$B,2,0),I159,1),"")</f>
        <v>E</v>
      </c>
      <c r="I159" s="23">
        <v>62</v>
      </c>
      <c r="J159" s="3" t="str">
        <f>IFERROR(MID(VLOOKUP($B159,Seqs!$A:$B,2,0),K159,1),"")</f>
        <v>Q</v>
      </c>
      <c r="K159" s="23">
        <v>65</v>
      </c>
      <c r="L159" s="3" t="str">
        <f>IFERROR(MID(VLOOKUP($B159,Seqs!$A:$B,2,0),M159,1),"")</f>
        <v>T</v>
      </c>
      <c r="M159" s="3">
        <v>66</v>
      </c>
      <c r="N159" s="3" t="str">
        <f>IFERROR(MID(VLOOKUP($B159,Seqs!$A:$B,2,0),O159,1),"")</f>
        <v>K</v>
      </c>
      <c r="O159" s="3">
        <v>97</v>
      </c>
      <c r="P159" s="3" t="str">
        <f>IFERROR(MID(VLOOKUP($B159,Seqs!$A:$B,2,0),Q159,1),"")</f>
        <v>M</v>
      </c>
      <c r="Q159" s="3">
        <v>98</v>
      </c>
      <c r="R159" s="3" t="str">
        <f>IFERROR(MID(VLOOKUP($B159,Seqs!$A:$B,2,0),S159,1),"")</f>
        <v>F</v>
      </c>
      <c r="S159" s="3">
        <v>101</v>
      </c>
      <c r="T159" s="3" t="str">
        <f>IFERROR(MID(VLOOKUP($B159,Seqs!$A:$B,2,0),U159,1),"")</f>
        <v>G</v>
      </c>
      <c r="U159" s="3">
        <v>102</v>
      </c>
      <c r="V159" s="3" t="str">
        <f>IFERROR(MID(VLOOKUP($B159,Seqs!$A:$B,2,0),W159,1),"")</f>
        <v>S</v>
      </c>
      <c r="W159" s="3">
        <v>137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T</v>
      </c>
      <c r="AC159" s="3">
        <v>146</v>
      </c>
      <c r="AD159" s="3" t="str">
        <f>IFERROR(MID(VLOOKUP($B159,Seqs!$A:$B,2,0),AE159,1),"")</f>
        <v>H</v>
      </c>
      <c r="AE159" s="3">
        <v>172</v>
      </c>
      <c r="AF159" s="3" t="str">
        <f>IFERROR(MID(VLOOKUP($B159,Seqs!$A:$B,2,0),AG159,1),"")</f>
        <v>C</v>
      </c>
      <c r="AG159" s="3">
        <v>191</v>
      </c>
      <c r="AH159" s="3" t="str">
        <f>IFERROR(MID(VLOOKUP($B159,Seqs!$A:$B,2,0),AI159,1),"")</f>
        <v>F</v>
      </c>
      <c r="AI159" s="3">
        <v>193</v>
      </c>
      <c r="AJ159" s="3" t="str">
        <f>IFERROR(MID(VLOOKUP($B159,Seqs!$A:$B,2,0),AK159,1),"")</f>
        <v>N</v>
      </c>
      <c r="AK159" s="3">
        <v>196</v>
      </c>
      <c r="AL159" s="3" t="str">
        <f>IFERROR(MID(VLOOKUP($B159,Seqs!$A:$B,2,0),AM159,1),"")</f>
        <v>L</v>
      </c>
      <c r="AM159" s="3">
        <v>230</v>
      </c>
      <c r="AN159" s="3" t="str">
        <f>IFERROR(MID(VLOOKUP($B159,Seqs!$A:$B,2,0),AO159,1),"")</f>
        <v>L</v>
      </c>
      <c r="AO159" s="3">
        <v>266</v>
      </c>
      <c r="AP159" s="3" t="str">
        <f>IFERROR(MID(VLOOKUP($B159,Seqs!$A:$B,2,0),AQ159,1),"")</f>
        <v>D</v>
      </c>
      <c r="AQ159" s="3">
        <v>300</v>
      </c>
      <c r="AR159" s="3" t="str">
        <f>IFERROR(MID(VLOOKUP($B159,Seqs!$A:$B,2,0),AS159,1),"")</f>
        <v>K</v>
      </c>
      <c r="AS159" s="3">
        <v>305</v>
      </c>
      <c r="AT159" s="3" t="str">
        <f>IFERROR(MID(VLOOKUP($B159,Seqs!$A:$B,2,0),AU159,1),"")</f>
        <v>R</v>
      </c>
      <c r="AU159" s="3">
        <v>328</v>
      </c>
      <c r="AV159" s="3" t="str">
        <f>IFERROR(MID(VLOOKUP($B159,Seqs!$A:$B,2,0),AW159,1),"")</f>
        <v>S</v>
      </c>
      <c r="AW159" s="3">
        <v>329</v>
      </c>
      <c r="AX159" s="3" t="str">
        <f>IFERROR(MID(VLOOKUP($B159,Seqs!$A:$B,2,0),AY159,1),"")</f>
        <v>C</v>
      </c>
      <c r="AY159" s="3">
        <v>341</v>
      </c>
      <c r="AZ159" s="77" t="str">
        <f>VLOOKUP(B159,Classification!A:D,2,0)</f>
        <v>A</v>
      </c>
      <c r="BA159" s="94" t="str">
        <f>VLOOKUP(B159,Classification!A:D,4,0)</f>
        <v>Adrenoceptors</v>
      </c>
      <c r="BB159" s="27" t="b">
        <f t="shared" si="1374"/>
        <v>1</v>
      </c>
      <c r="BC159" s="23">
        <f t="shared" si="1375"/>
        <v>247</v>
      </c>
      <c r="BD159" s="74" t="s">
        <v>23</v>
      </c>
      <c r="BE159" s="3" t="s">
        <v>1368</v>
      </c>
      <c r="BF159" s="118">
        <v>2.4</v>
      </c>
      <c r="BG159" s="49" t="s">
        <v>1</v>
      </c>
      <c r="BH159" s="49" t="s">
        <v>1</v>
      </c>
      <c r="BI159" s="1"/>
      <c r="BJ159" s="70" t="s">
        <v>1281</v>
      </c>
      <c r="BK159" s="57" t="s">
        <v>1281</v>
      </c>
      <c r="BL159" s="57" t="s">
        <v>1281</v>
      </c>
      <c r="BM159" s="57" t="s">
        <v>1281</v>
      </c>
      <c r="BN159" s="57" t="s">
        <v>1281</v>
      </c>
      <c r="BO159" s="57" t="s">
        <v>1281</v>
      </c>
      <c r="BP159" s="57" t="s">
        <v>1281</v>
      </c>
      <c r="BQ159" s="57" t="s">
        <v>1281</v>
      </c>
      <c r="BR159" s="57" t="s">
        <v>1281</v>
      </c>
      <c r="BS159" s="57" t="s">
        <v>1281</v>
      </c>
      <c r="BT159" s="57" t="s">
        <v>1281</v>
      </c>
      <c r="BU159" s="57" t="s">
        <v>1281</v>
      </c>
      <c r="BV159" s="70">
        <f t="shared" si="1376"/>
        <v>29</v>
      </c>
      <c r="BW159" s="71">
        <f t="shared" si="1377"/>
        <v>62</v>
      </c>
      <c r="BX159" s="72">
        <f t="shared" si="1378"/>
        <v>66</v>
      </c>
      <c r="BY159" s="71">
        <f t="shared" si="1379"/>
        <v>98</v>
      </c>
      <c r="BZ159" s="72">
        <f t="shared" si="1380"/>
        <v>102</v>
      </c>
      <c r="CA159" s="71" t="str">
        <f t="shared" si="1381"/>
        <v>-</v>
      </c>
      <c r="CB159" s="72">
        <f t="shared" si="1382"/>
        <v>146</v>
      </c>
      <c r="CC159" s="71">
        <f t="shared" si="1383"/>
        <v>191</v>
      </c>
      <c r="CD159" s="72">
        <f t="shared" si="1384"/>
        <v>196</v>
      </c>
      <c r="CE159" s="71">
        <f t="shared" si="1385"/>
        <v>266</v>
      </c>
      <c r="CF159" s="72">
        <f t="shared" si="1386"/>
        <v>305</v>
      </c>
      <c r="CG159" s="71">
        <f t="shared" si="1387"/>
        <v>329</v>
      </c>
      <c r="CH159" s="70">
        <f t="shared" si="1388"/>
        <v>61</v>
      </c>
      <c r="CI159" s="71">
        <f t="shared" si="1389"/>
        <v>65</v>
      </c>
      <c r="CJ159" s="72">
        <f t="shared" si="1390"/>
        <v>97</v>
      </c>
      <c r="CK159" s="72">
        <f t="shared" si="1391"/>
        <v>101</v>
      </c>
      <c r="CL159" s="72">
        <f t="shared" si="1392"/>
        <v>137</v>
      </c>
      <c r="CM159" s="72" t="str">
        <f t="shared" si="1393"/>
        <v>-</v>
      </c>
      <c r="CN159" s="72">
        <f t="shared" si="1394"/>
        <v>172</v>
      </c>
      <c r="CO159" s="72">
        <f t="shared" si="1395"/>
        <v>193</v>
      </c>
      <c r="CP159" s="72">
        <f t="shared" si="1396"/>
        <v>230</v>
      </c>
      <c r="CQ159" s="72">
        <f t="shared" si="1397"/>
        <v>300</v>
      </c>
      <c r="CR159" s="72">
        <f t="shared" si="1398"/>
        <v>328</v>
      </c>
      <c r="CS159" s="72">
        <f t="shared" si="1399"/>
        <v>341</v>
      </c>
      <c r="CT159" s="23">
        <f t="shared" si="1400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si="1373"/>
        <v>adrb2_human_6PS3</v>
      </c>
      <c r="B160" s="3" t="s">
        <v>126</v>
      </c>
      <c r="C160" s="3" t="s">
        <v>1605</v>
      </c>
      <c r="D160" s="3" t="str">
        <f>IFERROR(MID(VLOOKUP($B160,Seqs!$A:$B,2,0),E160,1),"")</f>
        <v>D</v>
      </c>
      <c r="E160" s="3">
        <v>29</v>
      </c>
      <c r="F160" s="3" t="str">
        <f>IFERROR(MID(VLOOKUP($B160,Seqs!$A:$B,2,0),G160,1),"")</f>
        <v>F</v>
      </c>
      <c r="G160" s="3">
        <v>61</v>
      </c>
      <c r="H160" s="3" t="str">
        <f>IFERROR(MID(VLOOKUP($B160,Seqs!$A:$B,2,0),I160,1),"")</f>
        <v>E</v>
      </c>
      <c r="I160" s="23">
        <v>62</v>
      </c>
      <c r="J160" s="3" t="str">
        <f>IFERROR(MID(VLOOKUP($B160,Seqs!$A:$B,2,0),K160,1),"")</f>
        <v>Q</v>
      </c>
      <c r="K160" s="23">
        <v>65</v>
      </c>
      <c r="L160" s="3" t="str">
        <f>IFERROR(MID(VLOOKUP($B160,Seqs!$A:$B,2,0),M160,1),"")</f>
        <v>T</v>
      </c>
      <c r="M160" s="3">
        <v>66</v>
      </c>
      <c r="N160" s="3" t="str">
        <f>IFERROR(MID(VLOOKUP($B160,Seqs!$A:$B,2,0),O160,1),"")</f>
        <v>M</v>
      </c>
      <c r="O160" s="3">
        <v>96</v>
      </c>
      <c r="P160" s="3" t="str">
        <f>IFERROR(MID(VLOOKUP($B160,Seqs!$A:$B,2,0),Q160,1),"")</f>
        <v>M</v>
      </c>
      <c r="Q160" s="3">
        <v>98</v>
      </c>
      <c r="R160" s="3" t="str">
        <f>IFERROR(MID(VLOOKUP($B160,Seqs!$A:$B,2,0),S160,1),"")</f>
        <v>F</v>
      </c>
      <c r="S160" s="3">
        <v>101</v>
      </c>
      <c r="T160" s="3" t="str">
        <f>IFERROR(MID(VLOOKUP($B160,Seqs!$A:$B,2,0),U160,1),"")</f>
        <v>G</v>
      </c>
      <c r="U160" s="3">
        <v>102</v>
      </c>
      <c r="V160" s="3" t="str">
        <f>IFERROR(MID(VLOOKUP($B160,Seqs!$A:$B,2,0),W160,1),"")</f>
        <v>S</v>
      </c>
      <c r="W160" s="3">
        <v>137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T</v>
      </c>
      <c r="AC160" s="3">
        <v>146</v>
      </c>
      <c r="AD160" s="3" t="str">
        <f>IFERROR(MID(VLOOKUP($B160,Seqs!$A:$B,2,0),AE160,1),"")</f>
        <v>H</v>
      </c>
      <c r="AE160" s="3">
        <v>172</v>
      </c>
      <c r="AF160" s="3" t="str">
        <f>IFERROR(MID(VLOOKUP($B160,Seqs!$A:$B,2,0),AG160,1),"")</f>
        <v>C</v>
      </c>
      <c r="AG160" s="3">
        <v>191</v>
      </c>
      <c r="AH160" s="3" t="str">
        <f>IFERROR(MID(VLOOKUP($B160,Seqs!$A:$B,2,0),AI160,1),"")</f>
        <v>F</v>
      </c>
      <c r="AI160" s="3">
        <v>193</v>
      </c>
      <c r="AJ160" s="3" t="str">
        <f>IFERROR(MID(VLOOKUP($B160,Seqs!$A:$B,2,0),AK160,1),"")</f>
        <v>N</v>
      </c>
      <c r="AK160" s="3">
        <v>196</v>
      </c>
      <c r="AL160" s="3" t="str">
        <f>IFERROR(MID(VLOOKUP($B160,Seqs!$A:$B,2,0),AM160,1),"")</f>
        <v>L</v>
      </c>
      <c r="AM160" s="3">
        <v>230</v>
      </c>
      <c r="AN160" s="3" t="str">
        <f>IFERROR(MID(VLOOKUP($B160,Seqs!$A:$B,2,0),AO160,1),"")</f>
        <v>L</v>
      </c>
      <c r="AO160" s="3">
        <v>266</v>
      </c>
      <c r="AP160" s="3" t="str">
        <f>IFERROR(MID(VLOOKUP($B160,Seqs!$A:$B,2,0),AQ160,1),"")</f>
        <v>D</v>
      </c>
      <c r="AQ160" s="3">
        <v>300</v>
      </c>
      <c r="AR160" s="3" t="str">
        <f>IFERROR(MID(VLOOKUP($B160,Seqs!$A:$B,2,0),AS160,1),"")</f>
        <v>K</v>
      </c>
      <c r="AS160" s="3">
        <v>305</v>
      </c>
      <c r="AT160" s="3" t="str">
        <f>IFERROR(MID(VLOOKUP($B160,Seqs!$A:$B,2,0),AU160,1),"")</f>
        <v>R</v>
      </c>
      <c r="AU160" s="3">
        <v>328</v>
      </c>
      <c r="AV160" s="3" t="str">
        <f>IFERROR(MID(VLOOKUP($B160,Seqs!$A:$B,2,0),AW160,1),"")</f>
        <v>S</v>
      </c>
      <c r="AW160" s="3">
        <v>329</v>
      </c>
      <c r="AX160" s="3" t="str">
        <f>IFERROR(MID(VLOOKUP($B160,Seqs!$A:$B,2,0),AY160,1),"")</f>
        <v>C</v>
      </c>
      <c r="AY160" s="3">
        <v>341</v>
      </c>
      <c r="AZ160" s="77" t="str">
        <f>VLOOKUP(B160,Classification!A:D,2,0)</f>
        <v>A</v>
      </c>
      <c r="BA160" s="94" t="str">
        <f>VLOOKUP(B160,Classification!A:D,4,0)</f>
        <v>Adrenoceptors</v>
      </c>
      <c r="BB160" s="27" t="b">
        <f t="shared" si="1374"/>
        <v>1</v>
      </c>
      <c r="BC160" s="23">
        <f t="shared" si="1375"/>
        <v>246</v>
      </c>
      <c r="BD160" s="74" t="s">
        <v>23</v>
      </c>
      <c r="BE160" s="3" t="s">
        <v>1368</v>
      </c>
      <c r="BF160" s="118">
        <v>2.5</v>
      </c>
      <c r="BG160" s="49" t="s">
        <v>1</v>
      </c>
      <c r="BH160" s="49" t="s">
        <v>1</v>
      </c>
      <c r="BI160" s="1"/>
      <c r="BJ160" s="70" t="s">
        <v>1281</v>
      </c>
      <c r="BK160" s="57" t="s">
        <v>1281</v>
      </c>
      <c r="BL160" s="57" t="s">
        <v>1281</v>
      </c>
      <c r="BM160" s="57" t="s">
        <v>1281</v>
      </c>
      <c r="BN160" s="57" t="s">
        <v>1281</v>
      </c>
      <c r="BO160" s="57" t="s">
        <v>1281</v>
      </c>
      <c r="BP160" s="57" t="s">
        <v>1281</v>
      </c>
      <c r="BQ160" s="57" t="s">
        <v>1281</v>
      </c>
      <c r="BR160" s="57" t="s">
        <v>1281</v>
      </c>
      <c r="BS160" s="57" t="s">
        <v>1281</v>
      </c>
      <c r="BT160" s="57" t="s">
        <v>1281</v>
      </c>
      <c r="BU160" s="57" t="s">
        <v>1281</v>
      </c>
      <c r="BV160" s="70">
        <f t="shared" si="1376"/>
        <v>29</v>
      </c>
      <c r="BW160" s="71">
        <f t="shared" si="1377"/>
        <v>62</v>
      </c>
      <c r="BX160" s="72">
        <f t="shared" si="1378"/>
        <v>66</v>
      </c>
      <c r="BY160" s="71">
        <f t="shared" si="1379"/>
        <v>98</v>
      </c>
      <c r="BZ160" s="72">
        <f t="shared" si="1380"/>
        <v>102</v>
      </c>
      <c r="CA160" s="71" t="str">
        <f t="shared" si="1381"/>
        <v>-</v>
      </c>
      <c r="CB160" s="72">
        <f t="shared" si="1382"/>
        <v>146</v>
      </c>
      <c r="CC160" s="71">
        <f t="shared" si="1383"/>
        <v>191</v>
      </c>
      <c r="CD160" s="72">
        <f t="shared" si="1384"/>
        <v>196</v>
      </c>
      <c r="CE160" s="71">
        <f t="shared" si="1385"/>
        <v>266</v>
      </c>
      <c r="CF160" s="72">
        <f t="shared" si="1386"/>
        <v>305</v>
      </c>
      <c r="CG160" s="71">
        <f t="shared" si="1387"/>
        <v>329</v>
      </c>
      <c r="CH160" s="70">
        <f t="shared" si="1388"/>
        <v>61</v>
      </c>
      <c r="CI160" s="71">
        <f t="shared" si="1389"/>
        <v>65</v>
      </c>
      <c r="CJ160" s="72">
        <f t="shared" si="1390"/>
        <v>96</v>
      </c>
      <c r="CK160" s="72">
        <f t="shared" si="1391"/>
        <v>101</v>
      </c>
      <c r="CL160" s="72">
        <f t="shared" si="1392"/>
        <v>137</v>
      </c>
      <c r="CM160" s="72" t="str">
        <f t="shared" si="1393"/>
        <v>-</v>
      </c>
      <c r="CN160" s="72">
        <f t="shared" si="1394"/>
        <v>172</v>
      </c>
      <c r="CO160" s="72">
        <f t="shared" si="1395"/>
        <v>193</v>
      </c>
      <c r="CP160" s="72">
        <f t="shared" si="1396"/>
        <v>230</v>
      </c>
      <c r="CQ160" s="72">
        <f t="shared" si="1397"/>
        <v>300</v>
      </c>
      <c r="CR160" s="72">
        <f t="shared" si="1398"/>
        <v>328</v>
      </c>
      <c r="CS160" s="72">
        <f t="shared" si="1399"/>
        <v>341</v>
      </c>
      <c r="CT160" s="23">
        <f t="shared" si="1400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29" x14ac:dyDescent="0.2">
      <c r="A161" s="3" t="str">
        <f t="shared" si="1373"/>
        <v>adrb2_human_6PS4</v>
      </c>
      <c r="B161" s="3" t="s">
        <v>126</v>
      </c>
      <c r="C161" s="3" t="s">
        <v>1606</v>
      </c>
      <c r="D161" s="3" t="str">
        <f>IFERROR(MID(VLOOKUP($B161,Seqs!$A:$B,2,0),E161,1),"")</f>
        <v>D</v>
      </c>
      <c r="E161" s="3">
        <v>29</v>
      </c>
      <c r="F161" s="3" t="str">
        <f>IFERROR(MID(VLOOKUP($B161,Seqs!$A:$B,2,0),G161,1),"")</f>
        <v>F</v>
      </c>
      <c r="G161" s="3">
        <v>61</v>
      </c>
      <c r="H161" s="3" t="str">
        <f>IFERROR(MID(VLOOKUP($B161,Seqs!$A:$B,2,0),I161,1),"")</f>
        <v>E</v>
      </c>
      <c r="I161" s="23">
        <v>62</v>
      </c>
      <c r="J161" s="3" t="str">
        <f>IFERROR(MID(VLOOKUP($B161,Seqs!$A:$B,2,0),K161,1),"")</f>
        <v>Q</v>
      </c>
      <c r="K161" s="23">
        <v>65</v>
      </c>
      <c r="L161" s="3" t="str">
        <f>IFERROR(MID(VLOOKUP($B161,Seqs!$A:$B,2,0),M161,1),"")</f>
        <v>T</v>
      </c>
      <c r="M161" s="3">
        <v>66</v>
      </c>
      <c r="N161" s="3" t="str">
        <f>IFERROR(MID(VLOOKUP($B161,Seqs!$A:$B,2,0),O161,1),"")</f>
        <v>K</v>
      </c>
      <c r="O161" s="3">
        <v>97</v>
      </c>
      <c r="P161" s="3" t="str">
        <f>IFERROR(MID(VLOOKUP($B161,Seqs!$A:$B,2,0),Q161,1),"")</f>
        <v>M</v>
      </c>
      <c r="Q161" s="3">
        <v>98</v>
      </c>
      <c r="R161" s="3" t="str">
        <f>IFERROR(MID(VLOOKUP($B161,Seqs!$A:$B,2,0),S161,1),"")</f>
        <v>F</v>
      </c>
      <c r="S161" s="3">
        <v>101</v>
      </c>
      <c r="T161" s="3" t="str">
        <f>IFERROR(MID(VLOOKUP($B161,Seqs!$A:$B,2,0),U161,1),"")</f>
        <v>G</v>
      </c>
      <c r="U161" s="3">
        <v>102</v>
      </c>
      <c r="V161" s="3" t="str">
        <f>IFERROR(MID(VLOOKUP($B161,Seqs!$A:$B,2,0),W161,1),"")</f>
        <v>S</v>
      </c>
      <c r="W161" s="3">
        <v>137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T</v>
      </c>
      <c r="AC161" s="3">
        <v>146</v>
      </c>
      <c r="AD161" s="3" t="str">
        <f>IFERROR(MID(VLOOKUP($B161,Seqs!$A:$B,2,0),AE161,1),"")</f>
        <v>H</v>
      </c>
      <c r="AE161" s="3">
        <v>172</v>
      </c>
      <c r="AF161" s="3" t="str">
        <f>IFERROR(MID(VLOOKUP($B161,Seqs!$A:$B,2,0),AG161,1),"")</f>
        <v>C</v>
      </c>
      <c r="AG161" s="3">
        <v>191</v>
      </c>
      <c r="AH161" s="3" t="str">
        <f>IFERROR(MID(VLOOKUP($B161,Seqs!$A:$B,2,0),AI161,1),"")</f>
        <v>F</v>
      </c>
      <c r="AI161" s="3">
        <v>193</v>
      </c>
      <c r="AJ161" s="3" t="str">
        <f>IFERROR(MID(VLOOKUP($B161,Seqs!$A:$B,2,0),AK161,1),"")</f>
        <v>N</v>
      </c>
      <c r="AK161" s="3">
        <v>196</v>
      </c>
      <c r="AL161" s="3" t="str">
        <f>IFERROR(MID(VLOOKUP($B161,Seqs!$A:$B,2,0),AM161,1),"")</f>
        <v>L</v>
      </c>
      <c r="AM161" s="3">
        <v>230</v>
      </c>
      <c r="AN161" s="3" t="str">
        <f>IFERROR(MID(VLOOKUP($B161,Seqs!$A:$B,2,0),AO161,1),"")</f>
        <v>L</v>
      </c>
      <c r="AO161" s="3">
        <v>266</v>
      </c>
      <c r="AP161" s="3" t="str">
        <f>IFERROR(MID(VLOOKUP($B161,Seqs!$A:$B,2,0),AQ161,1),"")</f>
        <v>D</v>
      </c>
      <c r="AQ161" s="3">
        <v>300</v>
      </c>
      <c r="AR161" s="3" t="str">
        <f>IFERROR(MID(VLOOKUP($B161,Seqs!$A:$B,2,0),AS161,1),"")</f>
        <v>K</v>
      </c>
      <c r="AS161" s="3">
        <v>305</v>
      </c>
      <c r="AT161" s="3" t="str">
        <f>IFERROR(MID(VLOOKUP($B161,Seqs!$A:$B,2,0),AU161,1),"")</f>
        <v>R</v>
      </c>
      <c r="AU161" s="3">
        <v>328</v>
      </c>
      <c r="AV161" s="3" t="str">
        <f>IFERROR(MID(VLOOKUP($B161,Seqs!$A:$B,2,0),AW161,1),"")</f>
        <v>S</v>
      </c>
      <c r="AW161" s="3">
        <v>329</v>
      </c>
      <c r="AX161" s="3" t="str">
        <f>IFERROR(MID(VLOOKUP($B161,Seqs!$A:$B,2,0),AY161,1),"")</f>
        <v>C</v>
      </c>
      <c r="AY161" s="3">
        <v>341</v>
      </c>
      <c r="AZ161" s="77" t="str">
        <f>VLOOKUP(B161,Classification!A:D,2,0)</f>
        <v>A</v>
      </c>
      <c r="BA161" s="94" t="str">
        <f>VLOOKUP(B161,Classification!A:D,4,0)</f>
        <v>Adrenoceptors</v>
      </c>
      <c r="BB161" s="27" t="b">
        <f t="shared" si="1374"/>
        <v>1</v>
      </c>
      <c r="BC161" s="23">
        <f t="shared" si="1375"/>
        <v>247</v>
      </c>
      <c r="BD161" s="74" t="s">
        <v>23</v>
      </c>
      <c r="BE161" s="3" t="s">
        <v>1368</v>
      </c>
      <c r="BF161" s="118">
        <v>2.6</v>
      </c>
      <c r="BG161" s="49" t="s">
        <v>1</v>
      </c>
      <c r="BH161" s="49" t="s">
        <v>1</v>
      </c>
      <c r="BI161" s="1"/>
      <c r="BJ161" s="70" t="s">
        <v>1281</v>
      </c>
      <c r="BK161" s="57" t="s">
        <v>1281</v>
      </c>
      <c r="BL161" s="57" t="s">
        <v>1281</v>
      </c>
      <c r="BM161" s="57" t="s">
        <v>1281</v>
      </c>
      <c r="BN161" s="57" t="s">
        <v>1281</v>
      </c>
      <c r="BO161" s="57" t="s">
        <v>1281</v>
      </c>
      <c r="BP161" s="57" t="s">
        <v>1281</v>
      </c>
      <c r="BQ161" s="57" t="s">
        <v>1281</v>
      </c>
      <c r="BR161" s="57" t="s">
        <v>1281</v>
      </c>
      <c r="BS161" s="57" t="s">
        <v>1281</v>
      </c>
      <c r="BT161" s="57" t="s">
        <v>1281</v>
      </c>
      <c r="BU161" s="57" t="s">
        <v>1281</v>
      </c>
      <c r="BV161" s="70">
        <f t="shared" si="1376"/>
        <v>29</v>
      </c>
      <c r="BW161" s="71">
        <f t="shared" si="1377"/>
        <v>62</v>
      </c>
      <c r="BX161" s="72">
        <f t="shared" si="1378"/>
        <v>66</v>
      </c>
      <c r="BY161" s="71">
        <f t="shared" si="1379"/>
        <v>98</v>
      </c>
      <c r="BZ161" s="72">
        <f t="shared" si="1380"/>
        <v>102</v>
      </c>
      <c r="CA161" s="71" t="str">
        <f t="shared" si="1381"/>
        <v>-</v>
      </c>
      <c r="CB161" s="72">
        <f t="shared" si="1382"/>
        <v>146</v>
      </c>
      <c r="CC161" s="71">
        <f t="shared" si="1383"/>
        <v>191</v>
      </c>
      <c r="CD161" s="72">
        <f t="shared" si="1384"/>
        <v>196</v>
      </c>
      <c r="CE161" s="71">
        <f t="shared" si="1385"/>
        <v>266</v>
      </c>
      <c r="CF161" s="72">
        <f t="shared" si="1386"/>
        <v>305</v>
      </c>
      <c r="CG161" s="71">
        <f t="shared" si="1387"/>
        <v>329</v>
      </c>
      <c r="CH161" s="70">
        <f t="shared" si="1388"/>
        <v>61</v>
      </c>
      <c r="CI161" s="71">
        <f t="shared" si="1389"/>
        <v>65</v>
      </c>
      <c r="CJ161" s="72">
        <f t="shared" si="1390"/>
        <v>97</v>
      </c>
      <c r="CK161" s="72">
        <f t="shared" si="1391"/>
        <v>101</v>
      </c>
      <c r="CL161" s="72">
        <f t="shared" si="1392"/>
        <v>137</v>
      </c>
      <c r="CM161" s="72" t="str">
        <f t="shared" si="1393"/>
        <v>-</v>
      </c>
      <c r="CN161" s="72">
        <f t="shared" si="1394"/>
        <v>172</v>
      </c>
      <c r="CO161" s="72">
        <f t="shared" si="1395"/>
        <v>193</v>
      </c>
      <c r="CP161" s="72">
        <f t="shared" si="1396"/>
        <v>230</v>
      </c>
      <c r="CQ161" s="72">
        <f t="shared" si="1397"/>
        <v>300</v>
      </c>
      <c r="CR161" s="72">
        <f t="shared" si="1398"/>
        <v>328</v>
      </c>
      <c r="CS161" s="72">
        <f t="shared" si="1399"/>
        <v>341</v>
      </c>
      <c r="CT161" s="23">
        <f t="shared" si="1400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29" x14ac:dyDescent="0.2">
      <c r="A162" s="3" t="str">
        <f t="shared" si="1373"/>
        <v>adrb2_human_6PS5</v>
      </c>
      <c r="B162" s="3" t="s">
        <v>126</v>
      </c>
      <c r="C162" s="3" t="s">
        <v>1607</v>
      </c>
      <c r="D162" s="3" t="str">
        <f>IFERROR(MID(VLOOKUP($B162,Seqs!$A:$B,2,0),E162,1),"")</f>
        <v>D</v>
      </c>
      <c r="E162" s="3">
        <v>29</v>
      </c>
      <c r="F162" s="3" t="str">
        <f>IFERROR(MID(VLOOKUP($B162,Seqs!$A:$B,2,0),G162,1),"")</f>
        <v>F</v>
      </c>
      <c r="G162" s="3">
        <v>61</v>
      </c>
      <c r="H162" s="3" t="str">
        <f>IFERROR(MID(VLOOKUP($B162,Seqs!$A:$B,2,0),I162,1),"")</f>
        <v>E</v>
      </c>
      <c r="I162" s="23">
        <v>62</v>
      </c>
      <c r="J162" s="3" t="str">
        <f>IFERROR(MID(VLOOKUP($B162,Seqs!$A:$B,2,0),K162,1),"")</f>
        <v>Q</v>
      </c>
      <c r="K162" s="23">
        <v>65</v>
      </c>
      <c r="L162" s="3" t="str">
        <f>IFERROR(MID(VLOOKUP($B162,Seqs!$A:$B,2,0),M162,1),"")</f>
        <v>T</v>
      </c>
      <c r="M162" s="3">
        <v>66</v>
      </c>
      <c r="N162" s="3" t="str">
        <f>IFERROR(MID(VLOOKUP($B162,Seqs!$A:$B,2,0),O162,1),"")</f>
        <v>M</v>
      </c>
      <c r="O162" s="3">
        <v>96</v>
      </c>
      <c r="P162" s="3" t="str">
        <f>IFERROR(MID(VLOOKUP($B162,Seqs!$A:$B,2,0),Q162,1),"")</f>
        <v>M</v>
      </c>
      <c r="Q162" s="3">
        <v>98</v>
      </c>
      <c r="R162" s="3" t="str">
        <f>IFERROR(MID(VLOOKUP($B162,Seqs!$A:$B,2,0),S162,1),"")</f>
        <v>F</v>
      </c>
      <c r="S162" s="3">
        <v>101</v>
      </c>
      <c r="T162" s="3" t="str">
        <f>IFERROR(MID(VLOOKUP($B162,Seqs!$A:$B,2,0),U162,1),"")</f>
        <v>G</v>
      </c>
      <c r="U162" s="3">
        <v>102</v>
      </c>
      <c r="V162" s="3" t="str">
        <f>IFERROR(MID(VLOOKUP($B162,Seqs!$A:$B,2,0),W162,1),"")</f>
        <v>S</v>
      </c>
      <c r="W162" s="3">
        <v>137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T</v>
      </c>
      <c r="AC162" s="3">
        <v>146</v>
      </c>
      <c r="AD162" s="3" t="str">
        <f>IFERROR(MID(VLOOKUP($B162,Seqs!$A:$B,2,0),AE162,1),"")</f>
        <v>H</v>
      </c>
      <c r="AE162" s="3">
        <v>172</v>
      </c>
      <c r="AF162" s="3" t="str">
        <f>IFERROR(MID(VLOOKUP($B162,Seqs!$A:$B,2,0),AG162,1),"")</f>
        <v>C</v>
      </c>
      <c r="AG162" s="3">
        <v>191</v>
      </c>
      <c r="AH162" s="3" t="str">
        <f>IFERROR(MID(VLOOKUP($B162,Seqs!$A:$B,2,0),AI162,1),"")</f>
        <v>F</v>
      </c>
      <c r="AI162" s="3">
        <v>193</v>
      </c>
      <c r="AJ162" s="3" t="str">
        <f>IFERROR(MID(VLOOKUP($B162,Seqs!$A:$B,2,0),AK162,1),"")</f>
        <v>N</v>
      </c>
      <c r="AK162" s="3">
        <v>196</v>
      </c>
      <c r="AL162" s="3" t="str">
        <f>IFERROR(MID(VLOOKUP($B162,Seqs!$A:$B,2,0),AM162,1),"")</f>
        <v>L</v>
      </c>
      <c r="AM162" s="3">
        <v>230</v>
      </c>
      <c r="AN162" s="3" t="str">
        <f>IFERROR(MID(VLOOKUP($B162,Seqs!$A:$B,2,0),AO162,1),"")</f>
        <v>L</v>
      </c>
      <c r="AO162" s="3">
        <v>266</v>
      </c>
      <c r="AP162" s="3" t="str">
        <f>IFERROR(MID(VLOOKUP($B162,Seqs!$A:$B,2,0),AQ162,1),"")</f>
        <v>D</v>
      </c>
      <c r="AQ162" s="3">
        <v>300</v>
      </c>
      <c r="AR162" s="3" t="str">
        <f>IFERROR(MID(VLOOKUP($B162,Seqs!$A:$B,2,0),AS162,1),"")</f>
        <v>K</v>
      </c>
      <c r="AS162" s="3">
        <v>305</v>
      </c>
      <c r="AT162" s="3" t="str">
        <f>IFERROR(MID(VLOOKUP($B162,Seqs!$A:$B,2,0),AU162,1),"")</f>
        <v>R</v>
      </c>
      <c r="AU162" s="3">
        <v>328</v>
      </c>
      <c r="AV162" s="3" t="str">
        <f>IFERROR(MID(VLOOKUP($B162,Seqs!$A:$B,2,0),AW162,1),"")</f>
        <v>S</v>
      </c>
      <c r="AW162" s="3">
        <v>329</v>
      </c>
      <c r="AX162" s="3" t="str">
        <f>IFERROR(MID(VLOOKUP($B162,Seqs!$A:$B,2,0),AY162,1),"")</f>
        <v>C</v>
      </c>
      <c r="AY162" s="3">
        <v>341</v>
      </c>
      <c r="AZ162" s="77" t="str">
        <f>VLOOKUP(B162,Classification!A:D,2,0)</f>
        <v>A</v>
      </c>
      <c r="BA162" s="94" t="str">
        <f>VLOOKUP(B162,Classification!A:D,4,0)</f>
        <v>Adrenoceptors</v>
      </c>
      <c r="BB162" s="27" t="b">
        <f t="shared" si="1374"/>
        <v>1</v>
      </c>
      <c r="BC162" s="23">
        <f t="shared" si="1375"/>
        <v>246</v>
      </c>
      <c r="BD162" s="74" t="s">
        <v>23</v>
      </c>
      <c r="BE162" s="3" t="s">
        <v>1368</v>
      </c>
      <c r="BF162" s="118">
        <v>2.9</v>
      </c>
      <c r="BG162" s="49" t="s">
        <v>1</v>
      </c>
      <c r="BH162" s="49" t="s">
        <v>1</v>
      </c>
      <c r="BI162" s="1"/>
      <c r="BJ162" s="70" t="s">
        <v>1281</v>
      </c>
      <c r="BK162" s="57" t="s">
        <v>1281</v>
      </c>
      <c r="BL162" s="57" t="s">
        <v>1281</v>
      </c>
      <c r="BM162" s="57" t="s">
        <v>1281</v>
      </c>
      <c r="BN162" s="57" t="s">
        <v>1281</v>
      </c>
      <c r="BO162" s="57" t="s">
        <v>1281</v>
      </c>
      <c r="BP162" s="57" t="s">
        <v>1281</v>
      </c>
      <c r="BQ162" s="57" t="s">
        <v>1281</v>
      </c>
      <c r="BR162" s="57" t="s">
        <v>1281</v>
      </c>
      <c r="BS162" s="57" t="s">
        <v>1281</v>
      </c>
      <c r="BT162" s="57" t="s">
        <v>1281</v>
      </c>
      <c r="BU162" s="57" t="s">
        <v>1281</v>
      </c>
      <c r="BV162" s="70">
        <f t="shared" si="1376"/>
        <v>29</v>
      </c>
      <c r="BW162" s="71">
        <f t="shared" si="1377"/>
        <v>62</v>
      </c>
      <c r="BX162" s="72">
        <f t="shared" si="1378"/>
        <v>66</v>
      </c>
      <c r="BY162" s="71">
        <f t="shared" si="1379"/>
        <v>98</v>
      </c>
      <c r="BZ162" s="72">
        <f t="shared" si="1380"/>
        <v>102</v>
      </c>
      <c r="CA162" s="71" t="str">
        <f t="shared" si="1381"/>
        <v>-</v>
      </c>
      <c r="CB162" s="72">
        <f t="shared" si="1382"/>
        <v>146</v>
      </c>
      <c r="CC162" s="71">
        <f t="shared" si="1383"/>
        <v>191</v>
      </c>
      <c r="CD162" s="72">
        <f t="shared" si="1384"/>
        <v>196</v>
      </c>
      <c r="CE162" s="71">
        <f t="shared" si="1385"/>
        <v>266</v>
      </c>
      <c r="CF162" s="72">
        <f t="shared" si="1386"/>
        <v>305</v>
      </c>
      <c r="CG162" s="71">
        <f t="shared" si="1387"/>
        <v>329</v>
      </c>
      <c r="CH162" s="70">
        <f t="shared" si="1388"/>
        <v>61</v>
      </c>
      <c r="CI162" s="71">
        <f t="shared" si="1389"/>
        <v>65</v>
      </c>
      <c r="CJ162" s="72">
        <f t="shared" si="1390"/>
        <v>96</v>
      </c>
      <c r="CK162" s="72">
        <f t="shared" si="1391"/>
        <v>101</v>
      </c>
      <c r="CL162" s="72">
        <f t="shared" si="1392"/>
        <v>137</v>
      </c>
      <c r="CM162" s="72" t="str">
        <f t="shared" si="1393"/>
        <v>-</v>
      </c>
      <c r="CN162" s="72">
        <f t="shared" si="1394"/>
        <v>172</v>
      </c>
      <c r="CO162" s="72">
        <f t="shared" si="1395"/>
        <v>193</v>
      </c>
      <c r="CP162" s="72">
        <f t="shared" si="1396"/>
        <v>230</v>
      </c>
      <c r="CQ162" s="72">
        <f t="shared" si="1397"/>
        <v>300</v>
      </c>
      <c r="CR162" s="72">
        <f t="shared" si="1398"/>
        <v>328</v>
      </c>
      <c r="CS162" s="72">
        <f t="shared" si="1399"/>
        <v>341</v>
      </c>
      <c r="CT162" s="23">
        <f t="shared" si="1400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1373"/>
        <v>adrb2_human_6PS6</v>
      </c>
      <c r="B163" s="3" t="s">
        <v>126</v>
      </c>
      <c r="C163" s="3" t="s">
        <v>1608</v>
      </c>
      <c r="D163" s="3" t="str">
        <f>IFERROR(MID(VLOOKUP($B163,Seqs!$A:$B,2,0),E163,1),"")</f>
        <v>D</v>
      </c>
      <c r="E163" s="3">
        <v>29</v>
      </c>
      <c r="F163" s="3" t="str">
        <f>IFERROR(MID(VLOOKUP($B163,Seqs!$A:$B,2,0),G163,1),"")</f>
        <v>F</v>
      </c>
      <c r="G163" s="3">
        <v>61</v>
      </c>
      <c r="H163" s="3" t="str">
        <f>IFERROR(MID(VLOOKUP($B163,Seqs!$A:$B,2,0),I163,1),"")</f>
        <v>E</v>
      </c>
      <c r="I163" s="23">
        <v>62</v>
      </c>
      <c r="J163" s="3" t="str">
        <f>IFERROR(MID(VLOOKUP($B163,Seqs!$A:$B,2,0),K163,1),"")</f>
        <v>Q</v>
      </c>
      <c r="K163" s="23">
        <v>65</v>
      </c>
      <c r="L163" s="3" t="str">
        <f>IFERROR(MID(VLOOKUP($B163,Seqs!$A:$B,2,0),M163,1),"")</f>
        <v>T</v>
      </c>
      <c r="M163" s="3">
        <v>66</v>
      </c>
      <c r="N163" s="3" t="str">
        <f>IFERROR(MID(VLOOKUP($B163,Seqs!$A:$B,2,0),O163,1),"")</f>
        <v>M</v>
      </c>
      <c r="O163" s="3">
        <v>96</v>
      </c>
      <c r="P163" s="3" t="str">
        <f>IFERROR(MID(VLOOKUP($B163,Seqs!$A:$B,2,0),Q163,1),"")</f>
        <v>M</v>
      </c>
      <c r="Q163" s="3">
        <v>98</v>
      </c>
      <c r="R163" s="3" t="str">
        <f>IFERROR(MID(VLOOKUP($B163,Seqs!$A:$B,2,0),S163,1),"")</f>
        <v>F</v>
      </c>
      <c r="S163" s="3">
        <v>101</v>
      </c>
      <c r="T163" s="3" t="str">
        <f>IFERROR(MID(VLOOKUP($B163,Seqs!$A:$B,2,0),U163,1),"")</f>
        <v>G</v>
      </c>
      <c r="U163" s="3">
        <v>102</v>
      </c>
      <c r="V163" s="3" t="str">
        <f>IFERROR(MID(VLOOKUP($B163,Seqs!$A:$B,2,0),W163,1),"")</f>
        <v>S</v>
      </c>
      <c r="W163" s="3">
        <v>137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T</v>
      </c>
      <c r="AC163" s="3">
        <v>146</v>
      </c>
      <c r="AD163" s="3" t="str">
        <f>IFERROR(MID(VLOOKUP($B163,Seqs!$A:$B,2,0),AE163,1),"")</f>
        <v>H</v>
      </c>
      <c r="AE163" s="3">
        <v>172</v>
      </c>
      <c r="AF163" s="3" t="str">
        <f>IFERROR(MID(VLOOKUP($B163,Seqs!$A:$B,2,0),AG163,1),"")</f>
        <v>C</v>
      </c>
      <c r="AG163" s="3">
        <v>191</v>
      </c>
      <c r="AH163" s="3" t="str">
        <f>IFERROR(MID(VLOOKUP($B163,Seqs!$A:$B,2,0),AI163,1),"")</f>
        <v>F</v>
      </c>
      <c r="AI163" s="3">
        <v>193</v>
      </c>
      <c r="AJ163" s="3" t="str">
        <f>IFERROR(MID(VLOOKUP($B163,Seqs!$A:$B,2,0),AK163,1),"")</f>
        <v>N</v>
      </c>
      <c r="AK163" s="3">
        <v>196</v>
      </c>
      <c r="AL163" s="3" t="str">
        <f>IFERROR(MID(VLOOKUP($B163,Seqs!$A:$B,2,0),AM163,1),"")</f>
        <v>L</v>
      </c>
      <c r="AM163" s="3">
        <v>230</v>
      </c>
      <c r="AN163" s="3" t="str">
        <f>IFERROR(MID(VLOOKUP($B163,Seqs!$A:$B,2,0),AO163,1),"")</f>
        <v>L</v>
      </c>
      <c r="AO163" s="3">
        <v>266</v>
      </c>
      <c r="AP163" s="3" t="str">
        <f>IFERROR(MID(VLOOKUP($B163,Seqs!$A:$B,2,0),AQ163,1),"")</f>
        <v>D</v>
      </c>
      <c r="AQ163" s="3">
        <v>300</v>
      </c>
      <c r="AR163" s="3" t="str">
        <f>IFERROR(MID(VLOOKUP($B163,Seqs!$A:$B,2,0),AS163,1),"")</f>
        <v>K</v>
      </c>
      <c r="AS163" s="3">
        <v>305</v>
      </c>
      <c r="AT163" s="3" t="str">
        <f>IFERROR(MID(VLOOKUP($B163,Seqs!$A:$B,2,0),AU163,1),"")</f>
        <v>R</v>
      </c>
      <c r="AU163" s="3">
        <v>328</v>
      </c>
      <c r="AV163" s="3" t="str">
        <f>IFERROR(MID(VLOOKUP($B163,Seqs!$A:$B,2,0),AW163,1),"")</f>
        <v>S</v>
      </c>
      <c r="AW163" s="3">
        <v>329</v>
      </c>
      <c r="AX163" s="3" t="str">
        <f>IFERROR(MID(VLOOKUP($B163,Seqs!$A:$B,2,0),AY163,1),"")</f>
        <v>C</v>
      </c>
      <c r="AY163" s="3">
        <v>341</v>
      </c>
      <c r="AZ163" s="77" t="str">
        <f>VLOOKUP(B163,Classification!A:D,2,0)</f>
        <v>A</v>
      </c>
      <c r="BA163" s="94" t="str">
        <f>VLOOKUP(B163,Classification!A:D,4,0)</f>
        <v>Adrenoceptors</v>
      </c>
      <c r="BB163" s="27" t="b">
        <f t="shared" si="1374"/>
        <v>1</v>
      </c>
      <c r="BC163" s="23">
        <f t="shared" si="1375"/>
        <v>246</v>
      </c>
      <c r="BD163" s="74" t="s">
        <v>23</v>
      </c>
      <c r="BE163" s="3" t="s">
        <v>1368</v>
      </c>
      <c r="BF163" s="118">
        <v>2.7</v>
      </c>
      <c r="BG163" s="49" t="s">
        <v>1</v>
      </c>
      <c r="BH163" s="49" t="s">
        <v>1</v>
      </c>
      <c r="BI163" s="1"/>
      <c r="BJ163" s="70" t="s">
        <v>1281</v>
      </c>
      <c r="BK163" s="57" t="s">
        <v>1281</v>
      </c>
      <c r="BL163" s="57" t="s">
        <v>1281</v>
      </c>
      <c r="BM163" s="57" t="s">
        <v>1281</v>
      </c>
      <c r="BN163" s="57" t="s">
        <v>1281</v>
      </c>
      <c r="BO163" s="57" t="s">
        <v>1281</v>
      </c>
      <c r="BP163" s="57" t="s">
        <v>1281</v>
      </c>
      <c r="BQ163" s="57" t="s">
        <v>1281</v>
      </c>
      <c r="BR163" s="57" t="s">
        <v>1281</v>
      </c>
      <c r="BS163" s="57" t="s">
        <v>1281</v>
      </c>
      <c r="BT163" s="57" t="s">
        <v>1281</v>
      </c>
      <c r="BU163" s="57" t="s">
        <v>1281</v>
      </c>
      <c r="BV163" s="70">
        <f t="shared" si="1376"/>
        <v>29</v>
      </c>
      <c r="BW163" s="71">
        <f t="shared" si="1377"/>
        <v>62</v>
      </c>
      <c r="BX163" s="72">
        <f t="shared" si="1378"/>
        <v>66</v>
      </c>
      <c r="BY163" s="71">
        <f t="shared" si="1379"/>
        <v>98</v>
      </c>
      <c r="BZ163" s="72">
        <f t="shared" si="1380"/>
        <v>102</v>
      </c>
      <c r="CA163" s="71" t="str">
        <f t="shared" si="1381"/>
        <v>-</v>
      </c>
      <c r="CB163" s="72">
        <f t="shared" si="1382"/>
        <v>146</v>
      </c>
      <c r="CC163" s="71">
        <f t="shared" si="1383"/>
        <v>191</v>
      </c>
      <c r="CD163" s="72">
        <f t="shared" si="1384"/>
        <v>196</v>
      </c>
      <c r="CE163" s="71">
        <f t="shared" si="1385"/>
        <v>266</v>
      </c>
      <c r="CF163" s="72">
        <f t="shared" si="1386"/>
        <v>305</v>
      </c>
      <c r="CG163" s="71">
        <f t="shared" si="1387"/>
        <v>329</v>
      </c>
      <c r="CH163" s="70">
        <f t="shared" si="1388"/>
        <v>61</v>
      </c>
      <c r="CI163" s="71">
        <f t="shared" si="1389"/>
        <v>65</v>
      </c>
      <c r="CJ163" s="72">
        <f t="shared" si="1390"/>
        <v>96</v>
      </c>
      <c r="CK163" s="72">
        <f t="shared" si="1391"/>
        <v>101</v>
      </c>
      <c r="CL163" s="72">
        <f t="shared" si="1392"/>
        <v>137</v>
      </c>
      <c r="CM163" s="72" t="str">
        <f t="shared" si="1393"/>
        <v>-</v>
      </c>
      <c r="CN163" s="72">
        <f t="shared" si="1394"/>
        <v>172</v>
      </c>
      <c r="CO163" s="72">
        <f t="shared" si="1395"/>
        <v>193</v>
      </c>
      <c r="CP163" s="72">
        <f t="shared" si="1396"/>
        <v>230</v>
      </c>
      <c r="CQ163" s="72">
        <f t="shared" si="1397"/>
        <v>300</v>
      </c>
      <c r="CR163" s="72">
        <f t="shared" si="1398"/>
        <v>328</v>
      </c>
      <c r="CS163" s="72">
        <f t="shared" si="1399"/>
        <v>341</v>
      </c>
      <c r="CT163" s="23">
        <f t="shared" si="1400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>CONCATENATE(B164,"_",C164)</f>
        <v>adrb2_human_6NI3</v>
      </c>
      <c r="B164" s="3" t="s">
        <v>126</v>
      </c>
      <c r="C164" s="3" t="s">
        <v>1611</v>
      </c>
      <c r="D164" s="3" t="str">
        <f>IFERROR(MID(VLOOKUP($B164,Seqs!$A:$B,2,0),E164,1),"")</f>
        <v>V</v>
      </c>
      <c r="E164" s="3">
        <v>31</v>
      </c>
      <c r="F164" s="3" t="str">
        <f>IFERROR(MID(VLOOKUP($B164,Seqs!$A:$B,2,0),G164,1),"")</f>
        <v>K</v>
      </c>
      <c r="G164" s="3">
        <v>60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T</v>
      </c>
      <c r="M164" s="3">
        <v>66</v>
      </c>
      <c r="N164" s="3" t="str">
        <f>IFERROR(MID(VLOOKUP($B164,Seqs!$A:$B,2,0),O164,1),"")</f>
        <v>K</v>
      </c>
      <c r="O164" s="3">
        <v>97</v>
      </c>
      <c r="P164" s="3" t="str">
        <f>IFERROR(MID(VLOOKUP($B164,Seqs!$A:$B,2,0),Q164,1),"")</f>
        <v>M</v>
      </c>
      <c r="Q164" s="3">
        <v>98</v>
      </c>
      <c r="R164" s="3" t="str">
        <f>IFERROR(MID(VLOOKUP($B164,Seqs!$A:$B,2,0),S164,1),"")</f>
        <v>F</v>
      </c>
      <c r="S164" s="3">
        <v>101</v>
      </c>
      <c r="T164" s="3" t="str">
        <f>IFERROR(MID(VLOOKUP($B164,Seqs!$A:$B,2,0),U164,1),"")</f>
        <v>G</v>
      </c>
      <c r="U164" s="3">
        <v>102</v>
      </c>
      <c r="V164" s="3" t="str">
        <f>IFERROR(MID(VLOOKUP($B164,Seqs!$A:$B,2,0),W164,1),"")</f>
        <v>S</v>
      </c>
      <c r="W164" s="3">
        <v>137</v>
      </c>
      <c r="X164" s="3" t="str">
        <f>IFERROR(MID(VLOOKUP($B164,Seqs!$A:$B,2,0),Y164,1),"")</f>
        <v>P</v>
      </c>
      <c r="Y164" s="3">
        <v>138</v>
      </c>
      <c r="Z164" s="3" t="str">
        <f>IFERROR(MID(VLOOKUP($B164,Seqs!$A:$B,2,0),AA164,1),"")</f>
        <v>L</v>
      </c>
      <c r="AA164" s="3">
        <v>145</v>
      </c>
      <c r="AB164" s="3" t="str">
        <f>IFERROR(MID(VLOOKUP($B164,Seqs!$A:$B,2,0),AC164,1),"")</f>
        <v>T</v>
      </c>
      <c r="AC164" s="3">
        <v>146</v>
      </c>
      <c r="AD164" s="3" t="str">
        <f>IFERROR(MID(VLOOKUP($B164,Seqs!$A:$B,2,0),AE164,1),"")</f>
        <v>H</v>
      </c>
      <c r="AE164" s="3">
        <v>172</v>
      </c>
      <c r="AF164" s="3" t="str">
        <f>IFERROR(MID(VLOOKUP($B164,Seqs!$A:$B,2,0),AG164,1),"")</f>
        <v/>
      </c>
      <c r="AG164" s="3" t="s">
        <v>23</v>
      </c>
      <c r="AH164" s="3" t="str">
        <f>IFERROR(MID(VLOOKUP($B164,Seqs!$A:$B,2,0),AI164,1),"")</f>
        <v/>
      </c>
      <c r="AI164" s="3" t="s">
        <v>23</v>
      </c>
      <c r="AJ164" s="3" t="str">
        <f>IFERROR(MID(VLOOKUP($B164,Seqs!$A:$B,2,0),AK164,1),"")</f>
        <v>N</v>
      </c>
      <c r="AK164" s="3">
        <v>196</v>
      </c>
      <c r="AL164" s="3" t="str">
        <f>IFERROR(MID(VLOOKUP($B164,Seqs!$A:$B,2,0),AM164,1),"")</f>
        <v>S</v>
      </c>
      <c r="AM164" s="3">
        <v>236</v>
      </c>
      <c r="AN164" s="3" t="str">
        <f>IFERROR(MID(VLOOKUP($B164,Seqs!$A:$B,2,0),AO164,1),"")</f>
        <v>C</v>
      </c>
      <c r="AO164" s="3">
        <v>265</v>
      </c>
      <c r="AP164" s="3" t="str">
        <f>IFERROR(MID(VLOOKUP($B164,Seqs!$A:$B,2,0),AQ164,1),"")</f>
        <v>Q</v>
      </c>
      <c r="AQ164" s="3">
        <v>299</v>
      </c>
      <c r="AR164" s="3" t="str">
        <f>IFERROR(MID(VLOOKUP($B164,Seqs!$A:$B,2,0),AS164,1),"")</f>
        <v>R</v>
      </c>
      <c r="AS164" s="3">
        <v>304</v>
      </c>
      <c r="AT164" s="3" t="str">
        <f>IFERROR(MID(VLOOKUP($B164,Seqs!$A:$B,2,0),AU164,1),"")</f>
        <v>C</v>
      </c>
      <c r="AU164" s="3">
        <v>327</v>
      </c>
      <c r="AV164" s="3" t="str">
        <f>IFERROR(MID(VLOOKUP($B164,Seqs!$A:$B,2,0),AW164,1),"")</f>
        <v>S</v>
      </c>
      <c r="AW164" s="3">
        <v>329</v>
      </c>
      <c r="AX164" s="3" t="str">
        <f>IFERROR(MID(VLOOKUP($B164,Seqs!$A:$B,2,0),AY164,1),"")</f>
        <v>L</v>
      </c>
      <c r="AY164" s="3">
        <v>340</v>
      </c>
      <c r="AZ164" s="77" t="str">
        <f>VLOOKUP(B164,Classification!A:D,2,0)</f>
        <v>A</v>
      </c>
      <c r="BA164" s="94" t="str">
        <f>VLOOKUP(B164,Classification!A:D,4,0)</f>
        <v>Adrenoceptors</v>
      </c>
      <c r="BB164" s="27" t="b">
        <f t="shared" si="1374"/>
        <v>1</v>
      </c>
      <c r="BC164" s="23">
        <f t="shared" si="1375"/>
        <v>251</v>
      </c>
      <c r="BD164" s="74" t="s">
        <v>23</v>
      </c>
      <c r="BE164" s="3" t="s">
        <v>1285</v>
      </c>
      <c r="BF164" s="118">
        <v>3.8</v>
      </c>
      <c r="BG164" s="49" t="s">
        <v>1416</v>
      </c>
      <c r="BH164" s="49" t="s">
        <v>1416</v>
      </c>
      <c r="BI164" s="1"/>
      <c r="BJ164" s="70" t="s">
        <v>1281</v>
      </c>
      <c r="BK164" s="57" t="s">
        <v>1281</v>
      </c>
      <c r="BL164" s="57" t="s">
        <v>1281</v>
      </c>
      <c r="BM164" s="57" t="s">
        <v>1281</v>
      </c>
      <c r="BN164" s="57" t="s">
        <v>1281</v>
      </c>
      <c r="BO164" s="57" t="s">
        <v>1281</v>
      </c>
      <c r="BP164" s="57" t="s">
        <v>1281</v>
      </c>
      <c r="BQ164" s="57" t="s">
        <v>1281</v>
      </c>
      <c r="BR164" s="57" t="s">
        <v>1281</v>
      </c>
      <c r="BS164" s="57" t="s">
        <v>1281</v>
      </c>
      <c r="BT164" s="57" t="s">
        <v>1281</v>
      </c>
      <c r="BU164" s="57" t="s">
        <v>1281</v>
      </c>
      <c r="BV164" s="70">
        <f t="shared" si="1376"/>
        <v>31</v>
      </c>
      <c r="BW164" s="71" t="str">
        <f t="shared" si="1377"/>
        <v>-</v>
      </c>
      <c r="BX164" s="72">
        <f t="shared" si="1378"/>
        <v>66</v>
      </c>
      <c r="BY164" s="71">
        <f t="shared" si="1379"/>
        <v>98</v>
      </c>
      <c r="BZ164" s="72">
        <f t="shared" si="1380"/>
        <v>102</v>
      </c>
      <c r="CA164" s="71">
        <f t="shared" si="1381"/>
        <v>138</v>
      </c>
      <c r="CB164" s="72">
        <f t="shared" si="1382"/>
        <v>146</v>
      </c>
      <c r="CC164" s="71" t="str">
        <f t="shared" si="1383"/>
        <v>-</v>
      </c>
      <c r="CD164" s="72">
        <f t="shared" si="1384"/>
        <v>196</v>
      </c>
      <c r="CE164" s="71">
        <f t="shared" si="1385"/>
        <v>265</v>
      </c>
      <c r="CF164" s="72">
        <f t="shared" si="1386"/>
        <v>304</v>
      </c>
      <c r="CG164" s="71">
        <f t="shared" si="1387"/>
        <v>329</v>
      </c>
      <c r="CH164" s="70">
        <f t="shared" si="1388"/>
        <v>60</v>
      </c>
      <c r="CI164" s="71" t="str">
        <f t="shared" si="1389"/>
        <v>-</v>
      </c>
      <c r="CJ164" s="72">
        <f t="shared" si="1390"/>
        <v>97</v>
      </c>
      <c r="CK164" s="72">
        <f t="shared" si="1391"/>
        <v>101</v>
      </c>
      <c r="CL164" s="72">
        <f t="shared" si="1392"/>
        <v>137</v>
      </c>
      <c r="CM164" s="72">
        <f t="shared" si="1393"/>
        <v>145</v>
      </c>
      <c r="CN164" s="72">
        <f t="shared" si="1394"/>
        <v>172</v>
      </c>
      <c r="CO164" s="72" t="str">
        <f t="shared" si="1395"/>
        <v>-</v>
      </c>
      <c r="CP164" s="72">
        <f t="shared" si="1396"/>
        <v>236</v>
      </c>
      <c r="CQ164" s="72">
        <f t="shared" si="1397"/>
        <v>299</v>
      </c>
      <c r="CR164" s="72">
        <f t="shared" si="1398"/>
        <v>327</v>
      </c>
      <c r="CS164" s="72">
        <f t="shared" si="1399"/>
        <v>340</v>
      </c>
      <c r="CT164" s="23" t="e">
        <f t="shared" si="1400"/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s="12" customFormat="1" x14ac:dyDescent="0.2">
      <c r="A165" s="9" t="str">
        <f>CONCATENATE(B165,"_",C165)</f>
        <v>adrb2_human_7BZ2</v>
      </c>
      <c r="B165" s="9" t="s">
        <v>126</v>
      </c>
      <c r="C165" s="9" t="s">
        <v>1719</v>
      </c>
      <c r="D165" s="9" t="str">
        <f>IFERROR(MID(VLOOKUP($B165,Seqs!$A:$B,2,0),E165,1),"")</f>
        <v>V</v>
      </c>
      <c r="E165" s="9">
        <v>31</v>
      </c>
      <c r="F165" s="9" t="str">
        <f>IFERROR(MID(VLOOKUP($B165,Seqs!$A:$B,2,0),G165,1),"")</f>
        <v>A</v>
      </c>
      <c r="G165" s="9">
        <v>59</v>
      </c>
      <c r="H165" s="9" t="str">
        <f>IFERROR(MID(VLOOKUP($B165,Seqs!$A:$B,2,0),I165,1),"")</f>
        <v/>
      </c>
      <c r="I165" s="109" t="s">
        <v>23</v>
      </c>
      <c r="J165" s="9" t="str">
        <f>IFERROR(MID(VLOOKUP($B165,Seqs!$A:$B,2,0),K165,1),"")</f>
        <v/>
      </c>
      <c r="K165" s="109" t="s">
        <v>23</v>
      </c>
      <c r="L165" s="9" t="str">
        <f>IFERROR(MID(VLOOKUP($B165,Seqs!$A:$B,2,0),M165,1),"")</f>
        <v>T</v>
      </c>
      <c r="M165" s="9">
        <v>66</v>
      </c>
      <c r="N165" s="9" t="str">
        <f>IFERROR(MID(VLOOKUP($B165,Seqs!$A:$B,2,0),O165,1),"")</f>
        <v>K</v>
      </c>
      <c r="O165" s="9">
        <v>97</v>
      </c>
      <c r="P165" s="9" t="str">
        <f>IFERROR(MID(VLOOKUP($B165,Seqs!$A:$B,2,0),Q165,1),"")</f>
        <v>M</v>
      </c>
      <c r="Q165" s="9">
        <v>98</v>
      </c>
      <c r="R165" s="9" t="str">
        <f>IFERROR(MID(VLOOKUP($B165,Seqs!$A:$B,2,0),S165,1),"")</f>
        <v>F</v>
      </c>
      <c r="S165" s="9">
        <v>101</v>
      </c>
      <c r="T165" s="9" t="str">
        <f>IFERROR(MID(VLOOKUP($B165,Seqs!$A:$B,2,0),U165,1),"")</f>
        <v>N</v>
      </c>
      <c r="U165" s="9">
        <v>103</v>
      </c>
      <c r="V165" s="9" t="str">
        <f>IFERROR(MID(VLOOKUP($B165,Seqs!$A:$B,2,0),W165,1),"")</f>
        <v>S</v>
      </c>
      <c r="W165" s="9">
        <v>137</v>
      </c>
      <c r="X165" s="9" t="str">
        <f>IFERROR(MID(VLOOKUP($B165,Seqs!$A:$B,2,0),Y165,1),"")</f>
        <v>P</v>
      </c>
      <c r="Y165" s="9">
        <v>138</v>
      </c>
      <c r="Z165" s="9" t="str">
        <f>IFERROR(MID(VLOOKUP($B165,Seqs!$A:$B,2,0),AA165,1),"")</f>
        <v>L</v>
      </c>
      <c r="AA165" s="9">
        <v>145</v>
      </c>
      <c r="AB165" s="9" t="str">
        <f>IFERROR(MID(VLOOKUP($B165,Seqs!$A:$B,2,0),AC165,1),"")</f>
        <v>T</v>
      </c>
      <c r="AC165" s="9">
        <v>146</v>
      </c>
      <c r="AD165" s="9" t="str">
        <f>IFERROR(MID(VLOOKUP($B165,Seqs!$A:$B,2,0),AE165,1),"")</f>
        <v>M</v>
      </c>
      <c r="AE165" s="9">
        <v>171</v>
      </c>
      <c r="AF165" s="9" t="str">
        <f>IFERROR(MID(VLOOKUP($B165,Seqs!$A:$B,2,0),AG165,1),"")</f>
        <v/>
      </c>
      <c r="AG165" s="9" t="s">
        <v>23</v>
      </c>
      <c r="AH165" s="9" t="str">
        <f>IFERROR(MID(VLOOKUP($B165,Seqs!$A:$B,2,0),AI165,1),"")</f>
        <v/>
      </c>
      <c r="AI165" s="9" t="s">
        <v>23</v>
      </c>
      <c r="AJ165" s="9" t="str">
        <f>IFERROR(MID(VLOOKUP($B165,Seqs!$A:$B,2,0),AK165,1),"")</f>
        <v>N</v>
      </c>
      <c r="AK165" s="9">
        <v>196</v>
      </c>
      <c r="AL165" s="9" t="str">
        <f>IFERROR(MID(VLOOKUP($B165,Seqs!$A:$B,2,0),AM165,1),"")</f>
        <v>E</v>
      </c>
      <c r="AM165" s="9">
        <v>237</v>
      </c>
      <c r="AN165" s="9" t="str">
        <f>IFERROR(MID(VLOOKUP($B165,Seqs!$A:$B,2,0),AO165,1),"")</f>
        <v>K</v>
      </c>
      <c r="AO165" s="9">
        <v>270</v>
      </c>
      <c r="AP165" s="9" t="str">
        <f>IFERROR(MID(VLOOKUP($B165,Seqs!$A:$B,2,0),AQ165,1),"")</f>
        <v>Q</v>
      </c>
      <c r="AQ165" s="9">
        <v>299</v>
      </c>
      <c r="AR165" s="9" t="str">
        <f>IFERROR(MID(VLOOKUP($B165,Seqs!$A:$B,2,0),AS165,1),"")</f>
        <v>R</v>
      </c>
      <c r="AS165" s="9">
        <v>304</v>
      </c>
      <c r="AT165" s="9" t="str">
        <f>IFERROR(MID(VLOOKUP($B165,Seqs!$A:$B,2,0),AU165,1),"")</f>
        <v>Y</v>
      </c>
      <c r="AU165" s="9">
        <v>326</v>
      </c>
      <c r="AV165" s="9" t="str">
        <f>IFERROR(MID(VLOOKUP($B165,Seqs!$A:$B,2,0),AW165,1),"")</f>
        <v>S</v>
      </c>
      <c r="AW165" s="9">
        <v>329</v>
      </c>
      <c r="AX165" s="9" t="str">
        <f>IFERROR(MID(VLOOKUP($B165,Seqs!$A:$B,2,0),AY165,1),"")</f>
        <v>Q</v>
      </c>
      <c r="AY165" s="9">
        <v>337</v>
      </c>
      <c r="AZ165" s="110" t="str">
        <f>VLOOKUP(B165,Classification!A:D,2,0)</f>
        <v>A</v>
      </c>
      <c r="BA165" s="98" t="str">
        <f>VLOOKUP(B165,Classification!A:D,4,0)</f>
        <v>Adrenoceptors</v>
      </c>
      <c r="BB165" s="36" t="b">
        <f t="shared" ref="BB165" si="1428"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109">
        <f t="shared" ref="BC165" si="1429">_xlfn.AGGREGATE(9,6,CH165:CS165)-_xlfn.AGGREGATE(9,6,BV165:CG165)+12</f>
        <v>240</v>
      </c>
      <c r="BD165" s="136" t="s">
        <v>23</v>
      </c>
      <c r="BE165" s="9" t="s">
        <v>1285</v>
      </c>
      <c r="BF165" s="119">
        <v>3.82</v>
      </c>
      <c r="BG165" s="51" t="s">
        <v>1416</v>
      </c>
      <c r="BH165" s="51" t="s">
        <v>1416</v>
      </c>
      <c r="BJ165" s="111" t="s">
        <v>1281</v>
      </c>
      <c r="BK165" s="112" t="s">
        <v>1281</v>
      </c>
      <c r="BL165" s="112" t="s">
        <v>1281</v>
      </c>
      <c r="BM165" s="112" t="s">
        <v>1281</v>
      </c>
      <c r="BN165" s="112" t="s">
        <v>1281</v>
      </c>
      <c r="BO165" s="112" t="s">
        <v>1281</v>
      </c>
      <c r="BP165" s="112" t="s">
        <v>1281</v>
      </c>
      <c r="BQ165" s="112" t="s">
        <v>1281</v>
      </c>
      <c r="BR165" s="112" t="s">
        <v>1281</v>
      </c>
      <c r="BS165" s="112" t="s">
        <v>1281</v>
      </c>
      <c r="BT165" s="112" t="s">
        <v>1281</v>
      </c>
      <c r="BU165" s="112" t="s">
        <v>1281</v>
      </c>
      <c r="BV165" s="111">
        <f t="shared" ref="BV165" si="1430">E165</f>
        <v>31</v>
      </c>
      <c r="BW165" s="113" t="str">
        <f t="shared" ref="BW165" si="1431">I165</f>
        <v>-</v>
      </c>
      <c r="BX165" s="114">
        <f t="shared" ref="BX165" si="1432">M165</f>
        <v>66</v>
      </c>
      <c r="BY165" s="113">
        <f t="shared" ref="BY165" si="1433">Q165</f>
        <v>98</v>
      </c>
      <c r="BZ165" s="114">
        <f t="shared" ref="BZ165" si="1434">U165</f>
        <v>103</v>
      </c>
      <c r="CA165" s="113">
        <f t="shared" ref="CA165" si="1435">Y165</f>
        <v>138</v>
      </c>
      <c r="CB165" s="114">
        <f t="shared" ref="CB165" si="1436">AC165</f>
        <v>146</v>
      </c>
      <c r="CC165" s="113" t="str">
        <f t="shared" ref="CC165" si="1437">AG165</f>
        <v>-</v>
      </c>
      <c r="CD165" s="114">
        <f t="shared" ref="CD165" si="1438">AK165</f>
        <v>196</v>
      </c>
      <c r="CE165" s="113">
        <f t="shared" ref="CE165" si="1439">AO165</f>
        <v>270</v>
      </c>
      <c r="CF165" s="114">
        <f t="shared" ref="CF165" si="1440">AS165</f>
        <v>304</v>
      </c>
      <c r="CG165" s="113">
        <f t="shared" ref="CG165" si="1441">AW165</f>
        <v>329</v>
      </c>
      <c r="CH165" s="111">
        <f t="shared" ref="CH165" si="1442">G165</f>
        <v>59</v>
      </c>
      <c r="CI165" s="113" t="str">
        <f t="shared" ref="CI165" si="1443">K165</f>
        <v>-</v>
      </c>
      <c r="CJ165" s="114">
        <f t="shared" ref="CJ165" si="1444">O165</f>
        <v>97</v>
      </c>
      <c r="CK165" s="114">
        <f t="shared" ref="CK165" si="1445">S165</f>
        <v>101</v>
      </c>
      <c r="CL165" s="114">
        <f t="shared" ref="CL165" si="1446">W165</f>
        <v>137</v>
      </c>
      <c r="CM165" s="114">
        <f t="shared" ref="CM165" si="1447">AA165</f>
        <v>145</v>
      </c>
      <c r="CN165" s="114">
        <f t="shared" ref="CN165" si="1448">AE165</f>
        <v>171</v>
      </c>
      <c r="CO165" s="114" t="str">
        <f t="shared" ref="CO165" si="1449">AI165</f>
        <v>-</v>
      </c>
      <c r="CP165" s="114">
        <f t="shared" ref="CP165" si="1450">AM165</f>
        <v>237</v>
      </c>
      <c r="CQ165" s="114">
        <f t="shared" ref="CQ165" si="1451">AQ165</f>
        <v>299</v>
      </c>
      <c r="CR165" s="114">
        <f t="shared" ref="CR165" si="1452">AU165</f>
        <v>326</v>
      </c>
      <c r="CS165" s="114">
        <f t="shared" ref="CS165" si="1453">AY165</f>
        <v>337</v>
      </c>
      <c r="CT165" s="109" t="e">
        <f t="shared" ref="CT165" si="1454">M165-K165</f>
        <v>#VALUE!</v>
      </c>
    </row>
    <row r="166" spans="1:1029" x14ac:dyDescent="0.2">
      <c r="A166" s="3" t="str">
        <f t="shared" si="1371"/>
        <v>agtr1_human__wt</v>
      </c>
      <c r="B166" s="3" t="s">
        <v>158</v>
      </c>
      <c r="C166" s="3" t="s">
        <v>100</v>
      </c>
      <c r="D166" s="3" t="str">
        <f>IFERROR(MID(VLOOKUP($B166,Seqs!$A:$B,2,0),E166,1),"")</f>
        <v>H</v>
      </c>
      <c r="E166" s="3">
        <v>24</v>
      </c>
      <c r="F166" s="3" t="str">
        <f>IFERROR(MID(VLOOKUP($B166,Seqs!$A:$B,2,0),G166,1),"")</f>
        <v>Y</v>
      </c>
      <c r="G166" s="3">
        <v>56</v>
      </c>
      <c r="H166" s="3" t="str">
        <f>IFERROR(MID(VLOOKUP($B166,Seqs!$A:$B,2,0),I166,1),"")</f>
        <v>M</v>
      </c>
      <c r="I166" s="23">
        <v>57</v>
      </c>
      <c r="J166" s="3" t="str">
        <f>IFERROR(MID(VLOOKUP($B166,Seqs!$A:$B,2,0),K166,1),"")</f>
        <v>K</v>
      </c>
      <c r="K166" s="23">
        <v>60</v>
      </c>
      <c r="L166" s="3" t="str">
        <f>IFERROR(MID(VLOOKUP($B166,Seqs!$A:$B,2,0),M166,1),"")</f>
        <v>T</v>
      </c>
      <c r="M166" s="3">
        <v>61</v>
      </c>
      <c r="N166" s="3" t="str">
        <f>IFERROR(MID(VLOOKUP($B166,Seqs!$A:$B,2,0),O166,1),"")</f>
        <v>E</v>
      </c>
      <c r="O166" s="3">
        <v>91</v>
      </c>
      <c r="P166" s="3" t="str">
        <f>IFERROR(MID(VLOOKUP($B166,Seqs!$A:$B,2,0),Q166,1),"")</f>
        <v>R</v>
      </c>
      <c r="Q166" s="3">
        <v>93</v>
      </c>
      <c r="R166" s="3" t="str">
        <f>IFERROR(MID(VLOOKUP($B166,Seqs!$A:$B,2,0),S166,1),"")</f>
        <v>F</v>
      </c>
      <c r="S166" s="3">
        <v>96</v>
      </c>
      <c r="T166" s="3" t="str">
        <f>IFERROR(MID(VLOOKUP($B166,Seqs!$A:$B,2,0),U166,1),"")</f>
        <v>G</v>
      </c>
      <c r="U166" s="3">
        <v>97</v>
      </c>
      <c r="V166" s="3" t="str">
        <f>IFERROR(MID(VLOOKUP($B166,Seqs!$A:$B,2,0),W166,1),"")</f>
        <v>H</v>
      </c>
      <c r="W166" s="3">
        <v>132</v>
      </c>
      <c r="X166" s="3" t="str">
        <f>IFERROR(MID(VLOOKUP($B166,Seqs!$A:$B,2,0),Y166,1),"")</f>
        <v>P</v>
      </c>
      <c r="Y166" s="3">
        <v>133</v>
      </c>
      <c r="Z166" s="3" t="str">
        <f>IFERROR(MID(VLOOKUP($B166,Seqs!$A:$B,2,0),AA166,1),"")</f>
        <v>R</v>
      </c>
      <c r="AA166" s="3">
        <v>140</v>
      </c>
      <c r="AB166" s="3" t="str">
        <f>IFERROR(MID(VLOOKUP($B166,Seqs!$A:$B,2,0),AC166,1),"")</f>
        <v>T</v>
      </c>
      <c r="AC166" s="3">
        <v>141</v>
      </c>
      <c r="AD166" s="3" t="str">
        <f>IFERROR(MID(VLOOKUP($B166,Seqs!$A:$B,2,0),AE166,1),"")</f>
        <v>R</v>
      </c>
      <c r="AE166" s="3">
        <v>167</v>
      </c>
      <c r="AF166" s="3" t="str">
        <f>IFERROR(MID(VLOOKUP($B166,Seqs!$A:$B,2,0),AG166,1),"")</f>
        <v>C</v>
      </c>
      <c r="AG166" s="3">
        <v>180</v>
      </c>
      <c r="AH166" s="3" t="str">
        <f>IFERROR(MID(VLOOKUP($B166,Seqs!$A:$B,2,0),AI166,1),"")</f>
        <v>F</v>
      </c>
      <c r="AI166" s="3">
        <v>182</v>
      </c>
      <c r="AJ166" s="3" t="str">
        <f>IFERROR(MID(VLOOKUP($B166,Seqs!$A:$B,2,0),AK166,1),"")</f>
        <v>L</v>
      </c>
      <c r="AK166" s="3">
        <v>191</v>
      </c>
      <c r="AL166" s="3" t="str">
        <f>IFERROR(MID(VLOOKUP($B166,Seqs!$A:$B,2,0),AM166,1),"")</f>
        <v>A</v>
      </c>
      <c r="AM166" s="3">
        <v>225</v>
      </c>
      <c r="AN166" s="3" t="str">
        <f>IFERROR(MID(VLOOKUP($B166,Seqs!$A:$B,2,0),AO166,1),"")</f>
        <v>P</v>
      </c>
      <c r="AO166" s="3">
        <v>233</v>
      </c>
      <c r="AP166" s="3" t="str">
        <f>IFERROR(MID(VLOOKUP($B166,Seqs!$A:$B,2,0),AQ166,1),"")</f>
        <v>G</v>
      </c>
      <c r="AQ166" s="3">
        <v>269</v>
      </c>
      <c r="AR166" s="3" t="str">
        <f>IFERROR(MID(VLOOKUP($B166,Seqs!$A:$B,2,0),AS166,1),"")</f>
        <v>D</v>
      </c>
      <c r="AS166" s="3">
        <v>273</v>
      </c>
      <c r="AT166" s="3" t="str">
        <f>IFERROR(MID(VLOOKUP($B166,Seqs!$A:$B,2,0),AU166,1),"")</f>
        <v>L</v>
      </c>
      <c r="AU166" s="3">
        <v>305</v>
      </c>
      <c r="AV166" s="3" t="str">
        <f>IFERROR(MID(VLOOKUP($B166,Seqs!$A:$B,2,0),AW166,1),"")</f>
        <v>G</v>
      </c>
      <c r="AW166" s="3">
        <v>306</v>
      </c>
      <c r="AX166" s="3" t="str">
        <f>IFERROR(MID(VLOOKUP($B166,Seqs!$A:$B,2,0),AY166,1),"")</f>
        <v>I</v>
      </c>
      <c r="AY166" s="3">
        <v>320</v>
      </c>
      <c r="AZ166" s="77" t="str">
        <f>VLOOKUP(B166,Classification!A:D,2,0)</f>
        <v>A</v>
      </c>
      <c r="BA166" s="94" t="str">
        <f>VLOOKUP(B166,Classification!A:D,4,0)</f>
        <v>Angiotensin</v>
      </c>
      <c r="BB166" s="27" t="b">
        <f t="shared" si="1372"/>
        <v>1</v>
      </c>
      <c r="BC166" s="23">
        <f t="shared" si="1121"/>
        <v>266</v>
      </c>
      <c r="BD166" s="56" t="s">
        <v>23</v>
      </c>
      <c r="BE166" s="3" t="s">
        <v>23</v>
      </c>
      <c r="BF166" s="118" t="s">
        <v>23</v>
      </c>
      <c r="BG166" s="49" t="s">
        <v>1366</v>
      </c>
      <c r="BH166" s="49" t="s">
        <v>1371</v>
      </c>
      <c r="BI166" s="1"/>
      <c r="BJ166" s="70" t="s">
        <v>1281</v>
      </c>
      <c r="BK166" s="57" t="s">
        <v>1281</v>
      </c>
      <c r="BL166" s="57" t="s">
        <v>1281</v>
      </c>
      <c r="BM166" s="57" t="s">
        <v>1281</v>
      </c>
      <c r="BN166" s="57" t="s">
        <v>1281</v>
      </c>
      <c r="BO166" s="57" t="s">
        <v>1281</v>
      </c>
      <c r="BP166" s="57" t="s">
        <v>1281</v>
      </c>
      <c r="BQ166" s="57" t="s">
        <v>1281</v>
      </c>
      <c r="BR166" s="57" t="s">
        <v>1281</v>
      </c>
      <c r="BS166" s="57" t="s">
        <v>1281</v>
      </c>
      <c r="BT166" s="57" t="s">
        <v>1281</v>
      </c>
      <c r="BU166" s="57" t="s">
        <v>1281</v>
      </c>
      <c r="BV166" s="70">
        <f t="shared" si="1122"/>
        <v>24</v>
      </c>
      <c r="BW166" s="71">
        <f t="shared" si="1123"/>
        <v>57</v>
      </c>
      <c r="BX166" s="72">
        <f t="shared" si="1124"/>
        <v>61</v>
      </c>
      <c r="BY166" s="71">
        <f t="shared" si="1125"/>
        <v>93</v>
      </c>
      <c r="BZ166" s="72">
        <f t="shared" si="1126"/>
        <v>97</v>
      </c>
      <c r="CA166" s="71">
        <f t="shared" si="1127"/>
        <v>133</v>
      </c>
      <c r="CB166" s="72">
        <f t="shared" si="1128"/>
        <v>141</v>
      </c>
      <c r="CC166" s="71">
        <f t="shared" si="1129"/>
        <v>180</v>
      </c>
      <c r="CD166" s="72">
        <f t="shared" si="1130"/>
        <v>191</v>
      </c>
      <c r="CE166" s="71">
        <f t="shared" si="1131"/>
        <v>233</v>
      </c>
      <c r="CF166" s="72">
        <f t="shared" si="1132"/>
        <v>273</v>
      </c>
      <c r="CG166" s="71">
        <f t="shared" si="1133"/>
        <v>306</v>
      </c>
      <c r="CH166" s="70">
        <f t="shared" si="1134"/>
        <v>56</v>
      </c>
      <c r="CI166" s="71">
        <f t="shared" si="1135"/>
        <v>60</v>
      </c>
      <c r="CJ166" s="72">
        <f t="shared" si="1136"/>
        <v>91</v>
      </c>
      <c r="CK166" s="72">
        <f t="shared" si="1137"/>
        <v>96</v>
      </c>
      <c r="CL166" s="72">
        <f t="shared" si="1138"/>
        <v>132</v>
      </c>
      <c r="CM166" s="72">
        <f t="shared" si="1139"/>
        <v>140</v>
      </c>
      <c r="CN166" s="72">
        <f t="shared" si="1140"/>
        <v>167</v>
      </c>
      <c r="CO166" s="72">
        <f t="shared" si="1141"/>
        <v>182</v>
      </c>
      <c r="CP166" s="72">
        <f t="shared" si="1142"/>
        <v>225</v>
      </c>
      <c r="CQ166" s="72">
        <f t="shared" si="1143"/>
        <v>269</v>
      </c>
      <c r="CR166" s="72">
        <f t="shared" si="1144"/>
        <v>305</v>
      </c>
      <c r="CS166" s="72">
        <f t="shared" si="1145"/>
        <v>320</v>
      </c>
      <c r="CT166" s="23">
        <f t="shared" si="1146"/>
        <v>1</v>
      </c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/>
      <c r="AFS166" s="2"/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2"/>
      <c r="AIL166" s="2"/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2"/>
      <c r="AKL166" s="2"/>
      <c r="AKM166" s="2"/>
      <c r="AKN166" s="2"/>
      <c r="AKO166" s="2"/>
      <c r="AKP166" s="2"/>
      <c r="AKQ166" s="2"/>
      <c r="AKR166" s="2"/>
      <c r="AKS166" s="2"/>
      <c r="AKT166" s="2"/>
      <c r="AKU166" s="2"/>
      <c r="AKV166" s="2"/>
      <c r="AKW166" s="2"/>
      <c r="AKX166" s="2"/>
      <c r="AKY166" s="2"/>
      <c r="AKZ166" s="2"/>
      <c r="ALA166" s="2"/>
      <c r="ALB166" s="2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  <c r="AMK166" s="2"/>
      <c r="AML166" s="2"/>
      <c r="AMM166" s="2"/>
      <c r="AMN166" s="2"/>
      <c r="AMO166" s="2"/>
    </row>
    <row r="167" spans="1:1029" x14ac:dyDescent="0.2">
      <c r="A167" s="3" t="str">
        <f t="shared" si="1371"/>
        <v>agtr1_human_4YAY</v>
      </c>
      <c r="B167" s="3" t="s">
        <v>158</v>
      </c>
      <c r="C167" s="3" t="s">
        <v>69</v>
      </c>
      <c r="D167" s="3" t="str">
        <f>IFERROR(MID(VLOOKUP($B167,Seqs!$A:$B,2,0),E167,1),"")</f>
        <v>Y</v>
      </c>
      <c r="E167" s="3">
        <v>26</v>
      </c>
      <c r="F167" s="3" t="str">
        <f>IFERROR(MID(VLOOKUP($B167,Seqs!$A:$B,2,0),G167,1),"")</f>
        <v>Y</v>
      </c>
      <c r="G167" s="3">
        <v>56</v>
      </c>
      <c r="H167" s="3" t="str">
        <f>IFERROR(MID(VLOOKUP($B167,Seqs!$A:$B,2,0),I167,1),"")</f>
        <v>M</v>
      </c>
      <c r="I167" s="23">
        <v>57</v>
      </c>
      <c r="J167" s="3" t="str">
        <f>IFERROR(MID(VLOOKUP($B167,Seqs!$A:$B,2,0),K167,1),"")</f>
        <v>K</v>
      </c>
      <c r="K167" s="23">
        <v>60</v>
      </c>
      <c r="L167" s="3" t="str">
        <f>IFERROR(MID(VLOOKUP($B167,Seqs!$A:$B,2,0),M167,1),"")</f>
        <v>T</v>
      </c>
      <c r="M167" s="3">
        <v>61</v>
      </c>
      <c r="N167" s="3" t="str">
        <f>IFERROR(MID(VLOOKUP($B167,Seqs!$A:$B,2,0),O167,1),"")</f>
        <v>E</v>
      </c>
      <c r="O167" s="3">
        <v>91</v>
      </c>
      <c r="P167" s="3" t="str">
        <f>IFERROR(MID(VLOOKUP($B167,Seqs!$A:$B,2,0),Q167,1),"")</f>
        <v>R</v>
      </c>
      <c r="Q167" s="3">
        <v>93</v>
      </c>
      <c r="R167" s="3" t="str">
        <f>IFERROR(MID(VLOOKUP($B167,Seqs!$A:$B,2,0),S167,1),"")</f>
        <v>F</v>
      </c>
      <c r="S167" s="3">
        <v>96</v>
      </c>
      <c r="T167" s="3" t="str">
        <f>IFERROR(MID(VLOOKUP($B167,Seqs!$A:$B,2,0),U167,1),"")</f>
        <v>G</v>
      </c>
      <c r="U167" s="3">
        <v>97</v>
      </c>
      <c r="V167" s="3" t="str">
        <f>IFERROR(MID(VLOOKUP($B167,Seqs!$A:$B,2,0),W167,1),"")</f>
        <v>H</v>
      </c>
      <c r="W167" s="3">
        <v>132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R</v>
      </c>
      <c r="AC167" s="3">
        <v>137</v>
      </c>
      <c r="AD167" s="3" t="str">
        <f>IFERROR(MID(VLOOKUP($B167,Seqs!$A:$B,2,0),AE167,1),"")</f>
        <v>R</v>
      </c>
      <c r="AE167" s="3">
        <v>167</v>
      </c>
      <c r="AF167" s="3" t="str">
        <f>IFERROR(MID(VLOOKUP($B167,Seqs!$A:$B,2,0),AG167,1),"")</f>
        <v>C</v>
      </c>
      <c r="AG167" s="3">
        <v>180</v>
      </c>
      <c r="AH167" s="3" t="str">
        <f>IFERROR(MID(VLOOKUP($B167,Seqs!$A:$B,2,0),AI167,1),"")</f>
        <v>F</v>
      </c>
      <c r="AI167" s="3">
        <v>182</v>
      </c>
      <c r="AJ167" s="3" t="str">
        <f>IFERROR(MID(VLOOKUP($B167,Seqs!$A:$B,2,0),AK167,1),"")</f>
        <v>L</v>
      </c>
      <c r="AK167" s="3">
        <v>191</v>
      </c>
      <c r="AL167" s="3" t="str">
        <f>IFERROR(MID(VLOOKUP($B167,Seqs!$A:$B,2,0),AM167,1),"")</f>
        <v>L</v>
      </c>
      <c r="AM167" s="3">
        <v>222</v>
      </c>
      <c r="AN167" s="3" t="str">
        <f>IFERROR(MID(VLOOKUP($B167,Seqs!$A:$B,2,0),AO167,1),"")</f>
        <v>N</v>
      </c>
      <c r="AO167" s="3">
        <v>235</v>
      </c>
      <c r="AP167" s="3" t="str">
        <f>IFERROR(MID(VLOOKUP($B167,Seqs!$A:$B,2,0),AQ167,1),"")</f>
        <v>G</v>
      </c>
      <c r="AQ167" s="3">
        <v>269</v>
      </c>
      <c r="AR167" s="3" t="str">
        <f>IFERROR(MID(VLOOKUP($B167,Seqs!$A:$B,2,0),AS167,1),"")</f>
        <v>D</v>
      </c>
      <c r="AS167" s="3">
        <v>273</v>
      </c>
      <c r="AT167" s="3" t="str">
        <f>IFERROR(MID(VLOOKUP($B167,Seqs!$A:$B,2,0),AU167,1),"")</f>
        <v>N</v>
      </c>
      <c r="AU167" s="3">
        <v>298</v>
      </c>
      <c r="AV167" s="3" t="str">
        <f>IFERROR(MID(VLOOKUP($B167,Seqs!$A:$B,2,0),AW167,1),"")</f>
        <v/>
      </c>
      <c r="AW167" s="3" t="s">
        <v>23</v>
      </c>
      <c r="AX167" s="3" t="str">
        <f>IFERROR(MID(VLOOKUP($B167,Seqs!$A:$B,2,0),AY167,1),"")</f>
        <v/>
      </c>
      <c r="AY167" s="3" t="s">
        <v>23</v>
      </c>
      <c r="AZ167" s="77" t="str">
        <f>VLOOKUP(B167,Classification!A:D,2,0)</f>
        <v>A</v>
      </c>
      <c r="BA167" s="94" t="str">
        <f>VLOOKUP(B167,Classification!A:D,4,0)</f>
        <v>Angiotensin</v>
      </c>
      <c r="BB167" s="27" t="b">
        <f t="shared" si="1372"/>
        <v>1</v>
      </c>
      <c r="BC167" s="23">
        <f t="shared" si="1121"/>
        <v>235</v>
      </c>
      <c r="BD167" s="4" t="s">
        <v>23</v>
      </c>
      <c r="BE167" s="3" t="s">
        <v>1368</v>
      </c>
      <c r="BF167" s="118">
        <v>2.9</v>
      </c>
      <c r="BG167" s="49" t="s">
        <v>1371</v>
      </c>
      <c r="BH167" s="49" t="s">
        <v>1371</v>
      </c>
      <c r="BI167" s="1"/>
      <c r="BJ167" s="70" t="s">
        <v>1281</v>
      </c>
      <c r="BK167" s="57" t="s">
        <v>1281</v>
      </c>
      <c r="BL167" s="57" t="s">
        <v>1281</v>
      </c>
      <c r="BM167" s="57" t="s">
        <v>1281</v>
      </c>
      <c r="BN167" s="57" t="s">
        <v>1281</v>
      </c>
      <c r="BO167" s="57" t="s">
        <v>1281</v>
      </c>
      <c r="BP167" s="57" t="s">
        <v>1281</v>
      </c>
      <c r="BQ167" s="57" t="s">
        <v>1281</v>
      </c>
      <c r="BR167" s="57" t="s">
        <v>1281</v>
      </c>
      <c r="BS167" s="57" t="s">
        <v>1281</v>
      </c>
      <c r="BT167" s="57" t="s">
        <v>1281</v>
      </c>
      <c r="BU167" s="57" t="s">
        <v>1281</v>
      </c>
      <c r="BV167" s="70">
        <f t="shared" si="1122"/>
        <v>26</v>
      </c>
      <c r="BW167" s="71">
        <f t="shared" si="1123"/>
        <v>57</v>
      </c>
      <c r="BX167" s="72">
        <f t="shared" si="1124"/>
        <v>61</v>
      </c>
      <c r="BY167" s="71">
        <f t="shared" si="1125"/>
        <v>93</v>
      </c>
      <c r="BZ167" s="72">
        <f t="shared" si="1126"/>
        <v>97</v>
      </c>
      <c r="CA167" s="71" t="str">
        <f t="shared" si="1127"/>
        <v>-</v>
      </c>
      <c r="CB167" s="72">
        <f t="shared" si="1128"/>
        <v>137</v>
      </c>
      <c r="CC167" s="71">
        <f t="shared" si="1129"/>
        <v>180</v>
      </c>
      <c r="CD167" s="72">
        <f t="shared" si="1130"/>
        <v>191</v>
      </c>
      <c r="CE167" s="71">
        <f t="shared" si="1131"/>
        <v>235</v>
      </c>
      <c r="CF167" s="72">
        <f t="shared" si="1132"/>
        <v>273</v>
      </c>
      <c r="CG167" s="71" t="str">
        <f t="shared" si="1133"/>
        <v>-</v>
      </c>
      <c r="CH167" s="70">
        <f t="shared" si="1134"/>
        <v>56</v>
      </c>
      <c r="CI167" s="71">
        <f t="shared" si="1135"/>
        <v>60</v>
      </c>
      <c r="CJ167" s="72">
        <f t="shared" si="1136"/>
        <v>91</v>
      </c>
      <c r="CK167" s="72">
        <f t="shared" si="1137"/>
        <v>96</v>
      </c>
      <c r="CL167" s="72">
        <f t="shared" si="1138"/>
        <v>132</v>
      </c>
      <c r="CM167" s="72" t="str">
        <f t="shared" si="1139"/>
        <v>-</v>
      </c>
      <c r="CN167" s="72">
        <f t="shared" si="1140"/>
        <v>167</v>
      </c>
      <c r="CO167" s="72">
        <f t="shared" si="1141"/>
        <v>182</v>
      </c>
      <c r="CP167" s="72">
        <f t="shared" si="1142"/>
        <v>222</v>
      </c>
      <c r="CQ167" s="72">
        <f t="shared" si="1143"/>
        <v>269</v>
      </c>
      <c r="CR167" s="72">
        <f t="shared" si="1144"/>
        <v>298</v>
      </c>
      <c r="CS167" s="72" t="str">
        <f t="shared" si="1145"/>
        <v>-</v>
      </c>
      <c r="CT167" s="23">
        <f t="shared" si="1146"/>
        <v>1</v>
      </c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  <c r="AMK167" s="2"/>
      <c r="AML167" s="2"/>
      <c r="AMM167" s="2"/>
      <c r="AMN167" s="2"/>
      <c r="AMO167" s="2"/>
    </row>
    <row r="168" spans="1:1029" x14ac:dyDescent="0.2">
      <c r="A168" s="3" t="str">
        <f t="shared" si="1371"/>
        <v>agtr1_human_4YAY_dist</v>
      </c>
      <c r="B168" s="3" t="s">
        <v>158</v>
      </c>
      <c r="C168" s="3" t="s">
        <v>1153</v>
      </c>
      <c r="D168" s="3" t="str">
        <f>IFERROR(MID(VLOOKUP($B168,Seqs!$A:$B,2,0),E168,1),"")</f>
        <v>Y</v>
      </c>
      <c r="E168" s="3">
        <v>26</v>
      </c>
      <c r="F168" s="3" t="str">
        <f>IFERROR(MID(VLOOKUP($B168,Seqs!$A:$B,2,0),G168,1),"")</f>
        <v>Y</v>
      </c>
      <c r="G168" s="3">
        <v>56</v>
      </c>
      <c r="H168" s="3" t="str">
        <f>IFERROR(MID(VLOOKUP($B168,Seqs!$A:$B,2,0),I168,1),"")</f>
        <v>M</v>
      </c>
      <c r="I168" s="23">
        <v>57</v>
      </c>
      <c r="J168" s="3" t="str">
        <f>IFERROR(MID(VLOOKUP($B168,Seqs!$A:$B,2,0),K168,1),"")</f>
        <v>K</v>
      </c>
      <c r="K168" s="23">
        <v>60</v>
      </c>
      <c r="L168" s="3" t="str">
        <f>IFERROR(MID(VLOOKUP($B168,Seqs!$A:$B,2,0),M168,1),"")</f>
        <v>T</v>
      </c>
      <c r="M168" s="3">
        <v>61</v>
      </c>
      <c r="N168" s="3" t="str">
        <f>IFERROR(MID(VLOOKUP($B168,Seqs!$A:$B,2,0),O168,1),"")</f>
        <v>E</v>
      </c>
      <c r="O168" s="3">
        <v>91</v>
      </c>
      <c r="P168" s="3" t="str">
        <f>IFERROR(MID(VLOOKUP($B168,Seqs!$A:$B,2,0),Q168,1),"")</f>
        <v>R</v>
      </c>
      <c r="Q168" s="3">
        <v>93</v>
      </c>
      <c r="R168" s="3" t="str">
        <f>IFERROR(MID(VLOOKUP($B168,Seqs!$A:$B,2,0),S168,1),"")</f>
        <v>F</v>
      </c>
      <c r="S168" s="3">
        <v>96</v>
      </c>
      <c r="T168" s="3" t="str">
        <f>IFERROR(MID(VLOOKUP($B168,Seqs!$A:$B,2,0),U168,1),"")</f>
        <v>G</v>
      </c>
      <c r="U168" s="3">
        <v>97</v>
      </c>
      <c r="V168" s="3" t="str">
        <f>IFERROR(MID(VLOOKUP($B168,Seqs!$A:$B,2,0),W168,1),"")</f>
        <v>H</v>
      </c>
      <c r="W168" s="3">
        <v>132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R</v>
      </c>
      <c r="AC168" s="3">
        <v>137</v>
      </c>
      <c r="AD168" s="3" t="str">
        <f>IFERROR(MID(VLOOKUP($B168,Seqs!$A:$B,2,0),AE168,1),"")</f>
        <v>R</v>
      </c>
      <c r="AE168" s="3">
        <v>167</v>
      </c>
      <c r="AF168" s="3" t="str">
        <f>IFERROR(MID(VLOOKUP($B168,Seqs!$A:$B,2,0),AG168,1),"")</f>
        <v>C</v>
      </c>
      <c r="AG168" s="3">
        <v>180</v>
      </c>
      <c r="AH168" s="3" t="str">
        <f>IFERROR(MID(VLOOKUP($B168,Seqs!$A:$B,2,0),AI168,1),"")</f>
        <v>F</v>
      </c>
      <c r="AI168" s="3">
        <v>182</v>
      </c>
      <c r="AJ168" s="3" t="str">
        <f>IFERROR(MID(VLOOKUP($B168,Seqs!$A:$B,2,0),AK168,1),"")</f>
        <v>L</v>
      </c>
      <c r="AK168" s="3">
        <v>191</v>
      </c>
      <c r="AL168" s="3" t="str">
        <f>IFERROR(MID(VLOOKUP($B168,Seqs!$A:$B,2,0),AM168,1),"")</f>
        <v>L</v>
      </c>
      <c r="AM168" s="3">
        <v>222</v>
      </c>
      <c r="AN168" s="3" t="str">
        <f>IFERROR(MID(VLOOKUP($B168,Seqs!$A:$B,2,0),AO168,1),"")</f>
        <v>N</v>
      </c>
      <c r="AO168" s="3">
        <v>235</v>
      </c>
      <c r="AP168" s="3" t="str">
        <f>IFERROR(MID(VLOOKUP($B168,Seqs!$A:$B,2,0),AQ168,1),"")</f>
        <v>G</v>
      </c>
      <c r="AQ168" s="3">
        <v>269</v>
      </c>
      <c r="AR168" s="3" t="str">
        <f>IFERROR(MID(VLOOKUP($B168,Seqs!$A:$B,2,0),AS168,1),"")</f>
        <v>D</v>
      </c>
      <c r="AS168" s="3">
        <v>273</v>
      </c>
      <c r="AT168" s="3" t="str">
        <f>IFERROR(MID(VLOOKUP($B168,Seqs!$A:$B,2,0),AU168,1),"")</f>
        <v>F</v>
      </c>
      <c r="AU168" s="3">
        <v>304</v>
      </c>
      <c r="AV168" s="3" t="str">
        <f>IFERROR(MID(VLOOKUP($B168,Seqs!$A:$B,2,0),AW168,1),"")</f>
        <v>G</v>
      </c>
      <c r="AW168" s="3">
        <v>306</v>
      </c>
      <c r="AX168" s="3" t="str">
        <f>IFERROR(MID(VLOOKUP($B168,Seqs!$A:$B,2,0),AY168,1),"")</f>
        <v>L</v>
      </c>
      <c r="AY168" s="3">
        <v>317</v>
      </c>
      <c r="AZ168" s="77" t="str">
        <f>VLOOKUP(B168,Classification!A:D,2,0)</f>
        <v>A</v>
      </c>
      <c r="BA168" s="94" t="str">
        <f>VLOOKUP(B168,Classification!A:D,4,0)</f>
        <v>Angiotensin</v>
      </c>
      <c r="BB168" s="27" t="b">
        <f t="shared" si="1372"/>
        <v>1</v>
      </c>
      <c r="BC168" s="23">
        <f t="shared" si="1121"/>
        <v>252</v>
      </c>
      <c r="BD168" s="5"/>
      <c r="BE168" s="3" t="s">
        <v>1368</v>
      </c>
      <c r="BF168" s="118">
        <v>2.9</v>
      </c>
      <c r="BG168" s="49" t="s">
        <v>1371</v>
      </c>
      <c r="BH168" s="49" t="s">
        <v>1371</v>
      </c>
      <c r="BI168" s="1"/>
      <c r="BJ168" s="70" t="s">
        <v>1281</v>
      </c>
      <c r="BK168" s="57" t="s">
        <v>1281</v>
      </c>
      <c r="BL168" s="57" t="s">
        <v>1281</v>
      </c>
      <c r="BM168" s="57" t="s">
        <v>1281</v>
      </c>
      <c r="BN168" s="57" t="s">
        <v>1281</v>
      </c>
      <c r="BO168" s="57" t="s">
        <v>1281</v>
      </c>
      <c r="BP168" s="57" t="s">
        <v>1281</v>
      </c>
      <c r="BQ168" s="57" t="s">
        <v>1281</v>
      </c>
      <c r="BR168" s="57" t="s">
        <v>1281</v>
      </c>
      <c r="BS168" s="57" t="s">
        <v>1281</v>
      </c>
      <c r="BT168" s="57" t="s">
        <v>1281</v>
      </c>
      <c r="BU168" s="57" t="s">
        <v>1281</v>
      </c>
      <c r="BV168" s="70">
        <f t="shared" si="1122"/>
        <v>26</v>
      </c>
      <c r="BW168" s="71">
        <f t="shared" si="1123"/>
        <v>57</v>
      </c>
      <c r="BX168" s="72">
        <f t="shared" si="1124"/>
        <v>61</v>
      </c>
      <c r="BY168" s="71">
        <f t="shared" si="1125"/>
        <v>93</v>
      </c>
      <c r="BZ168" s="72">
        <f t="shared" si="1126"/>
        <v>97</v>
      </c>
      <c r="CA168" s="71" t="str">
        <f t="shared" si="1127"/>
        <v>-</v>
      </c>
      <c r="CB168" s="72">
        <f t="shared" si="1128"/>
        <v>137</v>
      </c>
      <c r="CC168" s="71">
        <f t="shared" si="1129"/>
        <v>180</v>
      </c>
      <c r="CD168" s="72">
        <f t="shared" si="1130"/>
        <v>191</v>
      </c>
      <c r="CE168" s="71">
        <f t="shared" si="1131"/>
        <v>235</v>
      </c>
      <c r="CF168" s="72">
        <f t="shared" si="1132"/>
        <v>273</v>
      </c>
      <c r="CG168" s="71">
        <f t="shared" si="1133"/>
        <v>306</v>
      </c>
      <c r="CH168" s="70">
        <f t="shared" si="1134"/>
        <v>56</v>
      </c>
      <c r="CI168" s="71">
        <f t="shared" si="1135"/>
        <v>60</v>
      </c>
      <c r="CJ168" s="72">
        <f t="shared" si="1136"/>
        <v>91</v>
      </c>
      <c r="CK168" s="72">
        <f t="shared" si="1137"/>
        <v>96</v>
      </c>
      <c r="CL168" s="72">
        <f t="shared" si="1138"/>
        <v>132</v>
      </c>
      <c r="CM168" s="72" t="str">
        <f t="shared" si="1139"/>
        <v>-</v>
      </c>
      <c r="CN168" s="72">
        <f t="shared" si="1140"/>
        <v>167</v>
      </c>
      <c r="CO168" s="72">
        <f t="shared" si="1141"/>
        <v>182</v>
      </c>
      <c r="CP168" s="72">
        <f t="shared" si="1142"/>
        <v>222</v>
      </c>
      <c r="CQ168" s="72">
        <f t="shared" si="1143"/>
        <v>269</v>
      </c>
      <c r="CR168" s="72">
        <f t="shared" si="1144"/>
        <v>304</v>
      </c>
      <c r="CS168" s="72">
        <f t="shared" si="1145"/>
        <v>317</v>
      </c>
      <c r="CT168" s="23">
        <f t="shared" si="1146"/>
        <v>1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  <c r="AMK168" s="2"/>
      <c r="AML168" s="2"/>
      <c r="AMM168" s="2"/>
      <c r="AMN168" s="2"/>
      <c r="AMO168" s="2"/>
    </row>
    <row r="169" spans="1:1029" x14ac:dyDescent="0.2">
      <c r="A169" s="3" t="str">
        <f t="shared" si="1371"/>
        <v>agtr1_human_4ZUD</v>
      </c>
      <c r="B169" s="3" t="s">
        <v>158</v>
      </c>
      <c r="C169" s="3" t="s">
        <v>1330</v>
      </c>
      <c r="D169" s="3" t="str">
        <f>IFERROR(MID(VLOOKUP($B169,Seqs!$A:$B,2,0),E169,1),"")</f>
        <v>H</v>
      </c>
      <c r="E169" s="3">
        <v>24</v>
      </c>
      <c r="F169" s="3" t="str">
        <f>IFERROR(MID(VLOOKUP($B169,Seqs!$A:$B,2,0),G169,1),"")</f>
        <v>Y</v>
      </c>
      <c r="G169" s="3">
        <v>56</v>
      </c>
      <c r="H169" s="3" t="str">
        <f>IFERROR(MID(VLOOKUP($B169,Seqs!$A:$B,2,0),I169,1),"")</f>
        <v>M</v>
      </c>
      <c r="I169" s="23">
        <v>57</v>
      </c>
      <c r="J169" s="3" t="str">
        <f>IFERROR(MID(VLOOKUP($B169,Seqs!$A:$B,2,0),K169,1),"")</f>
        <v>K</v>
      </c>
      <c r="K169" s="23">
        <v>60</v>
      </c>
      <c r="L169" s="3" t="str">
        <f>IFERROR(MID(VLOOKUP($B169,Seqs!$A:$B,2,0),M169,1),"")</f>
        <v>T</v>
      </c>
      <c r="M169" s="3">
        <v>61</v>
      </c>
      <c r="N169" s="3" t="str">
        <f>IFERROR(MID(VLOOKUP($B169,Seqs!$A:$B,2,0),O169,1),"")</f>
        <v>E</v>
      </c>
      <c r="O169" s="3">
        <v>91</v>
      </c>
      <c r="P169" s="3" t="str">
        <f>IFERROR(MID(VLOOKUP($B169,Seqs!$A:$B,2,0),Q169,1),"")</f>
        <v>R</v>
      </c>
      <c r="Q169" s="3">
        <v>93</v>
      </c>
      <c r="R169" s="3" t="str">
        <f>IFERROR(MID(VLOOKUP($B169,Seqs!$A:$B,2,0),S169,1),"")</f>
        <v>F</v>
      </c>
      <c r="S169" s="3">
        <v>96</v>
      </c>
      <c r="T169" s="3" t="str">
        <f>IFERROR(MID(VLOOKUP($B169,Seqs!$A:$B,2,0),U169,1),"")</f>
        <v>G</v>
      </c>
      <c r="U169" s="3">
        <v>97</v>
      </c>
      <c r="V169" s="3" t="str">
        <f>IFERROR(MID(VLOOKUP($B169,Seqs!$A:$B,2,0),W169,1),"")</f>
        <v>H</v>
      </c>
      <c r="W169" s="3">
        <v>132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M</v>
      </c>
      <c r="AC169" s="3">
        <v>142</v>
      </c>
      <c r="AD169" s="3" t="str">
        <f>IFERROR(MID(VLOOKUP($B169,Seqs!$A:$B,2,0),AE169,1),"")</f>
        <v>R</v>
      </c>
      <c r="AE169" s="3">
        <v>167</v>
      </c>
      <c r="AF169" s="3" t="str">
        <f>IFERROR(MID(VLOOKUP($B169,Seqs!$A:$B,2,0),AG169,1),"")</f>
        <v>C</v>
      </c>
      <c r="AG169" s="3">
        <v>180</v>
      </c>
      <c r="AH169" s="3" t="str">
        <f>IFERROR(MID(VLOOKUP($B169,Seqs!$A:$B,2,0),AI169,1),"")</f>
        <v>F</v>
      </c>
      <c r="AI169" s="3">
        <v>182</v>
      </c>
      <c r="AJ169" s="3" t="str">
        <f>IFERROR(MID(VLOOKUP($B169,Seqs!$A:$B,2,0),AK169,1),"")</f>
        <v>L</v>
      </c>
      <c r="AK169" s="3">
        <v>191</v>
      </c>
      <c r="AL169" s="3" t="str">
        <f>IFERROR(MID(VLOOKUP($B169,Seqs!$A:$B,2,0),AM169,1),"")</f>
        <v>L</v>
      </c>
      <c r="AM169" s="3">
        <v>222</v>
      </c>
      <c r="AN169" s="3" t="str">
        <f>IFERROR(MID(VLOOKUP($B169,Seqs!$A:$B,2,0),AO169,1),"")</f>
        <v>D</v>
      </c>
      <c r="AO169" s="3">
        <v>236</v>
      </c>
      <c r="AP169" s="3" t="str">
        <f>IFERROR(MID(VLOOKUP($B169,Seqs!$A:$B,2,0),AQ169,1),"")</f>
        <v>G</v>
      </c>
      <c r="AQ169" s="3">
        <v>269</v>
      </c>
      <c r="AR169" s="3" t="str">
        <f>IFERROR(MID(VLOOKUP($B169,Seqs!$A:$B,2,0),AS169,1),"")</f>
        <v>D</v>
      </c>
      <c r="AS169" s="3">
        <v>273</v>
      </c>
      <c r="AT169" s="3" t="str">
        <f>IFERROR(MID(VLOOKUP($B169,Seqs!$A:$B,2,0),AU169,1),"")</f>
        <v>F</v>
      </c>
      <c r="AU169" s="3">
        <v>304</v>
      </c>
      <c r="AV169" s="3" t="str">
        <f>IFERROR(MID(VLOOKUP($B169,Seqs!$A:$B,2,0),AW169,1),"")</f>
        <v/>
      </c>
      <c r="AW169" s="3" t="s">
        <v>23</v>
      </c>
      <c r="AX169" s="3" t="str">
        <f>IFERROR(MID(VLOOKUP($B169,Seqs!$A:$B,2,0),AY169,1),"")</f>
        <v/>
      </c>
      <c r="AY169" s="3" t="s">
        <v>23</v>
      </c>
      <c r="AZ169" s="77" t="str">
        <f>VLOOKUP(B169,Classification!A:D,2,0)</f>
        <v>A</v>
      </c>
      <c r="BA169" s="94" t="str">
        <f>VLOOKUP(B169,Classification!A:D,4,0)</f>
        <v>Angiotensin</v>
      </c>
      <c r="BB169" s="27" t="b">
        <f t="shared" si="1372"/>
        <v>1</v>
      </c>
      <c r="BC169" s="23">
        <f t="shared" si="1121"/>
        <v>237</v>
      </c>
      <c r="BD169" s="2" t="s">
        <v>1370</v>
      </c>
      <c r="BE169" s="3" t="s">
        <v>1368</v>
      </c>
      <c r="BF169" s="118">
        <v>2.8</v>
      </c>
      <c r="BG169" s="49" t="s">
        <v>1371</v>
      </c>
      <c r="BH169" s="49" t="s">
        <v>1371</v>
      </c>
      <c r="BI169" s="1"/>
      <c r="BJ169" s="70" t="s">
        <v>1281</v>
      </c>
      <c r="BK169" s="57" t="s">
        <v>1281</v>
      </c>
      <c r="BL169" s="57" t="s">
        <v>1281</v>
      </c>
      <c r="BM169" s="57" t="s">
        <v>1281</v>
      </c>
      <c r="BN169" s="57" t="s">
        <v>1281</v>
      </c>
      <c r="BO169" s="57" t="s">
        <v>1281</v>
      </c>
      <c r="BP169" s="57" t="s">
        <v>1281</v>
      </c>
      <c r="BQ169" s="57" t="s">
        <v>1281</v>
      </c>
      <c r="BR169" s="57" t="s">
        <v>1281</v>
      </c>
      <c r="BS169" s="57" t="s">
        <v>1281</v>
      </c>
      <c r="BT169" s="57" t="s">
        <v>1281</v>
      </c>
      <c r="BU169" s="57" t="s">
        <v>1281</v>
      </c>
      <c r="BV169" s="70">
        <f t="shared" si="1122"/>
        <v>24</v>
      </c>
      <c r="BW169" s="71">
        <f t="shared" si="1123"/>
        <v>57</v>
      </c>
      <c r="BX169" s="72">
        <f t="shared" si="1124"/>
        <v>61</v>
      </c>
      <c r="BY169" s="71">
        <f t="shared" si="1125"/>
        <v>93</v>
      </c>
      <c r="BZ169" s="72">
        <f t="shared" si="1126"/>
        <v>97</v>
      </c>
      <c r="CA169" s="71" t="str">
        <f t="shared" si="1127"/>
        <v>-</v>
      </c>
      <c r="CB169" s="72">
        <f t="shared" si="1128"/>
        <v>142</v>
      </c>
      <c r="CC169" s="71">
        <f t="shared" si="1129"/>
        <v>180</v>
      </c>
      <c r="CD169" s="72">
        <f t="shared" si="1130"/>
        <v>191</v>
      </c>
      <c r="CE169" s="71">
        <f t="shared" si="1131"/>
        <v>236</v>
      </c>
      <c r="CF169" s="72">
        <f t="shared" si="1132"/>
        <v>273</v>
      </c>
      <c r="CG169" s="71" t="str">
        <f t="shared" si="1133"/>
        <v>-</v>
      </c>
      <c r="CH169" s="70">
        <f t="shared" si="1134"/>
        <v>56</v>
      </c>
      <c r="CI169" s="71">
        <f t="shared" si="1135"/>
        <v>60</v>
      </c>
      <c r="CJ169" s="72">
        <f t="shared" si="1136"/>
        <v>91</v>
      </c>
      <c r="CK169" s="72">
        <f t="shared" si="1137"/>
        <v>96</v>
      </c>
      <c r="CL169" s="72">
        <f t="shared" si="1138"/>
        <v>132</v>
      </c>
      <c r="CM169" s="72" t="str">
        <f t="shared" si="1139"/>
        <v>-</v>
      </c>
      <c r="CN169" s="72">
        <f t="shared" si="1140"/>
        <v>167</v>
      </c>
      <c r="CO169" s="72">
        <f t="shared" si="1141"/>
        <v>182</v>
      </c>
      <c r="CP169" s="72">
        <f t="shared" si="1142"/>
        <v>222</v>
      </c>
      <c r="CQ169" s="72">
        <f t="shared" si="1143"/>
        <v>269</v>
      </c>
      <c r="CR169" s="72">
        <f t="shared" si="1144"/>
        <v>304</v>
      </c>
      <c r="CS169" s="72" t="str">
        <f t="shared" si="1145"/>
        <v>-</v>
      </c>
      <c r="CT169" s="23">
        <f t="shared" si="1146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 t="shared" ref="A170" si="1455">CONCATENATE(B170,"_",C170)</f>
        <v>agtr1_human_6DO1</v>
      </c>
      <c r="B170" s="3" t="s">
        <v>158</v>
      </c>
      <c r="C170" s="3" t="s">
        <v>1549</v>
      </c>
      <c r="D170" s="3" t="str">
        <f>IFERROR(MID(VLOOKUP($B170,Seqs!$A:$B,2,0),E170,1),"")</f>
        <v>H</v>
      </c>
      <c r="E170" s="3">
        <v>24</v>
      </c>
      <c r="F170" s="3" t="str">
        <f>IFERROR(MID(VLOOKUP($B170,Seqs!$A:$B,2,0),G170,1),"")</f>
        <v>Y</v>
      </c>
      <c r="G170" s="3">
        <v>56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T</v>
      </c>
      <c r="M170" s="3">
        <v>61</v>
      </c>
      <c r="N170" s="3" t="str">
        <f>IFERROR(MID(VLOOKUP($B170,Seqs!$A:$B,2,0),O170,1),"")</f>
        <v>E</v>
      </c>
      <c r="O170" s="3">
        <v>91</v>
      </c>
      <c r="P170" s="3" t="str">
        <f>IFERROR(MID(VLOOKUP($B170,Seqs!$A:$B,2,0),Q170,1),"")</f>
        <v>R</v>
      </c>
      <c r="Q170" s="3">
        <v>93</v>
      </c>
      <c r="R170" s="3" t="str">
        <f>IFERROR(MID(VLOOKUP($B170,Seqs!$A:$B,2,0),S170,1),"")</f>
        <v>F</v>
      </c>
      <c r="S170" s="3">
        <v>96</v>
      </c>
      <c r="T170" s="3" t="str">
        <f>IFERROR(MID(VLOOKUP($B170,Seqs!$A:$B,2,0),U170,1),"")</f>
        <v>G</v>
      </c>
      <c r="U170" s="3">
        <v>97</v>
      </c>
      <c r="V170" s="3" t="str">
        <f>IFERROR(MID(VLOOKUP($B170,Seqs!$A:$B,2,0),W170,1),"")</f>
        <v>H</v>
      </c>
      <c r="W170" s="3">
        <v>132</v>
      </c>
      <c r="X170" s="3" t="str">
        <f>IFERROR(MID(VLOOKUP($B170,Seqs!$A:$B,2,0),Y170,1),"")</f>
        <v>P</v>
      </c>
      <c r="Y170" s="3">
        <v>133</v>
      </c>
      <c r="Z170" s="3" t="str">
        <f>IFERROR(MID(VLOOKUP($B170,Seqs!$A:$B,2,0),AA170,1),"")</f>
        <v>R</v>
      </c>
      <c r="AA170" s="3">
        <v>140</v>
      </c>
      <c r="AB170" s="3" t="str">
        <f>IFERROR(MID(VLOOKUP($B170,Seqs!$A:$B,2,0),AC170,1),"")</f>
        <v>T</v>
      </c>
      <c r="AC170" s="3">
        <v>141</v>
      </c>
      <c r="AD170" s="3" t="str">
        <f>IFERROR(MID(VLOOKUP($B170,Seqs!$A:$B,2,0),AE170,1),"")</f>
        <v>R</v>
      </c>
      <c r="AE170" s="3">
        <v>167</v>
      </c>
      <c r="AF170" s="3" t="str">
        <f>IFERROR(MID(VLOOKUP($B170,Seqs!$A:$B,2,0),AG170,1),"")</f>
        <v>C</v>
      </c>
      <c r="AG170" s="3">
        <v>180</v>
      </c>
      <c r="AH170" s="3" t="str">
        <f>IFERROR(MID(VLOOKUP($B170,Seqs!$A:$B,2,0),AI170,1),"")</f>
        <v>F</v>
      </c>
      <c r="AI170" s="3">
        <v>182</v>
      </c>
      <c r="AJ170" s="3" t="str">
        <f>IFERROR(MID(VLOOKUP($B170,Seqs!$A:$B,2,0),AK170,1),"")</f>
        <v>P</v>
      </c>
      <c r="AK170" s="3">
        <v>192</v>
      </c>
      <c r="AL170" s="3" t="str">
        <f>IFERROR(MID(VLOOKUP($B170,Seqs!$A:$B,2,0),AM170,1),"")</f>
        <v>N</v>
      </c>
      <c r="AM170" s="3">
        <v>231</v>
      </c>
      <c r="AN170" s="3" t="str">
        <f>IFERROR(MID(VLOOKUP($B170,Seqs!$A:$B,2,0),AO170,1),"")</f>
        <v>T</v>
      </c>
      <c r="AO170" s="3">
        <v>336</v>
      </c>
      <c r="AP170" s="3" t="str">
        <f>IFERROR(MID(VLOOKUP($B170,Seqs!$A:$B,2,0),AQ170,1),"")</f>
        <v/>
      </c>
      <c r="AQ170" s="3">
        <v>368</v>
      </c>
      <c r="AR170" s="3" t="str">
        <f>IFERROR(MID(VLOOKUP($B170,Seqs!$A:$B,2,0),AS170,1),"")</f>
        <v/>
      </c>
      <c r="AS170" s="3">
        <v>372</v>
      </c>
      <c r="AT170" s="3" t="str">
        <f>IFERROR(MID(VLOOKUP($B170,Seqs!$A:$B,2,0),AU170,1),"")</f>
        <v/>
      </c>
      <c r="AU170" s="3">
        <v>404</v>
      </c>
      <c r="AV170" s="3" t="str">
        <f>IFERROR(MID(VLOOKUP($B170,Seqs!$A:$B,2,0),AW170,1),"")</f>
        <v/>
      </c>
      <c r="AW170" s="3">
        <v>405</v>
      </c>
      <c r="AX170" s="3" t="str">
        <f>IFERROR(MID(VLOOKUP($B170,Seqs!$A:$B,2,0),AY170,1),"")</f>
        <v/>
      </c>
      <c r="AY170" s="3">
        <v>416</v>
      </c>
      <c r="AZ170" s="77" t="str">
        <f>VLOOKUP(B170,Classification!A:D,2,0)</f>
        <v>A</v>
      </c>
      <c r="BA170" s="94" t="str">
        <f>VLOOKUP(B170,Classification!A:D,4,0)</f>
        <v>Angiotensin</v>
      </c>
      <c r="BB170" s="27" t="b">
        <f t="shared" ref="BB170" si="1456"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23">
        <f t="shared" ref="BC170" si="1457">_xlfn.AGGREGATE(9,6,CH170:CS170)-_xlfn.AGGREGATE(9,6,BV170:CG170)+12</f>
        <v>261</v>
      </c>
      <c r="BD170" s="2" t="s">
        <v>1369</v>
      </c>
      <c r="BE170" s="3" t="s">
        <v>1285</v>
      </c>
      <c r="BF170" s="118">
        <v>2.9</v>
      </c>
      <c r="BG170" s="49" t="s">
        <v>1</v>
      </c>
      <c r="BH170" s="49" t="s">
        <v>1</v>
      </c>
      <c r="BI170" s="1"/>
      <c r="BJ170" s="70" t="s">
        <v>1281</v>
      </c>
      <c r="BK170" s="57" t="s">
        <v>1281</v>
      </c>
      <c r="BL170" s="57" t="s">
        <v>1281</v>
      </c>
      <c r="BM170" s="57" t="s">
        <v>1281</v>
      </c>
      <c r="BN170" s="57" t="s">
        <v>1281</v>
      </c>
      <c r="BO170" s="57" t="s">
        <v>1281</v>
      </c>
      <c r="BP170" s="57" t="s">
        <v>1281</v>
      </c>
      <c r="BQ170" s="57" t="s">
        <v>1281</v>
      </c>
      <c r="BR170" s="57" t="s">
        <v>1281</v>
      </c>
      <c r="BS170" s="57" t="s">
        <v>1281</v>
      </c>
      <c r="BT170" s="57" t="s">
        <v>1281</v>
      </c>
      <c r="BU170" s="57" t="s">
        <v>1281</v>
      </c>
      <c r="BV170" s="70">
        <f t="shared" ref="BV170" si="1458">E170</f>
        <v>24</v>
      </c>
      <c r="BW170" s="71" t="str">
        <f t="shared" ref="BW170" si="1459">I170</f>
        <v>-</v>
      </c>
      <c r="BX170" s="72">
        <f t="shared" ref="BX170" si="1460">M170</f>
        <v>61</v>
      </c>
      <c r="BY170" s="71">
        <f t="shared" ref="BY170" si="1461">Q170</f>
        <v>93</v>
      </c>
      <c r="BZ170" s="72">
        <f t="shared" ref="BZ170" si="1462">U170</f>
        <v>97</v>
      </c>
      <c r="CA170" s="71">
        <f t="shared" ref="CA170" si="1463">Y170</f>
        <v>133</v>
      </c>
      <c r="CB170" s="72">
        <f t="shared" ref="CB170" si="1464">AC170</f>
        <v>141</v>
      </c>
      <c r="CC170" s="71">
        <f t="shared" ref="CC170" si="1465">AG170</f>
        <v>180</v>
      </c>
      <c r="CD170" s="72">
        <f t="shared" ref="CD170" si="1466">AK170</f>
        <v>192</v>
      </c>
      <c r="CE170" s="71">
        <f t="shared" ref="CE170" si="1467">AO170</f>
        <v>336</v>
      </c>
      <c r="CF170" s="72">
        <f t="shared" ref="CF170" si="1468">AS170</f>
        <v>372</v>
      </c>
      <c r="CG170" s="71">
        <f t="shared" ref="CG170" si="1469">AW170</f>
        <v>405</v>
      </c>
      <c r="CH170" s="70">
        <f t="shared" ref="CH170" si="1470">G170</f>
        <v>56</v>
      </c>
      <c r="CI170" s="71" t="str">
        <f t="shared" ref="CI170" si="1471">K170</f>
        <v>-</v>
      </c>
      <c r="CJ170" s="72">
        <f t="shared" ref="CJ170" si="1472">O170</f>
        <v>91</v>
      </c>
      <c r="CK170" s="72">
        <f t="shared" ref="CK170" si="1473">S170</f>
        <v>96</v>
      </c>
      <c r="CL170" s="72">
        <f t="shared" ref="CL170" si="1474">W170</f>
        <v>132</v>
      </c>
      <c r="CM170" s="72">
        <f t="shared" ref="CM170" si="1475">AA170</f>
        <v>140</v>
      </c>
      <c r="CN170" s="72">
        <f t="shared" ref="CN170" si="1476">AE170</f>
        <v>167</v>
      </c>
      <c r="CO170" s="72">
        <f t="shared" ref="CO170" si="1477">AI170</f>
        <v>182</v>
      </c>
      <c r="CP170" s="72">
        <f t="shared" ref="CP170" si="1478">AM170</f>
        <v>231</v>
      </c>
      <c r="CQ170" s="72">
        <f t="shared" ref="CQ170" si="1479">AQ170</f>
        <v>368</v>
      </c>
      <c r="CR170" s="72">
        <f t="shared" ref="CR170" si="1480">AU170</f>
        <v>404</v>
      </c>
      <c r="CS170" s="72">
        <f t="shared" ref="CS170" si="1481">AY170</f>
        <v>416</v>
      </c>
      <c r="CT170" s="23" t="e">
        <f t="shared" ref="CT170" si="1482">M170-K170</f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 t="shared" ref="A171" si="1483">CONCATENATE(B171,"_",C171)</f>
        <v>agtr1_human_6OS0</v>
      </c>
      <c r="B171" s="3" t="s">
        <v>158</v>
      </c>
      <c r="C171" s="3" t="s">
        <v>1653</v>
      </c>
      <c r="D171" s="3" t="str">
        <f>IFERROR(MID(VLOOKUP($B171,Seqs!$A:$B,2,0),E171,1),"")</f>
        <v>H</v>
      </c>
      <c r="E171" s="3">
        <v>24</v>
      </c>
      <c r="F171" s="3" t="str">
        <f>IFERROR(MID(VLOOKUP($B171,Seqs!$A:$B,2,0),G171,1),"")</f>
        <v>Y</v>
      </c>
      <c r="G171" s="3">
        <v>56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T</v>
      </c>
      <c r="M171" s="3">
        <v>61</v>
      </c>
      <c r="N171" s="3" t="str">
        <f>IFERROR(MID(VLOOKUP($B171,Seqs!$A:$B,2,0),O171,1),"")</f>
        <v>E</v>
      </c>
      <c r="O171" s="3">
        <v>91</v>
      </c>
      <c r="P171" s="3" t="str">
        <f>IFERROR(MID(VLOOKUP($B171,Seqs!$A:$B,2,0),Q171,1),"")</f>
        <v>R</v>
      </c>
      <c r="Q171" s="3">
        <v>93</v>
      </c>
      <c r="R171" s="3" t="str">
        <f>IFERROR(MID(VLOOKUP($B171,Seqs!$A:$B,2,0),S171,1),"")</f>
        <v>F</v>
      </c>
      <c r="S171" s="3">
        <v>96</v>
      </c>
      <c r="T171" s="3" t="str">
        <f>IFERROR(MID(VLOOKUP($B171,Seqs!$A:$B,2,0),U171,1),"")</f>
        <v>G</v>
      </c>
      <c r="U171" s="3">
        <v>97</v>
      </c>
      <c r="V171" s="3" t="str">
        <f>IFERROR(MID(VLOOKUP($B171,Seqs!$A:$B,2,0),W171,1),"")</f>
        <v>H</v>
      </c>
      <c r="W171" s="3">
        <v>132</v>
      </c>
      <c r="X171" s="3" t="str">
        <f>IFERROR(MID(VLOOKUP($B171,Seqs!$A:$B,2,0),Y171,1),"")</f>
        <v>P</v>
      </c>
      <c r="Y171" s="3">
        <v>133</v>
      </c>
      <c r="Z171" s="3" t="str">
        <f>IFERROR(MID(VLOOKUP($B171,Seqs!$A:$B,2,0),AA171,1),"")</f>
        <v>R</v>
      </c>
      <c r="AA171" s="3">
        <v>140</v>
      </c>
      <c r="AB171" s="3" t="str">
        <f>IFERROR(MID(VLOOKUP($B171,Seqs!$A:$B,2,0),AC171,1),"")</f>
        <v>T</v>
      </c>
      <c r="AC171" s="3">
        <v>141</v>
      </c>
      <c r="AD171" s="3" t="str">
        <f>IFERROR(MID(VLOOKUP($B171,Seqs!$A:$B,2,0),AE171,1),"")</f>
        <v>H</v>
      </c>
      <c r="AE171" s="3">
        <v>166</v>
      </c>
      <c r="AF171" s="3" t="str">
        <f>IFERROR(MID(VLOOKUP($B171,Seqs!$A:$B,2,0),AG171,1),"")</f>
        <v>C</v>
      </c>
      <c r="AG171" s="3">
        <v>180</v>
      </c>
      <c r="AH171" s="3" t="str">
        <f>IFERROR(MID(VLOOKUP($B171,Seqs!$A:$B,2,0),AI171,1),"")</f>
        <v>F</v>
      </c>
      <c r="AI171" s="3">
        <v>182</v>
      </c>
      <c r="AJ171" s="3" t="str">
        <f>IFERROR(MID(VLOOKUP($B171,Seqs!$A:$B,2,0),AK171,1),"")</f>
        <v>I</v>
      </c>
      <c r="AK171" s="3">
        <v>193</v>
      </c>
      <c r="AL171" s="3" t="str">
        <f>IFERROR(MID(VLOOKUP($B171,Seqs!$A:$B,2,0),AM171,1),"")</f>
        <v>Y</v>
      </c>
      <c r="AM171" s="3">
        <v>226</v>
      </c>
      <c r="AN171" s="3" t="str">
        <f>IFERROR(MID(VLOOKUP($B171,Seqs!$A:$B,2,0),AO171,1),"")</f>
        <v/>
      </c>
      <c r="AO171" s="3">
        <v>1237</v>
      </c>
      <c r="AP171" s="3" t="str">
        <f>IFERROR(MID(VLOOKUP($B171,Seqs!$A:$B,2,0),AQ171,1),"")</f>
        <v/>
      </c>
      <c r="AQ171" s="3">
        <v>1268</v>
      </c>
      <c r="AR171" s="3" t="str">
        <f>IFERROR(MID(VLOOKUP($B171,Seqs!$A:$B,2,0),AS171,1),"")</f>
        <v/>
      </c>
      <c r="AS171" s="3">
        <v>1273</v>
      </c>
      <c r="AT171" s="3" t="str">
        <f>IFERROR(MID(VLOOKUP($B171,Seqs!$A:$B,2,0),AU171,1),"")</f>
        <v/>
      </c>
      <c r="AU171" s="3">
        <v>1305</v>
      </c>
      <c r="AV171" s="3" t="str">
        <f>IFERROR(MID(VLOOKUP($B171,Seqs!$A:$B,2,0),AW171,1),"")</f>
        <v/>
      </c>
      <c r="AW171" s="3">
        <v>1306</v>
      </c>
      <c r="AX171" s="3" t="str">
        <f>IFERROR(MID(VLOOKUP($B171,Seqs!$A:$B,2,0),AY171,1),"")</f>
        <v/>
      </c>
      <c r="AY171" s="3">
        <v>1316</v>
      </c>
      <c r="AZ171" s="77" t="str">
        <f>VLOOKUP(B171,Classification!A:D,2,0)</f>
        <v>A</v>
      </c>
      <c r="BA171" s="94" t="str">
        <f>VLOOKUP(B171,Classification!A:D,4,0)</f>
        <v>Angiotensin</v>
      </c>
      <c r="BB171" s="27" t="b">
        <f t="shared" ref="BB171" si="1484"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 t="shared" ref="BC171" si="1485">_xlfn.AGGREGATE(9,6,CH171:CS171)-_xlfn.AGGREGATE(9,6,BV171:CG171)+12</f>
        <v>252</v>
      </c>
      <c r="BD171" s="2" t="s">
        <v>23</v>
      </c>
      <c r="BE171" s="3" t="s">
        <v>1285</v>
      </c>
      <c r="BF171" s="118">
        <v>2.9</v>
      </c>
      <c r="BG171" s="49" t="s">
        <v>1</v>
      </c>
      <c r="BH171" s="49" t="s">
        <v>1</v>
      </c>
      <c r="BI171" s="1"/>
      <c r="BJ171" s="70" t="s">
        <v>1281</v>
      </c>
      <c r="BK171" s="57" t="s">
        <v>1281</v>
      </c>
      <c r="BL171" s="57" t="s">
        <v>1281</v>
      </c>
      <c r="BM171" s="57" t="s">
        <v>1281</v>
      </c>
      <c r="BN171" s="57" t="s">
        <v>1281</v>
      </c>
      <c r="BO171" s="57" t="s">
        <v>1281</v>
      </c>
      <c r="BP171" s="57" t="s">
        <v>1281</v>
      </c>
      <c r="BQ171" s="57" t="s">
        <v>1281</v>
      </c>
      <c r="BR171" s="57" t="s">
        <v>1281</v>
      </c>
      <c r="BS171" s="57" t="s">
        <v>1281</v>
      </c>
      <c r="BT171" s="57" t="s">
        <v>1281</v>
      </c>
      <c r="BU171" s="57" t="s">
        <v>1281</v>
      </c>
      <c r="BV171" s="70">
        <f t="shared" ref="BV171" si="1486">E171</f>
        <v>24</v>
      </c>
      <c r="BW171" s="71" t="str">
        <f t="shared" ref="BW171" si="1487">I171</f>
        <v>-</v>
      </c>
      <c r="BX171" s="72">
        <f t="shared" ref="BX171" si="1488">M171</f>
        <v>61</v>
      </c>
      <c r="BY171" s="71">
        <f t="shared" ref="BY171" si="1489">Q171</f>
        <v>93</v>
      </c>
      <c r="BZ171" s="72">
        <f t="shared" ref="BZ171" si="1490">U171</f>
        <v>97</v>
      </c>
      <c r="CA171" s="71">
        <f t="shared" ref="CA171" si="1491">Y171</f>
        <v>133</v>
      </c>
      <c r="CB171" s="72">
        <f t="shared" ref="CB171" si="1492">AC171</f>
        <v>141</v>
      </c>
      <c r="CC171" s="71">
        <f t="shared" ref="CC171" si="1493">AG171</f>
        <v>180</v>
      </c>
      <c r="CD171" s="72">
        <f t="shared" ref="CD171" si="1494">AK171</f>
        <v>193</v>
      </c>
      <c r="CE171" s="71">
        <f t="shared" ref="CE171" si="1495">AO171</f>
        <v>1237</v>
      </c>
      <c r="CF171" s="72">
        <f t="shared" ref="CF171" si="1496">AS171</f>
        <v>1273</v>
      </c>
      <c r="CG171" s="71">
        <f t="shared" ref="CG171" si="1497">AW171</f>
        <v>1306</v>
      </c>
      <c r="CH171" s="70">
        <f t="shared" ref="CH171" si="1498">G171</f>
        <v>56</v>
      </c>
      <c r="CI171" s="71" t="str">
        <f t="shared" ref="CI171" si="1499">K171</f>
        <v>-</v>
      </c>
      <c r="CJ171" s="72">
        <f t="shared" ref="CJ171" si="1500">O171</f>
        <v>91</v>
      </c>
      <c r="CK171" s="72">
        <f t="shared" ref="CK171" si="1501">S171</f>
        <v>96</v>
      </c>
      <c r="CL171" s="72">
        <f t="shared" ref="CL171" si="1502">W171</f>
        <v>132</v>
      </c>
      <c r="CM171" s="72">
        <f t="shared" ref="CM171" si="1503">AA171</f>
        <v>140</v>
      </c>
      <c r="CN171" s="72">
        <f t="shared" ref="CN171" si="1504">AE171</f>
        <v>166</v>
      </c>
      <c r="CO171" s="72">
        <f t="shared" ref="CO171" si="1505">AI171</f>
        <v>182</v>
      </c>
      <c r="CP171" s="72">
        <f t="shared" ref="CP171" si="1506">AM171</f>
        <v>226</v>
      </c>
      <c r="CQ171" s="72">
        <f t="shared" ref="CQ171" si="1507">AQ171</f>
        <v>1268</v>
      </c>
      <c r="CR171" s="72">
        <f t="shared" ref="CR171" si="1508">AU171</f>
        <v>1305</v>
      </c>
      <c r="CS171" s="72">
        <f t="shared" ref="CS171" si="1509">AY171</f>
        <v>1316</v>
      </c>
      <c r="CT171" s="23" t="e">
        <f t="shared" ref="CT171" si="1510">M171-K171</f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ht="18" x14ac:dyDescent="0.2">
      <c r="A172" s="3" t="str">
        <f t="shared" ref="A172" si="1511">CONCATENATE(B172,"_",C172)</f>
        <v>agtr1_human_6OS1</v>
      </c>
      <c r="B172" s="3" t="s">
        <v>158</v>
      </c>
      <c r="C172" s="3" t="s">
        <v>1654</v>
      </c>
      <c r="D172" s="3" t="str">
        <f>IFERROR(MID(VLOOKUP($B172,Seqs!$A:$B,2,0),E172,1),"")</f>
        <v>H</v>
      </c>
      <c r="E172" s="3">
        <v>24</v>
      </c>
      <c r="F172" s="3" t="str">
        <f>IFERROR(MID(VLOOKUP($B172,Seqs!$A:$B,2,0),G172,1),"")</f>
        <v>Y</v>
      </c>
      <c r="G172" s="3">
        <v>56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T</v>
      </c>
      <c r="M172" s="3">
        <v>61</v>
      </c>
      <c r="N172" s="3" t="str">
        <f>IFERROR(MID(VLOOKUP($B172,Seqs!$A:$B,2,0),O172,1),"")</f>
        <v>E</v>
      </c>
      <c r="O172" s="3">
        <v>91</v>
      </c>
      <c r="P172" s="3" t="str">
        <f>IFERROR(MID(VLOOKUP($B172,Seqs!$A:$B,2,0),Q172,1),"")</f>
        <v>R</v>
      </c>
      <c r="Q172" s="3">
        <v>93</v>
      </c>
      <c r="R172" s="3" t="str">
        <f>IFERROR(MID(VLOOKUP($B172,Seqs!$A:$B,2,0),S172,1),"")</f>
        <v>F</v>
      </c>
      <c r="S172" s="3">
        <v>96</v>
      </c>
      <c r="T172" s="3" t="str">
        <f>IFERROR(MID(VLOOKUP($B172,Seqs!$A:$B,2,0),U172,1),"")</f>
        <v>G</v>
      </c>
      <c r="U172" s="3">
        <v>97</v>
      </c>
      <c r="V172" s="3" t="str">
        <f>IFERROR(MID(VLOOKUP($B172,Seqs!$A:$B,2,0),W172,1),"")</f>
        <v>H</v>
      </c>
      <c r="W172" s="3">
        <v>132</v>
      </c>
      <c r="X172" s="3" t="str">
        <f>IFERROR(MID(VLOOKUP($B172,Seqs!$A:$B,2,0),Y172,1),"")</f>
        <v>P</v>
      </c>
      <c r="Y172" s="3">
        <v>133</v>
      </c>
      <c r="Z172" s="3" t="str">
        <f>IFERROR(MID(VLOOKUP($B172,Seqs!$A:$B,2,0),AA172,1),"")</f>
        <v>R</v>
      </c>
      <c r="AA172" s="3">
        <v>140</v>
      </c>
      <c r="AB172" s="3" t="str">
        <f>IFERROR(MID(VLOOKUP($B172,Seqs!$A:$B,2,0),AC172,1),"")</f>
        <v>T</v>
      </c>
      <c r="AC172" s="3">
        <v>141</v>
      </c>
      <c r="AD172" s="3" t="str">
        <f>IFERROR(MID(VLOOKUP($B172,Seqs!$A:$B,2,0),AE172,1),"")</f>
        <v>H</v>
      </c>
      <c r="AE172" s="3">
        <v>166</v>
      </c>
      <c r="AF172" s="3" t="str">
        <f>IFERROR(MID(VLOOKUP($B172,Seqs!$A:$B,2,0),AG172,1),"")</f>
        <v>C</v>
      </c>
      <c r="AG172" s="3">
        <v>180</v>
      </c>
      <c r="AH172" s="3" t="str">
        <f>IFERROR(MID(VLOOKUP($B172,Seqs!$A:$B,2,0),AI172,1),"")</f>
        <v>F</v>
      </c>
      <c r="AI172" s="3">
        <v>182</v>
      </c>
      <c r="AJ172" s="3" t="str">
        <f>IFERROR(MID(VLOOKUP($B172,Seqs!$A:$B,2,0),AK172,1),"")</f>
        <v>L</v>
      </c>
      <c r="AK172" s="3">
        <v>195</v>
      </c>
      <c r="AL172" s="3" t="str">
        <f>IFERROR(MID(VLOOKUP($B172,Seqs!$A:$B,2,0),AM172,1),"")</f>
        <v>Y</v>
      </c>
      <c r="AM172" s="3">
        <v>226</v>
      </c>
      <c r="AN172" s="3" t="str">
        <f>IFERROR(MID(VLOOKUP($B172,Seqs!$A:$B,2,0),AO172,1),"")</f>
        <v/>
      </c>
      <c r="AO172" s="3">
        <v>1237</v>
      </c>
      <c r="AP172" s="3" t="str">
        <f>IFERROR(MID(VLOOKUP($B172,Seqs!$A:$B,2,0),AQ172,1),"")</f>
        <v/>
      </c>
      <c r="AQ172" s="3">
        <v>1269</v>
      </c>
      <c r="AR172" s="3" t="str">
        <f>IFERROR(MID(VLOOKUP($B172,Seqs!$A:$B,2,0),AS172,1),"")</f>
        <v/>
      </c>
      <c r="AS172" s="3">
        <v>1273</v>
      </c>
      <c r="AT172" s="3" t="str">
        <f>IFERROR(MID(VLOOKUP($B172,Seqs!$A:$B,2,0),AU172,1),"")</f>
        <v/>
      </c>
      <c r="AU172" s="3">
        <v>1305</v>
      </c>
      <c r="AV172" s="3" t="str">
        <f>IFERROR(MID(VLOOKUP($B172,Seqs!$A:$B,2,0),AW172,1),"")</f>
        <v/>
      </c>
      <c r="AW172" s="3">
        <v>1306</v>
      </c>
      <c r="AX172" s="3" t="str">
        <f>IFERROR(MID(VLOOKUP($B172,Seqs!$A:$B,2,0),AY172,1),"")</f>
        <v/>
      </c>
      <c r="AY172" s="3">
        <v>1318</v>
      </c>
      <c r="AZ172" s="77" t="str">
        <f>VLOOKUP(B172,Classification!A:D,2,0)</f>
        <v>A</v>
      </c>
      <c r="BA172" s="94" t="str">
        <f>VLOOKUP(B172,Classification!A:D,4,0)</f>
        <v>Angiotensin</v>
      </c>
      <c r="BB172" s="27" t="b">
        <f t="shared" ref="BB172" si="1512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 t="shared" ref="BC172" si="1513">_xlfn.AGGREGATE(9,6,CH172:CS172)-_xlfn.AGGREGATE(9,6,BV172:CG172)+12</f>
        <v>253</v>
      </c>
      <c r="BD172" s="2" t="s">
        <v>23</v>
      </c>
      <c r="BE172" s="3" t="s">
        <v>1285</v>
      </c>
      <c r="BF172" s="118">
        <v>2.79</v>
      </c>
      <c r="BG172" s="49" t="s">
        <v>1</v>
      </c>
      <c r="BH172" s="49" t="s">
        <v>1</v>
      </c>
      <c r="BI172" s="135"/>
      <c r="BJ172" s="70" t="s">
        <v>1281</v>
      </c>
      <c r="BK172" s="57" t="s">
        <v>1281</v>
      </c>
      <c r="BL172" s="57" t="s">
        <v>1281</v>
      </c>
      <c r="BM172" s="57" t="s">
        <v>1281</v>
      </c>
      <c r="BN172" s="57" t="s">
        <v>1281</v>
      </c>
      <c r="BO172" s="57" t="s">
        <v>1281</v>
      </c>
      <c r="BP172" s="57" t="s">
        <v>1281</v>
      </c>
      <c r="BQ172" s="57" t="s">
        <v>1281</v>
      </c>
      <c r="BR172" s="57" t="s">
        <v>1281</v>
      </c>
      <c r="BS172" s="57" t="s">
        <v>1281</v>
      </c>
      <c r="BT172" s="57" t="s">
        <v>1281</v>
      </c>
      <c r="BU172" s="57" t="s">
        <v>1281</v>
      </c>
      <c r="BV172" s="70">
        <f t="shared" ref="BV172" si="1514">E172</f>
        <v>24</v>
      </c>
      <c r="BW172" s="71" t="str">
        <f t="shared" ref="BW172" si="1515">I172</f>
        <v>-</v>
      </c>
      <c r="BX172" s="72">
        <f t="shared" ref="BX172" si="1516">M172</f>
        <v>61</v>
      </c>
      <c r="BY172" s="71">
        <f t="shared" ref="BY172" si="1517">Q172</f>
        <v>93</v>
      </c>
      <c r="BZ172" s="72">
        <f t="shared" ref="BZ172" si="1518">U172</f>
        <v>97</v>
      </c>
      <c r="CA172" s="71">
        <f t="shared" ref="CA172" si="1519">Y172</f>
        <v>133</v>
      </c>
      <c r="CB172" s="72">
        <f t="shared" ref="CB172" si="1520">AC172</f>
        <v>141</v>
      </c>
      <c r="CC172" s="71">
        <f t="shared" ref="CC172" si="1521">AG172</f>
        <v>180</v>
      </c>
      <c r="CD172" s="72">
        <f t="shared" ref="CD172" si="1522">AK172</f>
        <v>195</v>
      </c>
      <c r="CE172" s="71">
        <f t="shared" ref="CE172" si="1523">AO172</f>
        <v>1237</v>
      </c>
      <c r="CF172" s="72">
        <f t="shared" ref="CF172" si="1524">AS172</f>
        <v>1273</v>
      </c>
      <c r="CG172" s="71">
        <f t="shared" ref="CG172" si="1525">AW172</f>
        <v>1306</v>
      </c>
      <c r="CH172" s="70">
        <f t="shared" ref="CH172" si="1526">G172</f>
        <v>56</v>
      </c>
      <c r="CI172" s="71" t="str">
        <f t="shared" ref="CI172" si="1527">K172</f>
        <v>-</v>
      </c>
      <c r="CJ172" s="72">
        <f t="shared" ref="CJ172" si="1528">O172</f>
        <v>91</v>
      </c>
      <c r="CK172" s="72">
        <f t="shared" ref="CK172" si="1529">S172</f>
        <v>96</v>
      </c>
      <c r="CL172" s="72">
        <f t="shared" ref="CL172" si="1530">W172</f>
        <v>132</v>
      </c>
      <c r="CM172" s="72">
        <f t="shared" ref="CM172" si="1531">AA172</f>
        <v>140</v>
      </c>
      <c r="CN172" s="72">
        <f t="shared" ref="CN172" si="1532">AE172</f>
        <v>166</v>
      </c>
      <c r="CO172" s="72">
        <f t="shared" ref="CO172" si="1533">AI172</f>
        <v>182</v>
      </c>
      <c r="CP172" s="72">
        <f t="shared" ref="CP172" si="1534">AM172</f>
        <v>226</v>
      </c>
      <c r="CQ172" s="72">
        <f t="shared" ref="CQ172" si="1535">AQ172</f>
        <v>1269</v>
      </c>
      <c r="CR172" s="72">
        <f t="shared" ref="CR172" si="1536">AU172</f>
        <v>1305</v>
      </c>
      <c r="CS172" s="72">
        <f t="shared" ref="CS172" si="1537">AY172</f>
        <v>1318</v>
      </c>
      <c r="CT172" s="23" t="e">
        <f t="shared" ref="CT172" si="1538">M172-K172</f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ht="18" x14ac:dyDescent="0.2">
      <c r="A173" s="3" t="str">
        <f t="shared" ref="A173" si="1539">CONCATENATE(B173,"_",C173)</f>
        <v>agtr1_human_6OS2</v>
      </c>
      <c r="B173" s="3" t="s">
        <v>158</v>
      </c>
      <c r="C173" s="3" t="s">
        <v>1655</v>
      </c>
      <c r="D173" s="3" t="str">
        <f>IFERROR(MID(VLOOKUP($B173,Seqs!$A:$B,2,0),E173,1),"")</f>
        <v>N</v>
      </c>
      <c r="E173" s="3">
        <v>25</v>
      </c>
      <c r="F173" s="3" t="str">
        <f>IFERROR(MID(VLOOKUP($B173,Seqs!$A:$B,2,0),G173,1),"")</f>
        <v>M</v>
      </c>
      <c r="G173" s="3">
        <v>57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V</v>
      </c>
      <c r="M173" s="3">
        <v>62</v>
      </c>
      <c r="N173" s="3" t="str">
        <f>IFERROR(MID(VLOOKUP($B173,Seqs!$A:$B,2,0),O173,1),"")</f>
        <v>Y</v>
      </c>
      <c r="O173" s="3">
        <v>92</v>
      </c>
      <c r="P173" s="3" t="str">
        <f>IFERROR(MID(VLOOKUP($B173,Seqs!$A:$B,2,0),Q173,1),"")</f>
        <v>W</v>
      </c>
      <c r="Q173" s="3">
        <v>94</v>
      </c>
      <c r="R173" s="3" t="str">
        <f>IFERROR(MID(VLOOKUP($B173,Seqs!$A:$B,2,0),S173,1),"")</f>
        <v>F</v>
      </c>
      <c r="S173" s="3">
        <v>96</v>
      </c>
      <c r="T173" s="3" t="str">
        <f>IFERROR(MID(VLOOKUP($B173,Seqs!$A:$B,2,0),U173,1),"")</f>
        <v>G</v>
      </c>
      <c r="U173" s="3">
        <v>97</v>
      </c>
      <c r="V173" s="3" t="str">
        <f>IFERROR(MID(VLOOKUP($B173,Seqs!$A:$B,2,0),W173,1),"")</f>
        <v>H</v>
      </c>
      <c r="W173" s="3">
        <v>132</v>
      </c>
      <c r="X173" s="3" t="str">
        <f>IFERROR(MID(VLOOKUP($B173,Seqs!$A:$B,2,0),Y173,1),"")</f>
        <v>P</v>
      </c>
      <c r="Y173" s="3">
        <v>133</v>
      </c>
      <c r="Z173" s="3" t="str">
        <f>IFERROR(MID(VLOOKUP($B173,Seqs!$A:$B,2,0),AA173,1),"")</f>
        <v>R</v>
      </c>
      <c r="AA173" s="3">
        <v>140</v>
      </c>
      <c r="AB173" s="3" t="str">
        <f>IFERROR(MID(VLOOKUP($B173,Seqs!$A:$B,2,0),AC173,1),"")</f>
        <v>T</v>
      </c>
      <c r="AC173" s="3">
        <v>141</v>
      </c>
      <c r="AD173" s="3" t="str">
        <f>IFERROR(MID(VLOOKUP($B173,Seqs!$A:$B,2,0),AE173,1),"")</f>
        <v>H</v>
      </c>
      <c r="AE173" s="3">
        <v>166</v>
      </c>
      <c r="AF173" s="3" t="str">
        <f>IFERROR(MID(VLOOKUP($B173,Seqs!$A:$B,2,0),AG173,1),"")</f>
        <v>C</v>
      </c>
      <c r="AG173" s="3">
        <v>180</v>
      </c>
      <c r="AH173" s="3" t="str">
        <f>IFERROR(MID(VLOOKUP($B173,Seqs!$A:$B,2,0),AI173,1),"")</f>
        <v>F</v>
      </c>
      <c r="AI173" s="3">
        <v>182</v>
      </c>
      <c r="AJ173" s="3" t="str">
        <f>IFERROR(MID(VLOOKUP($B173,Seqs!$A:$B,2,0),AK173,1),"")</f>
        <v>L</v>
      </c>
      <c r="AK173" s="3">
        <v>195</v>
      </c>
      <c r="AL173" s="3" t="str">
        <f>IFERROR(MID(VLOOKUP($B173,Seqs!$A:$B,2,0),AM173,1),"")</f>
        <v>Y</v>
      </c>
      <c r="AM173" s="3">
        <v>226</v>
      </c>
      <c r="AN173" s="3" t="str">
        <f>IFERROR(MID(VLOOKUP($B173,Seqs!$A:$B,2,0),AO173,1),"")</f>
        <v/>
      </c>
      <c r="AO173" s="3">
        <v>1237</v>
      </c>
      <c r="AP173" s="3" t="str">
        <f>IFERROR(MID(VLOOKUP($B173,Seqs!$A:$B,2,0),AQ173,1),"")</f>
        <v/>
      </c>
      <c r="AQ173" s="3">
        <v>1269</v>
      </c>
      <c r="AR173" s="3" t="str">
        <f>IFERROR(MID(VLOOKUP($B173,Seqs!$A:$B,2,0),AS173,1),"")</f>
        <v/>
      </c>
      <c r="AS173" s="3">
        <v>1273</v>
      </c>
      <c r="AT173" s="3" t="str">
        <f>IFERROR(MID(VLOOKUP($B173,Seqs!$A:$B,2,0),AU173,1),"")</f>
        <v/>
      </c>
      <c r="AU173" s="3">
        <v>1305</v>
      </c>
      <c r="AV173" s="3" t="str">
        <f>IFERROR(MID(VLOOKUP($B173,Seqs!$A:$B,2,0),AW173,1),"")</f>
        <v/>
      </c>
      <c r="AW173" s="3">
        <v>1306</v>
      </c>
      <c r="AX173" s="3" t="str">
        <f>IFERROR(MID(VLOOKUP($B173,Seqs!$A:$B,2,0),AY173,1),"")</f>
        <v/>
      </c>
      <c r="AY173" s="3">
        <v>1318</v>
      </c>
      <c r="AZ173" s="77" t="str">
        <f>VLOOKUP(B173,Classification!A:D,2,0)</f>
        <v>A</v>
      </c>
      <c r="BA173" s="94" t="str">
        <f>VLOOKUP(B173,Classification!A:D,4,0)</f>
        <v>Angiotensin</v>
      </c>
      <c r="BB173" s="27" t="b">
        <f t="shared" ref="BB173" si="1540"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 t="shared" ref="BC173" si="1541">_xlfn.AGGREGATE(9,6,CH173:CS173)-_xlfn.AGGREGATE(9,6,BV173:CG173)+12</f>
        <v>252</v>
      </c>
      <c r="BD173" s="2" t="s">
        <v>23</v>
      </c>
      <c r="BE173" s="3" t="s">
        <v>1285</v>
      </c>
      <c r="BF173" s="118">
        <v>2.7</v>
      </c>
      <c r="BG173" s="49" t="s">
        <v>1</v>
      </c>
      <c r="BH173" s="49" t="s">
        <v>1</v>
      </c>
      <c r="BI173" s="135"/>
      <c r="BJ173" s="70" t="s">
        <v>1281</v>
      </c>
      <c r="BK173" s="57" t="s">
        <v>1281</v>
      </c>
      <c r="BL173" s="57" t="s">
        <v>1281</v>
      </c>
      <c r="BM173" s="57" t="s">
        <v>1281</v>
      </c>
      <c r="BN173" s="57" t="s">
        <v>1281</v>
      </c>
      <c r="BO173" s="57" t="s">
        <v>1281</v>
      </c>
      <c r="BP173" s="57" t="s">
        <v>1281</v>
      </c>
      <c r="BQ173" s="57" t="s">
        <v>1281</v>
      </c>
      <c r="BR173" s="57" t="s">
        <v>1281</v>
      </c>
      <c r="BS173" s="57" t="s">
        <v>1281</v>
      </c>
      <c r="BT173" s="57" t="s">
        <v>1281</v>
      </c>
      <c r="BU173" s="57" t="s">
        <v>1281</v>
      </c>
      <c r="BV173" s="70">
        <f t="shared" ref="BV173" si="1542">E173</f>
        <v>25</v>
      </c>
      <c r="BW173" s="71" t="str">
        <f t="shared" ref="BW173" si="1543">I173</f>
        <v>-</v>
      </c>
      <c r="BX173" s="72">
        <f t="shared" ref="BX173" si="1544">M173</f>
        <v>62</v>
      </c>
      <c r="BY173" s="71">
        <f t="shared" ref="BY173" si="1545">Q173</f>
        <v>94</v>
      </c>
      <c r="BZ173" s="72">
        <f t="shared" ref="BZ173" si="1546">U173</f>
        <v>97</v>
      </c>
      <c r="CA173" s="71">
        <f t="shared" ref="CA173" si="1547">Y173</f>
        <v>133</v>
      </c>
      <c r="CB173" s="72">
        <f t="shared" ref="CB173" si="1548">AC173</f>
        <v>141</v>
      </c>
      <c r="CC173" s="71">
        <f t="shared" ref="CC173" si="1549">AG173</f>
        <v>180</v>
      </c>
      <c r="CD173" s="72">
        <f t="shared" ref="CD173" si="1550">AK173</f>
        <v>195</v>
      </c>
      <c r="CE173" s="71">
        <f t="shared" ref="CE173" si="1551">AO173</f>
        <v>1237</v>
      </c>
      <c r="CF173" s="72">
        <f t="shared" ref="CF173" si="1552">AS173</f>
        <v>1273</v>
      </c>
      <c r="CG173" s="71">
        <f t="shared" ref="CG173" si="1553">AW173</f>
        <v>1306</v>
      </c>
      <c r="CH173" s="70">
        <f t="shared" ref="CH173" si="1554">G173</f>
        <v>57</v>
      </c>
      <c r="CI173" s="71" t="str">
        <f t="shared" ref="CI173" si="1555">K173</f>
        <v>-</v>
      </c>
      <c r="CJ173" s="72">
        <f t="shared" ref="CJ173" si="1556">O173</f>
        <v>92</v>
      </c>
      <c r="CK173" s="72">
        <f t="shared" ref="CK173" si="1557">S173</f>
        <v>96</v>
      </c>
      <c r="CL173" s="72">
        <f t="shared" ref="CL173" si="1558">W173</f>
        <v>132</v>
      </c>
      <c r="CM173" s="72">
        <f t="shared" ref="CM173" si="1559">AA173</f>
        <v>140</v>
      </c>
      <c r="CN173" s="72">
        <f t="shared" ref="CN173" si="1560">AE173</f>
        <v>166</v>
      </c>
      <c r="CO173" s="72">
        <f t="shared" ref="CO173" si="1561">AI173</f>
        <v>182</v>
      </c>
      <c r="CP173" s="72">
        <f t="shared" ref="CP173" si="1562">AM173</f>
        <v>226</v>
      </c>
      <c r="CQ173" s="72">
        <f t="shared" ref="CQ173" si="1563">AQ173</f>
        <v>1269</v>
      </c>
      <c r="CR173" s="72">
        <f t="shared" ref="CR173" si="1564">AU173</f>
        <v>1305</v>
      </c>
      <c r="CS173" s="72">
        <f t="shared" ref="CS173" si="1565">AY173</f>
        <v>1318</v>
      </c>
      <c r="CT173" s="23" t="e">
        <f t="shared" ref="CT173" si="1566">M173-K173</f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ref="A174:A187" si="1567">CONCATENATE(B174,"_",C174)</f>
        <v>agtr2_human__wt</v>
      </c>
      <c r="B174" s="3" t="s">
        <v>159</v>
      </c>
      <c r="C174" s="3" t="s">
        <v>100</v>
      </c>
      <c r="D174" s="3" t="str">
        <f>IFERROR(MID(VLOOKUP($B174,Seqs!$A:$B,2,0),E174,1),"")</f>
        <v>D</v>
      </c>
      <c r="E174" s="3">
        <v>45</v>
      </c>
      <c r="F174" s="3" t="str">
        <f>IFERROR(MID(VLOOKUP($B174,Seqs!$A:$B,2,0),G174,1),"")</f>
        <v>Q</v>
      </c>
      <c r="G174" s="3">
        <v>72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V</v>
      </c>
      <c r="M174" s="3">
        <v>78</v>
      </c>
      <c r="N174" s="3" t="str">
        <f>IFERROR(MID(VLOOKUP($B174,Seqs!$A:$B,2,0),O174,1),"")</f>
        <v>Y</v>
      </c>
      <c r="O174" s="3">
        <v>106</v>
      </c>
      <c r="P174" s="3" t="str">
        <f>IFERROR(MID(VLOOKUP($B174,Seqs!$A:$B,2,0),Q174,1),"")</f>
        <v>R</v>
      </c>
      <c r="Q174" s="3">
        <v>107</v>
      </c>
      <c r="R174" s="3" t="str">
        <f>IFERROR(MID(VLOOKUP($B174,Seqs!$A:$B,2,0),S174,1),"")</f>
        <v>F</v>
      </c>
      <c r="S174" s="3">
        <v>112</v>
      </c>
      <c r="T174" s="3" t="str">
        <f>IFERROR(MID(VLOOKUP($B174,Seqs!$A:$B,2,0),U174,1),"")</f>
        <v>G</v>
      </c>
      <c r="U174" s="3">
        <v>113</v>
      </c>
      <c r="V174" s="3" t="str">
        <f>IFERROR(MID(VLOOKUP($B174,Seqs!$A:$B,2,0),W174,1),"")</f>
        <v>Y</v>
      </c>
      <c r="W174" s="3">
        <v>148</v>
      </c>
      <c r="X174" s="3" t="str">
        <f>IFERROR(MID(VLOOKUP($B174,Seqs!$A:$B,2,0),Y174,1),"")</f>
        <v>P</v>
      </c>
      <c r="Y174" s="3">
        <v>149</v>
      </c>
      <c r="Z174" s="3" t="str">
        <f>IFERROR(MID(VLOOKUP($B174,Seqs!$A:$B,2,0),AA174,1),"")</f>
        <v>R</v>
      </c>
      <c r="AA174" s="3">
        <v>155</v>
      </c>
      <c r="AB174" s="3" t="str">
        <f>IFERROR(MID(VLOOKUP($B174,Seqs!$A:$B,2,0),AC174,1),"")</f>
        <v>N</v>
      </c>
      <c r="AC174" s="3">
        <v>156</v>
      </c>
      <c r="AD174" s="3" t="str">
        <f>IFERROR(MID(VLOOKUP($B174,Seqs!$A:$B,2,0),AE174,1),"")</f>
        <v>R</v>
      </c>
      <c r="AE174" s="3">
        <v>182</v>
      </c>
      <c r="AF174" s="3" t="str">
        <f>IFERROR(MID(VLOOKUP($B174,Seqs!$A:$B,2,0),AG174,1),"")</f>
        <v>C</v>
      </c>
      <c r="AG174" s="3">
        <v>195</v>
      </c>
      <c r="AH174" s="3" t="str">
        <f>IFERROR(MID(VLOOKUP($B174,Seqs!$A:$B,2,0),AI174,1),"")</f>
        <v>M</v>
      </c>
      <c r="AI174" s="3">
        <v>197</v>
      </c>
      <c r="AJ174" s="3" t="str">
        <f>IFERROR(MID(VLOOKUP($B174,Seqs!$A:$B,2,0),AK174,1),"")</f>
        <v>K</v>
      </c>
      <c r="AK174" s="3">
        <v>203</v>
      </c>
      <c r="AL174" s="3" t="str">
        <f>IFERROR(MID(VLOOKUP($B174,Seqs!$A:$B,2,0),AM174,1),"")</f>
        <v>T</v>
      </c>
      <c r="AM174" s="3">
        <v>241</v>
      </c>
      <c r="AN174" s="3" t="str">
        <f>IFERROR(MID(VLOOKUP($B174,Seqs!$A:$B,2,0),AO174,1),"")</f>
        <v>G</v>
      </c>
      <c r="AO174" s="3">
        <v>245</v>
      </c>
      <c r="AP174" s="3" t="str">
        <f>IFERROR(MID(VLOOKUP($B174,Seqs!$A:$B,2,0),AQ174,1),"")</f>
        <v>G</v>
      </c>
      <c r="AQ174" s="3">
        <v>285</v>
      </c>
      <c r="AR174" s="3" t="str">
        <f>IFERROR(MID(VLOOKUP($B174,Seqs!$A:$B,2,0),AS174,1),"")</f>
        <v>S</v>
      </c>
      <c r="AS174" s="3">
        <v>289</v>
      </c>
      <c r="AT174" s="3" t="str">
        <f>IFERROR(MID(VLOOKUP($B174,Seqs!$A:$B,2,0),AU174,1),"")</f>
        <v>V</v>
      </c>
      <c r="AU174" s="3">
        <v>321</v>
      </c>
      <c r="AV174" s="3" t="str">
        <f>IFERROR(MID(VLOOKUP($B174,Seqs!$A:$B,2,0),AW174,1),"")</f>
        <v>G</v>
      </c>
      <c r="AW174" s="3">
        <v>322</v>
      </c>
      <c r="AX174" s="3" t="str">
        <f>IFERROR(MID(VLOOKUP($B174,Seqs!$A:$B,2,0),AY174,1),"")</f>
        <v>P</v>
      </c>
      <c r="AY174" s="3">
        <v>336</v>
      </c>
      <c r="AZ174" s="77" t="str">
        <f>VLOOKUP(B174,Classification!A:D,2,0)</f>
        <v>A</v>
      </c>
      <c r="BA174" s="94" t="str">
        <f>VLOOKUP(B174,Classification!A:D,4,0)</f>
        <v>Angiotensin</v>
      </c>
      <c r="BB174" s="27" t="b">
        <f t="shared" ref="BB174:BB187" si="1568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 t="shared" ref="BC174:BC187" si="1569">_xlfn.AGGREGATE(9,6,CH174:CS174)-_xlfn.AGGREGATE(9,6,BV174:CG174)+12</f>
        <v>265</v>
      </c>
      <c r="BD174" s="2" t="s">
        <v>23</v>
      </c>
      <c r="BE174" s="3" t="s">
        <v>23</v>
      </c>
      <c r="BF174" s="118" t="s">
        <v>23</v>
      </c>
      <c r="BG174" s="49" t="s">
        <v>1371</v>
      </c>
      <c r="BH174" s="49" t="s">
        <v>1371</v>
      </c>
      <c r="BI174" s="1"/>
      <c r="BJ174" s="70" t="s">
        <v>1281</v>
      </c>
      <c r="BK174" s="57" t="s">
        <v>1281</v>
      </c>
      <c r="BL174" s="57" t="s">
        <v>1281</v>
      </c>
      <c r="BM174" s="57" t="s">
        <v>1281</v>
      </c>
      <c r="BN174" s="57" t="s">
        <v>1281</v>
      </c>
      <c r="BO174" s="57" t="s">
        <v>1281</v>
      </c>
      <c r="BP174" s="57" t="s">
        <v>1281</v>
      </c>
      <c r="BQ174" s="57" t="s">
        <v>1281</v>
      </c>
      <c r="BR174" s="57" t="s">
        <v>1281</v>
      </c>
      <c r="BS174" s="57" t="s">
        <v>1281</v>
      </c>
      <c r="BT174" s="57" t="s">
        <v>1281</v>
      </c>
      <c r="BU174" s="57" t="s">
        <v>1281</v>
      </c>
      <c r="BV174" s="70">
        <f t="shared" ref="BV174:BV187" si="1570">E174</f>
        <v>45</v>
      </c>
      <c r="BW174" s="71" t="str">
        <f t="shared" ref="BW174:BW187" si="1571">I174</f>
        <v>-</v>
      </c>
      <c r="BX174" s="72">
        <f t="shared" ref="BX174:BX187" si="1572">M174</f>
        <v>78</v>
      </c>
      <c r="BY174" s="71">
        <f t="shared" ref="BY174:BY187" si="1573">Q174</f>
        <v>107</v>
      </c>
      <c r="BZ174" s="72">
        <f t="shared" ref="BZ174:BZ187" si="1574">U174</f>
        <v>113</v>
      </c>
      <c r="CA174" s="71">
        <f t="shared" ref="CA174:CA187" si="1575">Y174</f>
        <v>149</v>
      </c>
      <c r="CB174" s="72">
        <f t="shared" ref="CB174:CB187" si="1576">AC174</f>
        <v>156</v>
      </c>
      <c r="CC174" s="71">
        <f t="shared" ref="CC174:CC187" si="1577">AG174</f>
        <v>195</v>
      </c>
      <c r="CD174" s="72">
        <f t="shared" ref="CD174:CD187" si="1578">AK174</f>
        <v>203</v>
      </c>
      <c r="CE174" s="71">
        <f t="shared" ref="CE174:CE187" si="1579">AO174</f>
        <v>245</v>
      </c>
      <c r="CF174" s="72">
        <f t="shared" ref="CF174:CF187" si="1580">AS174</f>
        <v>289</v>
      </c>
      <c r="CG174" s="71">
        <f t="shared" ref="CG174:CG187" si="1581">AW174</f>
        <v>322</v>
      </c>
      <c r="CH174" s="70">
        <f t="shared" ref="CH174:CH187" si="1582">G174</f>
        <v>72</v>
      </c>
      <c r="CI174" s="71" t="str">
        <f t="shared" ref="CI174:CI187" si="1583">K174</f>
        <v>-</v>
      </c>
      <c r="CJ174" s="72">
        <f t="shared" ref="CJ174:CJ187" si="1584">O174</f>
        <v>106</v>
      </c>
      <c r="CK174" s="72">
        <f t="shared" ref="CK174:CK187" si="1585">S174</f>
        <v>112</v>
      </c>
      <c r="CL174" s="72">
        <f t="shared" ref="CL174:CL187" si="1586">W174</f>
        <v>148</v>
      </c>
      <c r="CM174" s="72">
        <f t="shared" ref="CM174:CM187" si="1587">AA174</f>
        <v>155</v>
      </c>
      <c r="CN174" s="72">
        <f t="shared" ref="CN174:CN187" si="1588">AE174</f>
        <v>182</v>
      </c>
      <c r="CO174" s="72">
        <f t="shared" ref="CO174:CO187" si="1589">AI174</f>
        <v>197</v>
      </c>
      <c r="CP174" s="72">
        <f t="shared" ref="CP174:CP187" si="1590">AM174</f>
        <v>241</v>
      </c>
      <c r="CQ174" s="72">
        <f t="shared" ref="CQ174:CQ187" si="1591">AQ174</f>
        <v>285</v>
      </c>
      <c r="CR174" s="72">
        <f t="shared" ref="CR174:CR187" si="1592">AU174</f>
        <v>321</v>
      </c>
      <c r="CS174" s="72">
        <f t="shared" ref="CS174:CS187" si="1593">AY174</f>
        <v>336</v>
      </c>
      <c r="CT174" s="23" t="e">
        <f t="shared" ref="CT174:CT187" si="1594">M174-K174</f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si="1567"/>
        <v>agtr2_human_5UNF</v>
      </c>
      <c r="B175" s="3" t="s">
        <v>159</v>
      </c>
      <c r="C175" s="3" t="s">
        <v>1386</v>
      </c>
      <c r="D175" s="3" t="str">
        <f>IFERROR(MID(VLOOKUP($B175,Seqs!$A:$B,2,0),E175,1),"")</f>
        <v>A</v>
      </c>
      <c r="E175" s="3">
        <v>46</v>
      </c>
      <c r="F175" s="3" t="str">
        <f>IFERROR(MID(VLOOKUP($B175,Seqs!$A:$B,2,0),G175,1),"")</f>
        <v>Q</v>
      </c>
      <c r="G175" s="3">
        <v>72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V</v>
      </c>
      <c r="M175" s="3">
        <v>78</v>
      </c>
      <c r="N175" s="3" t="str">
        <f>IFERROR(MID(VLOOKUP($B175,Seqs!$A:$B,2,0),O175,1),"")</f>
        <v>Y</v>
      </c>
      <c r="O175" s="3">
        <v>106</v>
      </c>
      <c r="P175" s="3" t="str">
        <f>IFERROR(MID(VLOOKUP($B175,Seqs!$A:$B,2,0),Q175,1),"")</f>
        <v>R</v>
      </c>
      <c r="Q175" s="3">
        <v>107</v>
      </c>
      <c r="R175" s="3" t="str">
        <f>IFERROR(MID(VLOOKUP($B175,Seqs!$A:$B,2,0),S175,1),"")</f>
        <v>F</v>
      </c>
      <c r="S175" s="3">
        <v>112</v>
      </c>
      <c r="T175" s="3" t="str">
        <f>IFERROR(MID(VLOOKUP($B175,Seqs!$A:$B,2,0),U175,1),"")</f>
        <v>G</v>
      </c>
      <c r="U175" s="3">
        <v>113</v>
      </c>
      <c r="V175" s="3" t="str">
        <f>IFERROR(MID(VLOOKUP($B175,Seqs!$A:$B,2,0),W175,1),"")</f>
        <v>Y</v>
      </c>
      <c r="W175" s="3">
        <v>148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W</v>
      </c>
      <c r="AC175" s="3">
        <v>158</v>
      </c>
      <c r="AD175" s="3" t="str">
        <f>IFERROR(MID(VLOOKUP($B175,Seqs!$A:$B,2,0),AE175,1),"")</f>
        <v>R</v>
      </c>
      <c r="AE175" s="3">
        <v>182</v>
      </c>
      <c r="AF175" s="3" t="str">
        <f>IFERROR(MID(VLOOKUP($B175,Seqs!$A:$B,2,0),AG175,1),"")</f>
        <v>C</v>
      </c>
      <c r="AG175" s="3">
        <v>195</v>
      </c>
      <c r="AH175" s="3" t="str">
        <f>IFERROR(MID(VLOOKUP($B175,Seqs!$A:$B,2,0),AI175,1),"")</f>
        <v>M</v>
      </c>
      <c r="AI175" s="3">
        <v>197</v>
      </c>
      <c r="AJ175" s="3" t="str">
        <f>IFERROR(MID(VLOOKUP($B175,Seqs!$A:$B,2,0),AK175,1),"")</f>
        <v>Y</v>
      </c>
      <c r="AK175" s="3">
        <v>204</v>
      </c>
      <c r="AL175" s="3" t="str">
        <f>IFERROR(MID(VLOOKUP($B175,Seqs!$A:$B,2,0),AM175,1),"")</f>
        <v>T</v>
      </c>
      <c r="AM175" s="3">
        <v>241</v>
      </c>
      <c r="AN175" s="3" t="str">
        <f>IFERROR(MID(VLOOKUP($B175,Seqs!$A:$B,2,0),AO175,1),"")</f>
        <v>G</v>
      </c>
      <c r="AO175" s="3">
        <v>245</v>
      </c>
      <c r="AP175" s="3" t="str">
        <f>IFERROR(MID(VLOOKUP($B175,Seqs!$A:$B,2,0),AQ175,1),"")</f>
        <v>G</v>
      </c>
      <c r="AQ175" s="3">
        <v>285</v>
      </c>
      <c r="AR175" s="3" t="str">
        <f>IFERROR(MID(VLOOKUP($B175,Seqs!$A:$B,2,0),AS175,1),"")</f>
        <v>C</v>
      </c>
      <c r="AS175" s="3">
        <v>290</v>
      </c>
      <c r="AT175" s="3" t="str">
        <f>IFERROR(MID(VLOOKUP($B175,Seqs!$A:$B,2,0),AU175,1),"")</f>
        <v>V</v>
      </c>
      <c r="AU175" s="3">
        <v>321</v>
      </c>
      <c r="AV175" s="3" t="str">
        <f>IFERROR(MID(VLOOKUP($B175,Seqs!$A:$B,2,0),AW175,1),"")</f>
        <v>G</v>
      </c>
      <c r="AW175" s="3">
        <v>322</v>
      </c>
      <c r="AX175" s="3" t="str">
        <f>IFERROR(MID(VLOOKUP($B175,Seqs!$A:$B,2,0),AY175,1),"")</f>
        <v>R</v>
      </c>
      <c r="AY175" s="3">
        <v>334</v>
      </c>
      <c r="AZ175" s="77"/>
      <c r="BA175" s="94" t="str">
        <f>VLOOKUP(B175,Classification!A:D,4,0)</f>
        <v>Angiotensin</v>
      </c>
      <c r="BB175" s="27" t="b">
        <f t="shared" si="1568"/>
        <v>1</v>
      </c>
      <c r="BC175" s="23">
        <f t="shared" si="1569"/>
        <v>252</v>
      </c>
      <c r="BD175" s="2" t="s">
        <v>23</v>
      </c>
      <c r="BE175" s="3" t="s">
        <v>1285</v>
      </c>
      <c r="BF175" s="118">
        <v>2.8</v>
      </c>
      <c r="BG175" s="49" t="s">
        <v>1371</v>
      </c>
      <c r="BH175" s="49" t="s">
        <v>1</v>
      </c>
      <c r="BI175" s="1"/>
      <c r="BJ175" s="70" t="s">
        <v>1281</v>
      </c>
      <c r="BK175" s="57" t="s">
        <v>1281</v>
      </c>
      <c r="BL175" s="57" t="s">
        <v>1281</v>
      </c>
      <c r="BM175" s="57" t="s">
        <v>1281</v>
      </c>
      <c r="BN175" s="57" t="s">
        <v>1281</v>
      </c>
      <c r="BO175" s="57" t="s">
        <v>1281</v>
      </c>
      <c r="BP175" s="57" t="s">
        <v>1281</v>
      </c>
      <c r="BQ175" s="57" t="s">
        <v>1281</v>
      </c>
      <c r="BR175" s="57" t="s">
        <v>1281</v>
      </c>
      <c r="BS175" s="57" t="s">
        <v>1281</v>
      </c>
      <c r="BT175" s="57" t="s">
        <v>1281</v>
      </c>
      <c r="BU175" s="57" t="s">
        <v>1281</v>
      </c>
      <c r="BV175" s="70">
        <f t="shared" si="1570"/>
        <v>46</v>
      </c>
      <c r="BW175" s="71" t="str">
        <f t="shared" si="1571"/>
        <v>-</v>
      </c>
      <c r="BX175" s="72">
        <f t="shared" si="1572"/>
        <v>78</v>
      </c>
      <c r="BY175" s="71">
        <f t="shared" si="1573"/>
        <v>107</v>
      </c>
      <c r="BZ175" s="72">
        <f t="shared" si="1574"/>
        <v>113</v>
      </c>
      <c r="CA175" s="71" t="str">
        <f t="shared" si="1575"/>
        <v>-</v>
      </c>
      <c r="CB175" s="72">
        <f t="shared" si="1576"/>
        <v>158</v>
      </c>
      <c r="CC175" s="71">
        <f t="shared" si="1577"/>
        <v>195</v>
      </c>
      <c r="CD175" s="72">
        <f t="shared" si="1578"/>
        <v>204</v>
      </c>
      <c r="CE175" s="71">
        <f t="shared" si="1579"/>
        <v>245</v>
      </c>
      <c r="CF175" s="72">
        <f t="shared" si="1580"/>
        <v>290</v>
      </c>
      <c r="CG175" s="71">
        <f t="shared" si="1581"/>
        <v>322</v>
      </c>
      <c r="CH175" s="70">
        <f t="shared" si="1582"/>
        <v>72</v>
      </c>
      <c r="CI175" s="71" t="str">
        <f t="shared" si="1583"/>
        <v>-</v>
      </c>
      <c r="CJ175" s="72">
        <f t="shared" si="1584"/>
        <v>106</v>
      </c>
      <c r="CK175" s="72">
        <f t="shared" si="1585"/>
        <v>112</v>
      </c>
      <c r="CL175" s="72">
        <f t="shared" si="1586"/>
        <v>148</v>
      </c>
      <c r="CM175" s="72" t="str">
        <f t="shared" si="1587"/>
        <v>-</v>
      </c>
      <c r="CN175" s="72">
        <f t="shared" si="1588"/>
        <v>182</v>
      </c>
      <c r="CO175" s="72">
        <f t="shared" si="1589"/>
        <v>197</v>
      </c>
      <c r="CP175" s="72">
        <f t="shared" si="1590"/>
        <v>241</v>
      </c>
      <c r="CQ175" s="72">
        <f t="shared" si="1591"/>
        <v>285</v>
      </c>
      <c r="CR175" s="72">
        <f t="shared" si="1592"/>
        <v>321</v>
      </c>
      <c r="CS175" s="72">
        <f t="shared" si="1593"/>
        <v>334</v>
      </c>
      <c r="CT175" s="23" t="e">
        <f t="shared" si="1594"/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1567"/>
        <v>agtr2_human_5UNG</v>
      </c>
      <c r="B176" s="3" t="s">
        <v>159</v>
      </c>
      <c r="C176" s="3" t="s">
        <v>1388</v>
      </c>
      <c r="D176" s="3" t="str">
        <f>IFERROR(MID(VLOOKUP($B176,Seqs!$A:$B,2,0),E176,1),"")</f>
        <v>D</v>
      </c>
      <c r="E176" s="3">
        <v>45</v>
      </c>
      <c r="F176" s="3" t="str">
        <f>IFERROR(MID(VLOOKUP($B176,Seqs!$A:$B,2,0),G176,1),"")</f>
        <v>C</v>
      </c>
      <c r="G176" s="3">
        <v>71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V</v>
      </c>
      <c r="M176" s="3">
        <v>78</v>
      </c>
      <c r="N176" s="3" t="str">
        <f>IFERROR(MID(VLOOKUP($B176,Seqs!$A:$B,2,0),O176,1),"")</f>
        <v>Y</v>
      </c>
      <c r="O176" s="3">
        <v>106</v>
      </c>
      <c r="P176" s="3" t="str">
        <f>IFERROR(MID(VLOOKUP($B176,Seqs!$A:$B,2,0),Q176,1),"")</f>
        <v>R</v>
      </c>
      <c r="Q176" s="3">
        <v>107</v>
      </c>
      <c r="R176" s="3" t="str">
        <f>IFERROR(MID(VLOOKUP($B176,Seqs!$A:$B,2,0),S176,1),"")</f>
        <v>F</v>
      </c>
      <c r="S176" s="3">
        <v>112</v>
      </c>
      <c r="T176" s="3" t="str">
        <f>IFERROR(MID(VLOOKUP($B176,Seqs!$A:$B,2,0),U176,1),"")</f>
        <v>G</v>
      </c>
      <c r="U176" s="3">
        <v>113</v>
      </c>
      <c r="V176" s="3" t="str">
        <f>IFERROR(MID(VLOOKUP($B176,Seqs!$A:$B,2,0),W176,1),"")</f>
        <v>Y</v>
      </c>
      <c r="W176" s="3">
        <v>148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Q</v>
      </c>
      <c r="AC176" s="3">
        <v>159</v>
      </c>
      <c r="AD176" s="3" t="str">
        <f>IFERROR(MID(VLOOKUP($B176,Seqs!$A:$B,2,0),AE176,1),"")</f>
        <v>R</v>
      </c>
      <c r="AE176" s="3">
        <v>182</v>
      </c>
      <c r="AF176" s="3" t="str">
        <f>IFERROR(MID(VLOOKUP($B176,Seqs!$A:$B,2,0),AG176,1),"")</f>
        <v>C</v>
      </c>
      <c r="AG176" s="3">
        <v>195</v>
      </c>
      <c r="AH176" s="3" t="str">
        <f>IFERROR(MID(VLOOKUP($B176,Seqs!$A:$B,2,0),AI176,1),"")</f>
        <v>M</v>
      </c>
      <c r="AI176" s="3">
        <v>197</v>
      </c>
      <c r="AJ176" s="3" t="str">
        <f>IFERROR(MID(VLOOKUP($B176,Seqs!$A:$B,2,0),AK176,1),"")</f>
        <v>K</v>
      </c>
      <c r="AK176" s="3">
        <v>203</v>
      </c>
      <c r="AL176" s="3" t="str">
        <f>IFERROR(MID(VLOOKUP($B176,Seqs!$A:$B,2,0),AM176,1),"")</f>
        <v>T</v>
      </c>
      <c r="AM176" s="3">
        <v>241</v>
      </c>
      <c r="AN176" s="3" t="str">
        <f>IFERROR(MID(VLOOKUP($B176,Seqs!$A:$B,2,0),AO176,1),"")</f>
        <v>G</v>
      </c>
      <c r="AO176" s="3">
        <v>245</v>
      </c>
      <c r="AP176" s="3" t="str">
        <f>IFERROR(MID(VLOOKUP($B176,Seqs!$A:$B,2,0),AQ176,1),"")</f>
        <v>G</v>
      </c>
      <c r="AQ176" s="3">
        <v>285</v>
      </c>
      <c r="AR176" s="3" t="str">
        <f>IFERROR(MID(VLOOKUP($B176,Seqs!$A:$B,2,0),AS176,1),"")</f>
        <v>S</v>
      </c>
      <c r="AS176" s="3">
        <v>289</v>
      </c>
      <c r="AT176" s="3" t="str">
        <f>IFERROR(MID(VLOOKUP($B176,Seqs!$A:$B,2,0),AU176,1),"")</f>
        <v>V</v>
      </c>
      <c r="AU176" s="3">
        <v>321</v>
      </c>
      <c r="AV176" s="3" t="str">
        <f>IFERROR(MID(VLOOKUP($B176,Seqs!$A:$B,2,0),AW176,1),"")</f>
        <v>G</v>
      </c>
      <c r="AW176" s="3">
        <v>322</v>
      </c>
      <c r="AX176" s="3" t="str">
        <f>IFERROR(MID(VLOOKUP($B176,Seqs!$A:$B,2,0),AY176,1),"")</f>
        <v>R</v>
      </c>
      <c r="AY176" s="3">
        <v>334</v>
      </c>
      <c r="AZ176" s="77" t="str">
        <f>VLOOKUP(B176,Classification!A:D,2,0)</f>
        <v>A</v>
      </c>
      <c r="BA176" s="94" t="str">
        <f>VLOOKUP(B176,Classification!A:D,4,0)</f>
        <v>Angiotensin</v>
      </c>
      <c r="BB176" s="27" t="b">
        <f t="shared" si="1568"/>
        <v>1</v>
      </c>
      <c r="BC176" s="23">
        <f t="shared" si="1569"/>
        <v>253</v>
      </c>
      <c r="BD176" s="2" t="s">
        <v>23</v>
      </c>
      <c r="BE176" s="3" t="s">
        <v>1285</v>
      </c>
      <c r="BF176" s="118">
        <v>2.8</v>
      </c>
      <c r="BG176" s="49" t="s">
        <v>1371</v>
      </c>
      <c r="BH176" s="49" t="s">
        <v>1275</v>
      </c>
      <c r="BI176" s="1"/>
      <c r="BJ176" s="70" t="s">
        <v>1281</v>
      </c>
      <c r="BK176" s="57" t="s">
        <v>1281</v>
      </c>
      <c r="BL176" s="57" t="s">
        <v>1281</v>
      </c>
      <c r="BM176" s="57" t="s">
        <v>1281</v>
      </c>
      <c r="BN176" s="57" t="s">
        <v>1281</v>
      </c>
      <c r="BO176" s="57" t="s">
        <v>1281</v>
      </c>
      <c r="BP176" s="57" t="s">
        <v>1281</v>
      </c>
      <c r="BQ176" s="57" t="s">
        <v>1281</v>
      </c>
      <c r="BR176" s="57" t="s">
        <v>1281</v>
      </c>
      <c r="BS176" s="57" t="s">
        <v>1281</v>
      </c>
      <c r="BT176" s="57" t="s">
        <v>1281</v>
      </c>
      <c r="BU176" s="57" t="s">
        <v>1281</v>
      </c>
      <c r="BV176" s="70">
        <f t="shared" si="1570"/>
        <v>45</v>
      </c>
      <c r="BW176" s="71" t="str">
        <f t="shared" si="1571"/>
        <v>-</v>
      </c>
      <c r="BX176" s="72">
        <f t="shared" si="1572"/>
        <v>78</v>
      </c>
      <c r="BY176" s="71">
        <f t="shared" si="1573"/>
        <v>107</v>
      </c>
      <c r="BZ176" s="72">
        <f t="shared" si="1574"/>
        <v>113</v>
      </c>
      <c r="CA176" s="71" t="str">
        <f t="shared" si="1575"/>
        <v>-</v>
      </c>
      <c r="CB176" s="72">
        <f t="shared" si="1576"/>
        <v>159</v>
      </c>
      <c r="CC176" s="71">
        <f t="shared" si="1577"/>
        <v>195</v>
      </c>
      <c r="CD176" s="72">
        <f t="shared" si="1578"/>
        <v>203</v>
      </c>
      <c r="CE176" s="71">
        <f t="shared" si="1579"/>
        <v>245</v>
      </c>
      <c r="CF176" s="72">
        <f t="shared" si="1580"/>
        <v>289</v>
      </c>
      <c r="CG176" s="71">
        <f t="shared" si="1581"/>
        <v>322</v>
      </c>
      <c r="CH176" s="70">
        <f t="shared" si="1582"/>
        <v>71</v>
      </c>
      <c r="CI176" s="71" t="str">
        <f t="shared" si="1583"/>
        <v>-</v>
      </c>
      <c r="CJ176" s="72">
        <f t="shared" si="1584"/>
        <v>106</v>
      </c>
      <c r="CK176" s="72">
        <f t="shared" si="1585"/>
        <v>112</v>
      </c>
      <c r="CL176" s="72">
        <f t="shared" si="1586"/>
        <v>148</v>
      </c>
      <c r="CM176" s="72" t="str">
        <f t="shared" si="1587"/>
        <v>-</v>
      </c>
      <c r="CN176" s="72">
        <f t="shared" si="1588"/>
        <v>182</v>
      </c>
      <c r="CO176" s="72">
        <f t="shared" si="1589"/>
        <v>197</v>
      </c>
      <c r="CP176" s="72">
        <f t="shared" si="1590"/>
        <v>241</v>
      </c>
      <c r="CQ176" s="72">
        <f t="shared" si="1591"/>
        <v>285</v>
      </c>
      <c r="CR176" s="72">
        <f t="shared" si="1592"/>
        <v>321</v>
      </c>
      <c r="CS176" s="72">
        <f t="shared" si="1593"/>
        <v>334</v>
      </c>
      <c r="CT176" s="23" t="e">
        <f t="shared" si="1594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567"/>
        <v>agtr2_human_5UNH</v>
      </c>
      <c r="B177" s="3" t="s">
        <v>159</v>
      </c>
      <c r="C177" s="3" t="s">
        <v>1389</v>
      </c>
      <c r="D177" s="3" t="str">
        <f>IFERROR(MID(VLOOKUP($B177,Seqs!$A:$B,2,0),E177,1),"")</f>
        <v>D</v>
      </c>
      <c r="E177" s="3">
        <v>45</v>
      </c>
      <c r="F177" s="3" t="str">
        <f>IFERROR(MID(VLOOKUP($B177,Seqs!$A:$B,2,0),G177,1),"")</f>
        <v>C</v>
      </c>
      <c r="G177" s="3">
        <v>70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K</v>
      </c>
      <c r="M177" s="3">
        <v>77</v>
      </c>
      <c r="N177" s="3" t="str">
        <f>IFERROR(MID(VLOOKUP($B177,Seqs!$A:$B,2,0),O177,1),"")</f>
        <v>Y</v>
      </c>
      <c r="O177" s="3">
        <v>106</v>
      </c>
      <c r="P177" s="3" t="str">
        <f>IFERROR(MID(VLOOKUP($B177,Seqs!$A:$B,2,0),Q177,1),"")</f>
        <v>R</v>
      </c>
      <c r="Q177" s="3">
        <v>107</v>
      </c>
      <c r="R177" s="3" t="str">
        <f>IFERROR(MID(VLOOKUP($B177,Seqs!$A:$B,2,0),S177,1),"")</f>
        <v>F</v>
      </c>
      <c r="S177" s="3">
        <v>112</v>
      </c>
      <c r="T177" s="3" t="str">
        <f>IFERROR(MID(VLOOKUP($B177,Seqs!$A:$B,2,0),U177,1),"")</f>
        <v>G</v>
      </c>
      <c r="U177" s="3">
        <v>113</v>
      </c>
      <c r="V177" s="3" t="str">
        <f>IFERROR(MID(VLOOKUP($B177,Seqs!$A:$B,2,0),W177,1),"")</f>
        <v>Y</v>
      </c>
      <c r="W177" s="3">
        <v>148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Y</v>
      </c>
      <c r="AC177" s="3">
        <v>162</v>
      </c>
      <c r="AD177" s="3" t="str">
        <f>IFERROR(MID(VLOOKUP($B177,Seqs!$A:$B,2,0),AE177,1),"")</f>
        <v>R</v>
      </c>
      <c r="AE177" s="3">
        <v>182</v>
      </c>
      <c r="AF177" s="3" t="str">
        <f>IFERROR(MID(VLOOKUP($B177,Seqs!$A:$B,2,0),AG177,1),"")</f>
        <v>C</v>
      </c>
      <c r="AG177" s="3">
        <v>195</v>
      </c>
      <c r="AH177" s="3" t="str">
        <f>IFERROR(MID(VLOOKUP($B177,Seqs!$A:$B,2,0),AI177,1),"")</f>
        <v>M</v>
      </c>
      <c r="AI177" s="3">
        <v>197</v>
      </c>
      <c r="AJ177" s="3" t="str">
        <f>IFERROR(MID(VLOOKUP($B177,Seqs!$A:$B,2,0),AK177,1),"")</f>
        <v>Y</v>
      </c>
      <c r="AK177" s="3">
        <v>204</v>
      </c>
      <c r="AL177" s="3" t="str">
        <f>IFERROR(MID(VLOOKUP($B177,Seqs!$A:$B,2,0),AM177,1),"")</f>
        <v>T</v>
      </c>
      <c r="AM177" s="3">
        <v>241</v>
      </c>
      <c r="AN177" s="3" t="str">
        <f>IFERROR(MID(VLOOKUP($B177,Seqs!$A:$B,2,0),AO177,1),"")</f>
        <v>G</v>
      </c>
      <c r="AO177" s="3">
        <v>245</v>
      </c>
      <c r="AP177" s="3" t="str">
        <f>IFERROR(MID(VLOOKUP($B177,Seqs!$A:$B,2,0),AQ177,1),"")</f>
        <v>G</v>
      </c>
      <c r="AQ177" s="3">
        <v>285</v>
      </c>
      <c r="AR177" s="3" t="str">
        <f>IFERROR(MID(VLOOKUP($B177,Seqs!$A:$B,2,0),AS177,1),"")</f>
        <v>S</v>
      </c>
      <c r="AS177" s="3">
        <v>289</v>
      </c>
      <c r="AT177" s="3" t="str">
        <f>IFERROR(MID(VLOOKUP($B177,Seqs!$A:$B,2,0),AU177,1),"")</f>
        <v>V</v>
      </c>
      <c r="AU177" s="3">
        <v>321</v>
      </c>
      <c r="AV177" s="3" t="str">
        <f>IFERROR(MID(VLOOKUP($B177,Seqs!$A:$B,2,0),AW177,1),"")</f>
        <v>G</v>
      </c>
      <c r="AW177" s="3">
        <v>322</v>
      </c>
      <c r="AX177" s="3" t="str">
        <f>IFERROR(MID(VLOOKUP($B177,Seqs!$A:$B,2,0),AY177,1),"")</f>
        <v>V</v>
      </c>
      <c r="AY177" s="3">
        <v>332</v>
      </c>
      <c r="AZ177" s="77" t="str">
        <f>VLOOKUP(B177,Classification!A:D,2,0)</f>
        <v>A</v>
      </c>
      <c r="BA177" s="94" t="str">
        <f>VLOOKUP(B177,Classification!A:D,4,0)</f>
        <v>Angiotensin</v>
      </c>
      <c r="BB177" s="27" t="b">
        <f t="shared" si="1568"/>
        <v>1</v>
      </c>
      <c r="BC177" s="23">
        <f t="shared" si="1569"/>
        <v>247</v>
      </c>
      <c r="BD177" s="2" t="s">
        <v>23</v>
      </c>
      <c r="BE177" s="3" t="s">
        <v>1285</v>
      </c>
      <c r="BF177" s="118">
        <v>2.9</v>
      </c>
      <c r="BG177" s="49" t="s">
        <v>1371</v>
      </c>
      <c r="BH177" s="49" t="s">
        <v>1275</v>
      </c>
      <c r="BI177" s="1"/>
      <c r="BJ177" s="70" t="s">
        <v>1281</v>
      </c>
      <c r="BK177" s="57" t="s">
        <v>1281</v>
      </c>
      <c r="BL177" s="57" t="s">
        <v>1281</v>
      </c>
      <c r="BM177" s="57" t="s">
        <v>1281</v>
      </c>
      <c r="BN177" s="57" t="s">
        <v>1281</v>
      </c>
      <c r="BO177" s="57" t="s">
        <v>1281</v>
      </c>
      <c r="BP177" s="57" t="s">
        <v>1281</v>
      </c>
      <c r="BQ177" s="57" t="s">
        <v>1281</v>
      </c>
      <c r="BR177" s="57" t="s">
        <v>1281</v>
      </c>
      <c r="BS177" s="57" t="s">
        <v>1281</v>
      </c>
      <c r="BT177" s="57" t="s">
        <v>1281</v>
      </c>
      <c r="BU177" s="57" t="s">
        <v>1281</v>
      </c>
      <c r="BV177" s="70">
        <f t="shared" si="1570"/>
        <v>45</v>
      </c>
      <c r="BW177" s="71" t="str">
        <f t="shared" si="1571"/>
        <v>-</v>
      </c>
      <c r="BX177" s="72">
        <f t="shared" si="1572"/>
        <v>77</v>
      </c>
      <c r="BY177" s="71">
        <f t="shared" si="1573"/>
        <v>107</v>
      </c>
      <c r="BZ177" s="72">
        <f t="shared" si="1574"/>
        <v>113</v>
      </c>
      <c r="CA177" s="71" t="str">
        <f t="shared" si="1575"/>
        <v>-</v>
      </c>
      <c r="CB177" s="72">
        <f t="shared" si="1576"/>
        <v>162</v>
      </c>
      <c r="CC177" s="71">
        <f t="shared" si="1577"/>
        <v>195</v>
      </c>
      <c r="CD177" s="72">
        <f t="shared" si="1578"/>
        <v>204</v>
      </c>
      <c r="CE177" s="71">
        <f t="shared" si="1579"/>
        <v>245</v>
      </c>
      <c r="CF177" s="72">
        <f t="shared" si="1580"/>
        <v>289</v>
      </c>
      <c r="CG177" s="71">
        <f t="shared" si="1581"/>
        <v>322</v>
      </c>
      <c r="CH177" s="70">
        <f t="shared" si="1582"/>
        <v>70</v>
      </c>
      <c r="CI177" s="71" t="str">
        <f t="shared" si="1583"/>
        <v>-</v>
      </c>
      <c r="CJ177" s="72">
        <f t="shared" si="1584"/>
        <v>106</v>
      </c>
      <c r="CK177" s="72">
        <f t="shared" si="1585"/>
        <v>112</v>
      </c>
      <c r="CL177" s="72">
        <f t="shared" si="1586"/>
        <v>148</v>
      </c>
      <c r="CM177" s="72" t="str">
        <f t="shared" si="1587"/>
        <v>-</v>
      </c>
      <c r="CN177" s="72">
        <f t="shared" si="1588"/>
        <v>182</v>
      </c>
      <c r="CO177" s="72">
        <f t="shared" si="1589"/>
        <v>197</v>
      </c>
      <c r="CP177" s="72">
        <f t="shared" si="1590"/>
        <v>241</v>
      </c>
      <c r="CQ177" s="72">
        <f t="shared" si="1591"/>
        <v>285</v>
      </c>
      <c r="CR177" s="72">
        <f t="shared" si="1592"/>
        <v>321</v>
      </c>
      <c r="CS177" s="72">
        <f t="shared" si="1593"/>
        <v>332</v>
      </c>
      <c r="CT177" s="23" t="e">
        <f t="shared" si="1594"/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ref="A178" si="1595">CONCATENATE(B178,"_",C178)</f>
        <v>agtr2_human_5XJM</v>
      </c>
      <c r="B178" s="3" t="s">
        <v>159</v>
      </c>
      <c r="C178" s="3" t="s">
        <v>1505</v>
      </c>
      <c r="D178" s="3" t="str">
        <f>IFERROR(MID(VLOOKUP($B178,Seqs!$A:$B,2,0),E178,1),"")</f>
        <v>A</v>
      </c>
      <c r="E178" s="3">
        <v>46</v>
      </c>
      <c r="F178" s="3" t="str">
        <f>IFERROR(MID(VLOOKUP($B178,Seqs!$A:$B,2,0),G178,1),"")</f>
        <v>K</v>
      </c>
      <c r="G178" s="3">
        <v>73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V</v>
      </c>
      <c r="M178" s="3">
        <v>78</v>
      </c>
      <c r="N178" s="3" t="str">
        <f>IFERROR(MID(VLOOKUP($B178,Seqs!$A:$B,2,0),O178,1),"")</f>
        <v>Y</v>
      </c>
      <c r="O178" s="3">
        <v>106</v>
      </c>
      <c r="P178" s="3" t="str">
        <f>IFERROR(MID(VLOOKUP($B178,Seqs!$A:$B,2,0),Q178,1),"")</f>
        <v>R</v>
      </c>
      <c r="Q178" s="3">
        <v>107</v>
      </c>
      <c r="R178" s="3" t="str">
        <f>IFERROR(MID(VLOOKUP($B178,Seqs!$A:$B,2,0),S178,1),"")</f>
        <v>F</v>
      </c>
      <c r="S178" s="3">
        <v>112</v>
      </c>
      <c r="T178" s="3" t="str">
        <f>IFERROR(MID(VLOOKUP($B178,Seqs!$A:$B,2,0),U178,1),"")</f>
        <v>G</v>
      </c>
      <c r="U178" s="3">
        <v>113</v>
      </c>
      <c r="V178" s="3" t="str">
        <f>IFERROR(MID(VLOOKUP($B178,Seqs!$A:$B,2,0),W178,1),"")</f>
        <v>Y</v>
      </c>
      <c r="W178" s="3">
        <v>148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R</v>
      </c>
      <c r="AC178" s="3">
        <v>155</v>
      </c>
      <c r="AD178" s="3" t="str">
        <f>IFERROR(MID(VLOOKUP($B178,Seqs!$A:$B,2,0),AE178,1),"")</f>
        <v>F</v>
      </c>
      <c r="AE178" s="3">
        <v>181</v>
      </c>
      <c r="AF178" s="3" t="str">
        <f>IFERROR(MID(VLOOKUP($B178,Seqs!$A:$B,2,0),AG178,1),"")</f>
        <v>C</v>
      </c>
      <c r="AG178" s="3">
        <v>195</v>
      </c>
      <c r="AH178" s="3" t="str">
        <f>IFERROR(MID(VLOOKUP($B178,Seqs!$A:$B,2,0),AI178,1),"")</f>
        <v>M</v>
      </c>
      <c r="AI178" s="3">
        <v>197</v>
      </c>
      <c r="AJ178" s="3" t="str">
        <f>IFERROR(MID(VLOOKUP($B178,Seqs!$A:$B,2,0),AK178,1),"")</f>
        <v>K</v>
      </c>
      <c r="AK178" s="3">
        <v>203</v>
      </c>
      <c r="AL178" s="3" t="str">
        <f>IFERROR(MID(VLOOKUP($B178,Seqs!$A:$B,2,0),AM178,1),"")</f>
        <v>N</v>
      </c>
      <c r="AM178" s="3">
        <v>242</v>
      </c>
      <c r="AN178" s="3" t="str">
        <f>IFERROR(MID(VLOOKUP($B178,Seqs!$A:$B,2,0),AO178,1),"")</f>
        <v>N</v>
      </c>
      <c r="AO178" s="3">
        <v>247</v>
      </c>
      <c r="AP178" s="3" t="str">
        <f>IFERROR(MID(VLOOKUP($B178,Seqs!$A:$B,2,0),AQ178,1),"")</f>
        <v>G</v>
      </c>
      <c r="AQ178" s="3">
        <v>285</v>
      </c>
      <c r="AR178" s="3" t="str">
        <f>IFERROR(MID(VLOOKUP($B178,Seqs!$A:$B,2,0),AS178,1),"")</f>
        <v>S</v>
      </c>
      <c r="AS178" s="3">
        <v>289</v>
      </c>
      <c r="AT178" s="3" t="str">
        <f>IFERROR(MID(VLOOKUP($B178,Seqs!$A:$B,2,0),AU178,1),"")</f>
        <v>F</v>
      </c>
      <c r="AU178" s="3">
        <v>320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7" t="str">
        <f>VLOOKUP(B178,Classification!A:D,2,0)</f>
        <v>A</v>
      </c>
      <c r="BA178" s="94" t="str">
        <f>VLOOKUP(B178,Classification!A:D,4,0)</f>
        <v>Angiotensin</v>
      </c>
      <c r="BB178" s="27" t="b">
        <f t="shared" ref="BB178" si="1596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 t="shared" ref="BC178" si="1597">_xlfn.AGGREGATE(9,6,CH178:CS178)-_xlfn.AGGREGATE(9,6,BV178:CG178)+12</f>
        <v>243</v>
      </c>
      <c r="BD178" s="2" t="s">
        <v>23</v>
      </c>
      <c r="BE178" s="3" t="s">
        <v>1285</v>
      </c>
      <c r="BF178" s="118">
        <v>3.2</v>
      </c>
      <c r="BG178" s="49" t="s">
        <v>1</v>
      </c>
      <c r="BH178" s="49" t="s">
        <v>1</v>
      </c>
      <c r="BI178" s="1"/>
      <c r="BJ178" s="70" t="s">
        <v>1281</v>
      </c>
      <c r="BK178" s="57" t="s">
        <v>1281</v>
      </c>
      <c r="BL178" s="57" t="s">
        <v>1281</v>
      </c>
      <c r="BM178" s="57" t="s">
        <v>1281</v>
      </c>
      <c r="BN178" s="57" t="s">
        <v>1281</v>
      </c>
      <c r="BO178" s="57" t="s">
        <v>1281</v>
      </c>
      <c r="BP178" s="57" t="s">
        <v>1281</v>
      </c>
      <c r="BQ178" s="57" t="s">
        <v>1281</v>
      </c>
      <c r="BR178" s="57" t="s">
        <v>1281</v>
      </c>
      <c r="BS178" s="57" t="s">
        <v>1281</v>
      </c>
      <c r="BT178" s="57" t="s">
        <v>1281</v>
      </c>
      <c r="BU178" s="57" t="s">
        <v>1281</v>
      </c>
      <c r="BV178" s="70">
        <f t="shared" ref="BV178" si="1598">E178</f>
        <v>46</v>
      </c>
      <c r="BW178" s="71" t="str">
        <f t="shared" ref="BW178" si="1599">I178</f>
        <v>-</v>
      </c>
      <c r="BX178" s="72">
        <f t="shared" ref="BX178" si="1600">M178</f>
        <v>78</v>
      </c>
      <c r="BY178" s="71">
        <f t="shared" ref="BY178" si="1601">Q178</f>
        <v>107</v>
      </c>
      <c r="BZ178" s="72">
        <f t="shared" ref="BZ178" si="1602">U178</f>
        <v>113</v>
      </c>
      <c r="CA178" s="71" t="str">
        <f t="shared" ref="CA178" si="1603">Y178</f>
        <v>-</v>
      </c>
      <c r="CB178" s="72">
        <f t="shared" ref="CB178" si="1604">AC178</f>
        <v>155</v>
      </c>
      <c r="CC178" s="71">
        <f t="shared" ref="CC178" si="1605">AG178</f>
        <v>195</v>
      </c>
      <c r="CD178" s="72">
        <f t="shared" ref="CD178" si="1606">AK178</f>
        <v>203</v>
      </c>
      <c r="CE178" s="71">
        <f t="shared" ref="CE178" si="1607">AO178</f>
        <v>247</v>
      </c>
      <c r="CF178" s="72">
        <f t="shared" ref="CF178" si="1608">AS178</f>
        <v>289</v>
      </c>
      <c r="CG178" s="71" t="str">
        <f t="shared" ref="CG178" si="1609">AW178</f>
        <v>-</v>
      </c>
      <c r="CH178" s="70">
        <f t="shared" ref="CH178" si="1610">G178</f>
        <v>73</v>
      </c>
      <c r="CI178" s="71" t="str">
        <f t="shared" ref="CI178" si="1611">K178</f>
        <v>-</v>
      </c>
      <c r="CJ178" s="72">
        <f t="shared" ref="CJ178" si="1612">O178</f>
        <v>106</v>
      </c>
      <c r="CK178" s="72">
        <f t="shared" ref="CK178" si="1613">S178</f>
        <v>112</v>
      </c>
      <c r="CL178" s="72">
        <f t="shared" ref="CL178" si="1614">W178</f>
        <v>148</v>
      </c>
      <c r="CM178" s="72" t="str">
        <f t="shared" ref="CM178" si="1615">AA178</f>
        <v>-</v>
      </c>
      <c r="CN178" s="72">
        <f t="shared" ref="CN178" si="1616">AE178</f>
        <v>181</v>
      </c>
      <c r="CO178" s="72">
        <f t="shared" ref="CO178" si="1617">AI178</f>
        <v>197</v>
      </c>
      <c r="CP178" s="72">
        <f t="shared" ref="CP178" si="1618">AM178</f>
        <v>242</v>
      </c>
      <c r="CQ178" s="72">
        <f t="shared" ref="CQ178" si="1619">AQ178</f>
        <v>285</v>
      </c>
      <c r="CR178" s="72">
        <f t="shared" ref="CR178" si="1620">AU178</f>
        <v>320</v>
      </c>
      <c r="CS178" s="72" t="str">
        <f t="shared" ref="CS178" si="1621">AY178</f>
        <v>-</v>
      </c>
      <c r="CT178" s="23" t="e">
        <f t="shared" ref="CT178" si="1622">M178-K178</f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ref="A179" si="1623">CONCATENATE(B179,"_",C179)</f>
        <v>agtr2_human_6JOD</v>
      </c>
      <c r="B179" s="3" t="s">
        <v>159</v>
      </c>
      <c r="C179" s="3" t="s">
        <v>1628</v>
      </c>
      <c r="D179" s="3" t="str">
        <f>IFERROR(MID(VLOOKUP($B179,Seqs!$A:$B,2,0),E179,1),"")</f>
        <v>A</v>
      </c>
      <c r="E179" s="3">
        <v>46</v>
      </c>
      <c r="F179" s="3" t="str">
        <f>IFERROR(MID(VLOOKUP($B179,Seqs!$A:$B,2,0),G179,1),"")</f>
        <v>C</v>
      </c>
      <c r="G179" s="3">
        <v>70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K</v>
      </c>
      <c r="M179" s="3">
        <v>77</v>
      </c>
      <c r="N179" s="3" t="str">
        <f>IFERROR(MID(VLOOKUP($B179,Seqs!$A:$B,2,0),O179,1),"")</f>
        <v>Y</v>
      </c>
      <c r="O179" s="3">
        <v>106</v>
      </c>
      <c r="P179" s="3" t="str">
        <f>IFERROR(MID(VLOOKUP($B179,Seqs!$A:$B,2,0),Q179,1),"")</f>
        <v>R</v>
      </c>
      <c r="Q179" s="3">
        <v>107</v>
      </c>
      <c r="R179" s="3" t="str">
        <f>IFERROR(MID(VLOOKUP($B179,Seqs!$A:$B,2,0),S179,1),"")</f>
        <v>F</v>
      </c>
      <c r="S179" s="3">
        <v>112</v>
      </c>
      <c r="T179" s="3" t="str">
        <f>IFERROR(MID(VLOOKUP($B179,Seqs!$A:$B,2,0),U179,1),"")</f>
        <v>G</v>
      </c>
      <c r="U179" s="3">
        <v>113</v>
      </c>
      <c r="V179" s="3" t="str">
        <f>IFERROR(MID(VLOOKUP($B179,Seqs!$A:$B,2,0),W179,1),"")</f>
        <v>Y</v>
      </c>
      <c r="W179" s="3">
        <v>148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N</v>
      </c>
      <c r="AC179" s="3">
        <v>156</v>
      </c>
      <c r="AD179" s="3" t="str">
        <f>IFERROR(MID(VLOOKUP($B179,Seqs!$A:$B,2,0),AE179,1),"")</f>
        <v>R</v>
      </c>
      <c r="AE179" s="3">
        <v>182</v>
      </c>
      <c r="AF179" s="3" t="str">
        <f>IFERROR(MID(VLOOKUP($B179,Seqs!$A:$B,2,0),AG179,1),"")</f>
        <v>C</v>
      </c>
      <c r="AG179" s="3">
        <v>195</v>
      </c>
      <c r="AH179" s="3" t="str">
        <f>IFERROR(MID(VLOOKUP($B179,Seqs!$A:$B,2,0),AI179,1),"")</f>
        <v>M</v>
      </c>
      <c r="AI179" s="3">
        <v>197</v>
      </c>
      <c r="AJ179" s="3" t="str">
        <f>IFERROR(MID(VLOOKUP($B179,Seqs!$A:$B,2,0),AK179,1),"")</f>
        <v>K</v>
      </c>
      <c r="AK179" s="3">
        <v>203</v>
      </c>
      <c r="AL179" s="3" t="str">
        <f>IFERROR(MID(VLOOKUP($B179,Seqs!$A:$B,2,0),AM179,1),"")</f>
        <v>N</v>
      </c>
      <c r="AM179" s="3">
        <v>242</v>
      </c>
      <c r="AN179" s="3" t="str">
        <f>IFERROR(MID(VLOOKUP($B179,Seqs!$A:$B,2,0),AO179,1),"")</f>
        <v>G</v>
      </c>
      <c r="AO179" s="3">
        <v>245</v>
      </c>
      <c r="AP179" s="3" t="str">
        <f>IFERROR(MID(VLOOKUP($B179,Seqs!$A:$B,2,0),AQ179,1),"")</f>
        <v>G</v>
      </c>
      <c r="AQ179" s="3">
        <v>285</v>
      </c>
      <c r="AR179" s="3" t="str">
        <f>IFERROR(MID(VLOOKUP($B179,Seqs!$A:$B,2,0),AS179,1),"")</f>
        <v>S</v>
      </c>
      <c r="AS179" s="3">
        <v>289</v>
      </c>
      <c r="AT179" s="3" t="str">
        <f>IFERROR(MID(VLOOKUP($B179,Seqs!$A:$B,2,0),AU179,1),"")</f>
        <v>V</v>
      </c>
      <c r="AU179" s="3">
        <v>321</v>
      </c>
      <c r="AV179" s="3" t="str">
        <f>IFERROR(MID(VLOOKUP($B179,Seqs!$A:$B,2,0),AW179,1),"")</f>
        <v>G</v>
      </c>
      <c r="AW179" s="3">
        <v>322</v>
      </c>
      <c r="AX179" s="3" t="str">
        <f>IFERROR(MID(VLOOKUP($B179,Seqs!$A:$B,2,0),AY179,1),"")</f>
        <v>R</v>
      </c>
      <c r="AY179" s="3">
        <v>334</v>
      </c>
      <c r="AZ179" s="77" t="str">
        <f>VLOOKUP(B179,Classification!A:D,2,0)</f>
        <v>A</v>
      </c>
      <c r="BA179" s="94" t="str">
        <f>VLOOKUP(B179,Classification!A:D,4,0)</f>
        <v>Angiotensin</v>
      </c>
      <c r="BB179" s="27" t="b">
        <f t="shared" ref="BB179" si="1624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 t="shared" ref="BC179" si="1625">_xlfn.AGGREGATE(9,6,CH179:CS179)-_xlfn.AGGREGATE(9,6,BV179:CG179)+12</f>
        <v>256</v>
      </c>
      <c r="BD179" s="2" t="s">
        <v>1369</v>
      </c>
      <c r="BE179" s="3" t="s">
        <v>1285</v>
      </c>
      <c r="BF179" s="118">
        <v>3.2</v>
      </c>
      <c r="BG179" s="49" t="s">
        <v>1</v>
      </c>
      <c r="BH179" s="49" t="s">
        <v>1</v>
      </c>
      <c r="BI179" s="1"/>
      <c r="BJ179" s="70" t="s">
        <v>1281</v>
      </c>
      <c r="BK179" s="57" t="s">
        <v>1281</v>
      </c>
      <c r="BL179" s="57" t="s">
        <v>1281</v>
      </c>
      <c r="BM179" s="57" t="s">
        <v>1281</v>
      </c>
      <c r="BN179" s="57" t="s">
        <v>1281</v>
      </c>
      <c r="BO179" s="57" t="s">
        <v>1281</v>
      </c>
      <c r="BP179" s="57" t="s">
        <v>1281</v>
      </c>
      <c r="BQ179" s="57" t="s">
        <v>1281</v>
      </c>
      <c r="BR179" s="57" t="s">
        <v>1281</v>
      </c>
      <c r="BS179" s="57" t="s">
        <v>1281</v>
      </c>
      <c r="BT179" s="57" t="s">
        <v>1281</v>
      </c>
      <c r="BU179" s="57" t="s">
        <v>1281</v>
      </c>
      <c r="BV179" s="70">
        <f t="shared" ref="BV179" si="1626">E179</f>
        <v>46</v>
      </c>
      <c r="BW179" s="71" t="str">
        <f t="shared" ref="BW179" si="1627">I179</f>
        <v>-</v>
      </c>
      <c r="BX179" s="72">
        <f t="shared" ref="BX179" si="1628">M179</f>
        <v>77</v>
      </c>
      <c r="BY179" s="71">
        <f t="shared" ref="BY179" si="1629">Q179</f>
        <v>107</v>
      </c>
      <c r="BZ179" s="72">
        <f t="shared" ref="BZ179" si="1630">U179</f>
        <v>113</v>
      </c>
      <c r="CA179" s="71" t="str">
        <f t="shared" ref="CA179" si="1631">Y179</f>
        <v>-</v>
      </c>
      <c r="CB179" s="72">
        <f t="shared" ref="CB179" si="1632">AC179</f>
        <v>156</v>
      </c>
      <c r="CC179" s="71">
        <f t="shared" ref="CC179" si="1633">AG179</f>
        <v>195</v>
      </c>
      <c r="CD179" s="72">
        <f t="shared" ref="CD179" si="1634">AK179</f>
        <v>203</v>
      </c>
      <c r="CE179" s="71">
        <f t="shared" ref="CE179" si="1635">AO179</f>
        <v>245</v>
      </c>
      <c r="CF179" s="72">
        <f t="shared" ref="CF179" si="1636">AS179</f>
        <v>289</v>
      </c>
      <c r="CG179" s="71">
        <f t="shared" ref="CG179" si="1637">AW179</f>
        <v>322</v>
      </c>
      <c r="CH179" s="70">
        <f t="shared" ref="CH179" si="1638">G179</f>
        <v>70</v>
      </c>
      <c r="CI179" s="71" t="str">
        <f t="shared" ref="CI179" si="1639">K179</f>
        <v>-</v>
      </c>
      <c r="CJ179" s="72">
        <f t="shared" ref="CJ179" si="1640">O179</f>
        <v>106</v>
      </c>
      <c r="CK179" s="72">
        <f t="shared" ref="CK179" si="1641">S179</f>
        <v>112</v>
      </c>
      <c r="CL179" s="72">
        <f t="shared" ref="CL179" si="1642">W179</f>
        <v>148</v>
      </c>
      <c r="CM179" s="72" t="str">
        <f t="shared" ref="CM179" si="1643">AA179</f>
        <v>-</v>
      </c>
      <c r="CN179" s="72">
        <f t="shared" ref="CN179" si="1644">AE179</f>
        <v>182</v>
      </c>
      <c r="CO179" s="72">
        <f t="shared" ref="CO179" si="1645">AI179</f>
        <v>197</v>
      </c>
      <c r="CP179" s="72">
        <f t="shared" ref="CP179" si="1646">AM179</f>
        <v>242</v>
      </c>
      <c r="CQ179" s="72">
        <f t="shared" ref="CQ179" si="1647">AQ179</f>
        <v>285</v>
      </c>
      <c r="CR179" s="72">
        <f t="shared" ref="CR179" si="1648">AU179</f>
        <v>321</v>
      </c>
      <c r="CS179" s="72">
        <f t="shared" ref="CS179" si="1649">AY179</f>
        <v>334</v>
      </c>
      <c r="CT179" s="23" t="e">
        <f t="shared" ref="CT179" si="1650">M179-K179</f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s="12" customFormat="1" x14ac:dyDescent="0.2">
      <c r="A180" s="9" t="str">
        <f t="shared" ref="A180" si="1651">CONCATENATE(B180,"_",C180)</f>
        <v>agtr2_human_7C6A</v>
      </c>
      <c r="B180" s="9" t="s">
        <v>159</v>
      </c>
      <c r="C180" s="9" t="s">
        <v>1694</v>
      </c>
      <c r="D180" s="9" t="str">
        <f>IFERROR(MID(VLOOKUP($B180,Seqs!$A:$B,2,0),E180,1),"")</f>
        <v>A</v>
      </c>
      <c r="E180" s="9">
        <v>46</v>
      </c>
      <c r="F180" s="9" t="str">
        <f>IFERROR(MID(VLOOKUP($B180,Seqs!$A:$B,2,0),G180,1),"")</f>
        <v>K</v>
      </c>
      <c r="G180" s="9">
        <v>73</v>
      </c>
      <c r="H180" s="9" t="str">
        <f>IFERROR(MID(VLOOKUP($B180,Seqs!$A:$B,2,0),I180,1),"")</f>
        <v/>
      </c>
      <c r="I180" s="109" t="s">
        <v>23</v>
      </c>
      <c r="J180" s="9" t="str">
        <f>IFERROR(MID(VLOOKUP($B180,Seqs!$A:$B,2,0),K180,1),"")</f>
        <v/>
      </c>
      <c r="K180" s="109" t="s">
        <v>23</v>
      </c>
      <c r="L180" s="9" t="str">
        <f>IFERROR(MID(VLOOKUP($B180,Seqs!$A:$B,2,0),M180,1),"")</f>
        <v>K</v>
      </c>
      <c r="M180" s="9">
        <v>77</v>
      </c>
      <c r="N180" s="9" t="str">
        <f>IFERROR(MID(VLOOKUP($B180,Seqs!$A:$B,2,0),O180,1),"")</f>
        <v>Y</v>
      </c>
      <c r="O180" s="9">
        <v>106</v>
      </c>
      <c r="P180" s="9" t="str">
        <f>IFERROR(MID(VLOOKUP($B180,Seqs!$A:$B,2,0),Q180,1),"")</f>
        <v>R</v>
      </c>
      <c r="Q180" s="9">
        <v>107</v>
      </c>
      <c r="R180" s="9" t="str">
        <f>IFERROR(MID(VLOOKUP($B180,Seqs!$A:$B,2,0),S180,1),"")</f>
        <v>F</v>
      </c>
      <c r="S180" s="9">
        <v>112</v>
      </c>
      <c r="T180" s="9" t="str">
        <f>IFERROR(MID(VLOOKUP($B180,Seqs!$A:$B,2,0),U180,1),"")</f>
        <v>G</v>
      </c>
      <c r="U180" s="9">
        <v>113</v>
      </c>
      <c r="V180" s="9" t="str">
        <f>IFERROR(MID(VLOOKUP($B180,Seqs!$A:$B,2,0),W180,1),"")</f>
        <v>Y</v>
      </c>
      <c r="W180" s="9">
        <v>148</v>
      </c>
      <c r="X180" s="9" t="str">
        <f>IFERROR(MID(VLOOKUP($B180,Seqs!$A:$B,2,0),Y180,1),"")</f>
        <v/>
      </c>
      <c r="Y180" s="9" t="s">
        <v>23</v>
      </c>
      <c r="Z180" s="9" t="str">
        <f>IFERROR(MID(VLOOKUP($B180,Seqs!$A:$B,2,0),AA180,1),"")</f>
        <v/>
      </c>
      <c r="AA180" s="9" t="s">
        <v>23</v>
      </c>
      <c r="AB180" s="9" t="str">
        <f>IFERROR(MID(VLOOKUP($B180,Seqs!$A:$B,2,0),AC180,1),"")</f>
        <v>Q</v>
      </c>
      <c r="AC180" s="9">
        <v>159</v>
      </c>
      <c r="AD180" s="9" t="str">
        <f>IFERROR(MID(VLOOKUP($B180,Seqs!$A:$B,2,0),AE180,1),"")</f>
        <v>R</v>
      </c>
      <c r="AE180" s="9">
        <v>182</v>
      </c>
      <c r="AF180" s="9" t="str">
        <f>IFERROR(MID(VLOOKUP($B180,Seqs!$A:$B,2,0),AG180,1),"")</f>
        <v>C</v>
      </c>
      <c r="AG180" s="9">
        <v>195</v>
      </c>
      <c r="AH180" s="9" t="str">
        <f>IFERROR(MID(VLOOKUP($B180,Seqs!$A:$B,2,0),AI180,1),"")</f>
        <v>M</v>
      </c>
      <c r="AI180" s="9">
        <v>197</v>
      </c>
      <c r="AJ180" s="9" t="str">
        <f>IFERROR(MID(VLOOKUP($B180,Seqs!$A:$B,2,0),AK180,1),"")</f>
        <v>K</v>
      </c>
      <c r="AK180" s="9">
        <v>203</v>
      </c>
      <c r="AL180" s="9" t="str">
        <f>IFERROR(MID(VLOOKUP($B180,Seqs!$A:$B,2,0),AM180,1),"")</f>
        <v>K</v>
      </c>
      <c r="AM180" s="9">
        <v>240</v>
      </c>
      <c r="AN180" s="9" t="str">
        <f>IFERROR(MID(VLOOKUP($B180,Seqs!$A:$B,2,0),AO180,1),"")</f>
        <v>N</v>
      </c>
      <c r="AO180" s="9">
        <v>247</v>
      </c>
      <c r="AP180" s="9" t="str">
        <f>IFERROR(MID(VLOOKUP($B180,Seqs!$A:$B,2,0),AQ180,1),"")</f>
        <v>G</v>
      </c>
      <c r="AQ180" s="9">
        <v>285</v>
      </c>
      <c r="AR180" s="9" t="str">
        <f>IFERROR(MID(VLOOKUP($B180,Seqs!$A:$B,2,0),AS180,1),"")</f>
        <v>S</v>
      </c>
      <c r="AS180" s="9">
        <v>289</v>
      </c>
      <c r="AT180" s="9" t="str">
        <f>IFERROR(MID(VLOOKUP($B180,Seqs!$A:$B,2,0),AU180,1),"")</f>
        <v>V</v>
      </c>
      <c r="AU180" s="9">
        <v>321</v>
      </c>
      <c r="AV180" s="9" t="str">
        <f>IFERROR(MID(VLOOKUP($B180,Seqs!$A:$B,2,0),AW180,1),"")</f>
        <v/>
      </c>
      <c r="AW180" s="9" t="s">
        <v>23</v>
      </c>
      <c r="AX180" s="9" t="str">
        <f>IFERROR(MID(VLOOKUP($B180,Seqs!$A:$B,2,0),AY180,1),"")</f>
        <v/>
      </c>
      <c r="AY180" s="9" t="s">
        <v>23</v>
      </c>
      <c r="AZ180" s="110" t="str">
        <f>VLOOKUP(B180,Classification!A:D,2,0)</f>
        <v>A</v>
      </c>
      <c r="BA180" s="98" t="str">
        <f>VLOOKUP(B180,Classification!A:D,4,0)</f>
        <v>Angiotensin</v>
      </c>
      <c r="BB180" s="36" t="b">
        <f t="shared" ref="BB180" si="1652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109">
        <f t="shared" ref="BC180" si="1653">_xlfn.AGGREGATE(9,6,CH180:CS180)-_xlfn.AGGREGATE(9,6,BV180:CG180)+12</f>
        <v>240</v>
      </c>
      <c r="BD180" s="40" t="s">
        <v>23</v>
      </c>
      <c r="BE180" s="9" t="s">
        <v>1285</v>
      </c>
      <c r="BF180" s="119">
        <v>3.4</v>
      </c>
      <c r="BG180" s="51" t="s">
        <v>1</v>
      </c>
      <c r="BH180" s="51" t="s">
        <v>1</v>
      </c>
      <c r="BJ180" s="111" t="s">
        <v>1281</v>
      </c>
      <c r="BK180" s="112" t="s">
        <v>1281</v>
      </c>
      <c r="BL180" s="112" t="s">
        <v>1281</v>
      </c>
      <c r="BM180" s="112" t="s">
        <v>1281</v>
      </c>
      <c r="BN180" s="112" t="s">
        <v>1281</v>
      </c>
      <c r="BO180" s="112" t="s">
        <v>1281</v>
      </c>
      <c r="BP180" s="112" t="s">
        <v>1281</v>
      </c>
      <c r="BQ180" s="112" t="s">
        <v>1281</v>
      </c>
      <c r="BR180" s="112" t="s">
        <v>1281</v>
      </c>
      <c r="BS180" s="112" t="s">
        <v>1281</v>
      </c>
      <c r="BT180" s="112" t="s">
        <v>1281</v>
      </c>
      <c r="BU180" s="112" t="s">
        <v>1281</v>
      </c>
      <c r="BV180" s="111">
        <f t="shared" ref="BV180" si="1654">E180</f>
        <v>46</v>
      </c>
      <c r="BW180" s="113" t="str">
        <f t="shared" ref="BW180" si="1655">I180</f>
        <v>-</v>
      </c>
      <c r="BX180" s="114">
        <f t="shared" ref="BX180" si="1656">M180</f>
        <v>77</v>
      </c>
      <c r="BY180" s="113">
        <f t="shared" ref="BY180" si="1657">Q180</f>
        <v>107</v>
      </c>
      <c r="BZ180" s="114">
        <f t="shared" ref="BZ180" si="1658">U180</f>
        <v>113</v>
      </c>
      <c r="CA180" s="113" t="str">
        <f t="shared" ref="CA180" si="1659">Y180</f>
        <v>-</v>
      </c>
      <c r="CB180" s="114">
        <f t="shared" ref="CB180" si="1660">AC180</f>
        <v>159</v>
      </c>
      <c r="CC180" s="113">
        <f t="shared" ref="CC180" si="1661">AG180</f>
        <v>195</v>
      </c>
      <c r="CD180" s="114">
        <f t="shared" ref="CD180" si="1662">AK180</f>
        <v>203</v>
      </c>
      <c r="CE180" s="113">
        <f t="shared" ref="CE180" si="1663">AO180</f>
        <v>247</v>
      </c>
      <c r="CF180" s="114">
        <f t="shared" ref="CF180" si="1664">AS180</f>
        <v>289</v>
      </c>
      <c r="CG180" s="113" t="str">
        <f t="shared" ref="CG180" si="1665">AW180</f>
        <v>-</v>
      </c>
      <c r="CH180" s="111">
        <f t="shared" ref="CH180" si="1666">G180</f>
        <v>73</v>
      </c>
      <c r="CI180" s="113" t="str">
        <f t="shared" ref="CI180" si="1667">K180</f>
        <v>-</v>
      </c>
      <c r="CJ180" s="114">
        <f t="shared" ref="CJ180" si="1668">O180</f>
        <v>106</v>
      </c>
      <c r="CK180" s="114">
        <f t="shared" ref="CK180" si="1669">S180</f>
        <v>112</v>
      </c>
      <c r="CL180" s="114">
        <f t="shared" ref="CL180" si="1670">W180</f>
        <v>148</v>
      </c>
      <c r="CM180" s="114" t="str">
        <f t="shared" ref="CM180" si="1671">AA180</f>
        <v>-</v>
      </c>
      <c r="CN180" s="114">
        <f t="shared" ref="CN180" si="1672">AE180</f>
        <v>182</v>
      </c>
      <c r="CO180" s="114">
        <f t="shared" ref="CO180" si="1673">AI180</f>
        <v>197</v>
      </c>
      <c r="CP180" s="114">
        <f t="shared" ref="CP180" si="1674">AM180</f>
        <v>240</v>
      </c>
      <c r="CQ180" s="114">
        <f t="shared" ref="CQ180" si="1675">AQ180</f>
        <v>285</v>
      </c>
      <c r="CR180" s="114">
        <f t="shared" ref="CR180" si="1676">AU180</f>
        <v>321</v>
      </c>
      <c r="CS180" s="114" t="str">
        <f t="shared" ref="CS180" si="1677">AY180</f>
        <v>-</v>
      </c>
      <c r="CT180" s="109" t="e">
        <f t="shared" ref="CT180" si="1678">M180-K180</f>
        <v>#VALUE!</v>
      </c>
    </row>
    <row r="181" spans="1:1030" x14ac:dyDescent="0.2">
      <c r="A181" s="3" t="str">
        <f t="shared" si="1567"/>
        <v>apj_human__wt</v>
      </c>
      <c r="B181" s="3" t="s">
        <v>160</v>
      </c>
      <c r="C181" s="3" t="s">
        <v>100</v>
      </c>
      <c r="D181" s="3" t="str">
        <f>IFERROR(MID(VLOOKUP($B181,Seqs!$A:$B,2,0),E181,1),"")</f>
        <v>A</v>
      </c>
      <c r="E181" s="3">
        <v>29</v>
      </c>
      <c r="F181" s="3" t="str">
        <f>IFERROR(MID(VLOOKUP($B181,Seqs!$A:$B,2,0),G181,1),"")</f>
        <v>S</v>
      </c>
      <c r="G181" s="3">
        <v>56</v>
      </c>
      <c r="H181" s="3" t="str">
        <f>IFERROR(MID(VLOOKUP($B181,Seqs!$A:$B,2,0),I181,1),"")</f>
        <v>S</v>
      </c>
      <c r="I181" s="23">
        <v>57</v>
      </c>
      <c r="J181" s="3" t="str">
        <f>IFERROR(MID(VLOOKUP($B181,Seqs!$A:$B,2,0),K181,1),"")</f>
        <v>R</v>
      </c>
      <c r="K181" s="23">
        <v>61</v>
      </c>
      <c r="L181" s="3" t="str">
        <f>IFERROR(MID(VLOOKUP($B181,Seqs!$A:$B,2,0),M181,1),"")</f>
        <v>R</v>
      </c>
      <c r="M181" s="3">
        <v>62</v>
      </c>
      <c r="N181" s="3" t="str">
        <f>IFERROR(MID(VLOOKUP($B181,Seqs!$A:$B,2,0),O181,1),"")</f>
        <v>D</v>
      </c>
      <c r="O181" s="3">
        <v>92</v>
      </c>
      <c r="P181" s="3" t="str">
        <f>IFERROR(MID(VLOOKUP($B181,Seqs!$A:$B,2,0),Q181,1),"")</f>
        <v>D</v>
      </c>
      <c r="Q181" s="3">
        <v>94</v>
      </c>
      <c r="R181" s="3" t="str">
        <f>IFERROR(MID(VLOOKUP($B181,Seqs!$A:$B,2,0),S181,1),"")</f>
        <v>F</v>
      </c>
      <c r="S181" s="3">
        <v>97</v>
      </c>
      <c r="T181" s="3" t="str">
        <f>IFERROR(MID(VLOOKUP($B181,Seqs!$A:$B,2,0),U181,1),"")</f>
        <v>G</v>
      </c>
      <c r="U181" s="3">
        <v>98</v>
      </c>
      <c r="V181" s="3" t="str">
        <f>IFERROR(MID(VLOOKUP($B181,Seqs!$A:$B,2,0),W181,1),"")</f>
        <v>R</v>
      </c>
      <c r="W181" s="3">
        <v>133</v>
      </c>
      <c r="X181" s="3" t="str">
        <f>IFERROR(MID(VLOOKUP($B181,Seqs!$A:$B,2,0),Y181,1),"")</f>
        <v>P</v>
      </c>
      <c r="Y181" s="3">
        <v>134</v>
      </c>
      <c r="Z181" s="3" t="str">
        <f>IFERROR(MID(VLOOKUP($B181,Seqs!$A:$B,2,0),AA181,1),"")</f>
        <v>R</v>
      </c>
      <c r="AA181" s="3">
        <v>141</v>
      </c>
      <c r="AB181" s="3" t="str">
        <f>IFERROR(MID(VLOOKUP($B181,Seqs!$A:$B,2,0),AC181,1),"")</f>
        <v>L</v>
      </c>
      <c r="AC181" s="3">
        <v>142</v>
      </c>
      <c r="AD181" s="3" t="str">
        <f>IFERROR(MID(VLOOKUP($B181,Seqs!$A:$B,2,0),AE181,1),"")</f>
        <v>R</v>
      </c>
      <c r="AE181" s="3">
        <v>168</v>
      </c>
      <c r="AF181" s="3" t="str">
        <f>IFERROR(MID(VLOOKUP($B181,Seqs!$A:$B,2,0),AG181,1),"")</f>
        <v>C</v>
      </c>
      <c r="AG181" s="3">
        <v>181</v>
      </c>
      <c r="AH181" s="3" t="str">
        <f>IFERROR(MID(VLOOKUP($B181,Seqs!$A:$B,2,0),AI181,1),"")</f>
        <v>M</v>
      </c>
      <c r="AI181" s="3">
        <v>183</v>
      </c>
      <c r="AJ181" s="3" t="str">
        <f>IFERROR(MID(VLOOKUP($B181,Seqs!$A:$B,2,0),AK181,1),"")</f>
        <v>S</v>
      </c>
      <c r="AK181" s="3">
        <v>193</v>
      </c>
      <c r="AL181" s="3" t="str">
        <f>IFERROR(MID(VLOOKUP($B181,Seqs!$A:$B,2,0),AM181,1),"")</f>
        <v>E</v>
      </c>
      <c r="AM181" s="3">
        <v>235</v>
      </c>
      <c r="AN181" s="3" t="str">
        <f>IFERROR(MID(VLOOKUP($B181,Seqs!$A:$B,2,0),AO181,1),"")</f>
        <v>K</v>
      </c>
      <c r="AO181" s="3">
        <v>242</v>
      </c>
      <c r="AP181" s="3" t="str">
        <f>IFERROR(MID(VLOOKUP($B181,Seqs!$A:$B,2,0),AQ181,1),"")</f>
        <v>L</v>
      </c>
      <c r="AQ181" s="3">
        <v>276</v>
      </c>
      <c r="AR181" s="3" t="str">
        <f>IFERROR(MID(VLOOKUP($B181,Seqs!$A:$B,2,0),AS181,1),"")</f>
        <v>P</v>
      </c>
      <c r="AS181" s="3">
        <v>280</v>
      </c>
      <c r="AT181" s="3" t="str">
        <f>IFERROR(MID(VLOOKUP($B181,Seqs!$A:$B,2,0),AU181,1),"")</f>
        <v>F</v>
      </c>
      <c r="AU181" s="3">
        <v>312</v>
      </c>
      <c r="AV181" s="3" t="str">
        <f>IFERROR(MID(VLOOKUP($B181,Seqs!$A:$B,2,0),AW181,1),"")</f>
        <v>D</v>
      </c>
      <c r="AW181" s="3">
        <v>313</v>
      </c>
      <c r="AX181" s="3" t="str">
        <f>IFERROR(MID(VLOOKUP($B181,Seqs!$A:$B,2,0),AY181,1),"")</f>
        <v>G</v>
      </c>
      <c r="AY181" s="3">
        <v>327</v>
      </c>
      <c r="AZ181" s="77" t="str">
        <f>VLOOKUP(B181,Classification!A:D,2,0)</f>
        <v>A</v>
      </c>
      <c r="BA181" s="94" t="str">
        <f>VLOOKUP(B181,Classification!A:D,4,0)</f>
        <v>Apelin</v>
      </c>
      <c r="BB181" s="27" t="b">
        <f t="shared" si="1568"/>
        <v>1</v>
      </c>
      <c r="BC181" s="23">
        <f t="shared" si="1569"/>
        <v>268</v>
      </c>
      <c r="BD181" s="2"/>
      <c r="BE181" s="3" t="s">
        <v>23</v>
      </c>
      <c r="BF181" s="118" t="s">
        <v>23</v>
      </c>
      <c r="BG181" s="49" t="s">
        <v>1275</v>
      </c>
      <c r="BH181" s="49" t="s">
        <v>1275</v>
      </c>
      <c r="BI181" s="1"/>
      <c r="BJ181" s="70" t="s">
        <v>1281</v>
      </c>
      <c r="BK181" s="57" t="s">
        <v>1281</v>
      </c>
      <c r="BL181" s="57" t="s">
        <v>1281</v>
      </c>
      <c r="BM181" s="57" t="s">
        <v>1281</v>
      </c>
      <c r="BN181" s="57" t="s">
        <v>1281</v>
      </c>
      <c r="BO181" s="57" t="s">
        <v>1281</v>
      </c>
      <c r="BP181" s="57" t="s">
        <v>1281</v>
      </c>
      <c r="BQ181" s="57" t="s">
        <v>1281</v>
      </c>
      <c r="BR181" s="57" t="s">
        <v>1281</v>
      </c>
      <c r="BS181" s="57" t="s">
        <v>1281</v>
      </c>
      <c r="BT181" s="57" t="s">
        <v>1281</v>
      </c>
      <c r="BU181" s="57" t="s">
        <v>1281</v>
      </c>
      <c r="BV181" s="70">
        <f t="shared" si="1570"/>
        <v>29</v>
      </c>
      <c r="BW181" s="71">
        <f t="shared" si="1571"/>
        <v>57</v>
      </c>
      <c r="BX181" s="72">
        <f t="shared" si="1572"/>
        <v>62</v>
      </c>
      <c r="BY181" s="71">
        <f t="shared" si="1573"/>
        <v>94</v>
      </c>
      <c r="BZ181" s="72">
        <f t="shared" si="1574"/>
        <v>98</v>
      </c>
      <c r="CA181" s="71">
        <f t="shared" si="1575"/>
        <v>134</v>
      </c>
      <c r="CB181" s="72">
        <f t="shared" si="1576"/>
        <v>142</v>
      </c>
      <c r="CC181" s="71">
        <f t="shared" si="1577"/>
        <v>181</v>
      </c>
      <c r="CD181" s="72">
        <f t="shared" si="1578"/>
        <v>193</v>
      </c>
      <c r="CE181" s="71">
        <f t="shared" si="1579"/>
        <v>242</v>
      </c>
      <c r="CF181" s="72">
        <f t="shared" si="1580"/>
        <v>280</v>
      </c>
      <c r="CG181" s="71">
        <f t="shared" si="1581"/>
        <v>313</v>
      </c>
      <c r="CH181" s="70">
        <f t="shared" si="1582"/>
        <v>56</v>
      </c>
      <c r="CI181" s="71">
        <f t="shared" si="1583"/>
        <v>61</v>
      </c>
      <c r="CJ181" s="72">
        <f t="shared" si="1584"/>
        <v>92</v>
      </c>
      <c r="CK181" s="72">
        <f t="shared" si="1585"/>
        <v>97</v>
      </c>
      <c r="CL181" s="72">
        <f t="shared" si="1586"/>
        <v>133</v>
      </c>
      <c r="CM181" s="72">
        <f t="shared" si="1587"/>
        <v>141</v>
      </c>
      <c r="CN181" s="72">
        <f t="shared" si="1588"/>
        <v>168</v>
      </c>
      <c r="CO181" s="72">
        <f t="shared" si="1589"/>
        <v>183</v>
      </c>
      <c r="CP181" s="72">
        <f t="shared" si="1590"/>
        <v>235</v>
      </c>
      <c r="CQ181" s="72">
        <f t="shared" si="1591"/>
        <v>276</v>
      </c>
      <c r="CR181" s="72">
        <f t="shared" si="1592"/>
        <v>312</v>
      </c>
      <c r="CS181" s="72">
        <f t="shared" si="1593"/>
        <v>327</v>
      </c>
      <c r="CT181" s="23">
        <f t="shared" si="1594"/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si="1567"/>
        <v>apj_human_5VBL</v>
      </c>
      <c r="B182" s="3" t="s">
        <v>160</v>
      </c>
      <c r="C182" s="3" t="s">
        <v>1408</v>
      </c>
      <c r="D182" s="3" t="str">
        <f>IFERROR(MID(VLOOKUP($B182,Seqs!$A:$B,2,0),E182,1),"")</f>
        <v>A</v>
      </c>
      <c r="E182" s="3">
        <v>29</v>
      </c>
      <c r="F182" s="3" t="str">
        <f>IFERROR(MID(VLOOKUP($B182,Seqs!$A:$B,2,0),G182,1),"")</f>
        <v>S</v>
      </c>
      <c r="G182" s="3">
        <v>56</v>
      </c>
      <c r="H182" s="3" t="str">
        <f>IFERROR(MID(VLOOKUP($B182,Seqs!$A:$B,2,0),I182,1),"")</f>
        <v>S</v>
      </c>
      <c r="I182" s="23">
        <v>57</v>
      </c>
      <c r="J182" s="3" t="str">
        <f>IFERROR(MID(VLOOKUP($B182,Seqs!$A:$B,2,0),K182,1),"")</f>
        <v>R</v>
      </c>
      <c r="K182" s="23">
        <v>61</v>
      </c>
      <c r="L182" s="3" t="str">
        <f>IFERROR(MID(VLOOKUP($B182,Seqs!$A:$B,2,0),M182,1),"")</f>
        <v>R</v>
      </c>
      <c r="M182" s="3">
        <v>62</v>
      </c>
      <c r="N182" s="3" t="str">
        <f>IFERROR(MID(VLOOKUP($B182,Seqs!$A:$B,2,0),O182,1),"")</f>
        <v>D</v>
      </c>
      <c r="O182" s="3">
        <v>92</v>
      </c>
      <c r="P182" s="3" t="str">
        <f>IFERROR(MID(VLOOKUP($B182,Seqs!$A:$B,2,0),Q182,1),"")</f>
        <v>D</v>
      </c>
      <c r="Q182" s="3">
        <v>94</v>
      </c>
      <c r="R182" s="3" t="str">
        <f>IFERROR(MID(VLOOKUP($B182,Seqs!$A:$B,2,0),S182,1),"")</f>
        <v>F</v>
      </c>
      <c r="S182" s="3">
        <v>97</v>
      </c>
      <c r="T182" s="3" t="str">
        <f>IFERROR(MID(VLOOKUP($B182,Seqs!$A:$B,2,0),U182,1),"")</f>
        <v>G</v>
      </c>
      <c r="U182" s="3">
        <v>98</v>
      </c>
      <c r="V182" s="3" t="str">
        <f>IFERROR(MID(VLOOKUP($B182,Seqs!$A:$B,2,0),W182,1),"")</f>
        <v>R</v>
      </c>
      <c r="W182" s="3">
        <v>133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R</v>
      </c>
      <c r="AC182" s="3">
        <v>141</v>
      </c>
      <c r="AD182" s="3" t="str">
        <f>IFERROR(MID(VLOOKUP($B182,Seqs!$A:$B,2,0),AE182,1),"")</f>
        <v>R</v>
      </c>
      <c r="AE182" s="3">
        <v>168</v>
      </c>
      <c r="AF182" s="3" t="str">
        <f>IFERROR(MID(VLOOKUP($B182,Seqs!$A:$B,2,0),AG182,1),"")</f>
        <v>C</v>
      </c>
      <c r="AG182" s="3">
        <v>181</v>
      </c>
      <c r="AH182" s="3" t="str">
        <f>IFERROR(MID(VLOOKUP($B182,Seqs!$A:$B,2,0),AI182,1),"")</f>
        <v>M</v>
      </c>
      <c r="AI182" s="3">
        <v>183</v>
      </c>
      <c r="AJ182" s="3" t="str">
        <f>IFERROR(MID(VLOOKUP($B182,Seqs!$A:$B,2,0),AK182,1),"")</f>
        <v>S</v>
      </c>
      <c r="AK182" s="3">
        <v>193</v>
      </c>
      <c r="AL182" s="3" t="str">
        <f>IFERROR(MID(VLOOKUP($B182,Seqs!$A:$B,2,0),AM182,1),"")</f>
        <v>A</v>
      </c>
      <c r="AM182" s="3">
        <v>229</v>
      </c>
      <c r="AN182" s="3" t="str">
        <f>IFERROR(MID(VLOOKUP($B182,Seqs!$A:$B,2,0),AO182,1),"")</f>
        <v>R</v>
      </c>
      <c r="AO182" s="3">
        <v>244</v>
      </c>
      <c r="AP182" s="3" t="str">
        <f>IFERROR(MID(VLOOKUP($B182,Seqs!$A:$B,2,0),AQ182,1),"")</f>
        <v>L</v>
      </c>
      <c r="AQ182" s="3">
        <v>276</v>
      </c>
      <c r="AR182" s="3" t="str">
        <f>IFERROR(MID(VLOOKUP($B182,Seqs!$A:$B,2,0),AS182,1),"")</f>
        <v>P</v>
      </c>
      <c r="AS182" s="3">
        <v>280</v>
      </c>
      <c r="AT182" s="3" t="str">
        <f>IFERROR(MID(VLOOKUP($B182,Seqs!$A:$B,2,0),AU182,1),"")</f>
        <v>F</v>
      </c>
      <c r="AU182" s="3">
        <v>312</v>
      </c>
      <c r="AV182" s="3" t="str">
        <f>IFERROR(MID(VLOOKUP($B182,Seqs!$A:$B,2,0),AW182,1),"")</f>
        <v>D</v>
      </c>
      <c r="AW182" s="3">
        <v>313</v>
      </c>
      <c r="AX182" s="3" t="str">
        <f>IFERROR(MID(VLOOKUP($B182,Seqs!$A:$B,2,0),AY182,1),"")</f>
        <v>G</v>
      </c>
      <c r="AY182" s="3">
        <v>327</v>
      </c>
      <c r="AZ182" s="77" t="str">
        <f>VLOOKUP(B182,Classification!A:D,2,0)</f>
        <v>A</v>
      </c>
      <c r="BA182" s="94" t="str">
        <f>VLOOKUP(B182,Classification!A:D,4,0)</f>
        <v>Apelin</v>
      </c>
      <c r="BB182" s="27" t="b">
        <f t="shared" si="1568"/>
        <v>1</v>
      </c>
      <c r="BC182" s="23">
        <f t="shared" si="1569"/>
        <v>254</v>
      </c>
      <c r="BD182" s="2" t="s">
        <v>1370</v>
      </c>
      <c r="BE182" s="3" t="s">
        <v>1368</v>
      </c>
      <c r="BF182" s="118">
        <v>2.6</v>
      </c>
      <c r="BG182" s="49" t="s">
        <v>1275</v>
      </c>
      <c r="BH182" s="49" t="s">
        <v>1275</v>
      </c>
      <c r="BI182" s="1"/>
      <c r="BJ182" s="70" t="s">
        <v>1281</v>
      </c>
      <c r="BK182" s="57" t="s">
        <v>1281</v>
      </c>
      <c r="BL182" s="57" t="s">
        <v>1281</v>
      </c>
      <c r="BM182" s="57" t="s">
        <v>1281</v>
      </c>
      <c r="BN182" s="57" t="s">
        <v>1281</v>
      </c>
      <c r="BO182" s="57" t="s">
        <v>1281</v>
      </c>
      <c r="BP182" s="57" t="s">
        <v>1281</v>
      </c>
      <c r="BQ182" s="57" t="s">
        <v>1281</v>
      </c>
      <c r="BR182" s="57" t="s">
        <v>1281</v>
      </c>
      <c r="BS182" s="57" t="s">
        <v>1281</v>
      </c>
      <c r="BT182" s="57" t="s">
        <v>1281</v>
      </c>
      <c r="BU182" s="57" t="s">
        <v>1281</v>
      </c>
      <c r="BV182" s="70">
        <f t="shared" si="1570"/>
        <v>29</v>
      </c>
      <c r="BW182" s="71">
        <f t="shared" si="1571"/>
        <v>57</v>
      </c>
      <c r="BX182" s="72">
        <f t="shared" si="1572"/>
        <v>62</v>
      </c>
      <c r="BY182" s="71">
        <f t="shared" si="1573"/>
        <v>94</v>
      </c>
      <c r="BZ182" s="72">
        <f t="shared" si="1574"/>
        <v>98</v>
      </c>
      <c r="CA182" s="71" t="str">
        <f t="shared" si="1575"/>
        <v>-</v>
      </c>
      <c r="CB182" s="72">
        <f t="shared" si="1576"/>
        <v>141</v>
      </c>
      <c r="CC182" s="71">
        <f t="shared" si="1577"/>
        <v>181</v>
      </c>
      <c r="CD182" s="72">
        <f t="shared" si="1578"/>
        <v>193</v>
      </c>
      <c r="CE182" s="71">
        <f t="shared" si="1579"/>
        <v>244</v>
      </c>
      <c r="CF182" s="72">
        <f t="shared" si="1580"/>
        <v>280</v>
      </c>
      <c r="CG182" s="71">
        <f t="shared" si="1581"/>
        <v>313</v>
      </c>
      <c r="CH182" s="70">
        <f t="shared" si="1582"/>
        <v>56</v>
      </c>
      <c r="CI182" s="71">
        <f t="shared" si="1583"/>
        <v>61</v>
      </c>
      <c r="CJ182" s="72">
        <f t="shared" si="1584"/>
        <v>92</v>
      </c>
      <c r="CK182" s="72">
        <f t="shared" si="1585"/>
        <v>97</v>
      </c>
      <c r="CL182" s="72">
        <f t="shared" si="1586"/>
        <v>133</v>
      </c>
      <c r="CM182" s="72" t="str">
        <f t="shared" si="1587"/>
        <v>-</v>
      </c>
      <c r="CN182" s="72">
        <f t="shared" si="1588"/>
        <v>168</v>
      </c>
      <c r="CO182" s="72">
        <f t="shared" si="1589"/>
        <v>183</v>
      </c>
      <c r="CP182" s="72">
        <f t="shared" si="1590"/>
        <v>229</v>
      </c>
      <c r="CQ182" s="72">
        <f t="shared" si="1591"/>
        <v>276</v>
      </c>
      <c r="CR182" s="72">
        <f t="shared" si="1592"/>
        <v>312</v>
      </c>
      <c r="CS182" s="72">
        <f t="shared" si="1593"/>
        <v>327</v>
      </c>
      <c r="CT182" s="23">
        <f t="shared" si="1594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x14ac:dyDescent="0.2">
      <c r="A183" s="3" t="str">
        <f t="shared" ref="A183" si="1679">CONCATENATE(B183,"_",C183)</f>
        <v>apj_human_6KNM</v>
      </c>
      <c r="B183" s="3" t="s">
        <v>160</v>
      </c>
      <c r="C183" s="3" t="s">
        <v>1638</v>
      </c>
      <c r="D183" s="3" t="str">
        <f>IFERROR(MID(VLOOKUP($B183,Seqs!$A:$B,2,0),E183,1),"")</f>
        <v>A</v>
      </c>
      <c r="E183" s="3">
        <v>29</v>
      </c>
      <c r="F183" s="3" t="str">
        <f>IFERROR(MID(VLOOKUP($B183,Seqs!$A:$B,2,0),G183,1),"")</f>
        <v>R</v>
      </c>
      <c r="G183" s="3">
        <v>55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D</v>
      </c>
      <c r="M183" s="3">
        <v>65</v>
      </c>
      <c r="N183" s="3" t="str">
        <f>IFERROR(MID(VLOOKUP($B183,Seqs!$A:$B,2,0),O183,1),"")</f>
        <v>D</v>
      </c>
      <c r="O183" s="3">
        <v>92</v>
      </c>
      <c r="P183" s="3" t="str">
        <f>IFERROR(MID(VLOOKUP($B183,Seqs!$A:$B,2,0),Q183,1),"")</f>
        <v>D</v>
      </c>
      <c r="Q183" s="3">
        <v>94</v>
      </c>
      <c r="R183" s="3" t="str">
        <f>IFERROR(MID(VLOOKUP($B183,Seqs!$A:$B,2,0),S183,1),"")</f>
        <v>F</v>
      </c>
      <c r="S183" s="3">
        <v>97</v>
      </c>
      <c r="T183" s="3" t="str">
        <f>IFERROR(MID(VLOOKUP($B183,Seqs!$A:$B,2,0),U183,1),"")</f>
        <v>G</v>
      </c>
      <c r="U183" s="3">
        <v>98</v>
      </c>
      <c r="V183" s="3" t="str">
        <f>IFERROR(MID(VLOOKUP($B183,Seqs!$A:$B,2,0),W183,1),"")</f>
        <v>R</v>
      </c>
      <c r="W183" s="3">
        <v>133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R</v>
      </c>
      <c r="AC183" s="3">
        <v>141</v>
      </c>
      <c r="AD183" s="3" t="str">
        <f>IFERROR(MID(VLOOKUP($B183,Seqs!$A:$B,2,0),AE183,1),"")</f>
        <v>R</v>
      </c>
      <c r="AE183" s="3">
        <v>168</v>
      </c>
      <c r="AF183" s="3" t="str">
        <f>IFERROR(MID(VLOOKUP($B183,Seqs!$A:$B,2,0),AG183,1),"")</f>
        <v>C</v>
      </c>
      <c r="AG183" s="3">
        <v>181</v>
      </c>
      <c r="AH183" s="3" t="str">
        <f>IFERROR(MID(VLOOKUP($B183,Seqs!$A:$B,2,0),AI183,1),"")</f>
        <v>M</v>
      </c>
      <c r="AI183" s="3">
        <v>183</v>
      </c>
      <c r="AJ183" s="3" t="str">
        <f>IFERROR(MID(VLOOKUP($B183,Seqs!$A:$B,2,0),AK183,1),"")</f>
        <v>S</v>
      </c>
      <c r="AK183" s="3">
        <v>193</v>
      </c>
      <c r="AL183" s="3" t="str">
        <f>IFERROR(MID(VLOOKUP($B183,Seqs!$A:$B,2,0),AM183,1),"")</f>
        <v>I</v>
      </c>
      <c r="AM183" s="3">
        <v>228</v>
      </c>
      <c r="AN183" s="3" t="str">
        <f>IFERROR(MID(VLOOKUP($B183,Seqs!$A:$B,2,0),AO183,1),"")</f>
        <v>R</v>
      </c>
      <c r="AO183" s="3">
        <v>245</v>
      </c>
      <c r="AP183" s="3" t="str">
        <f>IFERROR(MID(VLOOKUP($B183,Seqs!$A:$B,2,0),AQ183,1),"")</f>
        <v>L</v>
      </c>
      <c r="AQ183" s="3">
        <v>276</v>
      </c>
      <c r="AR183" s="3" t="str">
        <f>IFERROR(MID(VLOOKUP($B183,Seqs!$A:$B,2,0),AS183,1),"")</f>
        <v>P</v>
      </c>
      <c r="AS183" s="3">
        <v>280</v>
      </c>
      <c r="AT183" s="3" t="str">
        <f>IFERROR(MID(VLOOKUP($B183,Seqs!$A:$B,2,0),AU183,1),"")</f>
        <v>F</v>
      </c>
      <c r="AU183" s="3">
        <v>312</v>
      </c>
      <c r="AV183" s="3" t="str">
        <f>IFERROR(MID(VLOOKUP($B183,Seqs!$A:$B,2,0),AW183,1),"")</f>
        <v>D</v>
      </c>
      <c r="AW183" s="3">
        <v>313</v>
      </c>
      <c r="AX183" s="3" t="str">
        <f>IFERROR(MID(VLOOKUP($B183,Seqs!$A:$B,2,0),AY183,1),"")</f>
        <v>C</v>
      </c>
      <c r="AY183" s="3">
        <v>326</v>
      </c>
      <c r="AZ183" s="77" t="str">
        <f>VLOOKUP(B183,Classification!A:D,2,0)</f>
        <v>A</v>
      </c>
      <c r="BA183" s="94" t="str">
        <f>VLOOKUP(B183,Classification!A:D,4,0)</f>
        <v>Apelin</v>
      </c>
      <c r="BB183" s="27" t="b">
        <f t="shared" ref="BB183" si="1680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 t="shared" ref="BC183" si="1681">_xlfn.AGGREGATE(9,6,CH183:CS183)-_xlfn.AGGREGATE(9,6,BV183:CG183)+12</f>
        <v>243</v>
      </c>
      <c r="BD183" s="2" t="s">
        <v>23</v>
      </c>
      <c r="BE183" s="3" t="s">
        <v>1368</v>
      </c>
      <c r="BF183" s="118">
        <v>3.2</v>
      </c>
      <c r="BG183" s="49" t="s">
        <v>1275</v>
      </c>
      <c r="BH183" s="49" t="s">
        <v>1275</v>
      </c>
      <c r="BI183" s="1"/>
      <c r="BJ183" s="70" t="s">
        <v>1281</v>
      </c>
      <c r="BK183" s="57" t="s">
        <v>1281</v>
      </c>
      <c r="BL183" s="57" t="s">
        <v>1281</v>
      </c>
      <c r="BM183" s="57" t="s">
        <v>1281</v>
      </c>
      <c r="BN183" s="57" t="s">
        <v>1281</v>
      </c>
      <c r="BO183" s="57" t="s">
        <v>1281</v>
      </c>
      <c r="BP183" s="57" t="s">
        <v>1281</v>
      </c>
      <c r="BQ183" s="57" t="s">
        <v>1281</v>
      </c>
      <c r="BR183" s="57" t="s">
        <v>1281</v>
      </c>
      <c r="BS183" s="57" t="s">
        <v>1281</v>
      </c>
      <c r="BT183" s="57" t="s">
        <v>1281</v>
      </c>
      <c r="BU183" s="57" t="s">
        <v>1281</v>
      </c>
      <c r="BV183" s="70">
        <f t="shared" ref="BV183" si="1682">E183</f>
        <v>29</v>
      </c>
      <c r="BW183" s="71" t="str">
        <f t="shared" ref="BW183" si="1683">I183</f>
        <v>-</v>
      </c>
      <c r="BX183" s="72">
        <f t="shared" ref="BX183" si="1684">M183</f>
        <v>65</v>
      </c>
      <c r="BY183" s="71">
        <f t="shared" ref="BY183" si="1685">Q183</f>
        <v>94</v>
      </c>
      <c r="BZ183" s="72">
        <f t="shared" ref="BZ183" si="1686">U183</f>
        <v>98</v>
      </c>
      <c r="CA183" s="71" t="str">
        <f t="shared" ref="CA183" si="1687">Y183</f>
        <v>-</v>
      </c>
      <c r="CB183" s="72">
        <f t="shared" ref="CB183" si="1688">AC183</f>
        <v>141</v>
      </c>
      <c r="CC183" s="71">
        <f t="shared" ref="CC183" si="1689">AG183</f>
        <v>181</v>
      </c>
      <c r="CD183" s="72">
        <f t="shared" ref="CD183" si="1690">AK183</f>
        <v>193</v>
      </c>
      <c r="CE183" s="71">
        <f t="shared" ref="CE183" si="1691">AO183</f>
        <v>245</v>
      </c>
      <c r="CF183" s="72">
        <f t="shared" ref="CF183" si="1692">AS183</f>
        <v>280</v>
      </c>
      <c r="CG183" s="71">
        <f t="shared" ref="CG183" si="1693">AW183</f>
        <v>313</v>
      </c>
      <c r="CH183" s="70">
        <f t="shared" ref="CH183" si="1694">G183</f>
        <v>55</v>
      </c>
      <c r="CI183" s="71" t="str">
        <f t="shared" ref="CI183" si="1695">K183</f>
        <v>-</v>
      </c>
      <c r="CJ183" s="72">
        <f t="shared" ref="CJ183" si="1696">O183</f>
        <v>92</v>
      </c>
      <c r="CK183" s="72">
        <f t="shared" ref="CK183" si="1697">S183</f>
        <v>97</v>
      </c>
      <c r="CL183" s="72">
        <f t="shared" ref="CL183" si="1698">W183</f>
        <v>133</v>
      </c>
      <c r="CM183" s="72" t="str">
        <f t="shared" ref="CM183" si="1699">AA183</f>
        <v>-</v>
      </c>
      <c r="CN183" s="72">
        <f t="shared" ref="CN183" si="1700">AE183</f>
        <v>168</v>
      </c>
      <c r="CO183" s="72">
        <f t="shared" ref="CO183" si="1701">AI183</f>
        <v>183</v>
      </c>
      <c r="CP183" s="72">
        <f t="shared" ref="CP183" si="1702">AM183</f>
        <v>228</v>
      </c>
      <c r="CQ183" s="72">
        <f t="shared" ref="CQ183" si="1703">AQ183</f>
        <v>276</v>
      </c>
      <c r="CR183" s="72">
        <f t="shared" ref="CR183" si="1704">AU183</f>
        <v>312</v>
      </c>
      <c r="CS183" s="72">
        <f t="shared" ref="CS183" si="1705">AY183</f>
        <v>326</v>
      </c>
      <c r="CT183" s="23" t="e">
        <f t="shared" ref="CT183" si="1706">M183-K183</f>
        <v>#VALUE!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1567"/>
        <v>c5ar1_human__wt</v>
      </c>
      <c r="B184" s="3" t="s">
        <v>165</v>
      </c>
      <c r="C184" s="3" t="s">
        <v>100</v>
      </c>
      <c r="D184" s="3" t="str">
        <f>IFERROR(MID(VLOOKUP($B184,Seqs!$A:$B,2,0),E184,1),"")</f>
        <v>R</v>
      </c>
      <c r="E184" s="3">
        <v>34</v>
      </c>
      <c r="F184" s="3" t="str">
        <f>IFERROR(MID(VLOOKUP($B184,Seqs!$A:$B,2,0),G184,1),"")</f>
        <v>E</v>
      </c>
      <c r="G184" s="3">
        <v>65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T</v>
      </c>
      <c r="M184" s="3">
        <v>69</v>
      </c>
      <c r="N184" s="3" t="str">
        <f>IFERROR(MID(VLOOKUP($B184,Seqs!$A:$B,2,0),O184,1),"")</f>
        <v>H</v>
      </c>
      <c r="O184" s="3">
        <v>99</v>
      </c>
      <c r="P184" s="3" t="str">
        <f>IFERROR(MID(VLOOKUP($B184,Seqs!$A:$B,2,0),Q184,1),"")</f>
        <v>H</v>
      </c>
      <c r="Q184" s="3">
        <v>101</v>
      </c>
      <c r="R184" s="3" t="str">
        <f>IFERROR(MID(VLOOKUP($B184,Seqs!$A:$B,2,0),S184,1),"")</f>
        <v>F</v>
      </c>
      <c r="S184" s="3">
        <v>104</v>
      </c>
      <c r="T184" s="3" t="str">
        <f>IFERROR(MID(VLOOKUP($B184,Seqs!$A:$B,2,0),U184,1),"")</f>
        <v>G</v>
      </c>
      <c r="U184" s="3">
        <v>105</v>
      </c>
      <c r="V184" s="3" t="str">
        <f>IFERROR(MID(VLOOKUP($B184,Seqs!$A:$B,2,0),W184,1),"")</f>
        <v>K</v>
      </c>
      <c r="W184" s="3">
        <v>140</v>
      </c>
      <c r="X184" s="3" t="str">
        <f>IFERROR(MID(VLOOKUP($B184,Seqs!$A:$B,2,0),Y184,1),"")</f>
        <v>P</v>
      </c>
      <c r="Y184" s="3">
        <v>141</v>
      </c>
      <c r="Z184" s="3" t="str">
        <f>IFERROR(MID(VLOOKUP($B184,Seqs!$A:$B,2,0),AA184,1),"")</f>
        <v>R</v>
      </c>
      <c r="AA184" s="3">
        <v>148</v>
      </c>
      <c r="AB184" s="3" t="str">
        <f>IFERROR(MID(VLOOKUP($B184,Seqs!$A:$B,2,0),AC184,1),"")</f>
        <v>G</v>
      </c>
      <c r="AC184" s="3">
        <v>149</v>
      </c>
      <c r="AD184" s="3" t="str">
        <f>IFERROR(MID(VLOOKUP($B184,Seqs!$A:$B,2,0),AE184,1),"")</f>
        <v>R</v>
      </c>
      <c r="AE184" s="3">
        <v>175</v>
      </c>
      <c r="AF184" s="3" t="str">
        <f>IFERROR(MID(VLOOKUP($B184,Seqs!$A:$B,2,0),AG184,1),"")</f>
        <v>C</v>
      </c>
      <c r="AG184" s="3">
        <v>188</v>
      </c>
      <c r="AH184" s="3" t="str">
        <f>IFERROR(MID(VLOOKUP($B184,Seqs!$A:$B,2,0),AI184,1),"")</f>
        <v>V</v>
      </c>
      <c r="AI184" s="3">
        <v>190</v>
      </c>
      <c r="AJ184" s="3" t="str">
        <f>IFERROR(MID(VLOOKUP($B184,Seqs!$A:$B,2,0),AK184,1),"")</f>
        <v>D</v>
      </c>
      <c r="AK184" s="3">
        <v>195</v>
      </c>
      <c r="AL184" s="3" t="str">
        <f>IFERROR(MID(VLOOKUP($B184,Seqs!$A:$B,2,0),AM184,1),"")</f>
        <v>R</v>
      </c>
      <c r="AM184" s="3">
        <v>232</v>
      </c>
      <c r="AN184" s="3" t="str">
        <f>IFERROR(MID(VLOOKUP($B184,Seqs!$A:$B,2,0),AO184,1),"")</f>
        <v>T</v>
      </c>
      <c r="AO184" s="3">
        <v>238</v>
      </c>
      <c r="AP184" s="3" t="str">
        <f>IFERROR(MID(VLOOKUP($B184,Seqs!$A:$B,2,0),AQ184,1),"")</f>
        <v>L</v>
      </c>
      <c r="AQ184" s="3">
        <v>268</v>
      </c>
      <c r="AR184" s="3" t="str">
        <f>IFERROR(MID(VLOOKUP($B184,Seqs!$A:$B,2,0),AS184,1),"")</f>
        <v>S</v>
      </c>
      <c r="AS184" s="3">
        <v>272</v>
      </c>
      <c r="AT184" s="3" t="str">
        <f>IFERROR(MID(VLOOKUP($B184,Seqs!$A:$B,2,0),AU184,1),"")</f>
        <v>A</v>
      </c>
      <c r="AU184" s="3">
        <v>303</v>
      </c>
      <c r="AV184" s="3" t="str">
        <f>IFERROR(MID(VLOOKUP($B184,Seqs!$A:$B,2,0),AW184,1),"")</f>
        <v>G</v>
      </c>
      <c r="AW184" s="3">
        <v>304</v>
      </c>
      <c r="AX184" s="3" t="str">
        <f>IFERROR(MID(VLOOKUP($B184,Seqs!$A:$B,2,0),AY184,1),"")</f>
        <v>K</v>
      </c>
      <c r="AY184" s="3">
        <v>313</v>
      </c>
      <c r="AZ184" s="77" t="str">
        <f>VLOOKUP(B184,Classification!A:D,2,0)</f>
        <v>A</v>
      </c>
      <c r="BA184" s="94" t="str">
        <f>VLOOKUP(B184,Classification!A:D,4,0)</f>
        <v>Complementpeptide</v>
      </c>
      <c r="BB184" s="27" t="b">
        <f t="shared" si="1568"/>
        <v>1</v>
      </c>
      <c r="BC184" s="23">
        <f t="shared" si="1569"/>
        <v>253</v>
      </c>
      <c r="BD184" s="2" t="s">
        <v>23</v>
      </c>
      <c r="BE184" s="3" t="s">
        <v>1368</v>
      </c>
      <c r="BF184" s="118" t="s">
        <v>23</v>
      </c>
      <c r="BI184" s="1"/>
      <c r="BJ184" s="70" t="s">
        <v>1281</v>
      </c>
      <c r="BK184" s="57" t="s">
        <v>1281</v>
      </c>
      <c r="BL184" s="57" t="s">
        <v>1281</v>
      </c>
      <c r="BM184" s="57" t="s">
        <v>1281</v>
      </c>
      <c r="BN184" s="57" t="s">
        <v>1281</v>
      </c>
      <c r="BO184" s="57" t="s">
        <v>1281</v>
      </c>
      <c r="BP184" s="57" t="s">
        <v>1281</v>
      </c>
      <c r="BQ184" s="57" t="s">
        <v>1281</v>
      </c>
      <c r="BR184" s="57" t="s">
        <v>1281</v>
      </c>
      <c r="BS184" s="57" t="s">
        <v>1281</v>
      </c>
      <c r="BT184" s="57" t="s">
        <v>1281</v>
      </c>
      <c r="BU184" s="57" t="s">
        <v>1281</v>
      </c>
      <c r="BV184" s="70">
        <f t="shared" si="1570"/>
        <v>34</v>
      </c>
      <c r="BW184" s="71" t="str">
        <f t="shared" si="1571"/>
        <v>-</v>
      </c>
      <c r="BX184" s="72">
        <f t="shared" si="1572"/>
        <v>69</v>
      </c>
      <c r="BY184" s="71">
        <f t="shared" si="1573"/>
        <v>101</v>
      </c>
      <c r="BZ184" s="72">
        <f t="shared" si="1574"/>
        <v>105</v>
      </c>
      <c r="CA184" s="71">
        <f t="shared" si="1575"/>
        <v>141</v>
      </c>
      <c r="CB184" s="72">
        <f t="shared" si="1576"/>
        <v>149</v>
      </c>
      <c r="CC184" s="71">
        <f t="shared" si="1577"/>
        <v>188</v>
      </c>
      <c r="CD184" s="72">
        <f t="shared" si="1578"/>
        <v>195</v>
      </c>
      <c r="CE184" s="71">
        <f t="shared" si="1579"/>
        <v>238</v>
      </c>
      <c r="CF184" s="72">
        <f t="shared" si="1580"/>
        <v>272</v>
      </c>
      <c r="CG184" s="71">
        <f t="shared" si="1581"/>
        <v>304</v>
      </c>
      <c r="CH184" s="70">
        <f t="shared" si="1582"/>
        <v>65</v>
      </c>
      <c r="CI184" s="71" t="str">
        <f t="shared" si="1583"/>
        <v>-</v>
      </c>
      <c r="CJ184" s="72">
        <f t="shared" si="1584"/>
        <v>99</v>
      </c>
      <c r="CK184" s="72">
        <f t="shared" si="1585"/>
        <v>104</v>
      </c>
      <c r="CL184" s="72">
        <f t="shared" si="1586"/>
        <v>140</v>
      </c>
      <c r="CM184" s="72">
        <f t="shared" si="1587"/>
        <v>148</v>
      </c>
      <c r="CN184" s="72">
        <f t="shared" si="1588"/>
        <v>175</v>
      </c>
      <c r="CO184" s="72">
        <f t="shared" si="1589"/>
        <v>190</v>
      </c>
      <c r="CP184" s="72">
        <f t="shared" si="1590"/>
        <v>232</v>
      </c>
      <c r="CQ184" s="72">
        <f t="shared" si="1591"/>
        <v>268</v>
      </c>
      <c r="CR184" s="72">
        <f t="shared" si="1592"/>
        <v>303</v>
      </c>
      <c r="CS184" s="72">
        <f t="shared" si="1593"/>
        <v>313</v>
      </c>
      <c r="CT184" s="23" t="e">
        <f t="shared" si="1594"/>
        <v>#VALUE!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1567"/>
        <v>c5ar1_human_5O9H</v>
      </c>
      <c r="B185" s="3" t="s">
        <v>165</v>
      </c>
      <c r="C185" s="3" t="s">
        <v>1473</v>
      </c>
      <c r="D185" s="3" t="str">
        <f>IFERROR(MID(VLOOKUP($B185,Seqs!$A:$B,2,0),E185,1),"")</f>
        <v>R</v>
      </c>
      <c r="E185" s="3">
        <v>34</v>
      </c>
      <c r="F185" s="3" t="str">
        <f>IFERROR(MID(VLOOKUP($B185,Seqs!$A:$B,2,0),G185,1),"")</f>
        <v>E</v>
      </c>
      <c r="G185" s="3">
        <v>65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T</v>
      </c>
      <c r="M185" s="3">
        <v>69</v>
      </c>
      <c r="N185" s="3" t="str">
        <f>IFERROR(MID(VLOOKUP($B185,Seqs!$A:$B,2,0),O185,1),"")</f>
        <v>H</v>
      </c>
      <c r="O185" s="3">
        <v>99</v>
      </c>
      <c r="P185" s="3" t="str">
        <f>IFERROR(MID(VLOOKUP($B185,Seqs!$A:$B,2,0),Q185,1),"")</f>
        <v>H</v>
      </c>
      <c r="Q185" s="3">
        <v>101</v>
      </c>
      <c r="R185" s="3" t="str">
        <f>IFERROR(MID(VLOOKUP($B185,Seqs!$A:$B,2,0),S185,1),"")</f>
        <v>F</v>
      </c>
      <c r="S185" s="3">
        <v>104</v>
      </c>
      <c r="T185" s="3" t="str">
        <f>IFERROR(MID(VLOOKUP($B185,Seqs!$A:$B,2,0),U185,1),"")</f>
        <v>G</v>
      </c>
      <c r="U185" s="3">
        <v>105</v>
      </c>
      <c r="V185" s="3" t="str">
        <f>IFERROR(MID(VLOOKUP($B185,Seqs!$A:$B,2,0),W185,1),"")</f>
        <v>K</v>
      </c>
      <c r="W185" s="3">
        <v>140</v>
      </c>
      <c r="X185" s="3" t="str">
        <f>IFERROR(MID(VLOOKUP($B185,Seqs!$A:$B,2,0),Y185,1),"")</f>
        <v>P</v>
      </c>
      <c r="Y185" s="3">
        <v>141</v>
      </c>
      <c r="Z185" s="3" t="str">
        <f>IFERROR(MID(VLOOKUP($B185,Seqs!$A:$B,2,0),AA185,1),"")</f>
        <v>R</v>
      </c>
      <c r="AA185" s="3">
        <v>148</v>
      </c>
      <c r="AB185" s="3" t="str">
        <f>IFERROR(MID(VLOOKUP($B185,Seqs!$A:$B,2,0),AC185,1),"")</f>
        <v>G</v>
      </c>
      <c r="AC185" s="3">
        <v>149</v>
      </c>
      <c r="AD185" s="3" t="str">
        <f>IFERROR(MID(VLOOKUP($B185,Seqs!$A:$B,2,0),AE185,1),"")</f>
        <v>R</v>
      </c>
      <c r="AE185" s="3">
        <v>175</v>
      </c>
      <c r="AF185" s="3" t="str">
        <f>IFERROR(MID(VLOOKUP($B185,Seqs!$A:$B,2,0),AG185,1),"")</f>
        <v>C</v>
      </c>
      <c r="AG185" s="3">
        <v>188</v>
      </c>
      <c r="AH185" s="3" t="str">
        <f>IFERROR(MID(VLOOKUP($B185,Seqs!$A:$B,2,0),AI185,1),"")</f>
        <v>V</v>
      </c>
      <c r="AI185" s="3">
        <v>190</v>
      </c>
      <c r="AJ185" s="3" t="str">
        <f>IFERROR(MID(VLOOKUP($B185,Seqs!$A:$B,2,0),AK185,1),"")</f>
        <v>D</v>
      </c>
      <c r="AK185" s="3">
        <v>195</v>
      </c>
      <c r="AL185" s="3" t="str">
        <f>IFERROR(MID(VLOOKUP($B185,Seqs!$A:$B,2,0),AM185,1),"")</f>
        <v>R</v>
      </c>
      <c r="AM185" s="3">
        <v>232</v>
      </c>
      <c r="AN185" s="3" t="str">
        <f>IFERROR(MID(VLOOKUP($B185,Seqs!$A:$B,2,0),AO185,1),"")</f>
        <v>T</v>
      </c>
      <c r="AO185" s="3">
        <v>238</v>
      </c>
      <c r="AP185" s="3" t="str">
        <f>IFERROR(MID(VLOOKUP($B185,Seqs!$A:$B,2,0),AQ185,1),"")</f>
        <v>L</v>
      </c>
      <c r="AQ185" s="3">
        <v>268</v>
      </c>
      <c r="AR185" s="3" t="str">
        <f>IFERROR(MID(VLOOKUP($B185,Seqs!$A:$B,2,0),AS185,1),"")</f>
        <v>S</v>
      </c>
      <c r="AS185" s="3">
        <v>272</v>
      </c>
      <c r="AT185" s="3" t="str">
        <f>IFERROR(MID(VLOOKUP($B185,Seqs!$A:$B,2,0),AU185,1),"")</f>
        <v>F</v>
      </c>
      <c r="AU185" s="3">
        <v>307</v>
      </c>
      <c r="AV185" s="3" t="str">
        <f>IFERROR(MID(VLOOKUP($B185,Seqs!$A:$B,2,0),AW185,1),"")</f>
        <v/>
      </c>
      <c r="AW185" s="3" t="s">
        <v>23</v>
      </c>
      <c r="AX185" s="3" t="str">
        <f>IFERROR(MID(VLOOKUP($B185,Seqs!$A:$B,2,0),AY185,1),"")</f>
        <v/>
      </c>
      <c r="AY185" s="3" t="s">
        <v>23</v>
      </c>
      <c r="AZ185" s="77" t="str">
        <f>VLOOKUP(B185,Classification!A:D,2,0)</f>
        <v>A</v>
      </c>
      <c r="BA185" s="94" t="str">
        <f>VLOOKUP(B185,Classification!A:D,4,0)</f>
        <v>Complementpeptide</v>
      </c>
      <c r="BB185" s="27" t="b">
        <f t="shared" si="1568"/>
        <v>1</v>
      </c>
      <c r="BC185" s="23">
        <f t="shared" si="1569"/>
        <v>248</v>
      </c>
      <c r="BD185" s="2" t="s">
        <v>1370</v>
      </c>
      <c r="BE185" s="3" t="s">
        <v>1368</v>
      </c>
      <c r="BF185" s="118">
        <v>2.7</v>
      </c>
      <c r="BG185" s="49" t="s">
        <v>1</v>
      </c>
      <c r="BH185" s="49" t="s">
        <v>1</v>
      </c>
      <c r="BI185" s="1"/>
      <c r="BJ185" s="70" t="s">
        <v>1281</v>
      </c>
      <c r="BK185" s="57" t="s">
        <v>1281</v>
      </c>
      <c r="BL185" s="57" t="s">
        <v>1281</v>
      </c>
      <c r="BM185" s="57" t="s">
        <v>1281</v>
      </c>
      <c r="BN185" s="57" t="s">
        <v>1281</v>
      </c>
      <c r="BO185" s="57" t="s">
        <v>1281</v>
      </c>
      <c r="BP185" s="57" t="s">
        <v>1281</v>
      </c>
      <c r="BQ185" s="57" t="s">
        <v>1281</v>
      </c>
      <c r="BR185" s="57" t="s">
        <v>1281</v>
      </c>
      <c r="BS185" s="57" t="s">
        <v>1281</v>
      </c>
      <c r="BT185" s="57" t="s">
        <v>1281</v>
      </c>
      <c r="BU185" s="57" t="s">
        <v>1281</v>
      </c>
      <c r="BV185" s="70">
        <f t="shared" si="1570"/>
        <v>34</v>
      </c>
      <c r="BW185" s="71" t="str">
        <f t="shared" si="1571"/>
        <v>-</v>
      </c>
      <c r="BX185" s="72">
        <f t="shared" si="1572"/>
        <v>69</v>
      </c>
      <c r="BY185" s="71">
        <f t="shared" si="1573"/>
        <v>101</v>
      </c>
      <c r="BZ185" s="72">
        <f t="shared" si="1574"/>
        <v>105</v>
      </c>
      <c r="CA185" s="71">
        <f t="shared" si="1575"/>
        <v>141</v>
      </c>
      <c r="CB185" s="72">
        <f t="shared" si="1576"/>
        <v>149</v>
      </c>
      <c r="CC185" s="71">
        <f t="shared" si="1577"/>
        <v>188</v>
      </c>
      <c r="CD185" s="72">
        <f t="shared" si="1578"/>
        <v>195</v>
      </c>
      <c r="CE185" s="71">
        <f t="shared" si="1579"/>
        <v>238</v>
      </c>
      <c r="CF185" s="72">
        <f t="shared" si="1580"/>
        <v>272</v>
      </c>
      <c r="CG185" s="71" t="str">
        <f t="shared" si="1581"/>
        <v>-</v>
      </c>
      <c r="CH185" s="70">
        <f t="shared" si="1582"/>
        <v>65</v>
      </c>
      <c r="CI185" s="71" t="str">
        <f t="shared" si="1583"/>
        <v>-</v>
      </c>
      <c r="CJ185" s="72">
        <f t="shared" si="1584"/>
        <v>99</v>
      </c>
      <c r="CK185" s="72">
        <f t="shared" si="1585"/>
        <v>104</v>
      </c>
      <c r="CL185" s="72">
        <f t="shared" si="1586"/>
        <v>140</v>
      </c>
      <c r="CM185" s="72">
        <f t="shared" si="1587"/>
        <v>148</v>
      </c>
      <c r="CN185" s="72">
        <f t="shared" si="1588"/>
        <v>175</v>
      </c>
      <c r="CO185" s="72">
        <f t="shared" si="1589"/>
        <v>190</v>
      </c>
      <c r="CP185" s="72">
        <f t="shared" si="1590"/>
        <v>232</v>
      </c>
      <c r="CQ185" s="72">
        <f t="shared" si="1591"/>
        <v>268</v>
      </c>
      <c r="CR185" s="72">
        <f t="shared" si="1592"/>
        <v>307</v>
      </c>
      <c r="CS185" s="72" t="str">
        <f t="shared" si="1593"/>
        <v>-</v>
      </c>
      <c r="CT185" s="23" t="e">
        <f t="shared" si="1594"/>
        <v>#VALUE!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1567"/>
        <v>c5ar1_human_6C1Q</v>
      </c>
      <c r="B186" s="3" t="s">
        <v>165</v>
      </c>
      <c r="C186" s="3" t="s">
        <v>1492</v>
      </c>
      <c r="D186" s="3" t="str">
        <f>IFERROR(MID(VLOOKUP($B186,Seqs!$A:$B,2,0),E186,1),"")</f>
        <v>M</v>
      </c>
      <c r="E186" s="3">
        <v>120</v>
      </c>
      <c r="F186" s="3" t="str">
        <f>IFERROR(MID(VLOOKUP($B186,Seqs!$A:$B,2,0),G186,1),"")</f>
        <v>G</v>
      </c>
      <c r="G186" s="3">
        <v>151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I</v>
      </c>
      <c r="M186" s="3">
        <v>155</v>
      </c>
      <c r="N186" s="3" t="str">
        <f>IFERROR(MID(VLOOKUP($B186,Seqs!$A:$B,2,0),O186,1),"")</f>
        <v>K</v>
      </c>
      <c r="O186" s="3">
        <v>185</v>
      </c>
      <c r="P186" s="3" t="str">
        <f>IFERROR(MID(VLOOKUP($B186,Seqs!$A:$B,2,0),Q186,1),"")</f>
        <v>L</v>
      </c>
      <c r="Q186" s="3">
        <v>187</v>
      </c>
      <c r="R186" s="3" t="str">
        <f>IFERROR(MID(VLOOKUP($B186,Seqs!$A:$B,2,0),S186,1),"")</f>
        <v>V</v>
      </c>
      <c r="S186" s="3">
        <v>190</v>
      </c>
      <c r="T186" s="3" t="str">
        <f>IFERROR(MID(VLOOKUP($B186,Seqs!$A:$B,2,0),U186,1),"")</f>
        <v>D</v>
      </c>
      <c r="U186" s="3">
        <v>191</v>
      </c>
      <c r="V186" s="3" t="str">
        <f>IFERROR(MID(VLOOKUP($B186,Seqs!$A:$B,2,0),W186,1),"")</f>
        <v>L</v>
      </c>
      <c r="W186" s="3">
        <v>226</v>
      </c>
      <c r="X186" s="3" t="str">
        <f>IFERROR(MID(VLOOKUP($B186,Seqs!$A:$B,2,0),Y186,1),"")</f>
        <v>L</v>
      </c>
      <c r="Y186" s="3">
        <v>227</v>
      </c>
      <c r="Z186" s="3" t="str">
        <f>IFERROR(MID(VLOOKUP($B186,Seqs!$A:$B,2,0),AA186,1),"")</f>
        <v>A</v>
      </c>
      <c r="AA186" s="3">
        <v>234</v>
      </c>
      <c r="AB186" s="3" t="str">
        <f>IFERROR(MID(VLOOKUP($B186,Seqs!$A:$B,2,0),AC186,1),"")</f>
        <v>T</v>
      </c>
      <c r="AC186" s="3">
        <v>235</v>
      </c>
      <c r="AD186" s="3" t="str">
        <f>IFERROR(MID(VLOOKUP($B186,Seqs!$A:$B,2,0),AE186,1),"")</f>
        <v>T</v>
      </c>
      <c r="AE186" s="3">
        <v>261</v>
      </c>
      <c r="AF186" s="3" t="str">
        <f>IFERROR(MID(VLOOKUP($B186,Seqs!$A:$B,2,0),AG186,1),"")</f>
        <v>T</v>
      </c>
      <c r="AG186" s="3">
        <v>274</v>
      </c>
      <c r="AH186" s="3" t="str">
        <f>IFERROR(MID(VLOOKUP($B186,Seqs!$A:$B,2,0),AI186,1),"")</f>
        <v>L</v>
      </c>
      <c r="AI186" s="3">
        <v>276</v>
      </c>
      <c r="AJ186" s="3" t="str">
        <f>IFERROR(MID(VLOOKUP($B186,Seqs!$A:$B,2,0),AK186,1),"")</f>
        <v>L</v>
      </c>
      <c r="AK186" s="3">
        <v>281</v>
      </c>
      <c r="AL186" s="3" t="str">
        <f>IFERROR(MID(VLOOKUP($B186,Seqs!$A:$B,2,0),AM186,1),"")</f>
        <v>L</v>
      </c>
      <c r="AM186" s="3">
        <v>318</v>
      </c>
      <c r="AN186" s="3" t="str">
        <f>IFERROR(MID(VLOOKUP($B186,Seqs!$A:$B,2,0),AO186,1),"")</f>
        <v>L</v>
      </c>
      <c r="AO186" s="3">
        <v>323</v>
      </c>
      <c r="AP186" s="3" t="str">
        <f>IFERROR(MID(VLOOKUP($B186,Seqs!$A:$B,2,0),AQ186,1),"")</f>
        <v/>
      </c>
      <c r="AQ186" s="3">
        <v>354</v>
      </c>
      <c r="AR186" s="3" t="str">
        <f>IFERROR(MID(VLOOKUP($B186,Seqs!$A:$B,2,0),AS186,1),"")</f>
        <v/>
      </c>
      <c r="AS186" s="3">
        <v>358</v>
      </c>
      <c r="AT186" s="3" t="str">
        <f>IFERROR(MID(VLOOKUP($B186,Seqs!$A:$B,2,0),AU186,1),"")</f>
        <v/>
      </c>
      <c r="AU186" s="3">
        <v>394</v>
      </c>
      <c r="AV186" s="3" t="str">
        <f>IFERROR(MID(VLOOKUP($B186,Seqs!$A:$B,2,0),AW186,1),"")</f>
        <v/>
      </c>
      <c r="AW186" s="3" t="s">
        <v>23</v>
      </c>
      <c r="AX186" s="3" t="str">
        <f>IFERROR(MID(VLOOKUP($B186,Seqs!$A:$B,2,0),AY186,1),"")</f>
        <v/>
      </c>
      <c r="AY186" s="3" t="s">
        <v>23</v>
      </c>
      <c r="AZ186" s="77" t="str">
        <f>VLOOKUP(B186,Classification!A:D,2,0)</f>
        <v>A</v>
      </c>
      <c r="BA186" s="94" t="str">
        <f>VLOOKUP(B186,Classification!A:D,4,0)</f>
        <v>Complementpeptide</v>
      </c>
      <c r="BB186" s="27" t="b">
        <f t="shared" si="1568"/>
        <v>1</v>
      </c>
      <c r="BC186" s="23">
        <f t="shared" si="1569"/>
        <v>250</v>
      </c>
      <c r="BD186" s="2" t="s">
        <v>23</v>
      </c>
      <c r="BE186" s="3" t="s">
        <v>1368</v>
      </c>
      <c r="BF186" s="118">
        <v>2.9</v>
      </c>
      <c r="BG186" s="49" t="s">
        <v>1275</v>
      </c>
      <c r="BH186" s="49" t="s">
        <v>1275</v>
      </c>
      <c r="BI186" s="1"/>
      <c r="BJ186" s="70" t="s">
        <v>1281</v>
      </c>
      <c r="BK186" s="57" t="s">
        <v>1281</v>
      </c>
      <c r="BL186" s="57" t="s">
        <v>1281</v>
      </c>
      <c r="BM186" s="57" t="s">
        <v>1281</v>
      </c>
      <c r="BN186" s="57" t="s">
        <v>1281</v>
      </c>
      <c r="BO186" s="57" t="s">
        <v>1281</v>
      </c>
      <c r="BP186" s="57" t="s">
        <v>1281</v>
      </c>
      <c r="BQ186" s="57" t="s">
        <v>1281</v>
      </c>
      <c r="BR186" s="57" t="s">
        <v>1281</v>
      </c>
      <c r="BS186" s="57" t="s">
        <v>1281</v>
      </c>
      <c r="BT186" s="57" t="s">
        <v>1281</v>
      </c>
      <c r="BU186" s="57" t="s">
        <v>1281</v>
      </c>
      <c r="BV186" s="70">
        <f t="shared" si="1570"/>
        <v>120</v>
      </c>
      <c r="BW186" s="71" t="str">
        <f t="shared" si="1571"/>
        <v>-</v>
      </c>
      <c r="BX186" s="72">
        <f t="shared" si="1572"/>
        <v>155</v>
      </c>
      <c r="BY186" s="71">
        <f t="shared" si="1573"/>
        <v>187</v>
      </c>
      <c r="BZ186" s="72">
        <f t="shared" si="1574"/>
        <v>191</v>
      </c>
      <c r="CA186" s="71">
        <f t="shared" si="1575"/>
        <v>227</v>
      </c>
      <c r="CB186" s="72">
        <f t="shared" si="1576"/>
        <v>235</v>
      </c>
      <c r="CC186" s="71">
        <f t="shared" si="1577"/>
        <v>274</v>
      </c>
      <c r="CD186" s="72">
        <f t="shared" si="1578"/>
        <v>281</v>
      </c>
      <c r="CE186" s="71">
        <f t="shared" si="1579"/>
        <v>323</v>
      </c>
      <c r="CF186" s="72">
        <f t="shared" si="1580"/>
        <v>358</v>
      </c>
      <c r="CG186" s="71" t="str">
        <f t="shared" si="1581"/>
        <v>-</v>
      </c>
      <c r="CH186" s="70">
        <f t="shared" si="1582"/>
        <v>151</v>
      </c>
      <c r="CI186" s="71" t="str">
        <f t="shared" si="1583"/>
        <v>-</v>
      </c>
      <c r="CJ186" s="72">
        <f t="shared" si="1584"/>
        <v>185</v>
      </c>
      <c r="CK186" s="72">
        <f t="shared" si="1585"/>
        <v>190</v>
      </c>
      <c r="CL186" s="72">
        <f t="shared" si="1586"/>
        <v>226</v>
      </c>
      <c r="CM186" s="72">
        <f t="shared" si="1587"/>
        <v>234</v>
      </c>
      <c r="CN186" s="72">
        <f t="shared" si="1588"/>
        <v>261</v>
      </c>
      <c r="CO186" s="72">
        <f t="shared" si="1589"/>
        <v>276</v>
      </c>
      <c r="CP186" s="72">
        <f t="shared" si="1590"/>
        <v>318</v>
      </c>
      <c r="CQ186" s="72">
        <f t="shared" si="1591"/>
        <v>354</v>
      </c>
      <c r="CR186" s="72">
        <f t="shared" si="1592"/>
        <v>394</v>
      </c>
      <c r="CS186" s="72" t="str">
        <f t="shared" si="1593"/>
        <v>-</v>
      </c>
      <c r="CT186" s="23" t="e">
        <f t="shared" si="1594"/>
        <v>#VALUE!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1567"/>
        <v>c5ar1_human_6C1R</v>
      </c>
      <c r="B187" s="3" t="s">
        <v>165</v>
      </c>
      <c r="C187" s="3" t="s">
        <v>1493</v>
      </c>
      <c r="D187" s="3" t="str">
        <f>IFERROR(MID(VLOOKUP($B187,Seqs!$A:$B,2,0),E187,1),"")</f>
        <v>M</v>
      </c>
      <c r="E187" s="3">
        <v>120</v>
      </c>
      <c r="F187" s="3" t="str">
        <f>IFERROR(MID(VLOOKUP($B187,Seqs!$A:$B,2,0),G187,1),"")</f>
        <v>G</v>
      </c>
      <c r="G187" s="3">
        <v>151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I</v>
      </c>
      <c r="M187" s="3">
        <v>155</v>
      </c>
      <c r="N187" s="3" t="str">
        <f>IFERROR(MID(VLOOKUP($B187,Seqs!$A:$B,2,0),O187,1),"")</f>
        <v>K</v>
      </c>
      <c r="O187" s="3">
        <v>185</v>
      </c>
      <c r="P187" s="3" t="str">
        <f>IFERROR(MID(VLOOKUP($B187,Seqs!$A:$B,2,0),Q187,1),"")</f>
        <v>L</v>
      </c>
      <c r="Q187" s="3">
        <v>187</v>
      </c>
      <c r="R187" s="3" t="str">
        <f>IFERROR(MID(VLOOKUP($B187,Seqs!$A:$B,2,0),S187,1),"")</f>
        <v>V</v>
      </c>
      <c r="S187" s="3">
        <v>190</v>
      </c>
      <c r="T187" s="3" t="str">
        <f>IFERROR(MID(VLOOKUP($B187,Seqs!$A:$B,2,0),U187,1),"")</f>
        <v>D</v>
      </c>
      <c r="U187" s="3">
        <v>191</v>
      </c>
      <c r="V187" s="3" t="str">
        <f>IFERROR(MID(VLOOKUP($B187,Seqs!$A:$B,2,0),W187,1),"")</f>
        <v>L</v>
      </c>
      <c r="W187" s="3">
        <v>226</v>
      </c>
      <c r="X187" s="3" t="str">
        <f>IFERROR(MID(VLOOKUP($B187,Seqs!$A:$B,2,0),Y187,1),"")</f>
        <v>L</v>
      </c>
      <c r="Y187" s="3">
        <v>227</v>
      </c>
      <c r="Z187" s="3" t="str">
        <f>IFERROR(MID(VLOOKUP($B187,Seqs!$A:$B,2,0),AA187,1),"")</f>
        <v>A</v>
      </c>
      <c r="AA187" s="3">
        <v>234</v>
      </c>
      <c r="AB187" s="3" t="str">
        <f>IFERROR(MID(VLOOKUP($B187,Seqs!$A:$B,2,0),AC187,1),"")</f>
        <v>T</v>
      </c>
      <c r="AC187" s="3">
        <v>235</v>
      </c>
      <c r="AD187" s="3" t="str">
        <f>IFERROR(MID(VLOOKUP($B187,Seqs!$A:$B,2,0),AE187,1),"")</f>
        <v>T</v>
      </c>
      <c r="AE187" s="3">
        <v>261</v>
      </c>
      <c r="AF187" s="3" t="str">
        <f>IFERROR(MID(VLOOKUP($B187,Seqs!$A:$B,2,0),AG187,1),"")</f>
        <v>T</v>
      </c>
      <c r="AG187" s="3">
        <v>274</v>
      </c>
      <c r="AH187" s="3" t="str">
        <f>IFERROR(MID(VLOOKUP($B187,Seqs!$A:$B,2,0),AI187,1),"")</f>
        <v>L</v>
      </c>
      <c r="AI187" s="3">
        <v>276</v>
      </c>
      <c r="AJ187" s="3" t="str">
        <f>IFERROR(MID(VLOOKUP($B187,Seqs!$A:$B,2,0),AK187,1),"")</f>
        <v>L</v>
      </c>
      <c r="AK187" s="3">
        <v>281</v>
      </c>
      <c r="AL187" s="3" t="str">
        <f>IFERROR(MID(VLOOKUP($B187,Seqs!$A:$B,2,0),AM187,1),"")</f>
        <v>L</v>
      </c>
      <c r="AM187" s="3">
        <v>318</v>
      </c>
      <c r="AN187" s="3" t="str">
        <f>IFERROR(MID(VLOOKUP($B187,Seqs!$A:$B,2,0),AO187,1),"")</f>
        <v>L</v>
      </c>
      <c r="AO187" s="3">
        <v>323</v>
      </c>
      <c r="AP187" s="3" t="str">
        <f>IFERROR(MID(VLOOKUP($B187,Seqs!$A:$B,2,0),AQ187,1),"")</f>
        <v/>
      </c>
      <c r="AQ187" s="3">
        <v>354</v>
      </c>
      <c r="AR187" s="3" t="str">
        <f>IFERROR(MID(VLOOKUP($B187,Seqs!$A:$B,2,0),AS187,1),"")</f>
        <v/>
      </c>
      <c r="AS187" s="3">
        <v>358</v>
      </c>
      <c r="AT187" s="3" t="str">
        <f>IFERROR(MID(VLOOKUP($B187,Seqs!$A:$B,2,0),AU187,1),"")</f>
        <v/>
      </c>
      <c r="AU187" s="3">
        <v>394</v>
      </c>
      <c r="AV187" s="3" t="str">
        <f>IFERROR(MID(VLOOKUP($B187,Seqs!$A:$B,2,0),AW187,1),"")</f>
        <v/>
      </c>
      <c r="AW187" s="3" t="s">
        <v>23</v>
      </c>
      <c r="AX187" s="3" t="str">
        <f>IFERROR(MID(VLOOKUP($B187,Seqs!$A:$B,2,0),AY187,1),"")</f>
        <v/>
      </c>
      <c r="AY187" s="3" t="s">
        <v>23</v>
      </c>
      <c r="AZ187" s="77" t="str">
        <f>VLOOKUP(B187,Classification!A:D,2,0)</f>
        <v>A</v>
      </c>
      <c r="BA187" s="94" t="str">
        <f>VLOOKUP(B187,Classification!A:D,4,0)</f>
        <v>Complementpeptide</v>
      </c>
      <c r="BB187" s="27" t="b">
        <f t="shared" si="1568"/>
        <v>1</v>
      </c>
      <c r="BC187" s="23">
        <f t="shared" si="1569"/>
        <v>250</v>
      </c>
      <c r="BD187" s="2" t="s">
        <v>23</v>
      </c>
      <c r="BE187" s="3" t="s">
        <v>1368</v>
      </c>
      <c r="BF187" s="118">
        <v>2.2000000000000002</v>
      </c>
      <c r="BG187" s="49" t="s">
        <v>1275</v>
      </c>
      <c r="BH187" s="49" t="s">
        <v>1275</v>
      </c>
      <c r="BI187" s="1"/>
      <c r="BJ187" s="70" t="s">
        <v>1281</v>
      </c>
      <c r="BK187" s="57" t="s">
        <v>1281</v>
      </c>
      <c r="BL187" s="57" t="s">
        <v>1281</v>
      </c>
      <c r="BM187" s="57" t="s">
        <v>1281</v>
      </c>
      <c r="BN187" s="57" t="s">
        <v>1281</v>
      </c>
      <c r="BO187" s="57" t="s">
        <v>1281</v>
      </c>
      <c r="BP187" s="57" t="s">
        <v>1281</v>
      </c>
      <c r="BQ187" s="57" t="s">
        <v>1281</v>
      </c>
      <c r="BR187" s="57" t="s">
        <v>1281</v>
      </c>
      <c r="BS187" s="57" t="s">
        <v>1281</v>
      </c>
      <c r="BT187" s="57" t="s">
        <v>1281</v>
      </c>
      <c r="BU187" s="57" t="s">
        <v>1281</v>
      </c>
      <c r="BV187" s="70">
        <f t="shared" si="1570"/>
        <v>120</v>
      </c>
      <c r="BW187" s="71" t="str">
        <f t="shared" si="1571"/>
        <v>-</v>
      </c>
      <c r="BX187" s="72">
        <f t="shared" si="1572"/>
        <v>155</v>
      </c>
      <c r="BY187" s="71">
        <f t="shared" si="1573"/>
        <v>187</v>
      </c>
      <c r="BZ187" s="72">
        <f t="shared" si="1574"/>
        <v>191</v>
      </c>
      <c r="CA187" s="71">
        <f t="shared" si="1575"/>
        <v>227</v>
      </c>
      <c r="CB187" s="72">
        <f t="shared" si="1576"/>
        <v>235</v>
      </c>
      <c r="CC187" s="71">
        <f t="shared" si="1577"/>
        <v>274</v>
      </c>
      <c r="CD187" s="72">
        <f t="shared" si="1578"/>
        <v>281</v>
      </c>
      <c r="CE187" s="71">
        <f t="shared" si="1579"/>
        <v>323</v>
      </c>
      <c r="CF187" s="72">
        <f t="shared" si="1580"/>
        <v>358</v>
      </c>
      <c r="CG187" s="71" t="str">
        <f t="shared" si="1581"/>
        <v>-</v>
      </c>
      <c r="CH187" s="70">
        <f t="shared" si="1582"/>
        <v>151</v>
      </c>
      <c r="CI187" s="71" t="str">
        <f t="shared" si="1583"/>
        <v>-</v>
      </c>
      <c r="CJ187" s="72">
        <f t="shared" si="1584"/>
        <v>185</v>
      </c>
      <c r="CK187" s="72">
        <f t="shared" si="1585"/>
        <v>190</v>
      </c>
      <c r="CL187" s="72">
        <f t="shared" si="1586"/>
        <v>226</v>
      </c>
      <c r="CM187" s="72">
        <f t="shared" si="1587"/>
        <v>234</v>
      </c>
      <c r="CN187" s="72">
        <f t="shared" si="1588"/>
        <v>261</v>
      </c>
      <c r="CO187" s="72">
        <f t="shared" si="1589"/>
        <v>276</v>
      </c>
      <c r="CP187" s="72">
        <f t="shared" si="1590"/>
        <v>318</v>
      </c>
      <c r="CQ187" s="72">
        <f t="shared" si="1591"/>
        <v>354</v>
      </c>
      <c r="CR187" s="72">
        <f t="shared" si="1592"/>
        <v>394</v>
      </c>
      <c r="CS187" s="72" t="str">
        <f t="shared" si="1593"/>
        <v>-</v>
      </c>
      <c r="CT187" s="23" t="e">
        <f t="shared" si="1594"/>
        <v>#VALUE!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1371"/>
        <v>ccr2_human__wt</v>
      </c>
      <c r="B188" s="3" t="s">
        <v>170</v>
      </c>
      <c r="C188" s="3" t="s">
        <v>100</v>
      </c>
      <c r="D188" s="3" t="str">
        <f>IFERROR(MID(VLOOKUP($B188,Seqs!$A:$B,2,0),E188,1),"")</f>
        <v>V</v>
      </c>
      <c r="E188" s="3">
        <v>37</v>
      </c>
      <c r="F188" s="3" t="str">
        <f>IFERROR(MID(VLOOKUP($B188,Seqs!$A:$B,2,0),G188,1),"")</f>
        <v>C</v>
      </c>
      <c r="G188" s="3">
        <v>70</v>
      </c>
      <c r="H188" s="3" t="str">
        <f>IFERROR(MID(VLOOKUP($B188,Seqs!$A:$B,2,0),I188,1),"")</f>
        <v>K</v>
      </c>
      <c r="I188" s="23">
        <v>71</v>
      </c>
      <c r="J188" s="3" t="str">
        <f>IFERROR(MID(VLOOKUP($B188,Seqs!$A:$B,2,0),K188,1),"")</f>
        <v>K</v>
      </c>
      <c r="K188" s="23">
        <v>74</v>
      </c>
      <c r="L188" s="3" t="str">
        <f>IFERROR(MID(VLOOKUP($B188,Seqs!$A:$B,2,0),M188,1),"")</f>
        <v>C</v>
      </c>
      <c r="M188" s="3">
        <v>75</v>
      </c>
      <c r="N188" s="3" t="str">
        <f>IFERROR(MID(VLOOKUP($B188,Seqs!$A:$B,2,0),O188,1),"")</f>
        <v>N</v>
      </c>
      <c r="O188" s="3">
        <v>104</v>
      </c>
      <c r="P188" s="3" t="str">
        <f>IFERROR(MID(VLOOKUP($B188,Seqs!$A:$B,2,0),Q188,1),"")</f>
        <v>E</v>
      </c>
      <c r="Q188" s="3">
        <v>105</v>
      </c>
      <c r="R188" s="3" t="str">
        <f>IFERROR(MID(VLOOKUP($B188,Seqs!$A:$B,2,0),S188,1),"")</f>
        <v>F</v>
      </c>
      <c r="S188" s="3">
        <v>108</v>
      </c>
      <c r="T188" s="3" t="str">
        <f>IFERROR(MID(VLOOKUP($B188,Seqs!$A:$B,2,0),U188,1),"")</f>
        <v>G</v>
      </c>
      <c r="U188" s="3">
        <v>109</v>
      </c>
      <c r="V188" s="3" t="str">
        <f>IFERROR(MID(VLOOKUP($B188,Seqs!$A:$B,2,0),W188,1),"")</f>
        <v>H</v>
      </c>
      <c r="W188" s="3">
        <v>144</v>
      </c>
      <c r="X188" s="3" t="str">
        <f>IFERROR(MID(VLOOKUP($B188,Seqs!$A:$B,2,0),Y188,1),"")</f>
        <v>A</v>
      </c>
      <c r="Y188" s="3">
        <v>145</v>
      </c>
      <c r="Z188" s="3" t="str">
        <f>IFERROR(MID(VLOOKUP($B188,Seqs!$A:$B,2,0),AA188,1),"")</f>
        <v>R</v>
      </c>
      <c r="AA188" s="3">
        <v>152</v>
      </c>
      <c r="AB188" s="3" t="str">
        <f>IFERROR(MID(VLOOKUP($B188,Seqs!$A:$B,2,0),AC188,1),"")</f>
        <v>T</v>
      </c>
      <c r="AC188" s="9">
        <v>153</v>
      </c>
      <c r="AD188" s="3" t="str">
        <f>IFERROR(MID(VLOOKUP($B188,Seqs!$A:$B,2,0),AE188,1),"")</f>
        <v>T</v>
      </c>
      <c r="AE188" s="3">
        <v>179</v>
      </c>
      <c r="AF188" s="3" t="str">
        <f>IFERROR(MID(VLOOKUP($B188,Seqs!$A:$B,2,0),AG188,1),"")</f>
        <v>C</v>
      </c>
      <c r="AG188" s="3">
        <v>190</v>
      </c>
      <c r="AH188" s="3" t="str">
        <f>IFERROR(MID(VLOOKUP($B188,Seqs!$A:$B,2,0),AI188,1),"")</f>
        <v>P</v>
      </c>
      <c r="AI188" s="3">
        <v>192</v>
      </c>
      <c r="AJ188" s="3" t="str">
        <f>IFERROR(MID(VLOOKUP($B188,Seqs!$A:$B,2,0),AK188,1),"")</f>
        <v>P</v>
      </c>
      <c r="AK188" s="3">
        <v>195</v>
      </c>
      <c r="AL188" s="3" t="str">
        <f>IFERROR(MID(VLOOKUP($B188,Seqs!$A:$B,2,0),AM188,1),"")</f>
        <v>C</v>
      </c>
      <c r="AM188" s="3">
        <v>232</v>
      </c>
      <c r="AN188" s="3" t="str">
        <f>IFERROR(MID(VLOOKUP($B188,Seqs!$A:$B,2,0),AO188,1),"")</f>
        <v>K</v>
      </c>
      <c r="AO188" s="3">
        <v>236</v>
      </c>
      <c r="AP188" s="3" t="str">
        <f>IFERROR(MID(VLOOKUP($B188,Seqs!$A:$B,2,0),AQ188,1),"")</f>
        <v>G</v>
      </c>
      <c r="AQ188" s="3">
        <v>273</v>
      </c>
      <c r="AR188" s="3" t="str">
        <f>IFERROR(MID(VLOOKUP($B188,Seqs!$A:$B,2,0),AS188,1),"")</f>
        <v>E</v>
      </c>
      <c r="AS188" s="3">
        <v>278</v>
      </c>
      <c r="AT188" s="3" t="str">
        <f>IFERROR(MID(VLOOKUP($B188,Seqs!$A:$B,2,0),AU188,1),"")</f>
        <v>V</v>
      </c>
      <c r="AU188" s="3">
        <v>308</v>
      </c>
      <c r="AV188" s="3" t="str">
        <f>IFERROR(MID(VLOOKUP($B188,Seqs!$A:$B,2,0),AW188,1),"")</f>
        <v>G</v>
      </c>
      <c r="AW188" s="3">
        <v>309</v>
      </c>
      <c r="AX188" s="3" t="str">
        <f>IFERROR(MID(VLOOKUP($B188,Seqs!$A:$B,2,0),AY188,1),"")</f>
        <v>L</v>
      </c>
      <c r="AY188" s="3">
        <v>320</v>
      </c>
      <c r="AZ188" s="77" t="str">
        <f>VLOOKUP(B188,Classification!A:D,2,0)</f>
        <v>A</v>
      </c>
      <c r="BA188" s="94" t="str">
        <f>VLOOKUP(B188,Classification!A:D,4,0)</f>
        <v>Chemokine</v>
      </c>
      <c r="BB188" s="27" t="b">
        <f t="shared" si="1372"/>
        <v>1</v>
      </c>
      <c r="BC188" s="23">
        <f t="shared" si="1121"/>
        <v>265</v>
      </c>
      <c r="BD188" s="2" t="s">
        <v>23</v>
      </c>
      <c r="BE188" s="3" t="s">
        <v>23</v>
      </c>
      <c r="BF188" s="118" t="s">
        <v>23</v>
      </c>
      <c r="BG188" s="49" t="s">
        <v>1366</v>
      </c>
      <c r="BH188" s="49" t="s">
        <v>1371</v>
      </c>
      <c r="BI188" s="1"/>
      <c r="BJ188" s="70" t="s">
        <v>1281</v>
      </c>
      <c r="BK188" s="57" t="s">
        <v>1281</v>
      </c>
      <c r="BL188" s="57" t="s">
        <v>1281</v>
      </c>
      <c r="BM188" s="57" t="s">
        <v>1281</v>
      </c>
      <c r="BN188" s="57" t="s">
        <v>1281</v>
      </c>
      <c r="BO188" s="57" t="s">
        <v>1281</v>
      </c>
      <c r="BP188" s="57" t="s">
        <v>1281</v>
      </c>
      <c r="BQ188" s="57" t="s">
        <v>1281</v>
      </c>
      <c r="BR188" s="57" t="s">
        <v>1281</v>
      </c>
      <c r="BS188" s="57" t="s">
        <v>1281</v>
      </c>
      <c r="BT188" s="57" t="s">
        <v>1281</v>
      </c>
      <c r="BU188" s="57" t="s">
        <v>1281</v>
      </c>
      <c r="BV188" s="70">
        <f t="shared" si="1122"/>
        <v>37</v>
      </c>
      <c r="BW188" s="71">
        <f t="shared" si="1123"/>
        <v>71</v>
      </c>
      <c r="BX188" s="72">
        <f t="shared" si="1124"/>
        <v>75</v>
      </c>
      <c r="BY188" s="71">
        <f t="shared" si="1125"/>
        <v>105</v>
      </c>
      <c r="BZ188" s="72">
        <f t="shared" si="1126"/>
        <v>109</v>
      </c>
      <c r="CA188" s="71">
        <f t="shared" si="1127"/>
        <v>145</v>
      </c>
      <c r="CB188" s="72">
        <f t="shared" si="1128"/>
        <v>153</v>
      </c>
      <c r="CC188" s="71">
        <f t="shared" si="1129"/>
        <v>190</v>
      </c>
      <c r="CD188" s="72">
        <f t="shared" si="1130"/>
        <v>195</v>
      </c>
      <c r="CE188" s="71">
        <f t="shared" si="1131"/>
        <v>236</v>
      </c>
      <c r="CF188" s="72">
        <f t="shared" si="1132"/>
        <v>278</v>
      </c>
      <c r="CG188" s="71">
        <f t="shared" si="1133"/>
        <v>309</v>
      </c>
      <c r="CH188" s="70">
        <f t="shared" si="1134"/>
        <v>70</v>
      </c>
      <c r="CI188" s="71">
        <f t="shared" si="1135"/>
        <v>74</v>
      </c>
      <c r="CJ188" s="72">
        <f t="shared" si="1136"/>
        <v>104</v>
      </c>
      <c r="CK188" s="72">
        <f t="shared" si="1137"/>
        <v>108</v>
      </c>
      <c r="CL188" s="72">
        <f t="shared" si="1138"/>
        <v>144</v>
      </c>
      <c r="CM188" s="72">
        <f t="shared" si="1139"/>
        <v>152</v>
      </c>
      <c r="CN188" s="72">
        <f t="shared" si="1140"/>
        <v>179</v>
      </c>
      <c r="CO188" s="72">
        <f t="shared" si="1141"/>
        <v>192</v>
      </c>
      <c r="CP188" s="72">
        <f t="shared" si="1142"/>
        <v>232</v>
      </c>
      <c r="CQ188" s="72">
        <f t="shared" si="1143"/>
        <v>273</v>
      </c>
      <c r="CR188" s="72">
        <f t="shared" si="1144"/>
        <v>308</v>
      </c>
      <c r="CS188" s="72">
        <f t="shared" si="1145"/>
        <v>320</v>
      </c>
      <c r="CT188" s="23">
        <f t="shared" si="1146"/>
        <v>1</v>
      </c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  <c r="SC188" s="6"/>
      <c r="SD188" s="6"/>
      <c r="SE188" s="6"/>
      <c r="SF188" s="6"/>
      <c r="SG188" s="6"/>
      <c r="SH188" s="6"/>
      <c r="SI188" s="6"/>
      <c r="SJ188" s="6"/>
      <c r="SK188" s="6"/>
      <c r="SL188" s="6"/>
      <c r="SM188" s="6"/>
      <c r="SN188" s="6"/>
      <c r="SO188" s="6"/>
      <c r="SP188" s="6"/>
      <c r="SQ188" s="6"/>
      <c r="SR188" s="6"/>
      <c r="SS188" s="6"/>
      <c r="ST188" s="6"/>
      <c r="SU188" s="6"/>
      <c r="SV188" s="6"/>
      <c r="SW188" s="6"/>
      <c r="SX188" s="6"/>
      <c r="SY188" s="6"/>
      <c r="SZ188" s="6"/>
      <c r="TA188" s="6"/>
      <c r="TB188" s="6"/>
      <c r="TC188" s="6"/>
      <c r="TD188" s="6"/>
      <c r="TE188" s="6"/>
      <c r="TF188" s="6"/>
      <c r="TG188" s="6"/>
      <c r="TH188" s="6"/>
      <c r="TI188" s="6"/>
      <c r="TJ188" s="6"/>
      <c r="TK188" s="6"/>
      <c r="TL188" s="6"/>
      <c r="TM188" s="6"/>
      <c r="TN188" s="6"/>
      <c r="TO188" s="6"/>
      <c r="TP188" s="6"/>
      <c r="TQ188" s="6"/>
      <c r="TR188" s="6"/>
      <c r="TS188" s="6"/>
      <c r="TT188" s="6"/>
      <c r="TU188" s="6"/>
      <c r="TV188" s="6"/>
      <c r="TW188" s="6"/>
      <c r="TX188" s="6"/>
      <c r="TY188" s="6"/>
      <c r="TZ188" s="6"/>
      <c r="UA188" s="6"/>
      <c r="UB188" s="6"/>
      <c r="UC188" s="6"/>
      <c r="UD188" s="6"/>
      <c r="UE188" s="6"/>
      <c r="UF188" s="6"/>
      <c r="UG188" s="6"/>
      <c r="UH188" s="6"/>
      <c r="UI188" s="6"/>
      <c r="UJ188" s="6"/>
      <c r="UK188" s="6"/>
      <c r="UL188" s="6"/>
      <c r="UM188" s="6"/>
      <c r="UN188" s="6"/>
      <c r="UO188" s="6"/>
      <c r="UP188" s="6"/>
      <c r="UQ188" s="6"/>
      <c r="UR188" s="6"/>
      <c r="US188" s="6"/>
      <c r="UT188" s="6"/>
      <c r="UU188" s="6"/>
      <c r="UV188" s="6"/>
      <c r="UW188" s="6"/>
      <c r="UX188" s="6"/>
      <c r="UY188" s="6"/>
      <c r="UZ188" s="6"/>
      <c r="VA188" s="6"/>
      <c r="VB188" s="6"/>
      <c r="VC188" s="6"/>
      <c r="VD188" s="6"/>
      <c r="VE188" s="6"/>
      <c r="VF188" s="6"/>
      <c r="VG188" s="6"/>
      <c r="VH188" s="6"/>
      <c r="VI188" s="6"/>
      <c r="VJ188" s="6"/>
      <c r="VK188" s="6"/>
      <c r="VL188" s="6"/>
      <c r="VM188" s="6"/>
      <c r="VN188" s="6"/>
      <c r="VO188" s="6"/>
      <c r="VP188" s="6"/>
      <c r="VQ188" s="6"/>
      <c r="VR188" s="6"/>
      <c r="VS188" s="6"/>
      <c r="VT188" s="6"/>
      <c r="VU188" s="6"/>
      <c r="VV188" s="6"/>
      <c r="VW188" s="6"/>
      <c r="VX188" s="6"/>
      <c r="VY188" s="6"/>
      <c r="VZ188" s="6"/>
      <c r="WA188" s="6"/>
      <c r="WB188" s="6"/>
      <c r="WC188" s="6"/>
      <c r="WD188" s="6"/>
      <c r="WE188" s="6"/>
      <c r="WF188" s="6"/>
      <c r="WG188" s="6"/>
      <c r="WH188" s="6"/>
      <c r="WI188" s="6"/>
      <c r="WJ188" s="6"/>
      <c r="WK188" s="6"/>
      <c r="WL188" s="6"/>
      <c r="WM188" s="6"/>
      <c r="WN188" s="6"/>
      <c r="WO188" s="6"/>
      <c r="WP188" s="6"/>
      <c r="WQ188" s="6"/>
      <c r="WR188" s="6"/>
      <c r="WS188" s="6"/>
      <c r="WT188" s="6"/>
      <c r="WU188" s="6"/>
      <c r="WV188" s="6"/>
      <c r="WW188" s="6"/>
      <c r="WX188" s="6"/>
      <c r="WY188" s="6"/>
      <c r="WZ188" s="6"/>
      <c r="XA188" s="6"/>
      <c r="XB188" s="6"/>
      <c r="XC188" s="6"/>
      <c r="XD188" s="6"/>
      <c r="XE188" s="6"/>
      <c r="XF188" s="6"/>
      <c r="XG188" s="6"/>
      <c r="XH188" s="6"/>
      <c r="XI188" s="6"/>
      <c r="XJ188" s="6"/>
      <c r="XK188" s="6"/>
      <c r="XL188" s="6"/>
      <c r="XM188" s="6"/>
      <c r="XN188" s="6"/>
      <c r="XO188" s="6"/>
      <c r="XP188" s="6"/>
      <c r="XQ188" s="6"/>
      <c r="XR188" s="6"/>
      <c r="XS188" s="6"/>
      <c r="XT188" s="6"/>
      <c r="XU188" s="6"/>
      <c r="XV188" s="6"/>
      <c r="XW188" s="6"/>
      <c r="XX188" s="6"/>
      <c r="XY188" s="6"/>
      <c r="XZ188" s="6"/>
      <c r="YA188" s="6"/>
      <c r="YB188" s="6"/>
      <c r="YC188" s="6"/>
      <c r="YD188" s="6"/>
      <c r="YE188" s="6"/>
      <c r="YF188" s="6"/>
      <c r="YG188" s="6"/>
      <c r="YH188" s="6"/>
      <c r="YI188" s="6"/>
      <c r="YJ188" s="6"/>
      <c r="YK188" s="6"/>
      <c r="YL188" s="6"/>
      <c r="YM188" s="6"/>
      <c r="YN188" s="6"/>
      <c r="YO188" s="6"/>
      <c r="YP188" s="6"/>
      <c r="YQ188" s="6"/>
      <c r="YR188" s="6"/>
      <c r="YS188" s="6"/>
      <c r="YT188" s="6"/>
      <c r="YU188" s="6"/>
      <c r="YV188" s="6"/>
      <c r="YW188" s="6"/>
      <c r="YX188" s="6"/>
      <c r="YY188" s="6"/>
      <c r="YZ188" s="6"/>
      <c r="ZA188" s="6"/>
      <c r="ZB188" s="6"/>
      <c r="ZC188" s="6"/>
      <c r="ZD188" s="6"/>
      <c r="ZE188" s="6"/>
      <c r="ZF188" s="6"/>
      <c r="ZG188" s="6"/>
      <c r="ZH188" s="6"/>
      <c r="ZI188" s="6"/>
      <c r="ZJ188" s="6"/>
      <c r="ZK188" s="6"/>
      <c r="ZL188" s="6"/>
      <c r="ZM188" s="6"/>
      <c r="ZN188" s="6"/>
      <c r="ZO188" s="6"/>
      <c r="ZP188" s="6"/>
      <c r="ZQ188" s="6"/>
      <c r="ZR188" s="6"/>
      <c r="ZS188" s="6"/>
      <c r="ZT188" s="6"/>
      <c r="ZU188" s="6"/>
      <c r="ZV188" s="6"/>
      <c r="ZW188" s="6"/>
      <c r="ZX188" s="6"/>
      <c r="ZY188" s="6"/>
      <c r="ZZ188" s="6"/>
      <c r="AAA188" s="6"/>
      <c r="AAB188" s="6"/>
      <c r="AAC188" s="6"/>
      <c r="AAD188" s="6"/>
      <c r="AAE188" s="6"/>
      <c r="AAF188" s="6"/>
      <c r="AAG188" s="6"/>
      <c r="AAH188" s="6"/>
      <c r="AAI188" s="6"/>
      <c r="AAJ188" s="6"/>
      <c r="AAK188" s="6"/>
      <c r="AAL188" s="6"/>
      <c r="AAM188" s="6"/>
      <c r="AAN188" s="6"/>
      <c r="AAO188" s="6"/>
      <c r="AAP188" s="6"/>
      <c r="AAQ188" s="6"/>
      <c r="AAR188" s="6"/>
      <c r="AAS188" s="6"/>
      <c r="AAT188" s="6"/>
      <c r="AAU188" s="6"/>
      <c r="AAV188" s="6"/>
      <c r="AAW188" s="6"/>
      <c r="AAX188" s="6"/>
      <c r="AAY188" s="6"/>
      <c r="AAZ188" s="6"/>
      <c r="ABA188" s="6"/>
      <c r="ABB188" s="6"/>
      <c r="ABC188" s="6"/>
      <c r="ABD188" s="6"/>
      <c r="ABE188" s="6"/>
      <c r="ABF188" s="6"/>
      <c r="ABG188" s="6"/>
      <c r="ABH188" s="6"/>
      <c r="ABI188" s="6"/>
      <c r="ABJ188" s="6"/>
      <c r="ABK188" s="6"/>
      <c r="ABL188" s="6"/>
      <c r="ABM188" s="6"/>
      <c r="ABN188" s="6"/>
      <c r="ABO188" s="6"/>
      <c r="ABP188" s="6"/>
      <c r="ABQ188" s="6"/>
      <c r="ABR188" s="6"/>
      <c r="ABS188" s="6"/>
      <c r="ABT188" s="6"/>
      <c r="ABU188" s="6"/>
      <c r="ABV188" s="6"/>
      <c r="ABW188" s="6"/>
      <c r="ABX188" s="6"/>
      <c r="ABY188" s="6"/>
      <c r="ABZ188" s="6"/>
      <c r="ACA188" s="6"/>
      <c r="ACB188" s="6"/>
      <c r="ACC188" s="6"/>
      <c r="ACD188" s="6"/>
      <c r="ACE188" s="6"/>
      <c r="ACF188" s="6"/>
      <c r="ACG188" s="6"/>
      <c r="ACH188" s="6"/>
      <c r="ACI188" s="6"/>
      <c r="ACJ188" s="6"/>
      <c r="ACK188" s="6"/>
      <c r="ACL188" s="6"/>
      <c r="ACM188" s="6"/>
      <c r="ACN188" s="6"/>
      <c r="ACO188" s="6"/>
      <c r="ACP188" s="6"/>
      <c r="ACQ188" s="6"/>
      <c r="ACR188" s="6"/>
      <c r="ACS188" s="6"/>
      <c r="ACT188" s="6"/>
      <c r="ACU188" s="6"/>
      <c r="ACV188" s="6"/>
      <c r="ACW188" s="6"/>
      <c r="ACX188" s="6"/>
      <c r="ACY188" s="6"/>
      <c r="ACZ188" s="6"/>
      <c r="ADA188" s="6"/>
      <c r="ADB188" s="6"/>
      <c r="ADC188" s="6"/>
      <c r="ADD188" s="6"/>
      <c r="ADE188" s="6"/>
      <c r="ADF188" s="6"/>
      <c r="ADG188" s="6"/>
      <c r="ADH188" s="6"/>
      <c r="ADI188" s="6"/>
      <c r="ADJ188" s="6"/>
      <c r="ADK188" s="6"/>
      <c r="ADL188" s="6"/>
      <c r="ADM188" s="6"/>
      <c r="ADN188" s="6"/>
      <c r="ADO188" s="6"/>
      <c r="ADP188" s="6"/>
      <c r="ADQ188" s="6"/>
      <c r="ADR188" s="6"/>
      <c r="ADS188" s="6"/>
      <c r="ADT188" s="6"/>
      <c r="ADU188" s="6"/>
      <c r="ADV188" s="6"/>
      <c r="ADW188" s="6"/>
      <c r="ADX188" s="6"/>
      <c r="ADY188" s="6"/>
      <c r="ADZ188" s="6"/>
      <c r="AEA188" s="6"/>
      <c r="AEB188" s="6"/>
      <c r="AEC188" s="6"/>
      <c r="AED188" s="6"/>
      <c r="AEE188" s="6"/>
      <c r="AEF188" s="6"/>
      <c r="AEG188" s="6"/>
      <c r="AEH188" s="6"/>
      <c r="AEI188" s="6"/>
      <c r="AEJ188" s="6"/>
      <c r="AEK188" s="6"/>
      <c r="AEL188" s="6"/>
      <c r="AEM188" s="6"/>
      <c r="AEN188" s="6"/>
      <c r="AEO188" s="6"/>
      <c r="AEP188" s="6"/>
      <c r="AEQ188" s="6"/>
      <c r="AER188" s="6"/>
      <c r="AES188" s="6"/>
      <c r="AET188" s="6"/>
      <c r="AEU188" s="6"/>
      <c r="AEV188" s="6"/>
      <c r="AEW188" s="6"/>
      <c r="AEX188" s="6"/>
      <c r="AEY188" s="6"/>
      <c r="AEZ188" s="6"/>
      <c r="AFA188" s="6"/>
      <c r="AFB188" s="6"/>
      <c r="AFC188" s="6"/>
      <c r="AFD188" s="6"/>
      <c r="AFE188" s="6"/>
      <c r="AFF188" s="6"/>
      <c r="AFG188" s="6"/>
      <c r="AFH188" s="6"/>
      <c r="AFI188" s="6"/>
      <c r="AFJ188" s="6"/>
      <c r="AFK188" s="6"/>
      <c r="AFL188" s="6"/>
      <c r="AFM188" s="6"/>
      <c r="AFN188" s="6"/>
      <c r="AFO188" s="6"/>
      <c r="AFP188" s="6"/>
      <c r="AFQ188" s="6"/>
      <c r="AFR188" s="6"/>
      <c r="AFS188" s="6"/>
      <c r="AFT188" s="6"/>
      <c r="AFU188" s="6"/>
      <c r="AFV188" s="6"/>
      <c r="AFW188" s="6"/>
      <c r="AFX188" s="6"/>
      <c r="AFY188" s="6"/>
      <c r="AFZ188" s="6"/>
      <c r="AGA188" s="6"/>
      <c r="AGB188" s="6"/>
      <c r="AGC188" s="6"/>
      <c r="AGD188" s="6"/>
      <c r="AGE188" s="6"/>
      <c r="AGF188" s="6"/>
      <c r="AGG188" s="6"/>
      <c r="AGH188" s="6"/>
      <c r="AGI188" s="6"/>
      <c r="AGJ188" s="6"/>
      <c r="AGK188" s="6"/>
      <c r="AGL188" s="6"/>
      <c r="AGM188" s="6"/>
      <c r="AGN188" s="6"/>
      <c r="AGO188" s="6"/>
      <c r="AGP188" s="6"/>
      <c r="AGQ188" s="6"/>
      <c r="AGR188" s="6"/>
      <c r="AGS188" s="6"/>
      <c r="AGT188" s="6"/>
      <c r="AGU188" s="6"/>
      <c r="AGV188" s="6"/>
      <c r="AGW188" s="6"/>
      <c r="AGX188" s="6"/>
      <c r="AGY188" s="6"/>
      <c r="AGZ188" s="6"/>
      <c r="AHA188" s="6"/>
      <c r="AHB188" s="6"/>
      <c r="AHC188" s="6"/>
      <c r="AHD188" s="6"/>
      <c r="AHE188" s="6"/>
      <c r="AHF188" s="6"/>
      <c r="AHG188" s="6"/>
      <c r="AHH188" s="6"/>
      <c r="AHI188" s="6"/>
      <c r="AHJ188" s="6"/>
      <c r="AHK188" s="6"/>
      <c r="AHL188" s="6"/>
      <c r="AHM188" s="6"/>
      <c r="AHN188" s="6"/>
      <c r="AHO188" s="6"/>
      <c r="AHP188" s="6"/>
      <c r="AHQ188" s="6"/>
      <c r="AHR188" s="6"/>
      <c r="AHS188" s="6"/>
      <c r="AHT188" s="6"/>
      <c r="AHU188" s="6"/>
      <c r="AHV188" s="6"/>
      <c r="AHW188" s="6"/>
      <c r="AHX188" s="6"/>
      <c r="AHY188" s="6"/>
      <c r="AHZ188" s="6"/>
      <c r="AIA188" s="6"/>
      <c r="AIB188" s="6"/>
      <c r="AIC188" s="6"/>
      <c r="AID188" s="6"/>
      <c r="AIE188" s="6"/>
      <c r="AIF188" s="6"/>
      <c r="AIG188" s="6"/>
      <c r="AIH188" s="6"/>
      <c r="AII188" s="6"/>
      <c r="AIJ188" s="6"/>
      <c r="AIK188" s="6"/>
      <c r="AIL188" s="6"/>
      <c r="AIM188" s="6"/>
      <c r="AIN188" s="6"/>
      <c r="AIO188" s="6"/>
      <c r="AIP188" s="6"/>
      <c r="AIQ188" s="6"/>
      <c r="AIR188" s="6"/>
      <c r="AIS188" s="6"/>
      <c r="AIT188" s="6"/>
      <c r="AIU188" s="6"/>
      <c r="AIV188" s="6"/>
      <c r="AIW188" s="6"/>
      <c r="AIX188" s="6"/>
      <c r="AIY188" s="6"/>
      <c r="AIZ188" s="6"/>
      <c r="AJA188" s="6"/>
      <c r="AJB188" s="6"/>
      <c r="AJC188" s="6"/>
      <c r="AJD188" s="6"/>
      <c r="AJE188" s="6"/>
      <c r="AJF188" s="6"/>
      <c r="AJG188" s="6"/>
      <c r="AJH188" s="6"/>
      <c r="AJI188" s="6"/>
      <c r="AJJ188" s="6"/>
      <c r="AJK188" s="6"/>
      <c r="AJL188" s="6"/>
      <c r="AJM188" s="6"/>
      <c r="AJN188" s="6"/>
      <c r="AJO188" s="6"/>
      <c r="AJP188" s="6"/>
      <c r="AJQ188" s="6"/>
      <c r="AJR188" s="6"/>
      <c r="AJS188" s="6"/>
      <c r="AJT188" s="6"/>
      <c r="AJU188" s="6"/>
      <c r="AJV188" s="6"/>
      <c r="AJW188" s="6"/>
      <c r="AJX188" s="6"/>
      <c r="AJY188" s="6"/>
      <c r="AJZ188" s="6"/>
      <c r="AKA188" s="6"/>
      <c r="AKB188" s="6"/>
      <c r="AKC188" s="6"/>
      <c r="AKD188" s="6"/>
      <c r="AKE188" s="6"/>
      <c r="AKF188" s="6"/>
      <c r="AKG188" s="6"/>
      <c r="AKH188" s="6"/>
      <c r="AKI188" s="6"/>
      <c r="AKJ188" s="6"/>
      <c r="AKK188" s="6"/>
      <c r="AKL188" s="6"/>
      <c r="AKM188" s="6"/>
      <c r="AKN188" s="6"/>
      <c r="AKO188" s="6"/>
      <c r="AKP188" s="6"/>
      <c r="AKQ188" s="6"/>
      <c r="AKR188" s="6"/>
      <c r="AKS188" s="6"/>
      <c r="AKT188" s="6"/>
      <c r="AKU188" s="6"/>
      <c r="AKV188" s="6"/>
      <c r="AKW188" s="6"/>
      <c r="AKX188" s="6"/>
      <c r="AKY188" s="6"/>
      <c r="AKZ188" s="6"/>
      <c r="ALA188" s="6"/>
      <c r="ALB188" s="6"/>
      <c r="ALC188" s="6"/>
      <c r="ALD188" s="6"/>
      <c r="ALE188" s="6"/>
      <c r="ALF188" s="6"/>
      <c r="ALG188" s="6"/>
      <c r="ALH188" s="6"/>
      <c r="ALI188" s="6"/>
      <c r="ALJ188" s="6"/>
      <c r="ALK188" s="6"/>
      <c r="ALL188" s="6"/>
      <c r="ALM188" s="6"/>
      <c r="ALN188" s="6"/>
      <c r="ALO188" s="6"/>
      <c r="ALP188" s="6"/>
      <c r="ALQ188" s="6"/>
      <c r="ALR188" s="6"/>
      <c r="ALS188" s="6"/>
      <c r="ALT188" s="6"/>
      <c r="ALU188" s="6"/>
      <c r="ALV188" s="6"/>
      <c r="ALW188" s="6"/>
      <c r="ALX188" s="6"/>
      <c r="ALY188" s="6"/>
      <c r="ALZ188" s="6"/>
      <c r="AMA188" s="6"/>
      <c r="AMB188" s="6"/>
      <c r="AMC188" s="6"/>
      <c r="AMD188" s="6"/>
      <c r="AME188" s="6"/>
      <c r="AMF188" s="6"/>
      <c r="AMG188" s="6"/>
      <c r="AMH188" s="6"/>
      <c r="AMI188" s="6"/>
      <c r="AMJ188" s="6"/>
      <c r="AMK188" s="6"/>
      <c r="AML188" s="6"/>
      <c r="AMM188" s="6"/>
      <c r="AMN188" s="6"/>
      <c r="AMO188" s="6"/>
      <c r="AMP188" s="6"/>
    </row>
    <row r="189" spans="1:1030" x14ac:dyDescent="0.2">
      <c r="A189" s="3" t="str">
        <f t="shared" si="1371"/>
        <v>ccr2_human_5T1A</v>
      </c>
      <c r="B189" s="3" t="s">
        <v>170</v>
      </c>
      <c r="C189" s="3" t="s">
        <v>1372</v>
      </c>
      <c r="D189" s="3" t="str">
        <f>IFERROR(MID(VLOOKUP($B189,Seqs!$A:$B,2,0),E189,1),"")</f>
        <v>V</v>
      </c>
      <c r="E189" s="3">
        <v>37</v>
      </c>
      <c r="F189" s="3" t="str">
        <f>IFERROR(MID(VLOOKUP($B189,Seqs!$A:$B,2,0),G189,1),"")</f>
        <v>C</v>
      </c>
      <c r="G189" s="3">
        <v>70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C</v>
      </c>
      <c r="M189" s="3">
        <v>75</v>
      </c>
      <c r="N189" s="3" t="str">
        <f>IFERROR(MID(VLOOKUP($B189,Seqs!$A:$B,2,0),O189,1),"")</f>
        <v>N</v>
      </c>
      <c r="O189" s="3">
        <v>104</v>
      </c>
      <c r="P189" s="3" t="str">
        <f>IFERROR(MID(VLOOKUP($B189,Seqs!$A:$B,2,0),Q189,1),"")</f>
        <v>E</v>
      </c>
      <c r="Q189" s="3">
        <v>105</v>
      </c>
      <c r="R189" s="3" t="str">
        <f>IFERROR(MID(VLOOKUP($B189,Seqs!$A:$B,2,0),S189,1),"")</f>
        <v>F</v>
      </c>
      <c r="S189" s="3">
        <v>108</v>
      </c>
      <c r="T189" s="3" t="str">
        <f>IFERROR(MID(VLOOKUP($B189,Seqs!$A:$B,2,0),U189,1),"")</f>
        <v>G</v>
      </c>
      <c r="U189" s="3">
        <v>109</v>
      </c>
      <c r="V189" s="3" t="str">
        <f>IFERROR(MID(VLOOKUP($B189,Seqs!$A:$B,2,0),W189,1),"")</f>
        <v>H</v>
      </c>
      <c r="W189" s="3">
        <v>144</v>
      </c>
      <c r="X189" s="3" t="str">
        <f>IFERROR(MID(VLOOKUP($B189,Seqs!$A:$B,2,0),Y189,1),"")</f>
        <v>A</v>
      </c>
      <c r="Y189" s="3">
        <v>145</v>
      </c>
      <c r="Z189" s="3" t="str">
        <f>IFERROR(MID(VLOOKUP($B189,Seqs!$A:$B,2,0),AA189,1),"")</f>
        <v>R</v>
      </c>
      <c r="AA189" s="3">
        <v>152</v>
      </c>
      <c r="AB189" s="3" t="str">
        <f>IFERROR(MID(VLOOKUP($B189,Seqs!$A:$B,2,0),AC189,1),"")</f>
        <v>T</v>
      </c>
      <c r="AC189" s="9">
        <v>153</v>
      </c>
      <c r="AD189" s="3" t="str">
        <f>IFERROR(MID(VLOOKUP($B189,Seqs!$A:$B,2,0),AE189,1),"")</f>
        <v>T</v>
      </c>
      <c r="AE189" s="3">
        <v>179</v>
      </c>
      <c r="AF189" s="3" t="str">
        <f>IFERROR(MID(VLOOKUP($B189,Seqs!$A:$B,2,0),AG189,1),"")</f>
        <v>C</v>
      </c>
      <c r="AG189" s="3">
        <v>190</v>
      </c>
      <c r="AH189" s="3" t="str">
        <f>IFERROR(MID(VLOOKUP($B189,Seqs!$A:$B,2,0),AI189,1),"")</f>
        <v>P</v>
      </c>
      <c r="AI189" s="3">
        <v>192</v>
      </c>
      <c r="AJ189" s="3" t="str">
        <f>IFERROR(MID(VLOOKUP($B189,Seqs!$A:$B,2,0),AK189,1),"")</f>
        <v>P</v>
      </c>
      <c r="AK189" s="3">
        <v>195</v>
      </c>
      <c r="AL189" s="3" t="str">
        <f>IFERROR(MID(VLOOKUP($B189,Seqs!$A:$B,2,0),AM189,1),"")</f>
        <v>T</v>
      </c>
      <c r="AM189" s="3">
        <v>228</v>
      </c>
      <c r="AN189" s="3" t="str">
        <f>IFERROR(MID(VLOOKUP($B189,Seqs!$A:$B,2,0),AO189,1),"")</f>
        <v>K</v>
      </c>
      <c r="AO189" s="3">
        <v>236</v>
      </c>
      <c r="AP189" s="3" t="str">
        <f>IFERROR(MID(VLOOKUP($B189,Seqs!$A:$B,2,0),AQ189,1),"")</f>
        <v>G</v>
      </c>
      <c r="AQ189" s="3">
        <v>273</v>
      </c>
      <c r="AR189" s="3" t="str">
        <f>IFERROR(MID(VLOOKUP($B189,Seqs!$A:$B,2,0),AS189,1),"")</f>
        <v>E</v>
      </c>
      <c r="AS189" s="3">
        <v>278</v>
      </c>
      <c r="AT189" s="3" t="str">
        <f>IFERROR(MID(VLOOKUP($B189,Seqs!$A:$B,2,0),AU189,1),"")</f>
        <v>V</v>
      </c>
      <c r="AU189" s="3">
        <v>308</v>
      </c>
      <c r="AV189" s="3" t="str">
        <f>IFERROR(MID(VLOOKUP($B189,Seqs!$A:$B,2,0),AW189,1),"")</f>
        <v>G</v>
      </c>
      <c r="AW189" s="3">
        <v>309</v>
      </c>
      <c r="AX189" s="3" t="str">
        <f>IFERROR(MID(VLOOKUP($B189,Seqs!$A:$B,2,0),AY189,1),"")</f>
        <v>L</v>
      </c>
      <c r="AY189" s="3">
        <v>320</v>
      </c>
      <c r="AZ189" s="77" t="str">
        <f>VLOOKUP(B189,Classification!A:D,2,0)</f>
        <v>A</v>
      </c>
      <c r="BA189" s="94" t="str">
        <f>VLOOKUP(B189,Classification!A:D,4,0)</f>
        <v>Chemokine</v>
      </c>
      <c r="BB189" s="27" t="b">
        <f t="shared" si="1372"/>
        <v>1</v>
      </c>
      <c r="BC189" s="23">
        <f t="shared" si="1121"/>
        <v>258</v>
      </c>
      <c r="BD189" s="16" t="s">
        <v>1370</v>
      </c>
      <c r="BE189" s="3" t="s">
        <v>1368</v>
      </c>
      <c r="BF189" s="118">
        <v>2.81</v>
      </c>
      <c r="BG189" s="49" t="s">
        <v>1</v>
      </c>
      <c r="BH189" s="49" t="s">
        <v>1371</v>
      </c>
      <c r="BI189" s="1"/>
      <c r="BJ189" s="70" t="s">
        <v>1281</v>
      </c>
      <c r="BK189" s="57" t="s">
        <v>1281</v>
      </c>
      <c r="BL189" s="57" t="s">
        <v>1281</v>
      </c>
      <c r="BM189" s="57" t="s">
        <v>1281</v>
      </c>
      <c r="BN189" s="57" t="s">
        <v>1281</v>
      </c>
      <c r="BO189" s="57" t="s">
        <v>1281</v>
      </c>
      <c r="BP189" s="57" t="s">
        <v>1281</v>
      </c>
      <c r="BQ189" s="57" t="s">
        <v>1281</v>
      </c>
      <c r="BR189" s="57" t="s">
        <v>1281</v>
      </c>
      <c r="BS189" s="57" t="s">
        <v>1281</v>
      </c>
      <c r="BT189" s="57" t="s">
        <v>1281</v>
      </c>
      <c r="BU189" s="57" t="s">
        <v>1281</v>
      </c>
      <c r="BV189" s="70">
        <f t="shared" si="1122"/>
        <v>37</v>
      </c>
      <c r="BW189" s="71" t="str">
        <f t="shared" si="1123"/>
        <v>-</v>
      </c>
      <c r="BX189" s="72">
        <f t="shared" si="1124"/>
        <v>75</v>
      </c>
      <c r="BY189" s="71">
        <f t="shared" si="1125"/>
        <v>105</v>
      </c>
      <c r="BZ189" s="72">
        <f t="shared" si="1126"/>
        <v>109</v>
      </c>
      <c r="CA189" s="71">
        <f t="shared" si="1127"/>
        <v>145</v>
      </c>
      <c r="CB189" s="72">
        <f t="shared" si="1128"/>
        <v>153</v>
      </c>
      <c r="CC189" s="71">
        <f t="shared" si="1129"/>
        <v>190</v>
      </c>
      <c r="CD189" s="72">
        <f t="shared" si="1130"/>
        <v>195</v>
      </c>
      <c r="CE189" s="71">
        <f t="shared" si="1131"/>
        <v>236</v>
      </c>
      <c r="CF189" s="72">
        <f t="shared" si="1132"/>
        <v>278</v>
      </c>
      <c r="CG189" s="71">
        <f t="shared" si="1133"/>
        <v>309</v>
      </c>
      <c r="CH189" s="70">
        <f t="shared" si="1134"/>
        <v>70</v>
      </c>
      <c r="CI189" s="71" t="str">
        <f t="shared" si="1135"/>
        <v>-</v>
      </c>
      <c r="CJ189" s="72">
        <f t="shared" si="1136"/>
        <v>104</v>
      </c>
      <c r="CK189" s="72">
        <f t="shared" si="1137"/>
        <v>108</v>
      </c>
      <c r="CL189" s="72">
        <f t="shared" si="1138"/>
        <v>144</v>
      </c>
      <c r="CM189" s="72">
        <f t="shared" si="1139"/>
        <v>152</v>
      </c>
      <c r="CN189" s="72">
        <f t="shared" si="1140"/>
        <v>179</v>
      </c>
      <c r="CO189" s="72">
        <f t="shared" si="1141"/>
        <v>192</v>
      </c>
      <c r="CP189" s="72">
        <f t="shared" si="1142"/>
        <v>228</v>
      </c>
      <c r="CQ189" s="72">
        <f t="shared" si="1143"/>
        <v>273</v>
      </c>
      <c r="CR189" s="72">
        <f t="shared" si="1144"/>
        <v>308</v>
      </c>
      <c r="CS189" s="72">
        <f t="shared" si="1145"/>
        <v>320</v>
      </c>
      <c r="CT189" s="23" t="e">
        <f t="shared" si="1146"/>
        <v>#VALUE!</v>
      </c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  <c r="ND189" s="6"/>
      <c r="NE189" s="6"/>
      <c r="NF189" s="6"/>
      <c r="NG189" s="6"/>
      <c r="NH189" s="6"/>
      <c r="NI189" s="6"/>
      <c r="NJ189" s="6"/>
      <c r="NK189" s="6"/>
      <c r="NL189" s="6"/>
      <c r="NM189" s="6"/>
      <c r="NN189" s="6"/>
      <c r="NO189" s="6"/>
      <c r="NP189" s="6"/>
      <c r="NQ189" s="6"/>
      <c r="NR189" s="6"/>
      <c r="NS189" s="6"/>
      <c r="NT189" s="6"/>
      <c r="NU189" s="6"/>
      <c r="NV189" s="6"/>
      <c r="NW189" s="6"/>
      <c r="NX189" s="6"/>
      <c r="NY189" s="6"/>
      <c r="NZ189" s="6"/>
      <c r="OA189" s="6"/>
      <c r="OB189" s="6"/>
      <c r="OC189" s="6"/>
      <c r="OD189" s="6"/>
      <c r="OE189" s="6"/>
      <c r="OF189" s="6"/>
      <c r="OG189" s="6"/>
      <c r="OH189" s="6"/>
      <c r="OI189" s="6"/>
      <c r="OJ189" s="6"/>
      <c r="OK189" s="6"/>
      <c r="OL189" s="6"/>
      <c r="OM189" s="6"/>
      <c r="ON189" s="6"/>
      <c r="OO189" s="6"/>
      <c r="OP189" s="6"/>
      <c r="OQ189" s="6"/>
      <c r="OR189" s="6"/>
      <c r="OS189" s="6"/>
      <c r="OT189" s="6"/>
      <c r="OU189" s="6"/>
      <c r="OV189" s="6"/>
      <c r="OW189" s="6"/>
      <c r="OX189" s="6"/>
      <c r="OY189" s="6"/>
      <c r="OZ189" s="6"/>
      <c r="PA189" s="6"/>
      <c r="PB189" s="6"/>
      <c r="PC189" s="6"/>
      <c r="PD189" s="6"/>
      <c r="PE189" s="6"/>
      <c r="PF189" s="6"/>
      <c r="PG189" s="6"/>
      <c r="PH189" s="6"/>
      <c r="PI189" s="6"/>
      <c r="PJ189" s="6"/>
      <c r="PK189" s="6"/>
      <c r="PL189" s="6"/>
      <c r="PM189" s="6"/>
      <c r="PN189" s="6"/>
      <c r="PO189" s="6"/>
      <c r="PP189" s="6"/>
      <c r="PQ189" s="6"/>
      <c r="PR189" s="6"/>
      <c r="PS189" s="6"/>
      <c r="PT189" s="6"/>
      <c r="PU189" s="6"/>
      <c r="PV189" s="6"/>
      <c r="PW189" s="6"/>
      <c r="PX189" s="6"/>
      <c r="PY189" s="6"/>
      <c r="PZ189" s="6"/>
      <c r="QA189" s="6"/>
      <c r="QB189" s="6"/>
      <c r="QC189" s="6"/>
      <c r="QD189" s="6"/>
      <c r="QE189" s="6"/>
      <c r="QF189" s="6"/>
      <c r="QG189" s="6"/>
      <c r="QH189" s="6"/>
      <c r="QI189" s="6"/>
      <c r="QJ189" s="6"/>
      <c r="QK189" s="6"/>
      <c r="QL189" s="6"/>
      <c r="QM189" s="6"/>
      <c r="QN189" s="6"/>
      <c r="QO189" s="6"/>
      <c r="QP189" s="6"/>
      <c r="QQ189" s="6"/>
      <c r="QR189" s="6"/>
      <c r="QS189" s="6"/>
      <c r="QT189" s="6"/>
      <c r="QU189" s="6"/>
      <c r="QV189" s="6"/>
      <c r="QW189" s="6"/>
      <c r="QX189" s="6"/>
      <c r="QY189" s="6"/>
      <c r="QZ189" s="6"/>
      <c r="RA189" s="6"/>
      <c r="RB189" s="6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6"/>
      <c r="RN189" s="6"/>
      <c r="RO189" s="6"/>
      <c r="RP189" s="6"/>
      <c r="RQ189" s="6"/>
      <c r="RR189" s="6"/>
      <c r="RS189" s="6"/>
      <c r="RT189" s="6"/>
      <c r="RU189" s="6"/>
      <c r="RV189" s="6"/>
      <c r="RW189" s="6"/>
      <c r="RX189" s="6"/>
      <c r="RY189" s="6"/>
      <c r="RZ189" s="6"/>
      <c r="SA189" s="6"/>
      <c r="SB189" s="6"/>
      <c r="SC189" s="6"/>
      <c r="SD189" s="6"/>
      <c r="SE189" s="6"/>
      <c r="SF189" s="6"/>
      <c r="SG189" s="6"/>
      <c r="SH189" s="6"/>
      <c r="SI189" s="6"/>
      <c r="SJ189" s="6"/>
      <c r="SK189" s="6"/>
      <c r="SL189" s="6"/>
      <c r="SM189" s="6"/>
      <c r="SN189" s="6"/>
      <c r="SO189" s="6"/>
      <c r="SP189" s="6"/>
      <c r="SQ189" s="6"/>
      <c r="SR189" s="6"/>
      <c r="SS189" s="6"/>
      <c r="ST189" s="6"/>
      <c r="SU189" s="6"/>
      <c r="SV189" s="6"/>
      <c r="SW189" s="6"/>
      <c r="SX189" s="6"/>
      <c r="SY189" s="6"/>
      <c r="SZ189" s="6"/>
      <c r="TA189" s="6"/>
      <c r="TB189" s="6"/>
      <c r="TC189" s="6"/>
      <c r="TD189" s="6"/>
      <c r="TE189" s="6"/>
      <c r="TF189" s="6"/>
      <c r="TG189" s="6"/>
      <c r="TH189" s="6"/>
      <c r="TI189" s="6"/>
      <c r="TJ189" s="6"/>
      <c r="TK189" s="6"/>
      <c r="TL189" s="6"/>
      <c r="TM189" s="6"/>
      <c r="TN189" s="6"/>
      <c r="TO189" s="6"/>
      <c r="TP189" s="6"/>
      <c r="TQ189" s="6"/>
      <c r="TR189" s="6"/>
      <c r="TS189" s="6"/>
      <c r="TT189" s="6"/>
      <c r="TU189" s="6"/>
      <c r="TV189" s="6"/>
      <c r="TW189" s="6"/>
      <c r="TX189" s="6"/>
      <c r="TY189" s="6"/>
      <c r="TZ189" s="6"/>
      <c r="UA189" s="6"/>
      <c r="UB189" s="6"/>
      <c r="UC189" s="6"/>
      <c r="UD189" s="6"/>
      <c r="UE189" s="6"/>
      <c r="UF189" s="6"/>
      <c r="UG189" s="6"/>
      <c r="UH189" s="6"/>
      <c r="UI189" s="6"/>
      <c r="UJ189" s="6"/>
      <c r="UK189" s="6"/>
      <c r="UL189" s="6"/>
      <c r="UM189" s="6"/>
      <c r="UN189" s="6"/>
      <c r="UO189" s="6"/>
      <c r="UP189" s="6"/>
      <c r="UQ189" s="6"/>
      <c r="UR189" s="6"/>
      <c r="US189" s="6"/>
      <c r="UT189" s="6"/>
      <c r="UU189" s="6"/>
      <c r="UV189" s="6"/>
      <c r="UW189" s="6"/>
      <c r="UX189" s="6"/>
      <c r="UY189" s="6"/>
      <c r="UZ189" s="6"/>
      <c r="VA189" s="6"/>
      <c r="VB189" s="6"/>
      <c r="VC189" s="6"/>
      <c r="VD189" s="6"/>
      <c r="VE189" s="6"/>
      <c r="VF189" s="6"/>
      <c r="VG189" s="6"/>
      <c r="VH189" s="6"/>
      <c r="VI189" s="6"/>
      <c r="VJ189" s="6"/>
      <c r="VK189" s="6"/>
      <c r="VL189" s="6"/>
      <c r="VM189" s="6"/>
      <c r="VN189" s="6"/>
      <c r="VO189" s="6"/>
      <c r="VP189" s="6"/>
      <c r="VQ189" s="6"/>
      <c r="VR189" s="6"/>
      <c r="VS189" s="6"/>
      <c r="VT189" s="6"/>
      <c r="VU189" s="6"/>
      <c r="VV189" s="6"/>
      <c r="VW189" s="6"/>
      <c r="VX189" s="6"/>
      <c r="VY189" s="6"/>
      <c r="VZ189" s="6"/>
      <c r="WA189" s="6"/>
      <c r="WB189" s="6"/>
      <c r="WC189" s="6"/>
      <c r="WD189" s="6"/>
      <c r="WE189" s="6"/>
      <c r="WF189" s="6"/>
      <c r="WG189" s="6"/>
      <c r="WH189" s="6"/>
      <c r="WI189" s="6"/>
      <c r="WJ189" s="6"/>
      <c r="WK189" s="6"/>
      <c r="WL189" s="6"/>
      <c r="WM189" s="6"/>
      <c r="WN189" s="6"/>
      <c r="WO189" s="6"/>
      <c r="WP189" s="6"/>
      <c r="WQ189" s="6"/>
      <c r="WR189" s="6"/>
      <c r="WS189" s="6"/>
      <c r="WT189" s="6"/>
      <c r="WU189" s="6"/>
      <c r="WV189" s="6"/>
      <c r="WW189" s="6"/>
      <c r="WX189" s="6"/>
      <c r="WY189" s="6"/>
      <c r="WZ189" s="6"/>
      <c r="XA189" s="6"/>
      <c r="XB189" s="6"/>
      <c r="XC189" s="6"/>
      <c r="XD189" s="6"/>
      <c r="XE189" s="6"/>
      <c r="XF189" s="6"/>
      <c r="XG189" s="6"/>
      <c r="XH189" s="6"/>
      <c r="XI189" s="6"/>
      <c r="XJ189" s="6"/>
      <c r="XK189" s="6"/>
      <c r="XL189" s="6"/>
      <c r="XM189" s="6"/>
      <c r="XN189" s="6"/>
      <c r="XO189" s="6"/>
      <c r="XP189" s="6"/>
      <c r="XQ189" s="6"/>
      <c r="XR189" s="6"/>
      <c r="XS189" s="6"/>
      <c r="XT189" s="6"/>
      <c r="XU189" s="6"/>
      <c r="XV189" s="6"/>
      <c r="XW189" s="6"/>
      <c r="XX189" s="6"/>
      <c r="XY189" s="6"/>
      <c r="XZ189" s="6"/>
      <c r="YA189" s="6"/>
      <c r="YB189" s="6"/>
      <c r="YC189" s="6"/>
      <c r="YD189" s="6"/>
      <c r="YE189" s="6"/>
      <c r="YF189" s="6"/>
      <c r="YG189" s="6"/>
      <c r="YH189" s="6"/>
      <c r="YI189" s="6"/>
      <c r="YJ189" s="6"/>
      <c r="YK189" s="6"/>
      <c r="YL189" s="6"/>
      <c r="YM189" s="6"/>
      <c r="YN189" s="6"/>
      <c r="YO189" s="6"/>
      <c r="YP189" s="6"/>
      <c r="YQ189" s="6"/>
      <c r="YR189" s="6"/>
      <c r="YS189" s="6"/>
      <c r="YT189" s="6"/>
      <c r="YU189" s="6"/>
      <c r="YV189" s="6"/>
      <c r="YW189" s="6"/>
      <c r="YX189" s="6"/>
      <c r="YY189" s="6"/>
      <c r="YZ189" s="6"/>
      <c r="ZA189" s="6"/>
      <c r="ZB189" s="6"/>
      <c r="ZC189" s="6"/>
      <c r="ZD189" s="6"/>
      <c r="ZE189" s="6"/>
      <c r="ZF189" s="6"/>
      <c r="ZG189" s="6"/>
      <c r="ZH189" s="6"/>
      <c r="ZI189" s="6"/>
      <c r="ZJ189" s="6"/>
      <c r="ZK189" s="6"/>
      <c r="ZL189" s="6"/>
      <c r="ZM189" s="6"/>
      <c r="ZN189" s="6"/>
      <c r="ZO189" s="6"/>
      <c r="ZP189" s="6"/>
      <c r="ZQ189" s="6"/>
      <c r="ZR189" s="6"/>
      <c r="ZS189" s="6"/>
      <c r="ZT189" s="6"/>
      <c r="ZU189" s="6"/>
      <c r="ZV189" s="6"/>
      <c r="ZW189" s="6"/>
      <c r="ZX189" s="6"/>
      <c r="ZY189" s="6"/>
      <c r="ZZ189" s="6"/>
      <c r="AAA189" s="6"/>
      <c r="AAB189" s="6"/>
      <c r="AAC189" s="6"/>
      <c r="AAD189" s="6"/>
      <c r="AAE189" s="6"/>
      <c r="AAF189" s="6"/>
      <c r="AAG189" s="6"/>
      <c r="AAH189" s="6"/>
      <c r="AAI189" s="6"/>
      <c r="AAJ189" s="6"/>
      <c r="AAK189" s="6"/>
      <c r="AAL189" s="6"/>
      <c r="AAM189" s="6"/>
      <c r="AAN189" s="6"/>
      <c r="AAO189" s="6"/>
      <c r="AAP189" s="6"/>
      <c r="AAQ189" s="6"/>
      <c r="AAR189" s="6"/>
      <c r="AAS189" s="6"/>
      <c r="AAT189" s="6"/>
      <c r="AAU189" s="6"/>
      <c r="AAV189" s="6"/>
      <c r="AAW189" s="6"/>
      <c r="AAX189" s="6"/>
      <c r="AAY189" s="6"/>
      <c r="AAZ189" s="6"/>
      <c r="ABA189" s="6"/>
      <c r="ABB189" s="6"/>
      <c r="ABC189" s="6"/>
      <c r="ABD189" s="6"/>
      <c r="ABE189" s="6"/>
      <c r="ABF189" s="6"/>
      <c r="ABG189" s="6"/>
      <c r="ABH189" s="6"/>
      <c r="ABI189" s="6"/>
      <c r="ABJ189" s="6"/>
      <c r="ABK189" s="6"/>
      <c r="ABL189" s="6"/>
      <c r="ABM189" s="6"/>
      <c r="ABN189" s="6"/>
      <c r="ABO189" s="6"/>
      <c r="ABP189" s="6"/>
      <c r="ABQ189" s="6"/>
      <c r="ABR189" s="6"/>
      <c r="ABS189" s="6"/>
      <c r="ABT189" s="6"/>
      <c r="ABU189" s="6"/>
      <c r="ABV189" s="6"/>
      <c r="ABW189" s="6"/>
      <c r="ABX189" s="6"/>
      <c r="ABY189" s="6"/>
      <c r="ABZ189" s="6"/>
      <c r="ACA189" s="6"/>
      <c r="ACB189" s="6"/>
      <c r="ACC189" s="6"/>
      <c r="ACD189" s="6"/>
      <c r="ACE189" s="6"/>
      <c r="ACF189" s="6"/>
      <c r="ACG189" s="6"/>
      <c r="ACH189" s="6"/>
      <c r="ACI189" s="6"/>
      <c r="ACJ189" s="6"/>
      <c r="ACK189" s="6"/>
      <c r="ACL189" s="6"/>
      <c r="ACM189" s="6"/>
      <c r="ACN189" s="6"/>
      <c r="ACO189" s="6"/>
      <c r="ACP189" s="6"/>
      <c r="ACQ189" s="6"/>
      <c r="ACR189" s="6"/>
      <c r="ACS189" s="6"/>
      <c r="ACT189" s="6"/>
      <c r="ACU189" s="6"/>
      <c r="ACV189" s="6"/>
      <c r="ACW189" s="6"/>
      <c r="ACX189" s="6"/>
      <c r="ACY189" s="6"/>
      <c r="ACZ189" s="6"/>
      <c r="ADA189" s="6"/>
      <c r="ADB189" s="6"/>
      <c r="ADC189" s="6"/>
      <c r="ADD189" s="6"/>
      <c r="ADE189" s="6"/>
      <c r="ADF189" s="6"/>
      <c r="ADG189" s="6"/>
      <c r="ADH189" s="6"/>
      <c r="ADI189" s="6"/>
      <c r="ADJ189" s="6"/>
      <c r="ADK189" s="6"/>
      <c r="ADL189" s="6"/>
      <c r="ADM189" s="6"/>
      <c r="ADN189" s="6"/>
      <c r="ADO189" s="6"/>
      <c r="ADP189" s="6"/>
      <c r="ADQ189" s="6"/>
      <c r="ADR189" s="6"/>
      <c r="ADS189" s="6"/>
      <c r="ADT189" s="6"/>
      <c r="ADU189" s="6"/>
      <c r="ADV189" s="6"/>
      <c r="ADW189" s="6"/>
      <c r="ADX189" s="6"/>
      <c r="ADY189" s="6"/>
      <c r="ADZ189" s="6"/>
      <c r="AEA189" s="6"/>
      <c r="AEB189" s="6"/>
      <c r="AEC189" s="6"/>
      <c r="AED189" s="6"/>
      <c r="AEE189" s="6"/>
      <c r="AEF189" s="6"/>
      <c r="AEG189" s="6"/>
      <c r="AEH189" s="6"/>
      <c r="AEI189" s="6"/>
      <c r="AEJ189" s="6"/>
      <c r="AEK189" s="6"/>
      <c r="AEL189" s="6"/>
      <c r="AEM189" s="6"/>
      <c r="AEN189" s="6"/>
      <c r="AEO189" s="6"/>
      <c r="AEP189" s="6"/>
      <c r="AEQ189" s="6"/>
      <c r="AER189" s="6"/>
      <c r="AES189" s="6"/>
      <c r="AET189" s="6"/>
      <c r="AEU189" s="6"/>
      <c r="AEV189" s="6"/>
      <c r="AEW189" s="6"/>
      <c r="AEX189" s="6"/>
      <c r="AEY189" s="6"/>
      <c r="AEZ189" s="6"/>
      <c r="AFA189" s="6"/>
      <c r="AFB189" s="6"/>
      <c r="AFC189" s="6"/>
      <c r="AFD189" s="6"/>
      <c r="AFE189" s="6"/>
      <c r="AFF189" s="6"/>
      <c r="AFG189" s="6"/>
      <c r="AFH189" s="6"/>
      <c r="AFI189" s="6"/>
      <c r="AFJ189" s="6"/>
      <c r="AFK189" s="6"/>
      <c r="AFL189" s="6"/>
      <c r="AFM189" s="6"/>
      <c r="AFN189" s="6"/>
      <c r="AFO189" s="6"/>
      <c r="AFP189" s="6"/>
      <c r="AFQ189" s="6"/>
      <c r="AFR189" s="6"/>
      <c r="AFS189" s="6"/>
      <c r="AFT189" s="6"/>
      <c r="AFU189" s="6"/>
      <c r="AFV189" s="6"/>
      <c r="AFW189" s="6"/>
      <c r="AFX189" s="6"/>
      <c r="AFY189" s="6"/>
      <c r="AFZ189" s="6"/>
      <c r="AGA189" s="6"/>
      <c r="AGB189" s="6"/>
      <c r="AGC189" s="6"/>
      <c r="AGD189" s="6"/>
      <c r="AGE189" s="6"/>
      <c r="AGF189" s="6"/>
      <c r="AGG189" s="6"/>
      <c r="AGH189" s="6"/>
      <c r="AGI189" s="6"/>
      <c r="AGJ189" s="6"/>
      <c r="AGK189" s="6"/>
      <c r="AGL189" s="6"/>
      <c r="AGM189" s="6"/>
      <c r="AGN189" s="6"/>
      <c r="AGO189" s="6"/>
      <c r="AGP189" s="6"/>
      <c r="AGQ189" s="6"/>
      <c r="AGR189" s="6"/>
      <c r="AGS189" s="6"/>
      <c r="AGT189" s="6"/>
      <c r="AGU189" s="6"/>
      <c r="AGV189" s="6"/>
      <c r="AGW189" s="6"/>
      <c r="AGX189" s="6"/>
      <c r="AGY189" s="6"/>
      <c r="AGZ189" s="6"/>
      <c r="AHA189" s="6"/>
      <c r="AHB189" s="6"/>
      <c r="AHC189" s="6"/>
      <c r="AHD189" s="6"/>
      <c r="AHE189" s="6"/>
      <c r="AHF189" s="6"/>
      <c r="AHG189" s="6"/>
      <c r="AHH189" s="6"/>
      <c r="AHI189" s="6"/>
      <c r="AHJ189" s="6"/>
      <c r="AHK189" s="6"/>
      <c r="AHL189" s="6"/>
      <c r="AHM189" s="6"/>
      <c r="AHN189" s="6"/>
      <c r="AHO189" s="6"/>
      <c r="AHP189" s="6"/>
      <c r="AHQ189" s="6"/>
      <c r="AHR189" s="6"/>
      <c r="AHS189" s="6"/>
      <c r="AHT189" s="6"/>
      <c r="AHU189" s="6"/>
      <c r="AHV189" s="6"/>
      <c r="AHW189" s="6"/>
      <c r="AHX189" s="6"/>
      <c r="AHY189" s="6"/>
      <c r="AHZ189" s="6"/>
      <c r="AIA189" s="6"/>
      <c r="AIB189" s="6"/>
      <c r="AIC189" s="6"/>
      <c r="AID189" s="6"/>
      <c r="AIE189" s="6"/>
      <c r="AIF189" s="6"/>
      <c r="AIG189" s="6"/>
      <c r="AIH189" s="6"/>
      <c r="AII189" s="6"/>
      <c r="AIJ189" s="6"/>
      <c r="AIK189" s="6"/>
      <c r="AIL189" s="6"/>
      <c r="AIM189" s="6"/>
      <c r="AIN189" s="6"/>
      <c r="AIO189" s="6"/>
      <c r="AIP189" s="6"/>
      <c r="AIQ189" s="6"/>
      <c r="AIR189" s="6"/>
      <c r="AIS189" s="6"/>
      <c r="AIT189" s="6"/>
      <c r="AIU189" s="6"/>
      <c r="AIV189" s="6"/>
      <c r="AIW189" s="6"/>
      <c r="AIX189" s="6"/>
      <c r="AIY189" s="6"/>
      <c r="AIZ189" s="6"/>
      <c r="AJA189" s="6"/>
      <c r="AJB189" s="6"/>
      <c r="AJC189" s="6"/>
      <c r="AJD189" s="6"/>
      <c r="AJE189" s="6"/>
      <c r="AJF189" s="6"/>
      <c r="AJG189" s="6"/>
      <c r="AJH189" s="6"/>
      <c r="AJI189" s="6"/>
      <c r="AJJ189" s="6"/>
      <c r="AJK189" s="6"/>
      <c r="AJL189" s="6"/>
      <c r="AJM189" s="6"/>
      <c r="AJN189" s="6"/>
      <c r="AJO189" s="6"/>
      <c r="AJP189" s="6"/>
      <c r="AJQ189" s="6"/>
      <c r="AJR189" s="6"/>
      <c r="AJS189" s="6"/>
      <c r="AJT189" s="6"/>
      <c r="AJU189" s="6"/>
      <c r="AJV189" s="6"/>
      <c r="AJW189" s="6"/>
      <c r="AJX189" s="6"/>
      <c r="AJY189" s="6"/>
      <c r="AJZ189" s="6"/>
      <c r="AKA189" s="6"/>
      <c r="AKB189" s="6"/>
      <c r="AKC189" s="6"/>
      <c r="AKD189" s="6"/>
      <c r="AKE189" s="6"/>
      <c r="AKF189" s="6"/>
      <c r="AKG189" s="6"/>
      <c r="AKH189" s="6"/>
      <c r="AKI189" s="6"/>
      <c r="AKJ189" s="6"/>
      <c r="AKK189" s="6"/>
      <c r="AKL189" s="6"/>
      <c r="AKM189" s="6"/>
      <c r="AKN189" s="6"/>
      <c r="AKO189" s="6"/>
      <c r="AKP189" s="6"/>
      <c r="AKQ189" s="6"/>
      <c r="AKR189" s="6"/>
      <c r="AKS189" s="6"/>
      <c r="AKT189" s="6"/>
      <c r="AKU189" s="6"/>
      <c r="AKV189" s="6"/>
      <c r="AKW189" s="6"/>
      <c r="AKX189" s="6"/>
      <c r="AKY189" s="6"/>
      <c r="AKZ189" s="6"/>
      <c r="ALA189" s="6"/>
      <c r="ALB189" s="6"/>
      <c r="ALC189" s="6"/>
      <c r="ALD189" s="6"/>
      <c r="ALE189" s="6"/>
      <c r="ALF189" s="6"/>
      <c r="ALG189" s="6"/>
      <c r="ALH189" s="6"/>
      <c r="ALI189" s="6"/>
      <c r="ALJ189" s="6"/>
      <c r="ALK189" s="6"/>
      <c r="ALL189" s="6"/>
      <c r="ALM189" s="6"/>
      <c r="ALN189" s="6"/>
      <c r="ALO189" s="6"/>
      <c r="ALP189" s="6"/>
      <c r="ALQ189" s="6"/>
      <c r="ALR189" s="6"/>
      <c r="ALS189" s="6"/>
      <c r="ALT189" s="6"/>
      <c r="ALU189" s="6"/>
      <c r="ALV189" s="6"/>
      <c r="ALW189" s="6"/>
      <c r="ALX189" s="6"/>
      <c r="ALY189" s="6"/>
      <c r="ALZ189" s="6"/>
      <c r="AMA189" s="6"/>
      <c r="AMB189" s="6"/>
      <c r="AMC189" s="6"/>
      <c r="AMD189" s="6"/>
      <c r="AME189" s="6"/>
      <c r="AMF189" s="6"/>
      <c r="AMG189" s="6"/>
      <c r="AMH189" s="6"/>
      <c r="AMI189" s="6"/>
      <c r="AMJ189" s="6"/>
      <c r="AMK189" s="6"/>
      <c r="AML189" s="6"/>
      <c r="AMM189" s="6"/>
      <c r="AMN189" s="6"/>
      <c r="AMO189" s="6"/>
      <c r="AMP189" s="6"/>
    </row>
    <row r="190" spans="1:1030" x14ac:dyDescent="0.2">
      <c r="A190" s="3" t="str">
        <f t="shared" ref="A190" si="1707">CONCATENATE(B190,"_",C190)</f>
        <v>ccr2_human_6GPS</v>
      </c>
      <c r="B190" s="3" t="s">
        <v>170</v>
      </c>
      <c r="C190" s="3" t="s">
        <v>1540</v>
      </c>
      <c r="D190" s="3" t="str">
        <f>IFERROR(MID(VLOOKUP($B190,Seqs!$A:$B,2,0),E190,1),"")</f>
        <v>V</v>
      </c>
      <c r="E190" s="3">
        <v>37</v>
      </c>
      <c r="F190" s="3" t="str">
        <f>IFERROR(MID(VLOOKUP($B190,Seqs!$A:$B,2,0),G190,1),"")</f>
        <v>K</v>
      </c>
      <c r="G190" s="3">
        <v>71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L</v>
      </c>
      <c r="M190" s="3">
        <v>76</v>
      </c>
      <c r="N190" s="3" t="str">
        <f>IFERROR(MID(VLOOKUP($B190,Seqs!$A:$B,2,0),O190,1),"")</f>
        <v>A</v>
      </c>
      <c r="O190" s="3">
        <v>102</v>
      </c>
      <c r="P190" s="3" t="str">
        <f>IFERROR(MID(VLOOKUP($B190,Seqs!$A:$B,2,0),Q190,1),"")</f>
        <v>E</v>
      </c>
      <c r="Q190" s="3">
        <v>105</v>
      </c>
      <c r="R190" s="3" t="str">
        <f>IFERROR(MID(VLOOKUP($B190,Seqs!$A:$B,2,0),S190,1),"")</f>
        <v>F</v>
      </c>
      <c r="S190" s="3">
        <v>108</v>
      </c>
      <c r="T190" s="3" t="str">
        <f>IFERROR(MID(VLOOKUP($B190,Seqs!$A:$B,2,0),U190,1),"")</f>
        <v>G</v>
      </c>
      <c r="U190" s="3">
        <v>109</v>
      </c>
      <c r="V190" s="3" t="str">
        <f>IFERROR(MID(VLOOKUP($B190,Seqs!$A:$B,2,0),W190,1),"")</f>
        <v>H</v>
      </c>
      <c r="W190" s="3">
        <v>144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R</v>
      </c>
      <c r="AC190" s="3">
        <v>152</v>
      </c>
      <c r="AD190" s="3" t="str">
        <f>IFERROR(MID(VLOOKUP($B190,Seqs!$A:$B,2,0),AE190,1),"")</f>
        <v>T</v>
      </c>
      <c r="AE190" s="3">
        <v>179</v>
      </c>
      <c r="AF190" s="3" t="str">
        <f>IFERROR(MID(VLOOKUP($B190,Seqs!$A:$B,2,0),AG190,1),"")</f>
        <v>C</v>
      </c>
      <c r="AG190" s="3">
        <v>190</v>
      </c>
      <c r="AH190" s="3" t="str">
        <f>IFERROR(MID(VLOOKUP($B190,Seqs!$A:$B,2,0),AI190,1),"")</f>
        <v>P</v>
      </c>
      <c r="AI190" s="3">
        <v>192</v>
      </c>
      <c r="AJ190" s="3" t="str">
        <f>IFERROR(MID(VLOOKUP($B190,Seqs!$A:$B,2,0),AK190,1),"")</f>
        <v>P</v>
      </c>
      <c r="AK190" s="3">
        <v>195</v>
      </c>
      <c r="AL190" s="3" t="str">
        <f>IFERROR(MID(VLOOKUP($B190,Seqs!$A:$B,2,0),AM190,1),"")</f>
        <v>R</v>
      </c>
      <c r="AM190" s="3">
        <v>231</v>
      </c>
      <c r="AN190" s="3" t="str">
        <f>IFERROR(MID(VLOOKUP($B190,Seqs!$A:$B,2,0),AO190,1),"")</f>
        <v>A</v>
      </c>
      <c r="AO190" s="3">
        <v>241</v>
      </c>
      <c r="AP190" s="3" t="str">
        <f>IFERROR(MID(VLOOKUP($B190,Seqs!$A:$B,2,0),AQ190,1),"")</f>
        <v>F</v>
      </c>
      <c r="AQ190" s="3">
        <v>268</v>
      </c>
      <c r="AR190" s="3" t="str">
        <f>IFERROR(MID(VLOOKUP($B190,Seqs!$A:$B,2,0),AS190,1),"")</f>
        <v>S</v>
      </c>
      <c r="AS190" s="3">
        <v>279</v>
      </c>
      <c r="AT190" s="3" t="str">
        <f>IFERROR(MID(VLOOKUP($B190,Seqs!$A:$B,2,0),AU190,1),"")</f>
        <v>G</v>
      </c>
      <c r="AU190" s="3">
        <v>309</v>
      </c>
      <c r="AV190" s="3" t="str">
        <f>IFERROR(MID(VLOOKUP($B190,Seqs!$A:$B,2,0),AW190,1),"")</f>
        <v>E</v>
      </c>
      <c r="AW190" s="3">
        <v>310</v>
      </c>
      <c r="AX190" s="3" t="str">
        <f>IFERROR(MID(VLOOKUP($B190,Seqs!$A:$B,2,0),AY190,1),"")</f>
        <v>G</v>
      </c>
      <c r="AY190" s="3">
        <v>321</v>
      </c>
      <c r="AZ190" s="77" t="str">
        <f>VLOOKUP(B190,Classification!A:D,2,0)</f>
        <v>A</v>
      </c>
      <c r="BA190" s="94" t="str">
        <f>VLOOKUP(B190,Classification!A:D,4,0)</f>
        <v>Chemokine</v>
      </c>
      <c r="BB190" s="27" t="b">
        <f t="shared" ref="BB190" si="1708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 t="shared" ref="BC190" si="1709">_xlfn.AGGREGATE(9,6,CH190:CS190)-_xlfn.AGGREGATE(9,6,BV190:CG190)+12</f>
        <v>243</v>
      </c>
      <c r="BD190" s="16" t="s">
        <v>23</v>
      </c>
      <c r="BE190" s="3" t="s">
        <v>1368</v>
      </c>
      <c r="BF190" s="118">
        <v>3.3</v>
      </c>
      <c r="BG190" s="49" t="s">
        <v>1</v>
      </c>
      <c r="BH190" s="49" t="s">
        <v>1</v>
      </c>
      <c r="BI190" s="1"/>
      <c r="BJ190" s="70" t="s">
        <v>1281</v>
      </c>
      <c r="BK190" s="57" t="s">
        <v>1281</v>
      </c>
      <c r="BL190" s="57" t="s">
        <v>1281</v>
      </c>
      <c r="BM190" s="57" t="s">
        <v>1281</v>
      </c>
      <c r="BN190" s="57" t="s">
        <v>1281</v>
      </c>
      <c r="BO190" s="57" t="s">
        <v>1281</v>
      </c>
      <c r="BP190" s="57" t="s">
        <v>1281</v>
      </c>
      <c r="BQ190" s="57" t="s">
        <v>1281</v>
      </c>
      <c r="BR190" s="57" t="s">
        <v>1281</v>
      </c>
      <c r="BS190" s="57" t="s">
        <v>1281</v>
      </c>
      <c r="BT190" s="57" t="s">
        <v>1281</v>
      </c>
      <c r="BU190" s="57" t="s">
        <v>1281</v>
      </c>
      <c r="BV190" s="70">
        <f t="shared" ref="BV190" si="1710">E190</f>
        <v>37</v>
      </c>
      <c r="BW190" s="71" t="str">
        <f t="shared" ref="BW190" si="1711">I190</f>
        <v>-</v>
      </c>
      <c r="BX190" s="72">
        <f t="shared" ref="BX190" si="1712">M190</f>
        <v>76</v>
      </c>
      <c r="BY190" s="71">
        <f t="shared" ref="BY190" si="1713">Q190</f>
        <v>105</v>
      </c>
      <c r="BZ190" s="72">
        <f t="shared" ref="BZ190" si="1714">U190</f>
        <v>109</v>
      </c>
      <c r="CA190" s="71" t="str">
        <f t="shared" ref="CA190" si="1715">Y190</f>
        <v>-</v>
      </c>
      <c r="CB190" s="72">
        <f t="shared" ref="CB190" si="1716">AC190</f>
        <v>152</v>
      </c>
      <c r="CC190" s="71">
        <f t="shared" ref="CC190" si="1717">AG190</f>
        <v>190</v>
      </c>
      <c r="CD190" s="72">
        <f t="shared" ref="CD190" si="1718">AK190</f>
        <v>195</v>
      </c>
      <c r="CE190" s="71">
        <f t="shared" ref="CE190" si="1719">AO190</f>
        <v>241</v>
      </c>
      <c r="CF190" s="72">
        <f t="shared" ref="CF190" si="1720">AS190</f>
        <v>279</v>
      </c>
      <c r="CG190" s="71">
        <f t="shared" ref="CG190" si="1721">AW190</f>
        <v>310</v>
      </c>
      <c r="CH190" s="70">
        <f t="shared" ref="CH190" si="1722">G190</f>
        <v>71</v>
      </c>
      <c r="CI190" s="71" t="str">
        <f t="shared" ref="CI190" si="1723">K190</f>
        <v>-</v>
      </c>
      <c r="CJ190" s="72">
        <f t="shared" ref="CJ190" si="1724">O190</f>
        <v>102</v>
      </c>
      <c r="CK190" s="72">
        <f t="shared" ref="CK190" si="1725">S190</f>
        <v>108</v>
      </c>
      <c r="CL190" s="72">
        <f t="shared" ref="CL190" si="1726">W190</f>
        <v>144</v>
      </c>
      <c r="CM190" s="72" t="str">
        <f t="shared" ref="CM190" si="1727">AA190</f>
        <v>-</v>
      </c>
      <c r="CN190" s="72">
        <f t="shared" ref="CN190" si="1728">AE190</f>
        <v>179</v>
      </c>
      <c r="CO190" s="72">
        <f t="shared" ref="CO190" si="1729">AI190</f>
        <v>192</v>
      </c>
      <c r="CP190" s="72">
        <f t="shared" ref="CP190" si="1730">AM190</f>
        <v>231</v>
      </c>
      <c r="CQ190" s="72">
        <f t="shared" ref="CQ190" si="1731">AQ190</f>
        <v>268</v>
      </c>
      <c r="CR190" s="72">
        <f t="shared" ref="CR190" si="1732">AU190</f>
        <v>309</v>
      </c>
      <c r="CS190" s="72">
        <f t="shared" ref="CS190" si="1733">AY190</f>
        <v>321</v>
      </c>
      <c r="CT190" s="23" t="e">
        <f t="shared" ref="CT190" si="1734">M190-K190</f>
        <v>#VALUE!</v>
      </c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  <c r="ND190" s="6"/>
      <c r="NE190" s="6"/>
      <c r="NF190" s="6"/>
      <c r="NG190" s="6"/>
      <c r="NH190" s="6"/>
      <c r="NI190" s="6"/>
      <c r="NJ190" s="6"/>
      <c r="NK190" s="6"/>
      <c r="NL190" s="6"/>
      <c r="NM190" s="6"/>
      <c r="NN190" s="6"/>
      <c r="NO190" s="6"/>
      <c r="NP190" s="6"/>
      <c r="NQ190" s="6"/>
      <c r="NR190" s="6"/>
      <c r="NS190" s="6"/>
      <c r="NT190" s="6"/>
      <c r="NU190" s="6"/>
      <c r="NV190" s="6"/>
      <c r="NW190" s="6"/>
      <c r="NX190" s="6"/>
      <c r="NY190" s="6"/>
      <c r="NZ190" s="6"/>
      <c r="OA190" s="6"/>
      <c r="OB190" s="6"/>
      <c r="OC190" s="6"/>
      <c r="OD190" s="6"/>
      <c r="OE190" s="6"/>
      <c r="OF190" s="6"/>
      <c r="OG190" s="6"/>
      <c r="OH190" s="6"/>
      <c r="OI190" s="6"/>
      <c r="OJ190" s="6"/>
      <c r="OK190" s="6"/>
      <c r="OL190" s="6"/>
      <c r="OM190" s="6"/>
      <c r="ON190" s="6"/>
      <c r="OO190" s="6"/>
      <c r="OP190" s="6"/>
      <c r="OQ190" s="6"/>
      <c r="OR190" s="6"/>
      <c r="OS190" s="6"/>
      <c r="OT190" s="6"/>
      <c r="OU190" s="6"/>
      <c r="OV190" s="6"/>
      <c r="OW190" s="6"/>
      <c r="OX190" s="6"/>
      <c r="OY190" s="6"/>
      <c r="OZ190" s="6"/>
      <c r="PA190" s="6"/>
      <c r="PB190" s="6"/>
      <c r="PC190" s="6"/>
      <c r="PD190" s="6"/>
      <c r="PE190" s="6"/>
      <c r="PF190" s="6"/>
      <c r="PG190" s="6"/>
      <c r="PH190" s="6"/>
      <c r="PI190" s="6"/>
      <c r="PJ190" s="6"/>
      <c r="PK190" s="6"/>
      <c r="PL190" s="6"/>
      <c r="PM190" s="6"/>
      <c r="PN190" s="6"/>
      <c r="PO190" s="6"/>
      <c r="PP190" s="6"/>
      <c r="PQ190" s="6"/>
      <c r="PR190" s="6"/>
      <c r="PS190" s="6"/>
      <c r="PT190" s="6"/>
      <c r="PU190" s="6"/>
      <c r="PV190" s="6"/>
      <c r="PW190" s="6"/>
      <c r="PX190" s="6"/>
      <c r="PY190" s="6"/>
      <c r="PZ190" s="6"/>
      <c r="QA190" s="6"/>
      <c r="QB190" s="6"/>
      <c r="QC190" s="6"/>
      <c r="QD190" s="6"/>
      <c r="QE190" s="6"/>
      <c r="QF190" s="6"/>
      <c r="QG190" s="6"/>
      <c r="QH190" s="6"/>
      <c r="QI190" s="6"/>
      <c r="QJ190" s="6"/>
      <c r="QK190" s="6"/>
      <c r="QL190" s="6"/>
      <c r="QM190" s="6"/>
      <c r="QN190" s="6"/>
      <c r="QO190" s="6"/>
      <c r="QP190" s="6"/>
      <c r="QQ190" s="6"/>
      <c r="QR190" s="6"/>
      <c r="QS190" s="6"/>
      <c r="QT190" s="6"/>
      <c r="QU190" s="6"/>
      <c r="QV190" s="6"/>
      <c r="QW190" s="6"/>
      <c r="QX190" s="6"/>
      <c r="QY190" s="6"/>
      <c r="QZ190" s="6"/>
      <c r="RA190" s="6"/>
      <c r="RB190" s="6"/>
      <c r="RC190" s="6"/>
      <c r="RD190" s="6"/>
      <c r="RE190" s="6"/>
      <c r="RF190" s="6"/>
      <c r="RG190" s="6"/>
      <c r="RH190" s="6"/>
      <c r="RI190" s="6"/>
      <c r="RJ190" s="6"/>
      <c r="RK190" s="6"/>
      <c r="RL190" s="6"/>
      <c r="RM190" s="6"/>
      <c r="RN190" s="6"/>
      <c r="RO190" s="6"/>
      <c r="RP190" s="6"/>
      <c r="RQ190" s="6"/>
      <c r="RR190" s="6"/>
      <c r="RS190" s="6"/>
      <c r="RT190" s="6"/>
      <c r="RU190" s="6"/>
      <c r="RV190" s="6"/>
      <c r="RW190" s="6"/>
      <c r="RX190" s="6"/>
      <c r="RY190" s="6"/>
      <c r="RZ190" s="6"/>
      <c r="SA190" s="6"/>
      <c r="SB190" s="6"/>
      <c r="SC190" s="6"/>
      <c r="SD190" s="6"/>
      <c r="SE190" s="6"/>
      <c r="SF190" s="6"/>
      <c r="SG190" s="6"/>
      <c r="SH190" s="6"/>
      <c r="SI190" s="6"/>
      <c r="SJ190" s="6"/>
      <c r="SK190" s="6"/>
      <c r="SL190" s="6"/>
      <c r="SM190" s="6"/>
      <c r="SN190" s="6"/>
      <c r="SO190" s="6"/>
      <c r="SP190" s="6"/>
      <c r="SQ190" s="6"/>
      <c r="SR190" s="6"/>
      <c r="SS190" s="6"/>
      <c r="ST190" s="6"/>
      <c r="SU190" s="6"/>
      <c r="SV190" s="6"/>
      <c r="SW190" s="6"/>
      <c r="SX190" s="6"/>
      <c r="SY190" s="6"/>
      <c r="SZ190" s="6"/>
      <c r="TA190" s="6"/>
      <c r="TB190" s="6"/>
      <c r="TC190" s="6"/>
      <c r="TD190" s="6"/>
      <c r="TE190" s="6"/>
      <c r="TF190" s="6"/>
      <c r="TG190" s="6"/>
      <c r="TH190" s="6"/>
      <c r="TI190" s="6"/>
      <c r="TJ190" s="6"/>
      <c r="TK190" s="6"/>
      <c r="TL190" s="6"/>
      <c r="TM190" s="6"/>
      <c r="TN190" s="6"/>
      <c r="TO190" s="6"/>
      <c r="TP190" s="6"/>
      <c r="TQ190" s="6"/>
      <c r="TR190" s="6"/>
      <c r="TS190" s="6"/>
      <c r="TT190" s="6"/>
      <c r="TU190" s="6"/>
      <c r="TV190" s="6"/>
      <c r="TW190" s="6"/>
      <c r="TX190" s="6"/>
      <c r="TY190" s="6"/>
      <c r="TZ190" s="6"/>
      <c r="UA190" s="6"/>
      <c r="UB190" s="6"/>
      <c r="UC190" s="6"/>
      <c r="UD190" s="6"/>
      <c r="UE190" s="6"/>
      <c r="UF190" s="6"/>
      <c r="UG190" s="6"/>
      <c r="UH190" s="6"/>
      <c r="UI190" s="6"/>
      <c r="UJ190" s="6"/>
      <c r="UK190" s="6"/>
      <c r="UL190" s="6"/>
      <c r="UM190" s="6"/>
      <c r="UN190" s="6"/>
      <c r="UO190" s="6"/>
      <c r="UP190" s="6"/>
      <c r="UQ190" s="6"/>
      <c r="UR190" s="6"/>
      <c r="US190" s="6"/>
      <c r="UT190" s="6"/>
      <c r="UU190" s="6"/>
      <c r="UV190" s="6"/>
      <c r="UW190" s="6"/>
      <c r="UX190" s="6"/>
      <c r="UY190" s="6"/>
      <c r="UZ190" s="6"/>
      <c r="VA190" s="6"/>
      <c r="VB190" s="6"/>
      <c r="VC190" s="6"/>
      <c r="VD190" s="6"/>
      <c r="VE190" s="6"/>
      <c r="VF190" s="6"/>
      <c r="VG190" s="6"/>
      <c r="VH190" s="6"/>
      <c r="VI190" s="6"/>
      <c r="VJ190" s="6"/>
      <c r="VK190" s="6"/>
      <c r="VL190" s="6"/>
      <c r="VM190" s="6"/>
      <c r="VN190" s="6"/>
      <c r="VO190" s="6"/>
      <c r="VP190" s="6"/>
      <c r="VQ190" s="6"/>
      <c r="VR190" s="6"/>
      <c r="VS190" s="6"/>
      <c r="VT190" s="6"/>
      <c r="VU190" s="6"/>
      <c r="VV190" s="6"/>
      <c r="VW190" s="6"/>
      <c r="VX190" s="6"/>
      <c r="VY190" s="6"/>
      <c r="VZ190" s="6"/>
      <c r="WA190" s="6"/>
      <c r="WB190" s="6"/>
      <c r="WC190" s="6"/>
      <c r="WD190" s="6"/>
      <c r="WE190" s="6"/>
      <c r="WF190" s="6"/>
      <c r="WG190" s="6"/>
      <c r="WH190" s="6"/>
      <c r="WI190" s="6"/>
      <c r="WJ190" s="6"/>
      <c r="WK190" s="6"/>
      <c r="WL190" s="6"/>
      <c r="WM190" s="6"/>
      <c r="WN190" s="6"/>
      <c r="WO190" s="6"/>
      <c r="WP190" s="6"/>
      <c r="WQ190" s="6"/>
      <c r="WR190" s="6"/>
      <c r="WS190" s="6"/>
      <c r="WT190" s="6"/>
      <c r="WU190" s="6"/>
      <c r="WV190" s="6"/>
      <c r="WW190" s="6"/>
      <c r="WX190" s="6"/>
      <c r="WY190" s="6"/>
      <c r="WZ190" s="6"/>
      <c r="XA190" s="6"/>
      <c r="XB190" s="6"/>
      <c r="XC190" s="6"/>
      <c r="XD190" s="6"/>
      <c r="XE190" s="6"/>
      <c r="XF190" s="6"/>
      <c r="XG190" s="6"/>
      <c r="XH190" s="6"/>
      <c r="XI190" s="6"/>
      <c r="XJ190" s="6"/>
      <c r="XK190" s="6"/>
      <c r="XL190" s="6"/>
      <c r="XM190" s="6"/>
      <c r="XN190" s="6"/>
      <c r="XO190" s="6"/>
      <c r="XP190" s="6"/>
      <c r="XQ190" s="6"/>
      <c r="XR190" s="6"/>
      <c r="XS190" s="6"/>
      <c r="XT190" s="6"/>
      <c r="XU190" s="6"/>
      <c r="XV190" s="6"/>
      <c r="XW190" s="6"/>
      <c r="XX190" s="6"/>
      <c r="XY190" s="6"/>
      <c r="XZ190" s="6"/>
      <c r="YA190" s="6"/>
      <c r="YB190" s="6"/>
      <c r="YC190" s="6"/>
      <c r="YD190" s="6"/>
      <c r="YE190" s="6"/>
      <c r="YF190" s="6"/>
      <c r="YG190" s="6"/>
      <c r="YH190" s="6"/>
      <c r="YI190" s="6"/>
      <c r="YJ190" s="6"/>
      <c r="YK190" s="6"/>
      <c r="YL190" s="6"/>
      <c r="YM190" s="6"/>
      <c r="YN190" s="6"/>
      <c r="YO190" s="6"/>
      <c r="YP190" s="6"/>
      <c r="YQ190" s="6"/>
      <c r="YR190" s="6"/>
      <c r="YS190" s="6"/>
      <c r="YT190" s="6"/>
      <c r="YU190" s="6"/>
      <c r="YV190" s="6"/>
      <c r="YW190" s="6"/>
      <c r="YX190" s="6"/>
      <c r="YY190" s="6"/>
      <c r="YZ190" s="6"/>
      <c r="ZA190" s="6"/>
      <c r="ZB190" s="6"/>
      <c r="ZC190" s="6"/>
      <c r="ZD190" s="6"/>
      <c r="ZE190" s="6"/>
      <c r="ZF190" s="6"/>
      <c r="ZG190" s="6"/>
      <c r="ZH190" s="6"/>
      <c r="ZI190" s="6"/>
      <c r="ZJ190" s="6"/>
      <c r="ZK190" s="6"/>
      <c r="ZL190" s="6"/>
      <c r="ZM190" s="6"/>
      <c r="ZN190" s="6"/>
      <c r="ZO190" s="6"/>
      <c r="ZP190" s="6"/>
      <c r="ZQ190" s="6"/>
      <c r="ZR190" s="6"/>
      <c r="ZS190" s="6"/>
      <c r="ZT190" s="6"/>
      <c r="ZU190" s="6"/>
      <c r="ZV190" s="6"/>
      <c r="ZW190" s="6"/>
      <c r="ZX190" s="6"/>
      <c r="ZY190" s="6"/>
      <c r="ZZ190" s="6"/>
      <c r="AAA190" s="6"/>
      <c r="AAB190" s="6"/>
      <c r="AAC190" s="6"/>
      <c r="AAD190" s="6"/>
      <c r="AAE190" s="6"/>
      <c r="AAF190" s="6"/>
      <c r="AAG190" s="6"/>
      <c r="AAH190" s="6"/>
      <c r="AAI190" s="6"/>
      <c r="AAJ190" s="6"/>
      <c r="AAK190" s="6"/>
      <c r="AAL190" s="6"/>
      <c r="AAM190" s="6"/>
      <c r="AAN190" s="6"/>
      <c r="AAO190" s="6"/>
      <c r="AAP190" s="6"/>
      <c r="AAQ190" s="6"/>
      <c r="AAR190" s="6"/>
      <c r="AAS190" s="6"/>
      <c r="AAT190" s="6"/>
      <c r="AAU190" s="6"/>
      <c r="AAV190" s="6"/>
      <c r="AAW190" s="6"/>
      <c r="AAX190" s="6"/>
      <c r="AAY190" s="6"/>
      <c r="AAZ190" s="6"/>
      <c r="ABA190" s="6"/>
      <c r="ABB190" s="6"/>
      <c r="ABC190" s="6"/>
      <c r="ABD190" s="6"/>
      <c r="ABE190" s="6"/>
      <c r="ABF190" s="6"/>
      <c r="ABG190" s="6"/>
      <c r="ABH190" s="6"/>
      <c r="ABI190" s="6"/>
      <c r="ABJ190" s="6"/>
      <c r="ABK190" s="6"/>
      <c r="ABL190" s="6"/>
      <c r="ABM190" s="6"/>
      <c r="ABN190" s="6"/>
      <c r="ABO190" s="6"/>
      <c r="ABP190" s="6"/>
      <c r="ABQ190" s="6"/>
      <c r="ABR190" s="6"/>
      <c r="ABS190" s="6"/>
      <c r="ABT190" s="6"/>
      <c r="ABU190" s="6"/>
      <c r="ABV190" s="6"/>
      <c r="ABW190" s="6"/>
      <c r="ABX190" s="6"/>
      <c r="ABY190" s="6"/>
      <c r="ABZ190" s="6"/>
      <c r="ACA190" s="6"/>
      <c r="ACB190" s="6"/>
      <c r="ACC190" s="6"/>
      <c r="ACD190" s="6"/>
      <c r="ACE190" s="6"/>
      <c r="ACF190" s="6"/>
      <c r="ACG190" s="6"/>
      <c r="ACH190" s="6"/>
      <c r="ACI190" s="6"/>
      <c r="ACJ190" s="6"/>
      <c r="ACK190" s="6"/>
      <c r="ACL190" s="6"/>
      <c r="ACM190" s="6"/>
      <c r="ACN190" s="6"/>
      <c r="ACO190" s="6"/>
      <c r="ACP190" s="6"/>
      <c r="ACQ190" s="6"/>
      <c r="ACR190" s="6"/>
      <c r="ACS190" s="6"/>
      <c r="ACT190" s="6"/>
      <c r="ACU190" s="6"/>
      <c r="ACV190" s="6"/>
      <c r="ACW190" s="6"/>
      <c r="ACX190" s="6"/>
      <c r="ACY190" s="6"/>
      <c r="ACZ190" s="6"/>
      <c r="ADA190" s="6"/>
      <c r="ADB190" s="6"/>
      <c r="ADC190" s="6"/>
      <c r="ADD190" s="6"/>
      <c r="ADE190" s="6"/>
      <c r="ADF190" s="6"/>
      <c r="ADG190" s="6"/>
      <c r="ADH190" s="6"/>
      <c r="ADI190" s="6"/>
      <c r="ADJ190" s="6"/>
      <c r="ADK190" s="6"/>
      <c r="ADL190" s="6"/>
      <c r="ADM190" s="6"/>
      <c r="ADN190" s="6"/>
      <c r="ADO190" s="6"/>
      <c r="ADP190" s="6"/>
      <c r="ADQ190" s="6"/>
      <c r="ADR190" s="6"/>
      <c r="ADS190" s="6"/>
      <c r="ADT190" s="6"/>
      <c r="ADU190" s="6"/>
      <c r="ADV190" s="6"/>
      <c r="ADW190" s="6"/>
      <c r="ADX190" s="6"/>
      <c r="ADY190" s="6"/>
      <c r="ADZ190" s="6"/>
      <c r="AEA190" s="6"/>
      <c r="AEB190" s="6"/>
      <c r="AEC190" s="6"/>
      <c r="AED190" s="6"/>
      <c r="AEE190" s="6"/>
      <c r="AEF190" s="6"/>
      <c r="AEG190" s="6"/>
      <c r="AEH190" s="6"/>
      <c r="AEI190" s="6"/>
      <c r="AEJ190" s="6"/>
      <c r="AEK190" s="6"/>
      <c r="AEL190" s="6"/>
      <c r="AEM190" s="6"/>
      <c r="AEN190" s="6"/>
      <c r="AEO190" s="6"/>
      <c r="AEP190" s="6"/>
      <c r="AEQ190" s="6"/>
      <c r="AER190" s="6"/>
      <c r="AES190" s="6"/>
      <c r="AET190" s="6"/>
      <c r="AEU190" s="6"/>
      <c r="AEV190" s="6"/>
      <c r="AEW190" s="6"/>
      <c r="AEX190" s="6"/>
      <c r="AEY190" s="6"/>
      <c r="AEZ190" s="6"/>
      <c r="AFA190" s="6"/>
      <c r="AFB190" s="6"/>
      <c r="AFC190" s="6"/>
      <c r="AFD190" s="6"/>
      <c r="AFE190" s="6"/>
      <c r="AFF190" s="6"/>
      <c r="AFG190" s="6"/>
      <c r="AFH190" s="6"/>
      <c r="AFI190" s="6"/>
      <c r="AFJ190" s="6"/>
      <c r="AFK190" s="6"/>
      <c r="AFL190" s="6"/>
      <c r="AFM190" s="6"/>
      <c r="AFN190" s="6"/>
      <c r="AFO190" s="6"/>
      <c r="AFP190" s="6"/>
      <c r="AFQ190" s="6"/>
      <c r="AFR190" s="6"/>
      <c r="AFS190" s="6"/>
      <c r="AFT190" s="6"/>
      <c r="AFU190" s="6"/>
      <c r="AFV190" s="6"/>
      <c r="AFW190" s="6"/>
      <c r="AFX190" s="6"/>
      <c r="AFY190" s="6"/>
      <c r="AFZ190" s="6"/>
      <c r="AGA190" s="6"/>
      <c r="AGB190" s="6"/>
      <c r="AGC190" s="6"/>
      <c r="AGD190" s="6"/>
      <c r="AGE190" s="6"/>
      <c r="AGF190" s="6"/>
      <c r="AGG190" s="6"/>
      <c r="AGH190" s="6"/>
      <c r="AGI190" s="6"/>
      <c r="AGJ190" s="6"/>
      <c r="AGK190" s="6"/>
      <c r="AGL190" s="6"/>
      <c r="AGM190" s="6"/>
      <c r="AGN190" s="6"/>
      <c r="AGO190" s="6"/>
      <c r="AGP190" s="6"/>
      <c r="AGQ190" s="6"/>
      <c r="AGR190" s="6"/>
      <c r="AGS190" s="6"/>
      <c r="AGT190" s="6"/>
      <c r="AGU190" s="6"/>
      <c r="AGV190" s="6"/>
      <c r="AGW190" s="6"/>
      <c r="AGX190" s="6"/>
      <c r="AGY190" s="6"/>
      <c r="AGZ190" s="6"/>
      <c r="AHA190" s="6"/>
      <c r="AHB190" s="6"/>
      <c r="AHC190" s="6"/>
      <c r="AHD190" s="6"/>
      <c r="AHE190" s="6"/>
      <c r="AHF190" s="6"/>
      <c r="AHG190" s="6"/>
      <c r="AHH190" s="6"/>
      <c r="AHI190" s="6"/>
      <c r="AHJ190" s="6"/>
      <c r="AHK190" s="6"/>
      <c r="AHL190" s="6"/>
      <c r="AHM190" s="6"/>
      <c r="AHN190" s="6"/>
      <c r="AHO190" s="6"/>
      <c r="AHP190" s="6"/>
      <c r="AHQ190" s="6"/>
      <c r="AHR190" s="6"/>
      <c r="AHS190" s="6"/>
      <c r="AHT190" s="6"/>
      <c r="AHU190" s="6"/>
      <c r="AHV190" s="6"/>
      <c r="AHW190" s="6"/>
      <c r="AHX190" s="6"/>
      <c r="AHY190" s="6"/>
      <c r="AHZ190" s="6"/>
      <c r="AIA190" s="6"/>
      <c r="AIB190" s="6"/>
      <c r="AIC190" s="6"/>
      <c r="AID190" s="6"/>
      <c r="AIE190" s="6"/>
      <c r="AIF190" s="6"/>
      <c r="AIG190" s="6"/>
      <c r="AIH190" s="6"/>
      <c r="AII190" s="6"/>
      <c r="AIJ190" s="6"/>
      <c r="AIK190" s="6"/>
      <c r="AIL190" s="6"/>
      <c r="AIM190" s="6"/>
      <c r="AIN190" s="6"/>
      <c r="AIO190" s="6"/>
      <c r="AIP190" s="6"/>
      <c r="AIQ190" s="6"/>
      <c r="AIR190" s="6"/>
      <c r="AIS190" s="6"/>
      <c r="AIT190" s="6"/>
      <c r="AIU190" s="6"/>
      <c r="AIV190" s="6"/>
      <c r="AIW190" s="6"/>
      <c r="AIX190" s="6"/>
      <c r="AIY190" s="6"/>
      <c r="AIZ190" s="6"/>
      <c r="AJA190" s="6"/>
      <c r="AJB190" s="6"/>
      <c r="AJC190" s="6"/>
      <c r="AJD190" s="6"/>
      <c r="AJE190" s="6"/>
      <c r="AJF190" s="6"/>
      <c r="AJG190" s="6"/>
      <c r="AJH190" s="6"/>
      <c r="AJI190" s="6"/>
      <c r="AJJ190" s="6"/>
      <c r="AJK190" s="6"/>
      <c r="AJL190" s="6"/>
      <c r="AJM190" s="6"/>
      <c r="AJN190" s="6"/>
      <c r="AJO190" s="6"/>
      <c r="AJP190" s="6"/>
      <c r="AJQ190" s="6"/>
      <c r="AJR190" s="6"/>
      <c r="AJS190" s="6"/>
      <c r="AJT190" s="6"/>
      <c r="AJU190" s="6"/>
      <c r="AJV190" s="6"/>
      <c r="AJW190" s="6"/>
      <c r="AJX190" s="6"/>
      <c r="AJY190" s="6"/>
      <c r="AJZ190" s="6"/>
      <c r="AKA190" s="6"/>
      <c r="AKB190" s="6"/>
      <c r="AKC190" s="6"/>
      <c r="AKD190" s="6"/>
      <c r="AKE190" s="6"/>
      <c r="AKF190" s="6"/>
      <c r="AKG190" s="6"/>
      <c r="AKH190" s="6"/>
      <c r="AKI190" s="6"/>
      <c r="AKJ190" s="6"/>
      <c r="AKK190" s="6"/>
      <c r="AKL190" s="6"/>
      <c r="AKM190" s="6"/>
      <c r="AKN190" s="6"/>
      <c r="AKO190" s="6"/>
      <c r="AKP190" s="6"/>
      <c r="AKQ190" s="6"/>
      <c r="AKR190" s="6"/>
      <c r="AKS190" s="6"/>
      <c r="AKT190" s="6"/>
      <c r="AKU190" s="6"/>
      <c r="AKV190" s="6"/>
      <c r="AKW190" s="6"/>
      <c r="AKX190" s="6"/>
      <c r="AKY190" s="6"/>
      <c r="AKZ190" s="6"/>
      <c r="ALA190" s="6"/>
      <c r="ALB190" s="6"/>
      <c r="ALC190" s="6"/>
      <c r="ALD190" s="6"/>
      <c r="ALE190" s="6"/>
      <c r="ALF190" s="6"/>
      <c r="ALG190" s="6"/>
      <c r="ALH190" s="6"/>
      <c r="ALI190" s="6"/>
      <c r="ALJ190" s="6"/>
      <c r="ALK190" s="6"/>
      <c r="ALL190" s="6"/>
      <c r="ALM190" s="6"/>
      <c r="ALN190" s="6"/>
      <c r="ALO190" s="6"/>
      <c r="ALP190" s="6"/>
      <c r="ALQ190" s="6"/>
      <c r="ALR190" s="6"/>
      <c r="ALS190" s="6"/>
      <c r="ALT190" s="6"/>
      <c r="ALU190" s="6"/>
      <c r="ALV190" s="6"/>
      <c r="ALW190" s="6"/>
      <c r="ALX190" s="6"/>
      <c r="ALY190" s="6"/>
      <c r="ALZ190" s="6"/>
      <c r="AMA190" s="6"/>
      <c r="AMB190" s="6"/>
      <c r="AMC190" s="6"/>
      <c r="AMD190" s="6"/>
      <c r="AME190" s="6"/>
      <c r="AMF190" s="6"/>
      <c r="AMG190" s="6"/>
      <c r="AMH190" s="6"/>
      <c r="AMI190" s="6"/>
      <c r="AMJ190" s="6"/>
      <c r="AMK190" s="6"/>
      <c r="AML190" s="6"/>
      <c r="AMM190" s="6"/>
      <c r="AMN190" s="6"/>
      <c r="AMO190" s="6"/>
      <c r="AMP190" s="6"/>
    </row>
    <row r="191" spans="1:1030" x14ac:dyDescent="0.2">
      <c r="A191" s="3" t="str">
        <f t="shared" ref="A191" si="1735">CONCATENATE(B191,"_",C191)</f>
        <v>ccr2_human_6GPX</v>
      </c>
      <c r="B191" s="3" t="s">
        <v>170</v>
      </c>
      <c r="C191" s="3" t="s">
        <v>1541</v>
      </c>
      <c r="D191" s="3" t="str">
        <f>IFERROR(MID(VLOOKUP($B191,Seqs!$A:$B,2,0),E191,1),"")</f>
        <v>F</v>
      </c>
      <c r="E191" s="3">
        <v>35</v>
      </c>
      <c r="F191" s="3" t="str">
        <f>IFERROR(MID(VLOOKUP($B191,Seqs!$A:$B,2,0),G191,1),"")</f>
        <v>K</v>
      </c>
      <c r="G191" s="3">
        <v>71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C</v>
      </c>
      <c r="M191" s="3">
        <v>75</v>
      </c>
      <c r="N191" s="3" t="str">
        <f>IFERROR(MID(VLOOKUP($B191,Seqs!$A:$B,2,0),O191,1),"")</f>
        <v>A</v>
      </c>
      <c r="O191" s="3">
        <v>102</v>
      </c>
      <c r="P191" s="3" t="str">
        <f>IFERROR(MID(VLOOKUP($B191,Seqs!$A:$B,2,0),Q191,1),"")</f>
        <v>E</v>
      </c>
      <c r="Q191" s="3">
        <v>105</v>
      </c>
      <c r="R191" s="3" t="str">
        <f>IFERROR(MID(VLOOKUP($B191,Seqs!$A:$B,2,0),S191,1),"")</f>
        <v>F</v>
      </c>
      <c r="S191" s="3">
        <v>108</v>
      </c>
      <c r="T191" s="3" t="str">
        <f>IFERROR(MID(VLOOKUP($B191,Seqs!$A:$B,2,0),U191,1),"")</f>
        <v>G</v>
      </c>
      <c r="U191" s="3">
        <v>109</v>
      </c>
      <c r="V191" s="3" t="str">
        <f>IFERROR(MID(VLOOKUP($B191,Seqs!$A:$B,2,0),W191,1),"")</f>
        <v>H</v>
      </c>
      <c r="W191" s="3">
        <v>144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R</v>
      </c>
      <c r="AC191" s="3">
        <v>152</v>
      </c>
      <c r="AD191" s="3" t="str">
        <f>IFERROR(MID(VLOOKUP($B191,Seqs!$A:$B,2,0),AE191,1),"")</f>
        <v>T</v>
      </c>
      <c r="AE191" s="3">
        <v>179</v>
      </c>
      <c r="AF191" s="3" t="str">
        <f>IFERROR(MID(VLOOKUP($B191,Seqs!$A:$B,2,0),AG191,1),"")</f>
        <v>C</v>
      </c>
      <c r="AG191" s="3">
        <v>190</v>
      </c>
      <c r="AH191" s="3" t="str">
        <f>IFERROR(MID(VLOOKUP($B191,Seqs!$A:$B,2,0),AI191,1),"")</f>
        <v>P</v>
      </c>
      <c r="AI191" s="3">
        <v>192</v>
      </c>
      <c r="AJ191" s="3" t="str">
        <f>IFERROR(MID(VLOOKUP($B191,Seqs!$A:$B,2,0),AK191,1),"")</f>
        <v>P</v>
      </c>
      <c r="AK191" s="3">
        <v>195</v>
      </c>
      <c r="AL191" s="3" t="str">
        <f>IFERROR(MID(VLOOKUP($B191,Seqs!$A:$B,2,0),AM191,1),"")</f>
        <v>L</v>
      </c>
      <c r="AM191" s="3">
        <v>229</v>
      </c>
      <c r="AN191" s="3" t="str">
        <f>IFERROR(MID(VLOOKUP($B191,Seqs!$A:$B,2,0),AO191,1),"")</f>
        <v>A</v>
      </c>
      <c r="AO191" s="3">
        <v>241</v>
      </c>
      <c r="AP191" s="3" t="str">
        <f>IFERROR(MID(VLOOKUP($B191,Seqs!$A:$B,2,0),AQ191,1),"")</f>
        <v>F</v>
      </c>
      <c r="AQ191" s="3">
        <v>268</v>
      </c>
      <c r="AR191" s="3" t="str">
        <f>IFERROR(MID(VLOOKUP($B191,Seqs!$A:$B,2,0),AS191,1),"")</f>
        <v>N</v>
      </c>
      <c r="AS191" s="3">
        <v>276</v>
      </c>
      <c r="AT191" s="3" t="str">
        <f>IFERROR(MID(VLOOKUP($B191,Seqs!$A:$B,2,0),AU191,1),"")</f>
        <v>V</v>
      </c>
      <c r="AU191" s="3">
        <v>308</v>
      </c>
      <c r="AV191" s="3" t="str">
        <f>IFERROR(MID(VLOOKUP($B191,Seqs!$A:$B,2,0),AW191,1),"")</f>
        <v/>
      </c>
      <c r="AW191" s="3" t="s">
        <v>23</v>
      </c>
      <c r="AX191" s="3" t="str">
        <f>IFERROR(MID(VLOOKUP($B191,Seqs!$A:$B,2,0),AY191,1),"")</f>
        <v/>
      </c>
      <c r="AY191" s="3" t="s">
        <v>23</v>
      </c>
      <c r="AZ191" s="77" t="str">
        <f>VLOOKUP(B191,Classification!A:D,2,0)</f>
        <v>A</v>
      </c>
      <c r="BA191" s="94" t="str">
        <f>VLOOKUP(B191,Classification!A:D,4,0)</f>
        <v>Chemokine</v>
      </c>
      <c r="BB191" s="27" t="b">
        <f t="shared" ref="BB191" si="1736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 t="shared" ref="BC191" si="1737">_xlfn.AGGREGATE(9,6,CH191:CS191)-_xlfn.AGGREGATE(9,6,BV191:CG191)+12</f>
        <v>235</v>
      </c>
      <c r="BD191" s="16" t="s">
        <v>23</v>
      </c>
      <c r="BE191" s="3" t="s">
        <v>1368</v>
      </c>
      <c r="BF191" s="118">
        <v>2.7</v>
      </c>
      <c r="BG191" s="49" t="s">
        <v>1</v>
      </c>
      <c r="BH191" s="49" t="s">
        <v>1</v>
      </c>
      <c r="BI191" s="1"/>
      <c r="BJ191" s="70" t="s">
        <v>1281</v>
      </c>
      <c r="BK191" s="57" t="s">
        <v>1281</v>
      </c>
      <c r="BL191" s="57" t="s">
        <v>1281</v>
      </c>
      <c r="BM191" s="57" t="s">
        <v>1281</v>
      </c>
      <c r="BN191" s="57" t="s">
        <v>1281</v>
      </c>
      <c r="BO191" s="57" t="s">
        <v>1281</v>
      </c>
      <c r="BP191" s="57" t="s">
        <v>1281</v>
      </c>
      <c r="BQ191" s="57" t="s">
        <v>1281</v>
      </c>
      <c r="BR191" s="57" t="s">
        <v>1281</v>
      </c>
      <c r="BS191" s="57" t="s">
        <v>1281</v>
      </c>
      <c r="BT191" s="57" t="s">
        <v>1281</v>
      </c>
      <c r="BU191" s="57" t="s">
        <v>1281</v>
      </c>
      <c r="BV191" s="70">
        <f t="shared" ref="BV191" si="1738">E191</f>
        <v>35</v>
      </c>
      <c r="BW191" s="71" t="str">
        <f t="shared" ref="BW191" si="1739">I191</f>
        <v>-</v>
      </c>
      <c r="BX191" s="72">
        <f t="shared" ref="BX191" si="1740">M191</f>
        <v>75</v>
      </c>
      <c r="BY191" s="71">
        <f t="shared" ref="BY191" si="1741">Q191</f>
        <v>105</v>
      </c>
      <c r="BZ191" s="72">
        <f t="shared" ref="BZ191" si="1742">U191</f>
        <v>109</v>
      </c>
      <c r="CA191" s="71" t="str">
        <f t="shared" ref="CA191" si="1743">Y191</f>
        <v>-</v>
      </c>
      <c r="CB191" s="72">
        <f t="shared" ref="CB191" si="1744">AC191</f>
        <v>152</v>
      </c>
      <c r="CC191" s="71">
        <f t="shared" ref="CC191" si="1745">AG191</f>
        <v>190</v>
      </c>
      <c r="CD191" s="72">
        <f t="shared" ref="CD191" si="1746">AK191</f>
        <v>195</v>
      </c>
      <c r="CE191" s="71">
        <f t="shared" ref="CE191" si="1747">AO191</f>
        <v>241</v>
      </c>
      <c r="CF191" s="72">
        <f t="shared" ref="CF191" si="1748">AS191</f>
        <v>276</v>
      </c>
      <c r="CG191" s="71" t="str">
        <f t="shared" ref="CG191" si="1749">AW191</f>
        <v>-</v>
      </c>
      <c r="CH191" s="70">
        <f t="shared" ref="CH191" si="1750">G191</f>
        <v>71</v>
      </c>
      <c r="CI191" s="71" t="str">
        <f t="shared" ref="CI191" si="1751">K191</f>
        <v>-</v>
      </c>
      <c r="CJ191" s="72">
        <f t="shared" ref="CJ191" si="1752">O191</f>
        <v>102</v>
      </c>
      <c r="CK191" s="72">
        <f t="shared" ref="CK191" si="1753">S191</f>
        <v>108</v>
      </c>
      <c r="CL191" s="72">
        <f t="shared" ref="CL191" si="1754">W191</f>
        <v>144</v>
      </c>
      <c r="CM191" s="72" t="str">
        <f t="shared" ref="CM191" si="1755">AA191</f>
        <v>-</v>
      </c>
      <c r="CN191" s="72">
        <f t="shared" ref="CN191" si="1756">AE191</f>
        <v>179</v>
      </c>
      <c r="CO191" s="72">
        <f t="shared" ref="CO191" si="1757">AI191</f>
        <v>192</v>
      </c>
      <c r="CP191" s="72">
        <f t="shared" ref="CP191" si="1758">AM191</f>
        <v>229</v>
      </c>
      <c r="CQ191" s="72">
        <f t="shared" ref="CQ191" si="1759">AQ191</f>
        <v>268</v>
      </c>
      <c r="CR191" s="72">
        <f t="shared" ref="CR191" si="1760">AU191</f>
        <v>308</v>
      </c>
      <c r="CS191" s="72" t="str">
        <f t="shared" ref="CS191" si="1761">AY191</f>
        <v>-</v>
      </c>
      <c r="CT191" s="23" t="e">
        <f t="shared" ref="CT191" si="1762">M191-K191</f>
        <v>#VALUE!</v>
      </c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  <c r="ND191" s="6"/>
      <c r="NE191" s="6"/>
      <c r="NF191" s="6"/>
      <c r="NG191" s="6"/>
      <c r="NH191" s="6"/>
      <c r="NI191" s="6"/>
      <c r="NJ191" s="6"/>
      <c r="NK191" s="6"/>
      <c r="NL191" s="6"/>
      <c r="NM191" s="6"/>
      <c r="NN191" s="6"/>
      <c r="NO191" s="6"/>
      <c r="NP191" s="6"/>
      <c r="NQ191" s="6"/>
      <c r="NR191" s="6"/>
      <c r="NS191" s="6"/>
      <c r="NT191" s="6"/>
      <c r="NU191" s="6"/>
      <c r="NV191" s="6"/>
      <c r="NW191" s="6"/>
      <c r="NX191" s="6"/>
      <c r="NY191" s="6"/>
      <c r="NZ191" s="6"/>
      <c r="OA191" s="6"/>
      <c r="OB191" s="6"/>
      <c r="OC191" s="6"/>
      <c r="OD191" s="6"/>
      <c r="OE191" s="6"/>
      <c r="OF191" s="6"/>
      <c r="OG191" s="6"/>
      <c r="OH191" s="6"/>
      <c r="OI191" s="6"/>
      <c r="OJ191" s="6"/>
      <c r="OK191" s="6"/>
      <c r="OL191" s="6"/>
      <c r="OM191" s="6"/>
      <c r="ON191" s="6"/>
      <c r="OO191" s="6"/>
      <c r="OP191" s="6"/>
      <c r="OQ191" s="6"/>
      <c r="OR191" s="6"/>
      <c r="OS191" s="6"/>
      <c r="OT191" s="6"/>
      <c r="OU191" s="6"/>
      <c r="OV191" s="6"/>
      <c r="OW191" s="6"/>
      <c r="OX191" s="6"/>
      <c r="OY191" s="6"/>
      <c r="OZ191" s="6"/>
      <c r="PA191" s="6"/>
      <c r="PB191" s="6"/>
      <c r="PC191" s="6"/>
      <c r="PD191" s="6"/>
      <c r="PE191" s="6"/>
      <c r="PF191" s="6"/>
      <c r="PG191" s="6"/>
      <c r="PH191" s="6"/>
      <c r="PI191" s="6"/>
      <c r="PJ191" s="6"/>
      <c r="PK191" s="6"/>
      <c r="PL191" s="6"/>
      <c r="PM191" s="6"/>
      <c r="PN191" s="6"/>
      <c r="PO191" s="6"/>
      <c r="PP191" s="6"/>
      <c r="PQ191" s="6"/>
      <c r="PR191" s="6"/>
      <c r="PS191" s="6"/>
      <c r="PT191" s="6"/>
      <c r="PU191" s="6"/>
      <c r="PV191" s="6"/>
      <c r="PW191" s="6"/>
      <c r="PX191" s="6"/>
      <c r="PY191" s="6"/>
      <c r="PZ191" s="6"/>
      <c r="QA191" s="6"/>
      <c r="QB191" s="6"/>
      <c r="QC191" s="6"/>
      <c r="QD191" s="6"/>
      <c r="QE191" s="6"/>
      <c r="QF191" s="6"/>
      <c r="QG191" s="6"/>
      <c r="QH191" s="6"/>
      <c r="QI191" s="6"/>
      <c r="QJ191" s="6"/>
      <c r="QK191" s="6"/>
      <c r="QL191" s="6"/>
      <c r="QM191" s="6"/>
      <c r="QN191" s="6"/>
      <c r="QO191" s="6"/>
      <c r="QP191" s="6"/>
      <c r="QQ191" s="6"/>
      <c r="QR191" s="6"/>
      <c r="QS191" s="6"/>
      <c r="QT191" s="6"/>
      <c r="QU191" s="6"/>
      <c r="QV191" s="6"/>
      <c r="QW191" s="6"/>
      <c r="QX191" s="6"/>
      <c r="QY191" s="6"/>
      <c r="QZ191" s="6"/>
      <c r="RA191" s="6"/>
      <c r="RB191" s="6"/>
      <c r="RC191" s="6"/>
      <c r="RD191" s="6"/>
      <c r="RE191" s="6"/>
      <c r="RF191" s="6"/>
      <c r="RG191" s="6"/>
      <c r="RH191" s="6"/>
      <c r="RI191" s="6"/>
      <c r="RJ191" s="6"/>
      <c r="RK191" s="6"/>
      <c r="RL191" s="6"/>
      <c r="RM191" s="6"/>
      <c r="RN191" s="6"/>
      <c r="RO191" s="6"/>
      <c r="RP191" s="6"/>
      <c r="RQ191" s="6"/>
      <c r="RR191" s="6"/>
      <c r="RS191" s="6"/>
      <c r="RT191" s="6"/>
      <c r="RU191" s="6"/>
      <c r="RV191" s="6"/>
      <c r="RW191" s="6"/>
      <c r="RX191" s="6"/>
      <c r="RY191" s="6"/>
      <c r="RZ191" s="6"/>
      <c r="SA191" s="6"/>
      <c r="SB191" s="6"/>
      <c r="SC191" s="6"/>
      <c r="SD191" s="6"/>
      <c r="SE191" s="6"/>
      <c r="SF191" s="6"/>
      <c r="SG191" s="6"/>
      <c r="SH191" s="6"/>
      <c r="SI191" s="6"/>
      <c r="SJ191" s="6"/>
      <c r="SK191" s="6"/>
      <c r="SL191" s="6"/>
      <c r="SM191" s="6"/>
      <c r="SN191" s="6"/>
      <c r="SO191" s="6"/>
      <c r="SP191" s="6"/>
      <c r="SQ191" s="6"/>
      <c r="SR191" s="6"/>
      <c r="SS191" s="6"/>
      <c r="ST191" s="6"/>
      <c r="SU191" s="6"/>
      <c r="SV191" s="6"/>
      <c r="SW191" s="6"/>
      <c r="SX191" s="6"/>
      <c r="SY191" s="6"/>
      <c r="SZ191" s="6"/>
      <c r="TA191" s="6"/>
      <c r="TB191" s="6"/>
      <c r="TC191" s="6"/>
      <c r="TD191" s="6"/>
      <c r="TE191" s="6"/>
      <c r="TF191" s="6"/>
      <c r="TG191" s="6"/>
      <c r="TH191" s="6"/>
      <c r="TI191" s="6"/>
      <c r="TJ191" s="6"/>
      <c r="TK191" s="6"/>
      <c r="TL191" s="6"/>
      <c r="TM191" s="6"/>
      <c r="TN191" s="6"/>
      <c r="TO191" s="6"/>
      <c r="TP191" s="6"/>
      <c r="TQ191" s="6"/>
      <c r="TR191" s="6"/>
      <c r="TS191" s="6"/>
      <c r="TT191" s="6"/>
      <c r="TU191" s="6"/>
      <c r="TV191" s="6"/>
      <c r="TW191" s="6"/>
      <c r="TX191" s="6"/>
      <c r="TY191" s="6"/>
      <c r="TZ191" s="6"/>
      <c r="UA191" s="6"/>
      <c r="UB191" s="6"/>
      <c r="UC191" s="6"/>
      <c r="UD191" s="6"/>
      <c r="UE191" s="6"/>
      <c r="UF191" s="6"/>
      <c r="UG191" s="6"/>
      <c r="UH191" s="6"/>
      <c r="UI191" s="6"/>
      <c r="UJ191" s="6"/>
      <c r="UK191" s="6"/>
      <c r="UL191" s="6"/>
      <c r="UM191" s="6"/>
      <c r="UN191" s="6"/>
      <c r="UO191" s="6"/>
      <c r="UP191" s="6"/>
      <c r="UQ191" s="6"/>
      <c r="UR191" s="6"/>
      <c r="US191" s="6"/>
      <c r="UT191" s="6"/>
      <c r="UU191" s="6"/>
      <c r="UV191" s="6"/>
      <c r="UW191" s="6"/>
      <c r="UX191" s="6"/>
      <c r="UY191" s="6"/>
      <c r="UZ191" s="6"/>
      <c r="VA191" s="6"/>
      <c r="VB191" s="6"/>
      <c r="VC191" s="6"/>
      <c r="VD191" s="6"/>
      <c r="VE191" s="6"/>
      <c r="VF191" s="6"/>
      <c r="VG191" s="6"/>
      <c r="VH191" s="6"/>
      <c r="VI191" s="6"/>
      <c r="VJ191" s="6"/>
      <c r="VK191" s="6"/>
      <c r="VL191" s="6"/>
      <c r="VM191" s="6"/>
      <c r="VN191" s="6"/>
      <c r="VO191" s="6"/>
      <c r="VP191" s="6"/>
      <c r="VQ191" s="6"/>
      <c r="VR191" s="6"/>
      <c r="VS191" s="6"/>
      <c r="VT191" s="6"/>
      <c r="VU191" s="6"/>
      <c r="VV191" s="6"/>
      <c r="VW191" s="6"/>
      <c r="VX191" s="6"/>
      <c r="VY191" s="6"/>
      <c r="VZ191" s="6"/>
      <c r="WA191" s="6"/>
      <c r="WB191" s="6"/>
      <c r="WC191" s="6"/>
      <c r="WD191" s="6"/>
      <c r="WE191" s="6"/>
      <c r="WF191" s="6"/>
      <c r="WG191" s="6"/>
      <c r="WH191" s="6"/>
      <c r="WI191" s="6"/>
      <c r="WJ191" s="6"/>
      <c r="WK191" s="6"/>
      <c r="WL191" s="6"/>
      <c r="WM191" s="6"/>
      <c r="WN191" s="6"/>
      <c r="WO191" s="6"/>
      <c r="WP191" s="6"/>
      <c r="WQ191" s="6"/>
      <c r="WR191" s="6"/>
      <c r="WS191" s="6"/>
      <c r="WT191" s="6"/>
      <c r="WU191" s="6"/>
      <c r="WV191" s="6"/>
      <c r="WW191" s="6"/>
      <c r="WX191" s="6"/>
      <c r="WY191" s="6"/>
      <c r="WZ191" s="6"/>
      <c r="XA191" s="6"/>
      <c r="XB191" s="6"/>
      <c r="XC191" s="6"/>
      <c r="XD191" s="6"/>
      <c r="XE191" s="6"/>
      <c r="XF191" s="6"/>
      <c r="XG191" s="6"/>
      <c r="XH191" s="6"/>
      <c r="XI191" s="6"/>
      <c r="XJ191" s="6"/>
      <c r="XK191" s="6"/>
      <c r="XL191" s="6"/>
      <c r="XM191" s="6"/>
      <c r="XN191" s="6"/>
      <c r="XO191" s="6"/>
      <c r="XP191" s="6"/>
      <c r="XQ191" s="6"/>
      <c r="XR191" s="6"/>
      <c r="XS191" s="6"/>
      <c r="XT191" s="6"/>
      <c r="XU191" s="6"/>
      <c r="XV191" s="6"/>
      <c r="XW191" s="6"/>
      <c r="XX191" s="6"/>
      <c r="XY191" s="6"/>
      <c r="XZ191" s="6"/>
      <c r="YA191" s="6"/>
      <c r="YB191" s="6"/>
      <c r="YC191" s="6"/>
      <c r="YD191" s="6"/>
      <c r="YE191" s="6"/>
      <c r="YF191" s="6"/>
      <c r="YG191" s="6"/>
      <c r="YH191" s="6"/>
      <c r="YI191" s="6"/>
      <c r="YJ191" s="6"/>
      <c r="YK191" s="6"/>
      <c r="YL191" s="6"/>
      <c r="YM191" s="6"/>
      <c r="YN191" s="6"/>
      <c r="YO191" s="6"/>
      <c r="YP191" s="6"/>
      <c r="YQ191" s="6"/>
      <c r="YR191" s="6"/>
      <c r="YS191" s="6"/>
      <c r="YT191" s="6"/>
      <c r="YU191" s="6"/>
      <c r="YV191" s="6"/>
      <c r="YW191" s="6"/>
      <c r="YX191" s="6"/>
      <c r="YY191" s="6"/>
      <c r="YZ191" s="6"/>
      <c r="ZA191" s="6"/>
      <c r="ZB191" s="6"/>
      <c r="ZC191" s="6"/>
      <c r="ZD191" s="6"/>
      <c r="ZE191" s="6"/>
      <c r="ZF191" s="6"/>
      <c r="ZG191" s="6"/>
      <c r="ZH191" s="6"/>
      <c r="ZI191" s="6"/>
      <c r="ZJ191" s="6"/>
      <c r="ZK191" s="6"/>
      <c r="ZL191" s="6"/>
      <c r="ZM191" s="6"/>
      <c r="ZN191" s="6"/>
      <c r="ZO191" s="6"/>
      <c r="ZP191" s="6"/>
      <c r="ZQ191" s="6"/>
      <c r="ZR191" s="6"/>
      <c r="ZS191" s="6"/>
      <c r="ZT191" s="6"/>
      <c r="ZU191" s="6"/>
      <c r="ZV191" s="6"/>
      <c r="ZW191" s="6"/>
      <c r="ZX191" s="6"/>
      <c r="ZY191" s="6"/>
      <c r="ZZ191" s="6"/>
      <c r="AAA191" s="6"/>
      <c r="AAB191" s="6"/>
      <c r="AAC191" s="6"/>
      <c r="AAD191" s="6"/>
      <c r="AAE191" s="6"/>
      <c r="AAF191" s="6"/>
      <c r="AAG191" s="6"/>
      <c r="AAH191" s="6"/>
      <c r="AAI191" s="6"/>
      <c r="AAJ191" s="6"/>
      <c r="AAK191" s="6"/>
      <c r="AAL191" s="6"/>
      <c r="AAM191" s="6"/>
      <c r="AAN191" s="6"/>
      <c r="AAO191" s="6"/>
      <c r="AAP191" s="6"/>
      <c r="AAQ191" s="6"/>
      <c r="AAR191" s="6"/>
      <c r="AAS191" s="6"/>
      <c r="AAT191" s="6"/>
      <c r="AAU191" s="6"/>
      <c r="AAV191" s="6"/>
      <c r="AAW191" s="6"/>
      <c r="AAX191" s="6"/>
      <c r="AAY191" s="6"/>
      <c r="AAZ191" s="6"/>
      <c r="ABA191" s="6"/>
      <c r="ABB191" s="6"/>
      <c r="ABC191" s="6"/>
      <c r="ABD191" s="6"/>
      <c r="ABE191" s="6"/>
      <c r="ABF191" s="6"/>
      <c r="ABG191" s="6"/>
      <c r="ABH191" s="6"/>
      <c r="ABI191" s="6"/>
      <c r="ABJ191" s="6"/>
      <c r="ABK191" s="6"/>
      <c r="ABL191" s="6"/>
      <c r="ABM191" s="6"/>
      <c r="ABN191" s="6"/>
      <c r="ABO191" s="6"/>
      <c r="ABP191" s="6"/>
      <c r="ABQ191" s="6"/>
      <c r="ABR191" s="6"/>
      <c r="ABS191" s="6"/>
      <c r="ABT191" s="6"/>
      <c r="ABU191" s="6"/>
      <c r="ABV191" s="6"/>
      <c r="ABW191" s="6"/>
      <c r="ABX191" s="6"/>
      <c r="ABY191" s="6"/>
      <c r="ABZ191" s="6"/>
      <c r="ACA191" s="6"/>
      <c r="ACB191" s="6"/>
      <c r="ACC191" s="6"/>
      <c r="ACD191" s="6"/>
      <c r="ACE191" s="6"/>
      <c r="ACF191" s="6"/>
      <c r="ACG191" s="6"/>
      <c r="ACH191" s="6"/>
      <c r="ACI191" s="6"/>
      <c r="ACJ191" s="6"/>
      <c r="ACK191" s="6"/>
      <c r="ACL191" s="6"/>
      <c r="ACM191" s="6"/>
      <c r="ACN191" s="6"/>
      <c r="ACO191" s="6"/>
      <c r="ACP191" s="6"/>
      <c r="ACQ191" s="6"/>
      <c r="ACR191" s="6"/>
      <c r="ACS191" s="6"/>
      <c r="ACT191" s="6"/>
      <c r="ACU191" s="6"/>
      <c r="ACV191" s="6"/>
      <c r="ACW191" s="6"/>
      <c r="ACX191" s="6"/>
      <c r="ACY191" s="6"/>
      <c r="ACZ191" s="6"/>
      <c r="ADA191" s="6"/>
      <c r="ADB191" s="6"/>
      <c r="ADC191" s="6"/>
      <c r="ADD191" s="6"/>
      <c r="ADE191" s="6"/>
      <c r="ADF191" s="6"/>
      <c r="ADG191" s="6"/>
      <c r="ADH191" s="6"/>
      <c r="ADI191" s="6"/>
      <c r="ADJ191" s="6"/>
      <c r="ADK191" s="6"/>
      <c r="ADL191" s="6"/>
      <c r="ADM191" s="6"/>
      <c r="ADN191" s="6"/>
      <c r="ADO191" s="6"/>
      <c r="ADP191" s="6"/>
      <c r="ADQ191" s="6"/>
      <c r="ADR191" s="6"/>
      <c r="ADS191" s="6"/>
      <c r="ADT191" s="6"/>
      <c r="ADU191" s="6"/>
      <c r="ADV191" s="6"/>
      <c r="ADW191" s="6"/>
      <c r="ADX191" s="6"/>
      <c r="ADY191" s="6"/>
      <c r="ADZ191" s="6"/>
      <c r="AEA191" s="6"/>
      <c r="AEB191" s="6"/>
      <c r="AEC191" s="6"/>
      <c r="AED191" s="6"/>
      <c r="AEE191" s="6"/>
      <c r="AEF191" s="6"/>
      <c r="AEG191" s="6"/>
      <c r="AEH191" s="6"/>
      <c r="AEI191" s="6"/>
      <c r="AEJ191" s="6"/>
      <c r="AEK191" s="6"/>
      <c r="AEL191" s="6"/>
      <c r="AEM191" s="6"/>
      <c r="AEN191" s="6"/>
      <c r="AEO191" s="6"/>
      <c r="AEP191" s="6"/>
      <c r="AEQ191" s="6"/>
      <c r="AER191" s="6"/>
      <c r="AES191" s="6"/>
      <c r="AET191" s="6"/>
      <c r="AEU191" s="6"/>
      <c r="AEV191" s="6"/>
      <c r="AEW191" s="6"/>
      <c r="AEX191" s="6"/>
      <c r="AEY191" s="6"/>
      <c r="AEZ191" s="6"/>
      <c r="AFA191" s="6"/>
      <c r="AFB191" s="6"/>
      <c r="AFC191" s="6"/>
      <c r="AFD191" s="6"/>
      <c r="AFE191" s="6"/>
      <c r="AFF191" s="6"/>
      <c r="AFG191" s="6"/>
      <c r="AFH191" s="6"/>
      <c r="AFI191" s="6"/>
      <c r="AFJ191" s="6"/>
      <c r="AFK191" s="6"/>
      <c r="AFL191" s="6"/>
      <c r="AFM191" s="6"/>
      <c r="AFN191" s="6"/>
      <c r="AFO191" s="6"/>
      <c r="AFP191" s="6"/>
      <c r="AFQ191" s="6"/>
      <c r="AFR191" s="6"/>
      <c r="AFS191" s="6"/>
      <c r="AFT191" s="6"/>
      <c r="AFU191" s="6"/>
      <c r="AFV191" s="6"/>
      <c r="AFW191" s="6"/>
      <c r="AFX191" s="6"/>
      <c r="AFY191" s="6"/>
      <c r="AFZ191" s="6"/>
      <c r="AGA191" s="6"/>
      <c r="AGB191" s="6"/>
      <c r="AGC191" s="6"/>
      <c r="AGD191" s="6"/>
      <c r="AGE191" s="6"/>
      <c r="AGF191" s="6"/>
      <c r="AGG191" s="6"/>
      <c r="AGH191" s="6"/>
      <c r="AGI191" s="6"/>
      <c r="AGJ191" s="6"/>
      <c r="AGK191" s="6"/>
      <c r="AGL191" s="6"/>
      <c r="AGM191" s="6"/>
      <c r="AGN191" s="6"/>
      <c r="AGO191" s="6"/>
      <c r="AGP191" s="6"/>
      <c r="AGQ191" s="6"/>
      <c r="AGR191" s="6"/>
      <c r="AGS191" s="6"/>
      <c r="AGT191" s="6"/>
      <c r="AGU191" s="6"/>
      <c r="AGV191" s="6"/>
      <c r="AGW191" s="6"/>
      <c r="AGX191" s="6"/>
      <c r="AGY191" s="6"/>
      <c r="AGZ191" s="6"/>
      <c r="AHA191" s="6"/>
      <c r="AHB191" s="6"/>
      <c r="AHC191" s="6"/>
      <c r="AHD191" s="6"/>
      <c r="AHE191" s="6"/>
      <c r="AHF191" s="6"/>
      <c r="AHG191" s="6"/>
      <c r="AHH191" s="6"/>
      <c r="AHI191" s="6"/>
      <c r="AHJ191" s="6"/>
      <c r="AHK191" s="6"/>
      <c r="AHL191" s="6"/>
      <c r="AHM191" s="6"/>
      <c r="AHN191" s="6"/>
      <c r="AHO191" s="6"/>
      <c r="AHP191" s="6"/>
      <c r="AHQ191" s="6"/>
      <c r="AHR191" s="6"/>
      <c r="AHS191" s="6"/>
      <c r="AHT191" s="6"/>
      <c r="AHU191" s="6"/>
      <c r="AHV191" s="6"/>
      <c r="AHW191" s="6"/>
      <c r="AHX191" s="6"/>
      <c r="AHY191" s="6"/>
      <c r="AHZ191" s="6"/>
      <c r="AIA191" s="6"/>
      <c r="AIB191" s="6"/>
      <c r="AIC191" s="6"/>
      <c r="AID191" s="6"/>
      <c r="AIE191" s="6"/>
      <c r="AIF191" s="6"/>
      <c r="AIG191" s="6"/>
      <c r="AIH191" s="6"/>
      <c r="AII191" s="6"/>
      <c r="AIJ191" s="6"/>
      <c r="AIK191" s="6"/>
      <c r="AIL191" s="6"/>
      <c r="AIM191" s="6"/>
      <c r="AIN191" s="6"/>
      <c r="AIO191" s="6"/>
      <c r="AIP191" s="6"/>
      <c r="AIQ191" s="6"/>
      <c r="AIR191" s="6"/>
      <c r="AIS191" s="6"/>
      <c r="AIT191" s="6"/>
      <c r="AIU191" s="6"/>
      <c r="AIV191" s="6"/>
      <c r="AIW191" s="6"/>
      <c r="AIX191" s="6"/>
      <c r="AIY191" s="6"/>
      <c r="AIZ191" s="6"/>
      <c r="AJA191" s="6"/>
      <c r="AJB191" s="6"/>
      <c r="AJC191" s="6"/>
      <c r="AJD191" s="6"/>
      <c r="AJE191" s="6"/>
      <c r="AJF191" s="6"/>
      <c r="AJG191" s="6"/>
      <c r="AJH191" s="6"/>
      <c r="AJI191" s="6"/>
      <c r="AJJ191" s="6"/>
      <c r="AJK191" s="6"/>
      <c r="AJL191" s="6"/>
      <c r="AJM191" s="6"/>
      <c r="AJN191" s="6"/>
      <c r="AJO191" s="6"/>
      <c r="AJP191" s="6"/>
      <c r="AJQ191" s="6"/>
      <c r="AJR191" s="6"/>
      <c r="AJS191" s="6"/>
      <c r="AJT191" s="6"/>
      <c r="AJU191" s="6"/>
      <c r="AJV191" s="6"/>
      <c r="AJW191" s="6"/>
      <c r="AJX191" s="6"/>
      <c r="AJY191" s="6"/>
      <c r="AJZ191" s="6"/>
      <c r="AKA191" s="6"/>
      <c r="AKB191" s="6"/>
      <c r="AKC191" s="6"/>
      <c r="AKD191" s="6"/>
      <c r="AKE191" s="6"/>
      <c r="AKF191" s="6"/>
      <c r="AKG191" s="6"/>
      <c r="AKH191" s="6"/>
      <c r="AKI191" s="6"/>
      <c r="AKJ191" s="6"/>
      <c r="AKK191" s="6"/>
      <c r="AKL191" s="6"/>
      <c r="AKM191" s="6"/>
      <c r="AKN191" s="6"/>
      <c r="AKO191" s="6"/>
      <c r="AKP191" s="6"/>
      <c r="AKQ191" s="6"/>
      <c r="AKR191" s="6"/>
      <c r="AKS191" s="6"/>
      <c r="AKT191" s="6"/>
      <c r="AKU191" s="6"/>
      <c r="AKV191" s="6"/>
      <c r="AKW191" s="6"/>
      <c r="AKX191" s="6"/>
      <c r="AKY191" s="6"/>
      <c r="AKZ191" s="6"/>
      <c r="ALA191" s="6"/>
      <c r="ALB191" s="6"/>
      <c r="ALC191" s="6"/>
      <c r="ALD191" s="6"/>
      <c r="ALE191" s="6"/>
      <c r="ALF191" s="6"/>
      <c r="ALG191" s="6"/>
      <c r="ALH191" s="6"/>
      <c r="ALI191" s="6"/>
      <c r="ALJ191" s="6"/>
      <c r="ALK191" s="6"/>
      <c r="ALL191" s="6"/>
      <c r="ALM191" s="6"/>
      <c r="ALN191" s="6"/>
      <c r="ALO191" s="6"/>
      <c r="ALP191" s="6"/>
      <c r="ALQ191" s="6"/>
      <c r="ALR191" s="6"/>
      <c r="ALS191" s="6"/>
      <c r="ALT191" s="6"/>
      <c r="ALU191" s="6"/>
      <c r="ALV191" s="6"/>
      <c r="ALW191" s="6"/>
      <c r="ALX191" s="6"/>
      <c r="ALY191" s="6"/>
      <c r="ALZ191" s="6"/>
      <c r="AMA191" s="6"/>
      <c r="AMB191" s="6"/>
      <c r="AMC191" s="6"/>
      <c r="AMD191" s="6"/>
      <c r="AME191" s="6"/>
      <c r="AMF191" s="6"/>
      <c r="AMG191" s="6"/>
      <c r="AMH191" s="6"/>
      <c r="AMI191" s="6"/>
      <c r="AMJ191" s="6"/>
      <c r="AMK191" s="6"/>
      <c r="AML191" s="6"/>
      <c r="AMM191" s="6"/>
      <c r="AMN191" s="6"/>
      <c r="AMO191" s="6"/>
      <c r="AMP191" s="6"/>
    </row>
    <row r="192" spans="1:1030" x14ac:dyDescent="0.2">
      <c r="A192" s="3" t="str">
        <f t="shared" si="1371"/>
        <v>ccr5_human__wt</v>
      </c>
      <c r="B192" s="3" t="s">
        <v>173</v>
      </c>
      <c r="C192" s="3" t="s">
        <v>100</v>
      </c>
      <c r="D192" s="3" t="str">
        <f>IFERROR(MID(VLOOKUP($B192,Seqs!$A:$B,2,0),E192,1),"")</f>
        <v>K</v>
      </c>
      <c r="E192" s="3">
        <v>22</v>
      </c>
      <c r="F192" s="3" t="str">
        <f>IFERROR(MID(VLOOKUP($B192,Seqs!$A:$B,2,0),G192,1),"")</f>
        <v>C</v>
      </c>
      <c r="G192" s="3">
        <v>58</v>
      </c>
      <c r="H192" s="3" t="str">
        <f>IFERROR(MID(VLOOKUP($B192,Seqs!$A:$B,2,0),I192,1),"")</f>
        <v>K</v>
      </c>
      <c r="I192" s="23">
        <v>59</v>
      </c>
      <c r="J192" s="3" t="str">
        <f>IFERROR(MID(VLOOKUP($B192,Seqs!$A:$B,2,0),K192,1),"")</f>
        <v>K</v>
      </c>
      <c r="K192" s="23">
        <v>62</v>
      </c>
      <c r="L192" s="3" t="str">
        <f>IFERROR(MID(VLOOKUP($B192,Seqs!$A:$B,2,0),M192,1),"")</f>
        <v>S</v>
      </c>
      <c r="M192" s="3">
        <v>63</v>
      </c>
      <c r="N192" s="3" t="str">
        <f>IFERROR(MID(VLOOKUP($B192,Seqs!$A:$B,2,0),O192,1),"")</f>
        <v>A</v>
      </c>
      <c r="O192" s="3">
        <v>92</v>
      </c>
      <c r="P192" s="3" t="str">
        <f>IFERROR(MID(VLOOKUP($B192,Seqs!$A:$B,2,0),Q192,1),"")</f>
        <v>Q</v>
      </c>
      <c r="Q192" s="3">
        <v>93</v>
      </c>
      <c r="R192" s="3" t="str">
        <f>IFERROR(MID(VLOOKUP($B192,Seqs!$A:$B,2,0),S192,1),"")</f>
        <v>F</v>
      </c>
      <c r="S192" s="3">
        <v>96</v>
      </c>
      <c r="T192" s="3" t="str">
        <f>IFERROR(MID(VLOOKUP($B192,Seqs!$A:$B,2,0),U192,1),"")</f>
        <v>G</v>
      </c>
      <c r="U192" s="3">
        <v>97</v>
      </c>
      <c r="V192" s="3" t="str">
        <f>IFERROR(MID(VLOOKUP($B192,Seqs!$A:$B,2,0),W192,1),"")</f>
        <v>H</v>
      </c>
      <c r="W192" s="3">
        <v>132</v>
      </c>
      <c r="X192" s="3" t="str">
        <f>IFERROR(MID(VLOOKUP($B192,Seqs!$A:$B,2,0),Y192,1),"")</f>
        <v>A</v>
      </c>
      <c r="Y192" s="3">
        <v>133</v>
      </c>
      <c r="Z192" s="3" t="str">
        <f>IFERROR(MID(VLOOKUP($B192,Seqs!$A:$B,2,0),AA192,1),"")</f>
        <v>R</v>
      </c>
      <c r="AA192" s="3">
        <v>140</v>
      </c>
      <c r="AB192" s="3" t="str">
        <f>IFERROR(MID(VLOOKUP($B192,Seqs!$A:$B,2,0),AC192,1),"")</f>
        <v>T</v>
      </c>
      <c r="AC192" s="9">
        <v>141</v>
      </c>
      <c r="AD192" s="3" t="str">
        <f>IFERROR(MID(VLOOKUP($B192,Seqs!$A:$B,2,0),AE192,1),"")</f>
        <v>T</v>
      </c>
      <c r="AE192" s="3">
        <v>167</v>
      </c>
      <c r="AF192" s="3" t="str">
        <f>IFERROR(MID(VLOOKUP($B192,Seqs!$A:$B,2,0),AG192,1),"")</f>
        <v>C</v>
      </c>
      <c r="AG192" s="3">
        <v>178</v>
      </c>
      <c r="AH192" s="3" t="str">
        <f>IFERROR(MID(VLOOKUP($B192,Seqs!$A:$B,2,0),AI192,1),"")</f>
        <v>S</v>
      </c>
      <c r="AI192" s="3">
        <v>180</v>
      </c>
      <c r="AJ192" s="3" t="str">
        <f>IFERROR(MID(VLOOKUP($B192,Seqs!$A:$B,2,0),AK192,1),"")</f>
        <v>Q</v>
      </c>
      <c r="AK192" s="3">
        <v>186</v>
      </c>
      <c r="AL192" s="3" t="str">
        <f>IFERROR(MID(VLOOKUP($B192,Seqs!$A:$B,2,0),AM192,1),"")</f>
        <v>C</v>
      </c>
      <c r="AM192" s="3">
        <v>224</v>
      </c>
      <c r="AN192" s="3" t="str">
        <f>IFERROR(MID(VLOOKUP($B192,Seqs!$A:$B,2,0),AO192,1),"")</f>
        <v>K</v>
      </c>
      <c r="AO192" s="3">
        <v>228</v>
      </c>
      <c r="AP192" s="3" t="str">
        <f>IFERROR(MID(VLOOKUP($B192,Seqs!$A:$B,2,0),AQ192,1),"")</f>
        <v>G</v>
      </c>
      <c r="AQ192" s="3">
        <v>265</v>
      </c>
      <c r="AR192" s="3" t="str">
        <f>IFERROR(MID(VLOOKUP($B192,Seqs!$A:$B,2,0),AS192,1),"")</f>
        <v>N</v>
      </c>
      <c r="AS192" s="3">
        <v>268</v>
      </c>
      <c r="AT192" s="3" t="str">
        <f>IFERROR(MID(VLOOKUP($B192,Seqs!$A:$B,2,0),AU192,1),"")</f>
        <v>V</v>
      </c>
      <c r="AU192" s="3">
        <v>300</v>
      </c>
      <c r="AV192" s="3" t="str">
        <f>IFERROR(MID(VLOOKUP($B192,Seqs!$A:$B,2,0),AW192,1),"")</f>
        <v>G</v>
      </c>
      <c r="AW192" s="3">
        <v>301</v>
      </c>
      <c r="AX192" s="3" t="str">
        <f>IFERROR(MID(VLOOKUP($B192,Seqs!$A:$B,2,0),AY192,1),"")</f>
        <v>Q</v>
      </c>
      <c r="AY192" s="3">
        <v>313</v>
      </c>
      <c r="AZ192" s="77" t="str">
        <f>VLOOKUP(B192,Classification!A:D,2,0)</f>
        <v>A</v>
      </c>
      <c r="BA192" s="94" t="str">
        <f>VLOOKUP(B192,Classification!A:D,4,0)</f>
        <v>Chemokine</v>
      </c>
      <c r="BB192" s="27" t="b">
        <f t="shared" si="1372"/>
        <v>1</v>
      </c>
      <c r="BC192" s="23">
        <f t="shared" si="1121"/>
        <v>272</v>
      </c>
      <c r="BD192" s="34" t="s">
        <v>23</v>
      </c>
      <c r="BE192" s="3" t="s">
        <v>23</v>
      </c>
      <c r="BF192" s="118" t="s">
        <v>23</v>
      </c>
      <c r="BG192" s="49" t="s">
        <v>1366</v>
      </c>
      <c r="BH192" s="49" t="s">
        <v>1371</v>
      </c>
      <c r="BI192" s="1"/>
      <c r="BJ192" s="70" t="s">
        <v>1281</v>
      </c>
      <c r="BK192" s="57" t="s">
        <v>1281</v>
      </c>
      <c r="BL192" s="57" t="s">
        <v>1281</v>
      </c>
      <c r="BM192" s="57" t="s">
        <v>1281</v>
      </c>
      <c r="BN192" s="57" t="s">
        <v>1281</v>
      </c>
      <c r="BO192" s="57" t="s">
        <v>1281</v>
      </c>
      <c r="BP192" s="57" t="s">
        <v>1281</v>
      </c>
      <c r="BQ192" s="57" t="s">
        <v>1281</v>
      </c>
      <c r="BR192" s="57" t="s">
        <v>1281</v>
      </c>
      <c r="BS192" s="57" t="s">
        <v>1281</v>
      </c>
      <c r="BT192" s="57" t="s">
        <v>1281</v>
      </c>
      <c r="BU192" s="57" t="s">
        <v>1281</v>
      </c>
      <c r="BV192" s="70">
        <f t="shared" si="1122"/>
        <v>22</v>
      </c>
      <c r="BW192" s="71">
        <f t="shared" si="1123"/>
        <v>59</v>
      </c>
      <c r="BX192" s="72">
        <f t="shared" si="1124"/>
        <v>63</v>
      </c>
      <c r="BY192" s="71">
        <f t="shared" si="1125"/>
        <v>93</v>
      </c>
      <c r="BZ192" s="72">
        <f t="shared" si="1126"/>
        <v>97</v>
      </c>
      <c r="CA192" s="71">
        <f t="shared" si="1127"/>
        <v>133</v>
      </c>
      <c r="CB192" s="72">
        <f t="shared" si="1128"/>
        <v>141</v>
      </c>
      <c r="CC192" s="71">
        <f t="shared" si="1129"/>
        <v>178</v>
      </c>
      <c r="CD192" s="72">
        <f t="shared" si="1130"/>
        <v>186</v>
      </c>
      <c r="CE192" s="71">
        <f t="shared" si="1131"/>
        <v>228</v>
      </c>
      <c r="CF192" s="72">
        <f t="shared" si="1132"/>
        <v>268</v>
      </c>
      <c r="CG192" s="71">
        <f t="shared" si="1133"/>
        <v>301</v>
      </c>
      <c r="CH192" s="70">
        <f t="shared" si="1134"/>
        <v>58</v>
      </c>
      <c r="CI192" s="71">
        <f t="shared" si="1135"/>
        <v>62</v>
      </c>
      <c r="CJ192" s="72">
        <f t="shared" si="1136"/>
        <v>92</v>
      </c>
      <c r="CK192" s="72">
        <f t="shared" si="1137"/>
        <v>96</v>
      </c>
      <c r="CL192" s="72">
        <f t="shared" si="1138"/>
        <v>132</v>
      </c>
      <c r="CM192" s="72">
        <f t="shared" si="1139"/>
        <v>140</v>
      </c>
      <c r="CN192" s="72">
        <f t="shared" si="1140"/>
        <v>167</v>
      </c>
      <c r="CO192" s="72">
        <f t="shared" si="1141"/>
        <v>180</v>
      </c>
      <c r="CP192" s="72">
        <f t="shared" si="1142"/>
        <v>224</v>
      </c>
      <c r="CQ192" s="72">
        <f t="shared" si="1143"/>
        <v>265</v>
      </c>
      <c r="CR192" s="72">
        <f t="shared" si="1144"/>
        <v>300</v>
      </c>
      <c r="CS192" s="72">
        <f t="shared" si="1145"/>
        <v>313</v>
      </c>
      <c r="CT192" s="23">
        <f t="shared" si="1146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 t="shared" si="1371"/>
        <v>ccr5_human_4MBS</v>
      </c>
      <c r="B193" s="3" t="s">
        <v>173</v>
      </c>
      <c r="C193" s="3" t="s">
        <v>74</v>
      </c>
      <c r="D193" s="3" t="str">
        <f>IFERROR(MID(VLOOKUP($B193,Seqs!$A:$B,2,0),E193,1),"")</f>
        <v>V</v>
      </c>
      <c r="E193" s="3">
        <v>25</v>
      </c>
      <c r="F193" s="3" t="str">
        <f>IFERROR(MID(VLOOKUP($B193,Seqs!$A:$B,2,0),G193,1),"")</f>
        <v>C</v>
      </c>
      <c r="G193" s="3">
        <v>58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S</v>
      </c>
      <c r="M193" s="3">
        <v>63</v>
      </c>
      <c r="N193" s="3" t="str">
        <f>IFERROR(MID(VLOOKUP($B193,Seqs!$A:$B,2,0),O193,1),"")</f>
        <v>A</v>
      </c>
      <c r="O193" s="3">
        <v>92</v>
      </c>
      <c r="P193" s="3" t="str">
        <f>IFERROR(MID(VLOOKUP($B193,Seqs!$A:$B,2,0),Q193,1),"")</f>
        <v>Q</v>
      </c>
      <c r="Q193" s="3">
        <v>93</v>
      </c>
      <c r="R193" s="3" t="str">
        <f>IFERROR(MID(VLOOKUP($B193,Seqs!$A:$B,2,0),S193,1),"")</f>
        <v>F</v>
      </c>
      <c r="S193" s="3">
        <v>96</v>
      </c>
      <c r="T193" s="3" t="str">
        <f>IFERROR(MID(VLOOKUP($B193,Seqs!$A:$B,2,0),U193,1),"")</f>
        <v>G</v>
      </c>
      <c r="U193" s="3">
        <v>97</v>
      </c>
      <c r="V193" s="3" t="str">
        <f>IFERROR(MID(VLOOKUP($B193,Seqs!$A:$B,2,0),W193,1),"")</f>
        <v>H</v>
      </c>
      <c r="W193" s="3">
        <v>132</v>
      </c>
      <c r="X193" s="3" t="str">
        <f>IFERROR(MID(VLOOKUP($B193,Seqs!$A:$B,2,0),Y193,1),"")</f>
        <v>A</v>
      </c>
      <c r="Y193" s="3">
        <v>133</v>
      </c>
      <c r="Z193" s="3" t="str">
        <f>IFERROR(MID(VLOOKUP($B193,Seqs!$A:$B,2,0),AA193,1),"")</f>
        <v>R</v>
      </c>
      <c r="AA193" s="3">
        <v>140</v>
      </c>
      <c r="AB193" s="3" t="str">
        <f>IFERROR(MID(VLOOKUP($B193,Seqs!$A:$B,2,0),AC193,1),"")</f>
        <v>T</v>
      </c>
      <c r="AC193" s="9">
        <v>141</v>
      </c>
      <c r="AD193" s="3" t="str">
        <f>IFERROR(MID(VLOOKUP($B193,Seqs!$A:$B,2,0),AE193,1),"")</f>
        <v>T</v>
      </c>
      <c r="AE193" s="3">
        <v>167</v>
      </c>
      <c r="AF193" s="3" t="str">
        <f>IFERROR(MID(VLOOKUP($B193,Seqs!$A:$B,2,0),AG193,1),"")</f>
        <v>C</v>
      </c>
      <c r="AG193" s="3">
        <v>178</v>
      </c>
      <c r="AH193" s="3" t="str">
        <f>IFERROR(MID(VLOOKUP($B193,Seqs!$A:$B,2,0),AI193,1),"")</f>
        <v>S</v>
      </c>
      <c r="AI193" s="3">
        <v>180</v>
      </c>
      <c r="AJ193" s="3" t="str">
        <f>IFERROR(MID(VLOOKUP($B193,Seqs!$A:$B,2,0),AK193,1),"")</f>
        <v>Q</v>
      </c>
      <c r="AK193" s="3">
        <v>186</v>
      </c>
      <c r="AL193" s="3" t="str">
        <f>IFERROR(MID(VLOOKUP($B193,Seqs!$A:$B,2,0),AM193,1),"")</f>
        <v>R</v>
      </c>
      <c r="AM193" s="3">
        <v>223</v>
      </c>
      <c r="AN193" s="3" t="str">
        <f>IFERROR(MID(VLOOKUP($B193,Seqs!$A:$B,2,0),AO193,1),"")</f>
        <v>K</v>
      </c>
      <c r="AO193" s="3">
        <v>228</v>
      </c>
      <c r="AP193" s="3" t="str">
        <f>IFERROR(MID(VLOOKUP($B193,Seqs!$A:$B,2,0),AQ193,1),"")</f>
        <v>G</v>
      </c>
      <c r="AQ193" s="3">
        <v>265</v>
      </c>
      <c r="AR193" s="3" t="str">
        <f>IFERROR(MID(VLOOKUP($B193,Seqs!$A:$B,2,0),AS193,1),"")</f>
        <v>N</v>
      </c>
      <c r="AS193" s="3">
        <v>268</v>
      </c>
      <c r="AT193" s="3" t="str">
        <f>IFERROR(MID(VLOOKUP($B193,Seqs!$A:$B,2,0),AU193,1),"")</f>
        <v>V</v>
      </c>
      <c r="AU193" s="3">
        <v>300</v>
      </c>
      <c r="AV193" s="3" t="str">
        <f>IFERROR(MID(VLOOKUP($B193,Seqs!$A:$B,2,0),AW193,1),"")</f>
        <v>G</v>
      </c>
      <c r="AW193" s="3">
        <v>301</v>
      </c>
      <c r="AX193" s="3" t="str">
        <f>IFERROR(MID(VLOOKUP($B193,Seqs!$A:$B,2,0),AY193,1),"")</f>
        <v>Q</v>
      </c>
      <c r="AY193" s="3">
        <v>313</v>
      </c>
      <c r="AZ193" s="77" t="str">
        <f>VLOOKUP(B193,Classification!A:D,2,0)</f>
        <v>A</v>
      </c>
      <c r="BA193" s="94" t="str">
        <f>VLOOKUP(B193,Classification!A:D,4,0)</f>
        <v>Chemokine</v>
      </c>
      <c r="BB193" s="27" t="b">
        <f t="shared" si="1372"/>
        <v>1</v>
      </c>
      <c r="BC193" s="23">
        <f t="shared" si="1121"/>
        <v>265</v>
      </c>
      <c r="BD193" s="2" t="s">
        <v>23</v>
      </c>
      <c r="BE193" s="3" t="s">
        <v>1368</v>
      </c>
      <c r="BF193" s="118">
        <v>2.71</v>
      </c>
      <c r="BG193" s="49" t="s">
        <v>1371</v>
      </c>
      <c r="BH193" s="49" t="s">
        <v>1371</v>
      </c>
      <c r="BI193" s="1"/>
      <c r="BJ193" s="70" t="s">
        <v>1281</v>
      </c>
      <c r="BK193" s="57" t="s">
        <v>1281</v>
      </c>
      <c r="BL193" s="57" t="s">
        <v>1281</v>
      </c>
      <c r="BM193" s="57" t="s">
        <v>1281</v>
      </c>
      <c r="BN193" s="57" t="s">
        <v>1281</v>
      </c>
      <c r="BO193" s="57" t="s">
        <v>1281</v>
      </c>
      <c r="BP193" s="57" t="s">
        <v>1281</v>
      </c>
      <c r="BQ193" s="57" t="s">
        <v>1281</v>
      </c>
      <c r="BR193" s="57" t="s">
        <v>1281</v>
      </c>
      <c r="BS193" s="57" t="s">
        <v>1281</v>
      </c>
      <c r="BT193" s="57" t="s">
        <v>1281</v>
      </c>
      <c r="BU193" s="57" t="s">
        <v>1281</v>
      </c>
      <c r="BV193" s="70">
        <f t="shared" si="1122"/>
        <v>25</v>
      </c>
      <c r="BW193" s="71" t="str">
        <f t="shared" si="1123"/>
        <v>-</v>
      </c>
      <c r="BX193" s="72">
        <f t="shared" si="1124"/>
        <v>63</v>
      </c>
      <c r="BY193" s="71">
        <f t="shared" si="1125"/>
        <v>93</v>
      </c>
      <c r="BZ193" s="72">
        <f t="shared" si="1126"/>
        <v>97</v>
      </c>
      <c r="CA193" s="71">
        <f t="shared" si="1127"/>
        <v>133</v>
      </c>
      <c r="CB193" s="72">
        <f t="shared" si="1128"/>
        <v>141</v>
      </c>
      <c r="CC193" s="71">
        <f t="shared" si="1129"/>
        <v>178</v>
      </c>
      <c r="CD193" s="72">
        <f t="shared" si="1130"/>
        <v>186</v>
      </c>
      <c r="CE193" s="71">
        <f t="shared" si="1131"/>
        <v>228</v>
      </c>
      <c r="CF193" s="72">
        <f t="shared" si="1132"/>
        <v>268</v>
      </c>
      <c r="CG193" s="71">
        <f t="shared" si="1133"/>
        <v>301</v>
      </c>
      <c r="CH193" s="70">
        <f t="shared" si="1134"/>
        <v>58</v>
      </c>
      <c r="CI193" s="71" t="str">
        <f t="shared" si="1135"/>
        <v>-</v>
      </c>
      <c r="CJ193" s="72">
        <f t="shared" si="1136"/>
        <v>92</v>
      </c>
      <c r="CK193" s="72">
        <f t="shared" si="1137"/>
        <v>96</v>
      </c>
      <c r="CL193" s="72">
        <f t="shared" si="1138"/>
        <v>132</v>
      </c>
      <c r="CM193" s="72">
        <f t="shared" si="1139"/>
        <v>140</v>
      </c>
      <c r="CN193" s="72">
        <f t="shared" si="1140"/>
        <v>167</v>
      </c>
      <c r="CO193" s="72">
        <f t="shared" si="1141"/>
        <v>180</v>
      </c>
      <c r="CP193" s="72">
        <f t="shared" si="1142"/>
        <v>223</v>
      </c>
      <c r="CQ193" s="72">
        <f t="shared" si="1143"/>
        <v>265</v>
      </c>
      <c r="CR193" s="72">
        <f t="shared" si="1144"/>
        <v>300</v>
      </c>
      <c r="CS193" s="72">
        <f t="shared" si="1145"/>
        <v>313</v>
      </c>
      <c r="CT193" s="23" t="e">
        <f t="shared" si="1146"/>
        <v>#VALUE!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>CONCATENATE(B194,"_",C194)</f>
        <v>ccr5_human_5UIW</v>
      </c>
      <c r="B194" s="3" t="s">
        <v>173</v>
      </c>
      <c r="C194" s="3" t="s">
        <v>1417</v>
      </c>
      <c r="D194" s="3" t="str">
        <f>IFERROR(MID(VLOOKUP($B194,Seqs!$A:$B,2,0),E194,1),"")</f>
        <v>K</v>
      </c>
      <c r="E194" s="3">
        <v>22</v>
      </c>
      <c r="F194" s="3" t="str">
        <f>IFERROR(MID(VLOOKUP($B194,Seqs!$A:$B,2,0),G194,1),"")</f>
        <v>C</v>
      </c>
      <c r="G194" s="3">
        <v>58</v>
      </c>
      <c r="H194" s="3" t="str">
        <f>IFERROR(MID(VLOOKUP($B194,Seqs!$A:$B,2,0),I194,1),"")</f>
        <v/>
      </c>
      <c r="I194" s="23" t="s">
        <v>23</v>
      </c>
      <c r="J194" s="3" t="str">
        <f>IFERROR(MID(VLOOKUP($B194,Seqs!$A:$B,2,0),K194,1),"")</f>
        <v/>
      </c>
      <c r="K194" s="23" t="s">
        <v>23</v>
      </c>
      <c r="L194" s="3" t="str">
        <f>IFERROR(MID(VLOOKUP($B194,Seqs!$A:$B,2,0),M194,1),"")</f>
        <v>S</v>
      </c>
      <c r="M194" s="3">
        <v>63</v>
      </c>
      <c r="N194" s="3" t="str">
        <f>IFERROR(MID(VLOOKUP($B194,Seqs!$A:$B,2,0),O194,1),"")</f>
        <v>A</v>
      </c>
      <c r="O194" s="3">
        <v>92</v>
      </c>
      <c r="P194" s="3" t="str">
        <f>IFERROR(MID(VLOOKUP($B194,Seqs!$A:$B,2,0),Q194,1),"")</f>
        <v>Q</v>
      </c>
      <c r="Q194" s="3">
        <v>93</v>
      </c>
      <c r="R194" s="3" t="str">
        <f>IFERROR(MID(VLOOKUP($B194,Seqs!$A:$B,2,0),S194,1),"")</f>
        <v>F</v>
      </c>
      <c r="S194" s="3">
        <v>96</v>
      </c>
      <c r="T194" s="3" t="str">
        <f>IFERROR(MID(VLOOKUP($B194,Seqs!$A:$B,2,0),U194,1),"")</f>
        <v>G</v>
      </c>
      <c r="U194" s="3">
        <v>97</v>
      </c>
      <c r="V194" s="3" t="str">
        <f>IFERROR(MID(VLOOKUP($B194,Seqs!$A:$B,2,0),W194,1),"")</f>
        <v>H</v>
      </c>
      <c r="W194" s="3">
        <v>132</v>
      </c>
      <c r="X194" s="3" t="str">
        <f>IFERROR(MID(VLOOKUP($B194,Seqs!$A:$B,2,0),Y194,1),"")</f>
        <v>A</v>
      </c>
      <c r="Y194" s="3">
        <v>133</v>
      </c>
      <c r="Z194" s="3" t="str">
        <f>IFERROR(MID(VLOOKUP($B194,Seqs!$A:$B,2,0),AA194,1),"")</f>
        <v>R</v>
      </c>
      <c r="AA194" s="3">
        <v>140</v>
      </c>
      <c r="AB194" s="3" t="str">
        <f>IFERROR(MID(VLOOKUP($B194,Seqs!$A:$B,2,0),AC194,1),"")</f>
        <v>T</v>
      </c>
      <c r="AC194" s="3">
        <v>141</v>
      </c>
      <c r="AD194" s="3" t="str">
        <f>IFERROR(MID(VLOOKUP($B194,Seqs!$A:$B,2,0),AE194,1),"")</f>
        <v>T</v>
      </c>
      <c r="AE194" s="3">
        <v>167</v>
      </c>
      <c r="AF194" s="3" t="str">
        <f>IFERROR(MID(VLOOKUP($B194,Seqs!$A:$B,2,0),AG194,1),"")</f>
        <v>C</v>
      </c>
      <c r="AG194" s="3">
        <v>178</v>
      </c>
      <c r="AH194" s="3" t="str">
        <f>IFERROR(MID(VLOOKUP($B194,Seqs!$A:$B,2,0),AI194,1),"")</f>
        <v>S</v>
      </c>
      <c r="AI194" s="3">
        <v>180</v>
      </c>
      <c r="AJ194" s="3" t="str">
        <f>IFERROR(MID(VLOOKUP($B194,Seqs!$A:$B,2,0),AK194,1),"")</f>
        <v>Q</v>
      </c>
      <c r="AK194" s="3">
        <v>186</v>
      </c>
      <c r="AL194" s="3" t="str">
        <f>IFERROR(MID(VLOOKUP($B194,Seqs!$A:$B,2,0),AM194,1),"")</f>
        <v>R</v>
      </c>
      <c r="AM194" s="3">
        <v>223</v>
      </c>
      <c r="AN194" s="3" t="str">
        <f>IFERROR(MID(VLOOKUP($B194,Seqs!$A:$B,2,0),AO194,1),"")</f>
        <v>E</v>
      </c>
      <c r="AO194" s="3">
        <v>227</v>
      </c>
      <c r="AP194" s="3" t="str">
        <f>IFERROR(MID(VLOOKUP($B194,Seqs!$A:$B,2,0),AQ194,1),"")</f>
        <v>Q</v>
      </c>
      <c r="AQ194" s="3">
        <v>261</v>
      </c>
      <c r="AR194" s="3" t="str">
        <f>IFERROR(MID(VLOOKUP($B194,Seqs!$A:$B,2,0),AS194,1),"")</f>
        <v>N</v>
      </c>
      <c r="AS194" s="3">
        <v>268</v>
      </c>
      <c r="AT194" s="3" t="str">
        <f>IFERROR(MID(VLOOKUP($B194,Seqs!$A:$B,2,0),AU194,1),"")</f>
        <v>V</v>
      </c>
      <c r="AU194" s="3">
        <v>300</v>
      </c>
      <c r="AV194" s="3" t="str">
        <f>IFERROR(MID(VLOOKUP($B194,Seqs!$A:$B,2,0),AW194,1),"")</f>
        <v>G</v>
      </c>
      <c r="AW194" s="3">
        <v>301</v>
      </c>
      <c r="AX194" s="3" t="str">
        <f>IFERROR(MID(VLOOKUP($B194,Seqs!$A:$B,2,0),AY194,1),"")</f>
        <v>I</v>
      </c>
      <c r="AY194" s="3">
        <v>316</v>
      </c>
      <c r="AZ194" s="77" t="str">
        <f>VLOOKUP(B194,Classification!A:D,2,0)</f>
        <v>A</v>
      </c>
      <c r="BA194" s="94" t="str">
        <f>VLOOKUP(B194,Classification!A:D,4,0)</f>
        <v>Chemokine</v>
      </c>
      <c r="BB194" s="27" t="b">
        <f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23">
        <f>_xlfn.AGGREGATE(9,6,CH194:CS194)-_xlfn.AGGREGATE(9,6,BV194:CG194)+12</f>
        <v>268</v>
      </c>
      <c r="BD194" s="2" t="s">
        <v>1370</v>
      </c>
      <c r="BE194" s="3" t="s">
        <v>1368</v>
      </c>
      <c r="BF194" s="118">
        <v>2.2000000000000002</v>
      </c>
      <c r="BG194" s="49" t="s">
        <v>1371</v>
      </c>
      <c r="BH194" s="49" t="s">
        <v>1371</v>
      </c>
      <c r="BI194" s="1"/>
      <c r="BJ194" s="70" t="s">
        <v>1281</v>
      </c>
      <c r="BK194" s="57" t="s">
        <v>1281</v>
      </c>
      <c r="BL194" s="57" t="s">
        <v>1281</v>
      </c>
      <c r="BM194" s="57" t="s">
        <v>1281</v>
      </c>
      <c r="BN194" s="57" t="s">
        <v>1281</v>
      </c>
      <c r="BO194" s="57" t="s">
        <v>1281</v>
      </c>
      <c r="BP194" s="57" t="s">
        <v>1281</v>
      </c>
      <c r="BQ194" s="57" t="s">
        <v>1281</v>
      </c>
      <c r="BR194" s="57" t="s">
        <v>1281</v>
      </c>
      <c r="BS194" s="57" t="s">
        <v>1281</v>
      </c>
      <c r="BT194" s="57" t="s">
        <v>1281</v>
      </c>
      <c r="BU194" s="57" t="s">
        <v>1281</v>
      </c>
      <c r="BV194" s="70">
        <f>E194</f>
        <v>22</v>
      </c>
      <c r="BW194" s="71" t="str">
        <f>I194</f>
        <v>-</v>
      </c>
      <c r="BX194" s="72">
        <f>M194</f>
        <v>63</v>
      </c>
      <c r="BY194" s="71">
        <f>Q194</f>
        <v>93</v>
      </c>
      <c r="BZ194" s="72">
        <f>U194</f>
        <v>97</v>
      </c>
      <c r="CA194" s="71">
        <f>Y194</f>
        <v>133</v>
      </c>
      <c r="CB194" s="72">
        <f>AC194</f>
        <v>141</v>
      </c>
      <c r="CC194" s="71">
        <f>AG194</f>
        <v>178</v>
      </c>
      <c r="CD194" s="72">
        <f>AK194</f>
        <v>186</v>
      </c>
      <c r="CE194" s="71">
        <f>AO194</f>
        <v>227</v>
      </c>
      <c r="CF194" s="72">
        <f>AS194</f>
        <v>268</v>
      </c>
      <c r="CG194" s="71">
        <f>AW194</f>
        <v>301</v>
      </c>
      <c r="CH194" s="70">
        <f>G194</f>
        <v>58</v>
      </c>
      <c r="CI194" s="71" t="str">
        <f>K194</f>
        <v>-</v>
      </c>
      <c r="CJ194" s="72">
        <f>O194</f>
        <v>92</v>
      </c>
      <c r="CK194" s="72">
        <f>S194</f>
        <v>96</v>
      </c>
      <c r="CL194" s="72">
        <f>W194</f>
        <v>132</v>
      </c>
      <c r="CM194" s="72">
        <f>AA194</f>
        <v>140</v>
      </c>
      <c r="CN194" s="72">
        <f>AE194</f>
        <v>167</v>
      </c>
      <c r="CO194" s="72">
        <f>AI194</f>
        <v>180</v>
      </c>
      <c r="CP194" s="72">
        <f>AM194</f>
        <v>223</v>
      </c>
      <c r="CQ194" s="72">
        <f>AQ194</f>
        <v>261</v>
      </c>
      <c r="CR194" s="72">
        <f>AU194</f>
        <v>300</v>
      </c>
      <c r="CS194" s="72">
        <f>AY194</f>
        <v>316</v>
      </c>
      <c r="CT194" s="23" t="e">
        <f>M194-K194</f>
        <v>#VALUE!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>CONCATENATE(B195,"_",C195)</f>
        <v>ccr5_human_6AKX</v>
      </c>
      <c r="B195" s="3" t="s">
        <v>173</v>
      </c>
      <c r="C195" s="3" t="s">
        <v>1518</v>
      </c>
      <c r="D195" s="3" t="str">
        <f>IFERROR(MID(VLOOKUP($B195,Seqs!$A:$B,2,0),E195,1),"")</f>
        <v>V</v>
      </c>
      <c r="E195" s="3">
        <v>25</v>
      </c>
      <c r="F195" s="3" t="str">
        <f>IFERROR(MID(VLOOKUP($B195,Seqs!$A:$B,2,0),G195,1),"")</f>
        <v>C</v>
      </c>
      <c r="G195" s="3">
        <v>58</v>
      </c>
      <c r="H195" s="3" t="str">
        <f>IFERROR(MID(VLOOKUP($B195,Seqs!$A:$B,2,0),I195,1),"")</f>
        <v/>
      </c>
      <c r="I195" s="23" t="s">
        <v>23</v>
      </c>
      <c r="J195" s="3" t="str">
        <f>IFERROR(MID(VLOOKUP($B195,Seqs!$A:$B,2,0),K195,1),"")</f>
        <v/>
      </c>
      <c r="K195" s="23" t="s">
        <v>23</v>
      </c>
      <c r="L195" s="3" t="str">
        <f>IFERROR(MID(VLOOKUP($B195,Seqs!$A:$B,2,0),M195,1),"")</f>
        <v>S</v>
      </c>
      <c r="M195" s="3">
        <v>63</v>
      </c>
      <c r="N195" s="3" t="str">
        <f>IFERROR(MID(VLOOKUP($B195,Seqs!$A:$B,2,0),O195,1),"")</f>
        <v>A</v>
      </c>
      <c r="O195" s="3">
        <v>92</v>
      </c>
      <c r="P195" s="3" t="str">
        <f>IFERROR(MID(VLOOKUP($B195,Seqs!$A:$B,2,0),Q195,1),"")</f>
        <v>Q</v>
      </c>
      <c r="Q195" s="3">
        <v>93</v>
      </c>
      <c r="R195" s="3" t="str">
        <f>IFERROR(MID(VLOOKUP($B195,Seqs!$A:$B,2,0),S195,1),"")</f>
        <v>F</v>
      </c>
      <c r="S195" s="3">
        <v>96</v>
      </c>
      <c r="T195" s="3" t="str">
        <f>IFERROR(MID(VLOOKUP($B195,Seqs!$A:$B,2,0),U195,1),"")</f>
        <v>G</v>
      </c>
      <c r="U195" s="3">
        <v>97</v>
      </c>
      <c r="V195" s="3" t="str">
        <f>IFERROR(MID(VLOOKUP($B195,Seqs!$A:$B,2,0),W195,1),"")</f>
        <v>H</v>
      </c>
      <c r="W195" s="3">
        <v>132</v>
      </c>
      <c r="X195" s="3" t="str">
        <f>IFERROR(MID(VLOOKUP($B195,Seqs!$A:$B,2,0),Y195,1),"")</f>
        <v>A</v>
      </c>
      <c r="Y195" s="3">
        <v>133</v>
      </c>
      <c r="Z195" s="3" t="str">
        <f>IFERROR(MID(VLOOKUP($B195,Seqs!$A:$B,2,0),AA195,1),"")</f>
        <v>R</v>
      </c>
      <c r="AA195" s="3">
        <v>140</v>
      </c>
      <c r="AB195" s="3" t="str">
        <f>IFERROR(MID(VLOOKUP($B195,Seqs!$A:$B,2,0),AC195,1),"")</f>
        <v>T</v>
      </c>
      <c r="AC195" s="3">
        <v>141</v>
      </c>
      <c r="AD195" s="3" t="str">
        <f>IFERROR(MID(VLOOKUP($B195,Seqs!$A:$B,2,0),AE195,1),"")</f>
        <v>T</v>
      </c>
      <c r="AE195" s="3">
        <v>167</v>
      </c>
      <c r="AF195" s="3" t="str">
        <f>IFERROR(MID(VLOOKUP($B195,Seqs!$A:$B,2,0),AG195,1),"")</f>
        <v>C</v>
      </c>
      <c r="AG195" s="3">
        <v>178</v>
      </c>
      <c r="AH195" s="3" t="str">
        <f>IFERROR(MID(VLOOKUP($B195,Seqs!$A:$B,2,0),AI195,1),"")</f>
        <v>S</v>
      </c>
      <c r="AI195" s="3">
        <v>180</v>
      </c>
      <c r="AJ195" s="3" t="str">
        <f>IFERROR(MID(VLOOKUP($B195,Seqs!$A:$B,2,0),AK195,1),"")</f>
        <v>Q</v>
      </c>
      <c r="AK195" s="3">
        <v>186</v>
      </c>
      <c r="AL195" s="3" t="str">
        <f>IFERROR(MID(VLOOKUP($B195,Seqs!$A:$B,2,0),AM195,1),"")</f>
        <v>R</v>
      </c>
      <c r="AM195" s="3">
        <v>223</v>
      </c>
      <c r="AN195" s="3" t="str">
        <f>IFERROR(MID(VLOOKUP($B195,Seqs!$A:$B,2,0),AO195,1),"")</f>
        <v>K</v>
      </c>
      <c r="AO195" s="3">
        <v>228</v>
      </c>
      <c r="AP195" s="3" t="str">
        <f>IFERROR(MID(VLOOKUP($B195,Seqs!$A:$B,2,0),AQ195,1),"")</f>
        <v>G</v>
      </c>
      <c r="AQ195" s="3">
        <v>265</v>
      </c>
      <c r="AR195" s="3" t="str">
        <f>IFERROR(MID(VLOOKUP($B195,Seqs!$A:$B,2,0),AS195,1),"")</f>
        <v>N</v>
      </c>
      <c r="AS195" s="3">
        <v>268</v>
      </c>
      <c r="AT195" s="3" t="str">
        <f>IFERROR(MID(VLOOKUP($B195,Seqs!$A:$B,2,0),AU195,1),"")</f>
        <v>V</v>
      </c>
      <c r="AU195" s="3">
        <v>300</v>
      </c>
      <c r="AV195" s="3" t="str">
        <f>IFERROR(MID(VLOOKUP($B195,Seqs!$A:$B,2,0),AW195,1),"")</f>
        <v>G</v>
      </c>
      <c r="AW195" s="3">
        <v>301</v>
      </c>
      <c r="AX195" s="3" t="str">
        <f>IFERROR(MID(VLOOKUP($B195,Seqs!$A:$B,2,0),AY195,1),"")</f>
        <v>Q</v>
      </c>
      <c r="AY195" s="3">
        <v>313</v>
      </c>
      <c r="AZ195" s="77" t="str">
        <f>VLOOKUP(B195,Classification!A:D,2,0)</f>
        <v>A</v>
      </c>
      <c r="BA195" s="94" t="str">
        <f>VLOOKUP(B195,Classification!A:D,4,0)</f>
        <v>Chemokine</v>
      </c>
      <c r="BB195" s="27" t="b">
        <f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23">
        <f>_xlfn.AGGREGATE(9,6,CH195:CS195)-_xlfn.AGGREGATE(9,6,BV195:CG195)+12</f>
        <v>265</v>
      </c>
      <c r="BD195" s="2" t="s">
        <v>23</v>
      </c>
      <c r="BE195" s="3" t="s">
        <v>1368</v>
      </c>
      <c r="BF195" s="118">
        <v>2.8</v>
      </c>
      <c r="BG195" s="49" t="s">
        <v>1275</v>
      </c>
      <c r="BH195" s="49" t="s">
        <v>1275</v>
      </c>
      <c r="BI195" s="1"/>
      <c r="BJ195" s="70" t="s">
        <v>1281</v>
      </c>
      <c r="BK195" s="57" t="s">
        <v>1281</v>
      </c>
      <c r="BL195" s="57" t="s">
        <v>1281</v>
      </c>
      <c r="BM195" s="57" t="s">
        <v>1281</v>
      </c>
      <c r="BN195" s="57" t="s">
        <v>1281</v>
      </c>
      <c r="BO195" s="57" t="s">
        <v>1281</v>
      </c>
      <c r="BP195" s="57" t="s">
        <v>1281</v>
      </c>
      <c r="BQ195" s="57" t="s">
        <v>1281</v>
      </c>
      <c r="BR195" s="57" t="s">
        <v>1281</v>
      </c>
      <c r="BS195" s="57" t="s">
        <v>1281</v>
      </c>
      <c r="BT195" s="57" t="s">
        <v>1281</v>
      </c>
      <c r="BU195" s="57" t="s">
        <v>1281</v>
      </c>
      <c r="BV195" s="70">
        <f>E195</f>
        <v>25</v>
      </c>
      <c r="BW195" s="71" t="str">
        <f>I195</f>
        <v>-</v>
      </c>
      <c r="BX195" s="72">
        <f>M195</f>
        <v>63</v>
      </c>
      <c r="BY195" s="71">
        <f>Q195</f>
        <v>93</v>
      </c>
      <c r="BZ195" s="72">
        <f>U195</f>
        <v>97</v>
      </c>
      <c r="CA195" s="71">
        <f>Y195</f>
        <v>133</v>
      </c>
      <c r="CB195" s="72">
        <f>AC195</f>
        <v>141</v>
      </c>
      <c r="CC195" s="71">
        <f>AG195</f>
        <v>178</v>
      </c>
      <c r="CD195" s="72">
        <f>AK195</f>
        <v>186</v>
      </c>
      <c r="CE195" s="71">
        <f>AO195</f>
        <v>228</v>
      </c>
      <c r="CF195" s="72">
        <f>AS195</f>
        <v>268</v>
      </c>
      <c r="CG195" s="71">
        <f>AW195</f>
        <v>301</v>
      </c>
      <c r="CH195" s="70">
        <f>G195</f>
        <v>58</v>
      </c>
      <c r="CI195" s="71" t="str">
        <f>K195</f>
        <v>-</v>
      </c>
      <c r="CJ195" s="72">
        <f>O195</f>
        <v>92</v>
      </c>
      <c r="CK195" s="72">
        <f>S195</f>
        <v>96</v>
      </c>
      <c r="CL195" s="72">
        <f>W195</f>
        <v>132</v>
      </c>
      <c r="CM195" s="72">
        <f>AA195</f>
        <v>140</v>
      </c>
      <c r="CN195" s="72">
        <f>AE195</f>
        <v>167</v>
      </c>
      <c r="CO195" s="72">
        <f>AI195</f>
        <v>180</v>
      </c>
      <c r="CP195" s="72">
        <f>AM195</f>
        <v>223</v>
      </c>
      <c r="CQ195" s="72">
        <f>AQ195</f>
        <v>265</v>
      </c>
      <c r="CR195" s="72">
        <f>AU195</f>
        <v>300</v>
      </c>
      <c r="CS195" s="72">
        <f>AY195</f>
        <v>313</v>
      </c>
      <c r="CT195" s="23" t="e">
        <f>M195-K195</f>
        <v>#VALUE!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>CONCATENATE(B196,"_",C196)</f>
        <v>ccr5_human_6AKY</v>
      </c>
      <c r="B196" s="3" t="s">
        <v>173</v>
      </c>
      <c r="C196" s="3" t="s">
        <v>1519</v>
      </c>
      <c r="D196" s="3" t="str">
        <f>IFERROR(MID(VLOOKUP($B196,Seqs!$A:$B,2,0),E196,1),"")</f>
        <v>V</v>
      </c>
      <c r="E196" s="3">
        <v>25</v>
      </c>
      <c r="F196" s="3" t="str">
        <f>IFERROR(MID(VLOOKUP($B196,Seqs!$A:$B,2,0),G196,1),"")</f>
        <v>C</v>
      </c>
      <c r="G196" s="3">
        <v>58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S</v>
      </c>
      <c r="M196" s="3">
        <v>63</v>
      </c>
      <c r="N196" s="3" t="str">
        <f>IFERROR(MID(VLOOKUP($B196,Seqs!$A:$B,2,0),O196,1),"")</f>
        <v>A</v>
      </c>
      <c r="O196" s="3">
        <v>92</v>
      </c>
      <c r="P196" s="3" t="str">
        <f>IFERROR(MID(VLOOKUP($B196,Seqs!$A:$B,2,0),Q196,1),"")</f>
        <v>Q</v>
      </c>
      <c r="Q196" s="3">
        <v>93</v>
      </c>
      <c r="R196" s="3" t="str">
        <f>IFERROR(MID(VLOOKUP($B196,Seqs!$A:$B,2,0),S196,1),"")</f>
        <v>F</v>
      </c>
      <c r="S196" s="3">
        <v>96</v>
      </c>
      <c r="T196" s="3" t="str">
        <f>IFERROR(MID(VLOOKUP($B196,Seqs!$A:$B,2,0),U196,1),"")</f>
        <v>G</v>
      </c>
      <c r="U196" s="3">
        <v>97</v>
      </c>
      <c r="V196" s="3" t="str">
        <f>IFERROR(MID(VLOOKUP($B196,Seqs!$A:$B,2,0),W196,1),"")</f>
        <v>H</v>
      </c>
      <c r="W196" s="3">
        <v>132</v>
      </c>
      <c r="X196" s="3" t="str">
        <f>IFERROR(MID(VLOOKUP($B196,Seqs!$A:$B,2,0),Y196,1),"")</f>
        <v>A</v>
      </c>
      <c r="Y196" s="3">
        <v>133</v>
      </c>
      <c r="Z196" s="3" t="str">
        <f>IFERROR(MID(VLOOKUP($B196,Seqs!$A:$B,2,0),AA196,1),"")</f>
        <v>R</v>
      </c>
      <c r="AA196" s="3">
        <v>140</v>
      </c>
      <c r="AB196" s="3" t="str">
        <f>IFERROR(MID(VLOOKUP($B196,Seqs!$A:$B,2,0),AC196,1),"")</f>
        <v>T</v>
      </c>
      <c r="AC196" s="3">
        <v>141</v>
      </c>
      <c r="AD196" s="3" t="str">
        <f>IFERROR(MID(VLOOKUP($B196,Seqs!$A:$B,2,0),AE196,1),"")</f>
        <v>T</v>
      </c>
      <c r="AE196" s="3">
        <v>167</v>
      </c>
      <c r="AF196" s="3" t="str">
        <f>IFERROR(MID(VLOOKUP($B196,Seqs!$A:$B,2,0),AG196,1),"")</f>
        <v>C</v>
      </c>
      <c r="AG196" s="3">
        <v>178</v>
      </c>
      <c r="AH196" s="3" t="str">
        <f>IFERROR(MID(VLOOKUP($B196,Seqs!$A:$B,2,0),AI196,1),"")</f>
        <v>S</v>
      </c>
      <c r="AI196" s="3">
        <v>180</v>
      </c>
      <c r="AJ196" s="3" t="str">
        <f>IFERROR(MID(VLOOKUP($B196,Seqs!$A:$B,2,0),AK196,1),"")</f>
        <v>Q</v>
      </c>
      <c r="AK196" s="3">
        <v>186</v>
      </c>
      <c r="AL196" s="3" t="str">
        <f>IFERROR(MID(VLOOKUP($B196,Seqs!$A:$B,2,0),AM196,1),"")</f>
        <v>R</v>
      </c>
      <c r="AM196" s="3">
        <v>223</v>
      </c>
      <c r="AN196" s="3" t="str">
        <f>IFERROR(MID(VLOOKUP($B196,Seqs!$A:$B,2,0),AO196,1),"")</f>
        <v>H</v>
      </c>
      <c r="AO196" s="3">
        <v>231</v>
      </c>
      <c r="AP196" s="3" t="str">
        <f>IFERROR(MID(VLOOKUP($B196,Seqs!$A:$B,2,0),AQ196,1),"")</f>
        <v>F</v>
      </c>
      <c r="AQ196" s="3">
        <v>260</v>
      </c>
      <c r="AR196" s="3" t="str">
        <f>IFERROR(MID(VLOOKUP($B196,Seqs!$A:$B,2,0),AS196,1),"")</f>
        <v>N</v>
      </c>
      <c r="AS196" s="3">
        <v>268</v>
      </c>
      <c r="AT196" s="3" t="str">
        <f>IFERROR(MID(VLOOKUP($B196,Seqs!$A:$B,2,0),AU196,1),"")</f>
        <v>V</v>
      </c>
      <c r="AU196" s="3">
        <v>300</v>
      </c>
      <c r="AV196" s="3" t="str">
        <f>IFERROR(MID(VLOOKUP($B196,Seqs!$A:$B,2,0),AW196,1),"")</f>
        <v>G</v>
      </c>
      <c r="AW196" s="3">
        <v>301</v>
      </c>
      <c r="AX196" s="3" t="str">
        <f>IFERROR(MID(VLOOKUP($B196,Seqs!$A:$B,2,0),AY196,1),"")</f>
        <v>L</v>
      </c>
      <c r="AY196" s="3">
        <v>308</v>
      </c>
      <c r="AZ196" s="77" t="str">
        <f>VLOOKUP(B196,Classification!A:D,2,0)</f>
        <v>A</v>
      </c>
      <c r="BA196" s="94" t="str">
        <f>VLOOKUP(B196,Classification!A:D,4,0)</f>
        <v>Chemokine</v>
      </c>
      <c r="BB196" s="27" t="b">
        <f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23">
        <f>_xlfn.AGGREGATE(9,6,CH196:CS196)-_xlfn.AGGREGATE(9,6,BV196:CG196)+12</f>
        <v>252</v>
      </c>
      <c r="BD196" s="2" t="s">
        <v>23</v>
      </c>
      <c r="BE196" s="3" t="s">
        <v>1368</v>
      </c>
      <c r="BF196" s="118">
        <v>2.8</v>
      </c>
      <c r="BG196" s="49" t="s">
        <v>1275</v>
      </c>
      <c r="BH196" s="49" t="s">
        <v>1275</v>
      </c>
      <c r="BI196" s="1"/>
      <c r="BJ196" s="70" t="s">
        <v>1281</v>
      </c>
      <c r="BK196" s="57" t="s">
        <v>1281</v>
      </c>
      <c r="BL196" s="57" t="s">
        <v>1281</v>
      </c>
      <c r="BM196" s="57" t="s">
        <v>1281</v>
      </c>
      <c r="BN196" s="57" t="s">
        <v>1281</v>
      </c>
      <c r="BO196" s="57" t="s">
        <v>1281</v>
      </c>
      <c r="BP196" s="57" t="s">
        <v>1281</v>
      </c>
      <c r="BQ196" s="57" t="s">
        <v>1281</v>
      </c>
      <c r="BR196" s="57" t="s">
        <v>1281</v>
      </c>
      <c r="BS196" s="57" t="s">
        <v>1281</v>
      </c>
      <c r="BT196" s="57" t="s">
        <v>1281</v>
      </c>
      <c r="BU196" s="57" t="s">
        <v>1281</v>
      </c>
      <c r="BV196" s="70">
        <f>E196</f>
        <v>25</v>
      </c>
      <c r="BW196" s="71" t="str">
        <f>I196</f>
        <v>-</v>
      </c>
      <c r="BX196" s="72">
        <f>M196</f>
        <v>63</v>
      </c>
      <c r="BY196" s="71">
        <f>Q196</f>
        <v>93</v>
      </c>
      <c r="BZ196" s="72">
        <f>U196</f>
        <v>97</v>
      </c>
      <c r="CA196" s="71">
        <f>Y196</f>
        <v>133</v>
      </c>
      <c r="CB196" s="72">
        <f>AC196</f>
        <v>141</v>
      </c>
      <c r="CC196" s="71">
        <f>AG196</f>
        <v>178</v>
      </c>
      <c r="CD196" s="72">
        <f>AK196</f>
        <v>186</v>
      </c>
      <c r="CE196" s="71">
        <f>AO196</f>
        <v>231</v>
      </c>
      <c r="CF196" s="72">
        <f>AS196</f>
        <v>268</v>
      </c>
      <c r="CG196" s="71">
        <f>AW196</f>
        <v>301</v>
      </c>
      <c r="CH196" s="70">
        <f>G196</f>
        <v>58</v>
      </c>
      <c r="CI196" s="71" t="str">
        <f>K196</f>
        <v>-</v>
      </c>
      <c r="CJ196" s="72">
        <f>O196</f>
        <v>92</v>
      </c>
      <c r="CK196" s="72">
        <f>S196</f>
        <v>96</v>
      </c>
      <c r="CL196" s="72">
        <f>W196</f>
        <v>132</v>
      </c>
      <c r="CM196" s="72">
        <f>AA196</f>
        <v>140</v>
      </c>
      <c r="CN196" s="72">
        <f>AE196</f>
        <v>167</v>
      </c>
      <c r="CO196" s="72">
        <f>AI196</f>
        <v>180</v>
      </c>
      <c r="CP196" s="72">
        <f>AM196</f>
        <v>223</v>
      </c>
      <c r="CQ196" s="72">
        <f>AQ196</f>
        <v>260</v>
      </c>
      <c r="CR196" s="72">
        <f>AU196</f>
        <v>300</v>
      </c>
      <c r="CS196" s="72">
        <f>AY196</f>
        <v>308</v>
      </c>
      <c r="CT196" s="23" t="e">
        <f>M196-K196</f>
        <v>#VALUE!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>CONCATENATE(B197,"_",C197)</f>
        <v>ccr5_human_6MEO</v>
      </c>
      <c r="B197" s="3" t="s">
        <v>173</v>
      </c>
      <c r="C197" s="3" t="s">
        <v>1535</v>
      </c>
      <c r="D197" s="3" t="str">
        <f>IFERROR(MID(VLOOKUP($B197,Seqs!$A:$B,2,0),E197,1),"")</f>
        <v>K</v>
      </c>
      <c r="E197" s="3">
        <v>26</v>
      </c>
      <c r="F197" s="3" t="str">
        <f>IFERROR(MID(VLOOKUP($B197,Seqs!$A:$B,2,0),G197,1),"")</f>
        <v>R</v>
      </c>
      <c r="G197" s="3">
        <v>60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S</v>
      </c>
      <c r="M197" s="3">
        <v>63</v>
      </c>
      <c r="N197" s="3" t="str">
        <f>IFERROR(MID(VLOOKUP($B197,Seqs!$A:$B,2,0),O197,1),"")</f>
        <v>A</v>
      </c>
      <c r="O197" s="3">
        <v>90</v>
      </c>
      <c r="P197" s="3" t="str">
        <f>IFERROR(MID(VLOOKUP($B197,Seqs!$A:$B,2,0),Q197,1),"")</f>
        <v>Q</v>
      </c>
      <c r="Q197" s="3">
        <v>93</v>
      </c>
      <c r="R197" s="3" t="str">
        <f>IFERROR(MID(VLOOKUP($B197,Seqs!$A:$B,2,0),S197,1),"")</f>
        <v>F</v>
      </c>
      <c r="S197" s="3">
        <v>96</v>
      </c>
      <c r="T197" s="3" t="str">
        <f>IFERROR(MID(VLOOKUP($B197,Seqs!$A:$B,2,0),U197,1),"")</f>
        <v>M</v>
      </c>
      <c r="U197" s="3">
        <v>100</v>
      </c>
      <c r="V197" s="3" t="str">
        <f>IFERROR(MID(VLOOKUP($B197,Seqs!$A:$B,2,0),W197,1),"")</f>
        <v>H</v>
      </c>
      <c r="W197" s="3">
        <v>132</v>
      </c>
      <c r="X197" s="3" t="str">
        <f>IFERROR(MID(VLOOKUP($B197,Seqs!$A:$B,2,0),Y197,1),"")</f>
        <v>A</v>
      </c>
      <c r="Y197" s="3">
        <v>133</v>
      </c>
      <c r="Z197" s="3" t="str">
        <f>IFERROR(MID(VLOOKUP($B197,Seqs!$A:$B,2,0),AA197,1),"")</f>
        <v>R</v>
      </c>
      <c r="AA197" s="3">
        <v>140</v>
      </c>
      <c r="AB197" s="3" t="str">
        <f>IFERROR(MID(VLOOKUP($B197,Seqs!$A:$B,2,0),AC197,1),"")</f>
        <v>T</v>
      </c>
      <c r="AC197" s="3">
        <v>141</v>
      </c>
      <c r="AD197" s="3" t="str">
        <f>IFERROR(MID(VLOOKUP($B197,Seqs!$A:$B,2,0),AE197,1),"")</f>
        <v>I</v>
      </c>
      <c r="AE197" s="3">
        <v>165</v>
      </c>
      <c r="AF197" s="3" t="str">
        <f>IFERROR(MID(VLOOKUP($B197,Seqs!$A:$B,2,0),AG197,1),"")</f>
        <v>C</v>
      </c>
      <c r="AG197" s="3">
        <v>178</v>
      </c>
      <c r="AH197" s="3" t="str">
        <f>IFERROR(MID(VLOOKUP($B197,Seqs!$A:$B,2,0),AI197,1),"")</f>
        <v>S</v>
      </c>
      <c r="AI197" s="3">
        <v>180</v>
      </c>
      <c r="AJ197" s="3" t="str">
        <f>IFERROR(MID(VLOOKUP($B197,Seqs!$A:$B,2,0),AK197,1),"")</f>
        <v>Q</v>
      </c>
      <c r="AK197" s="3">
        <v>186</v>
      </c>
      <c r="AL197" s="3" t="str">
        <f>IFERROR(MID(VLOOKUP($B197,Seqs!$A:$B,2,0),AM197,1),"")</f>
        <v>C</v>
      </c>
      <c r="AM197" s="3">
        <v>224</v>
      </c>
      <c r="AN197" s="3" t="str">
        <f>IFERROR(MID(VLOOKUP($B197,Seqs!$A:$B,2,0),AO197,1),"")</f>
        <v>K</v>
      </c>
      <c r="AO197" s="3">
        <v>228</v>
      </c>
      <c r="AP197" s="3" t="str">
        <f>IFERROR(MID(VLOOKUP($B197,Seqs!$A:$B,2,0),AQ197,1),"")</f>
        <v>F</v>
      </c>
      <c r="AQ197" s="3">
        <v>260</v>
      </c>
      <c r="AR197" s="3" t="str">
        <f>IFERROR(MID(VLOOKUP($B197,Seqs!$A:$B,2,0),AS197,1),"")</f>
        <v>N</v>
      </c>
      <c r="AS197" s="3">
        <v>268</v>
      </c>
      <c r="AT197" s="3" t="str">
        <f>IFERROR(MID(VLOOKUP($B197,Seqs!$A:$B,2,0),AU197,1),"")</f>
        <v>V</v>
      </c>
      <c r="AU197" s="3">
        <v>300</v>
      </c>
      <c r="AV197" s="3" t="str">
        <f>IFERROR(MID(VLOOKUP($B197,Seqs!$A:$B,2,0),AW197,1),"")</f>
        <v/>
      </c>
      <c r="AW197" s="3" t="s">
        <v>23</v>
      </c>
      <c r="AX197" s="3" t="str">
        <f>IFERROR(MID(VLOOKUP($B197,Seqs!$A:$B,2,0),AY197,1),"")</f>
        <v/>
      </c>
      <c r="AY197" s="3" t="s">
        <v>23</v>
      </c>
      <c r="AZ197" s="77" t="str">
        <f>VLOOKUP(B197,Classification!A:D,2,0)</f>
        <v>A</v>
      </c>
      <c r="BA197" s="94" t="str">
        <f>VLOOKUP(B197,Classification!A:D,4,0)</f>
        <v>Chemokine</v>
      </c>
      <c r="BB197" s="27" t="b">
        <f>AND(E197&lt;G197,OR(G197&lt;I197,I197="-"),OR(I197&lt;K197,I197="-"),OR(K197&lt;M197,K197="-"),M197&lt;O197,OR(O197&lt;Q197,Q197="-"),OR(Q197&lt;S197,Q197="-"),OR(S197&lt;U197,S197="-"),U197&lt;W197,OR(W197&lt;Y197,Y197="-"),OR(Y197&lt;AA197,Y197="-"),OR(AA197&lt;AC197,AA197="-"),AC197&lt;AE197,OR(AE197&lt;AG197,AG197="-"),OR(AG197&lt;AI197,AG197="-"),OR(AI197&lt;AK197,AI197="-"),AK197&lt;AM197,AM197&lt;AO197,AO197&lt;AQ197,AQ197&lt;AS197,AS197&lt;AU197,OR(AU197&lt;AW197,AW197="-"),OR(AW197&lt;AY197,AW197="-"))</f>
        <v>1</v>
      </c>
      <c r="BC197" s="23">
        <f>_xlfn.AGGREGATE(9,6,CH197:CS197)-_xlfn.AGGREGATE(9,6,BV197:CG197)+12</f>
        <v>243</v>
      </c>
      <c r="BD197" s="2" t="s">
        <v>23</v>
      </c>
      <c r="BE197" s="3" t="s">
        <v>1368</v>
      </c>
      <c r="BF197" s="118">
        <v>3.9</v>
      </c>
      <c r="BG197" s="49" t="s">
        <v>1275</v>
      </c>
      <c r="BH197" s="49" t="s">
        <v>1275</v>
      </c>
      <c r="BI197" s="1"/>
      <c r="BJ197" s="70" t="s">
        <v>1281</v>
      </c>
      <c r="BK197" s="57" t="s">
        <v>1281</v>
      </c>
      <c r="BL197" s="57" t="s">
        <v>1281</v>
      </c>
      <c r="BM197" s="57" t="s">
        <v>1281</v>
      </c>
      <c r="BN197" s="57" t="s">
        <v>1281</v>
      </c>
      <c r="BO197" s="57" t="s">
        <v>1281</v>
      </c>
      <c r="BP197" s="57" t="s">
        <v>1281</v>
      </c>
      <c r="BQ197" s="57" t="s">
        <v>1281</v>
      </c>
      <c r="BR197" s="57" t="s">
        <v>1281</v>
      </c>
      <c r="BS197" s="57" t="s">
        <v>1281</v>
      </c>
      <c r="BT197" s="57" t="s">
        <v>1281</v>
      </c>
      <c r="BU197" s="57" t="s">
        <v>1281</v>
      </c>
      <c r="BV197" s="70">
        <f>E197</f>
        <v>26</v>
      </c>
      <c r="BW197" s="71" t="str">
        <f>I197</f>
        <v>-</v>
      </c>
      <c r="BX197" s="72">
        <f>M197</f>
        <v>63</v>
      </c>
      <c r="BY197" s="71">
        <f>Q197</f>
        <v>93</v>
      </c>
      <c r="BZ197" s="72">
        <f>U197</f>
        <v>100</v>
      </c>
      <c r="CA197" s="71">
        <f>Y197</f>
        <v>133</v>
      </c>
      <c r="CB197" s="72">
        <f>AC197</f>
        <v>141</v>
      </c>
      <c r="CC197" s="71">
        <f>AG197</f>
        <v>178</v>
      </c>
      <c r="CD197" s="72">
        <f>AK197</f>
        <v>186</v>
      </c>
      <c r="CE197" s="71">
        <f>AO197</f>
        <v>228</v>
      </c>
      <c r="CF197" s="72">
        <f>AS197</f>
        <v>268</v>
      </c>
      <c r="CG197" s="71" t="str">
        <f>AW197</f>
        <v>-</v>
      </c>
      <c r="CH197" s="70">
        <f>G197</f>
        <v>60</v>
      </c>
      <c r="CI197" s="71" t="str">
        <f>K197</f>
        <v>-</v>
      </c>
      <c r="CJ197" s="72">
        <f>O197</f>
        <v>90</v>
      </c>
      <c r="CK197" s="72">
        <f>S197</f>
        <v>96</v>
      </c>
      <c r="CL197" s="72">
        <f>W197</f>
        <v>132</v>
      </c>
      <c r="CM197" s="72">
        <f>AA197</f>
        <v>140</v>
      </c>
      <c r="CN197" s="72">
        <f>AE197</f>
        <v>165</v>
      </c>
      <c r="CO197" s="72">
        <f>AI197</f>
        <v>180</v>
      </c>
      <c r="CP197" s="72">
        <f>AM197</f>
        <v>224</v>
      </c>
      <c r="CQ197" s="72">
        <f>AQ197</f>
        <v>260</v>
      </c>
      <c r="CR197" s="72">
        <f>AU197</f>
        <v>300</v>
      </c>
      <c r="CS197" s="72" t="str">
        <f>AY197</f>
        <v>-</v>
      </c>
      <c r="CT197" s="23" t="e">
        <f>M197-K197</f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>CONCATENATE(B198,"_",C198)</f>
        <v>ccr5_human_6MET</v>
      </c>
      <c r="B198" s="3" t="s">
        <v>173</v>
      </c>
      <c r="C198" s="3" t="s">
        <v>1534</v>
      </c>
      <c r="D198" s="3" t="str">
        <f>IFERROR(MID(VLOOKUP($B198,Seqs!$A:$B,2,0),E198,1),"")</f>
        <v>K</v>
      </c>
      <c r="E198" s="3">
        <v>26</v>
      </c>
      <c r="F198" s="3" t="str">
        <f>IFERROR(MID(VLOOKUP($B198,Seqs!$A:$B,2,0),G198,1),"")</f>
        <v>R</v>
      </c>
      <c r="G198" s="3">
        <v>60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63</v>
      </c>
      <c r="N198" s="3" t="str">
        <f>IFERROR(MID(VLOOKUP($B198,Seqs!$A:$B,2,0),O198,1),"")</f>
        <v>A</v>
      </c>
      <c r="O198" s="3">
        <v>90</v>
      </c>
      <c r="P198" s="3" t="str">
        <f>IFERROR(MID(VLOOKUP($B198,Seqs!$A:$B,2,0),Q198,1),"")</f>
        <v>Q</v>
      </c>
      <c r="Q198" s="3">
        <v>93</v>
      </c>
      <c r="R198" s="3" t="str">
        <f>IFERROR(MID(VLOOKUP($B198,Seqs!$A:$B,2,0),S198,1),"")</f>
        <v>F</v>
      </c>
      <c r="S198" s="3">
        <v>96</v>
      </c>
      <c r="T198" s="3" t="str">
        <f>IFERROR(MID(VLOOKUP($B198,Seqs!$A:$B,2,0),U198,1),"")</f>
        <v>M</v>
      </c>
      <c r="U198" s="3">
        <v>100</v>
      </c>
      <c r="V198" s="3" t="str">
        <f>IFERROR(MID(VLOOKUP($B198,Seqs!$A:$B,2,0),W198,1),"")</f>
        <v>H</v>
      </c>
      <c r="W198" s="3">
        <v>132</v>
      </c>
      <c r="X198" s="3" t="str">
        <f>IFERROR(MID(VLOOKUP($B198,Seqs!$A:$B,2,0),Y198,1),"")</f>
        <v>A</v>
      </c>
      <c r="Y198" s="3">
        <v>133</v>
      </c>
      <c r="Z198" s="3" t="str">
        <f>IFERROR(MID(VLOOKUP($B198,Seqs!$A:$B,2,0),AA198,1),"")</f>
        <v>R</v>
      </c>
      <c r="AA198" s="3">
        <v>140</v>
      </c>
      <c r="AB198" s="3" t="str">
        <f>IFERROR(MID(VLOOKUP($B198,Seqs!$A:$B,2,0),AC198,1),"")</f>
        <v>T</v>
      </c>
      <c r="AC198" s="3">
        <v>141</v>
      </c>
      <c r="AD198" s="3" t="str">
        <f>IFERROR(MID(VLOOKUP($B198,Seqs!$A:$B,2,0),AE198,1),"")</f>
        <v>I</v>
      </c>
      <c r="AE198" s="3">
        <v>165</v>
      </c>
      <c r="AF198" s="3" t="str">
        <f>IFERROR(MID(VLOOKUP($B198,Seqs!$A:$B,2,0),AG198,1),"")</f>
        <v>C</v>
      </c>
      <c r="AG198" s="3">
        <v>178</v>
      </c>
      <c r="AH198" s="3" t="str">
        <f>IFERROR(MID(VLOOKUP($B198,Seqs!$A:$B,2,0),AI198,1),"")</f>
        <v>S</v>
      </c>
      <c r="AI198" s="3">
        <v>180</v>
      </c>
      <c r="AJ198" s="3" t="str">
        <f>IFERROR(MID(VLOOKUP($B198,Seqs!$A:$B,2,0),AK198,1),"")</f>
        <v>Q</v>
      </c>
      <c r="AK198" s="3">
        <v>186</v>
      </c>
      <c r="AL198" s="3" t="str">
        <f>IFERROR(MID(VLOOKUP($B198,Seqs!$A:$B,2,0),AM198,1),"")</f>
        <v>C</v>
      </c>
      <c r="AM198" s="3">
        <v>224</v>
      </c>
      <c r="AN198" s="3" t="str">
        <f>IFERROR(MID(VLOOKUP($B198,Seqs!$A:$B,2,0),AO198,1),"")</f>
        <v>K</v>
      </c>
      <c r="AO198" s="3">
        <v>228</v>
      </c>
      <c r="AP198" s="3" t="str">
        <f>IFERROR(MID(VLOOKUP($B198,Seqs!$A:$B,2,0),AQ198,1),"")</f>
        <v>F</v>
      </c>
      <c r="AQ198" s="3">
        <v>260</v>
      </c>
      <c r="AR198" s="3" t="str">
        <f>IFERROR(MID(VLOOKUP($B198,Seqs!$A:$B,2,0),AS198,1),"")</f>
        <v>N</v>
      </c>
      <c r="AS198" s="3">
        <v>268</v>
      </c>
      <c r="AT198" s="3" t="str">
        <f>IFERROR(MID(VLOOKUP($B198,Seqs!$A:$B,2,0),AU198,1),"")</f>
        <v>V</v>
      </c>
      <c r="AU198" s="3">
        <v>300</v>
      </c>
      <c r="AV198" s="3" t="str">
        <f>IFERROR(MID(VLOOKUP($B198,Seqs!$A:$B,2,0),AW198,1),"")</f>
        <v/>
      </c>
      <c r="AW198" s="3" t="s">
        <v>23</v>
      </c>
      <c r="AX198" s="3" t="str">
        <f>IFERROR(MID(VLOOKUP($B198,Seqs!$A:$B,2,0),AY198,1),"")</f>
        <v/>
      </c>
      <c r="AY198" s="3" t="s">
        <v>23</v>
      </c>
      <c r="AZ198" s="77" t="str">
        <f>VLOOKUP(B198,Classification!A:D,2,0)</f>
        <v>A</v>
      </c>
      <c r="BA198" s="94" t="str">
        <f>VLOOKUP(B198,Classification!A:D,4,0)</f>
        <v>Chemokine</v>
      </c>
      <c r="BB198" s="27" t="b">
        <f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23">
        <f>_xlfn.AGGREGATE(9,6,CH198:CS198)-_xlfn.AGGREGATE(9,6,BV198:CG198)+12</f>
        <v>243</v>
      </c>
      <c r="BD198" s="2" t="s">
        <v>23</v>
      </c>
      <c r="BE198" s="3" t="s">
        <v>1368</v>
      </c>
      <c r="BF198" s="118">
        <v>4.5</v>
      </c>
      <c r="BG198" s="49" t="s">
        <v>1275</v>
      </c>
      <c r="BH198" s="49" t="s">
        <v>1275</v>
      </c>
      <c r="BI198" s="1"/>
      <c r="BJ198" s="70" t="s">
        <v>1281</v>
      </c>
      <c r="BK198" s="57" t="s">
        <v>1281</v>
      </c>
      <c r="BL198" s="57" t="s">
        <v>1281</v>
      </c>
      <c r="BM198" s="57" t="s">
        <v>1281</v>
      </c>
      <c r="BN198" s="57" t="s">
        <v>1281</v>
      </c>
      <c r="BO198" s="57" t="s">
        <v>1281</v>
      </c>
      <c r="BP198" s="57" t="s">
        <v>1281</v>
      </c>
      <c r="BQ198" s="57" t="s">
        <v>1281</v>
      </c>
      <c r="BR198" s="57" t="s">
        <v>1281</v>
      </c>
      <c r="BS198" s="57" t="s">
        <v>1281</v>
      </c>
      <c r="BT198" s="57" t="s">
        <v>1281</v>
      </c>
      <c r="BU198" s="57" t="s">
        <v>1281</v>
      </c>
      <c r="BV198" s="70">
        <f>E198</f>
        <v>26</v>
      </c>
      <c r="BW198" s="71" t="str">
        <f>I198</f>
        <v>-</v>
      </c>
      <c r="BX198" s="72">
        <f>M198</f>
        <v>63</v>
      </c>
      <c r="BY198" s="71">
        <f>Q198</f>
        <v>93</v>
      </c>
      <c r="BZ198" s="72">
        <f>U198</f>
        <v>100</v>
      </c>
      <c r="CA198" s="71">
        <f>Y198</f>
        <v>133</v>
      </c>
      <c r="CB198" s="72">
        <f>AC198</f>
        <v>141</v>
      </c>
      <c r="CC198" s="71">
        <f>AG198</f>
        <v>178</v>
      </c>
      <c r="CD198" s="72">
        <f>AK198</f>
        <v>186</v>
      </c>
      <c r="CE198" s="71">
        <f>AO198</f>
        <v>228</v>
      </c>
      <c r="CF198" s="72">
        <f>AS198</f>
        <v>268</v>
      </c>
      <c r="CG198" s="71" t="str">
        <f>AW198</f>
        <v>-</v>
      </c>
      <c r="CH198" s="70">
        <f>G198</f>
        <v>60</v>
      </c>
      <c r="CI198" s="71" t="str">
        <f>K198</f>
        <v>-</v>
      </c>
      <c r="CJ198" s="72">
        <f>O198</f>
        <v>90</v>
      </c>
      <c r="CK198" s="72">
        <f>S198</f>
        <v>96</v>
      </c>
      <c r="CL198" s="72">
        <f>W198</f>
        <v>132</v>
      </c>
      <c r="CM198" s="72">
        <f>AA198</f>
        <v>140</v>
      </c>
      <c r="CN198" s="72">
        <f>AE198</f>
        <v>165</v>
      </c>
      <c r="CO198" s="72">
        <f>AI198</f>
        <v>180</v>
      </c>
      <c r="CP198" s="72">
        <f>AM198</f>
        <v>224</v>
      </c>
      <c r="CQ198" s="72">
        <f>AQ198</f>
        <v>260</v>
      </c>
      <c r="CR198" s="72">
        <f>AU198</f>
        <v>300</v>
      </c>
      <c r="CS198" s="72" t="str">
        <f>AY198</f>
        <v>-</v>
      </c>
      <c r="CT198" s="23" t="e">
        <f>M198-K198</f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s="12" customFormat="1" x14ac:dyDescent="0.2">
      <c r="A199" s="9" t="str">
        <f t="shared" ref="A199:A200" si="1763">CONCATENATE(B199,"_",C199)</f>
        <v>ccr6_human__wt</v>
      </c>
      <c r="B199" s="9" t="s">
        <v>174</v>
      </c>
      <c r="C199" s="9" t="s">
        <v>100</v>
      </c>
      <c r="D199" s="9" t="str">
        <f>IFERROR(MID(VLOOKUP($B199,Seqs!$A:$B,2,0),E199,1),"")</f>
        <v>Q</v>
      </c>
      <c r="E199" s="9">
        <v>39</v>
      </c>
      <c r="F199" s="9" t="str">
        <f>IFERROR(MID(VLOOKUP($B199,Seqs!$A:$B,2,0),G199,1),"")</f>
        <v>Y</v>
      </c>
      <c r="G199" s="9">
        <v>74</v>
      </c>
      <c r="H199" s="9" t="str">
        <f>IFERROR(MID(VLOOKUP($B199,Seqs!$A:$B,2,0),I199,1),"")</f>
        <v>K</v>
      </c>
      <c r="I199" s="109">
        <v>75</v>
      </c>
      <c r="J199" s="9" t="str">
        <f>IFERROR(MID(VLOOKUP($B199,Seqs!$A:$B,2,0),K199,1),"")</f>
        <v>R</v>
      </c>
      <c r="K199" s="109">
        <v>78</v>
      </c>
      <c r="L199" s="9" t="str">
        <f>IFERROR(MID(VLOOKUP($B199,Seqs!$A:$B,2,0),M199,1),"")</f>
        <v>S</v>
      </c>
      <c r="M199" s="9">
        <v>79</v>
      </c>
      <c r="N199" s="9" t="str">
        <f>IFERROR(MID(VLOOKUP($B199,Seqs!$A:$B,2,0),O199,1),"")</f>
        <v>G</v>
      </c>
      <c r="O199" s="9">
        <v>109</v>
      </c>
      <c r="P199" s="9" t="str">
        <f>IFERROR(MID(VLOOKUP($B199,Seqs!$A:$B,2,0),Q199,1),"")</f>
        <v>A</v>
      </c>
      <c r="Q199" s="9">
        <v>110</v>
      </c>
      <c r="R199" s="9" t="str">
        <f>IFERROR(MID(VLOOKUP($B199,Seqs!$A:$B,2,0),S199,1),"")</f>
        <v>F</v>
      </c>
      <c r="S199" s="9">
        <v>113</v>
      </c>
      <c r="T199" s="9" t="str">
        <f>IFERROR(MID(VLOOKUP($B199,Seqs!$A:$B,2,0),U199,1),"")</f>
        <v>S</v>
      </c>
      <c r="U199" s="9">
        <v>114</v>
      </c>
      <c r="V199" s="9" t="str">
        <f>IFERROR(MID(VLOOKUP($B199,Seqs!$A:$B,2,0),W199,1),"")</f>
        <v>Q</v>
      </c>
      <c r="W199" s="9">
        <v>149</v>
      </c>
      <c r="X199" s="9" t="str">
        <f>IFERROR(MID(VLOOKUP($B199,Seqs!$A:$B,2,0),Y199,1),"")</f>
        <v>A</v>
      </c>
      <c r="Y199" s="9">
        <v>150</v>
      </c>
      <c r="Z199" s="9" t="str">
        <f>IFERROR(MID(VLOOKUP($B199,Seqs!$A:$B,2,0),AA199,1),"")</f>
        <v>L</v>
      </c>
      <c r="AA199" s="9">
        <v>156</v>
      </c>
      <c r="AB199" s="9" t="str">
        <f>IFERROR(MID(VLOOKUP($B199,Seqs!$A:$B,2,0),AC199,1),"")</f>
        <v>T</v>
      </c>
      <c r="AC199" s="9">
        <v>160</v>
      </c>
      <c r="AD199" s="9" t="str">
        <f>IFERROR(MID(VLOOKUP($B199,Seqs!$A:$B,2,0),AE199,1),"")</f>
        <v>N</v>
      </c>
      <c r="AE199" s="9">
        <v>186</v>
      </c>
      <c r="AF199" s="9" t="str">
        <f>IFERROR(MID(VLOOKUP($B199,Seqs!$A:$B,2,0),AG199,1),"")</f>
        <v>C</v>
      </c>
      <c r="AG199" s="9">
        <v>197</v>
      </c>
      <c r="AH199" s="9" t="str">
        <f>IFERROR(MID(VLOOKUP($B199,Seqs!$A:$B,2,0),AI199,1),"")</f>
        <v>P</v>
      </c>
      <c r="AI199" s="9">
        <v>199</v>
      </c>
      <c r="AJ199" s="9" t="str">
        <f>IFERROR(MID(VLOOKUP($B199,Seqs!$A:$B,2,0),AK199,1),"")</f>
        <v>P</v>
      </c>
      <c r="AK199" s="9">
        <v>207</v>
      </c>
      <c r="AL199" s="9" t="str">
        <f>IFERROR(MID(VLOOKUP($B199,Seqs!$A:$B,2,0),AM199,1),"")</f>
        <v>I</v>
      </c>
      <c r="AM199" s="9">
        <v>225</v>
      </c>
      <c r="AN199" s="9" t="str">
        <f>IFERROR(MID(VLOOKUP($B199,Seqs!$A:$B,2,0),AO199,1),"")</f>
        <v>R</v>
      </c>
      <c r="AO199" s="9">
        <v>249</v>
      </c>
      <c r="AP199" s="9" t="str">
        <f>IFERROR(MID(VLOOKUP($B199,Seqs!$A:$B,2,0),AQ199,1),"")</f>
        <v>A</v>
      </c>
      <c r="AQ199" s="9">
        <v>279</v>
      </c>
      <c r="AR199" s="9" t="str">
        <f>IFERROR(MID(VLOOKUP($B199,Seqs!$A:$B,2,0),AS199,1),"")</f>
        <v>S</v>
      </c>
      <c r="AS199" s="9">
        <v>287</v>
      </c>
      <c r="AT199" s="9" t="str">
        <f>IFERROR(MID(VLOOKUP($B199,Seqs!$A:$B,2,0),AU199,1),"")</f>
        <v>I</v>
      </c>
      <c r="AU199" s="9">
        <v>319</v>
      </c>
      <c r="AV199" s="9" t="str">
        <f>IFERROR(MID(VLOOKUP($B199,Seqs!$A:$B,2,0),AW199,1),"")</f>
        <v>G</v>
      </c>
      <c r="AW199" s="9">
        <v>320</v>
      </c>
      <c r="AX199" s="9" t="str">
        <f>IFERROR(MID(VLOOKUP($B199,Seqs!$A:$B,2,0),AY199,1),"")</f>
        <v>W</v>
      </c>
      <c r="AY199" s="9">
        <v>335</v>
      </c>
      <c r="AZ199" s="110" t="str">
        <f>VLOOKUP(B199,Classification!A:D,2,0)</f>
        <v>A</v>
      </c>
      <c r="BA199" s="98" t="str">
        <f>VLOOKUP(B199,Classification!A:D,4,0)</f>
        <v>Chemokine</v>
      </c>
      <c r="BB199" s="36" t="b">
        <f t="shared" ref="BB199:BB200" si="1764"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109">
        <f t="shared" ref="BC199:BC200" si="1765">_xlfn.AGGREGATE(9,6,CH199:CS199)-_xlfn.AGGREGATE(9,6,BV199:CG199)+12</f>
        <v>247</v>
      </c>
      <c r="BD199" s="40" t="s">
        <v>23</v>
      </c>
      <c r="BE199" s="9" t="s">
        <v>23</v>
      </c>
      <c r="BF199" s="119" t="s">
        <v>23</v>
      </c>
      <c r="BG199" s="51" t="s">
        <v>23</v>
      </c>
      <c r="BH199" s="51" t="s">
        <v>23</v>
      </c>
      <c r="BJ199" s="111" t="s">
        <v>1281</v>
      </c>
      <c r="BK199" s="112" t="s">
        <v>1281</v>
      </c>
      <c r="BL199" s="112" t="s">
        <v>1281</v>
      </c>
      <c r="BM199" s="112" t="s">
        <v>1281</v>
      </c>
      <c r="BN199" s="112" t="s">
        <v>1281</v>
      </c>
      <c r="BO199" s="112" t="s">
        <v>1281</v>
      </c>
      <c r="BP199" s="112" t="s">
        <v>1281</v>
      </c>
      <c r="BQ199" s="112" t="s">
        <v>1281</v>
      </c>
      <c r="BR199" s="112" t="s">
        <v>1281</v>
      </c>
      <c r="BS199" s="112" t="s">
        <v>1281</v>
      </c>
      <c r="BT199" s="112" t="s">
        <v>1281</v>
      </c>
      <c r="BU199" s="112" t="s">
        <v>1281</v>
      </c>
      <c r="BV199" s="111">
        <f t="shared" ref="BV199:BV200" si="1766">E199</f>
        <v>39</v>
      </c>
      <c r="BW199" s="113">
        <f t="shared" ref="BW199:BW200" si="1767">I199</f>
        <v>75</v>
      </c>
      <c r="BX199" s="114">
        <f t="shared" ref="BX199:BX200" si="1768">M199</f>
        <v>79</v>
      </c>
      <c r="BY199" s="113">
        <f t="shared" ref="BY199:BY200" si="1769">Q199</f>
        <v>110</v>
      </c>
      <c r="BZ199" s="114">
        <f t="shared" ref="BZ199:BZ200" si="1770">U199</f>
        <v>114</v>
      </c>
      <c r="CA199" s="113">
        <f t="shared" ref="CA199:CA200" si="1771">Y199</f>
        <v>150</v>
      </c>
      <c r="CB199" s="114">
        <f t="shared" ref="CB199:CB200" si="1772">AC199</f>
        <v>160</v>
      </c>
      <c r="CC199" s="113">
        <f t="shared" ref="CC199:CC200" si="1773">AG199</f>
        <v>197</v>
      </c>
      <c r="CD199" s="114">
        <f t="shared" ref="CD199:CD200" si="1774">AK199</f>
        <v>207</v>
      </c>
      <c r="CE199" s="113">
        <f t="shared" ref="CE199:CE200" si="1775">AO199</f>
        <v>249</v>
      </c>
      <c r="CF199" s="114">
        <f t="shared" ref="CF199:CF200" si="1776">AS199</f>
        <v>287</v>
      </c>
      <c r="CG199" s="113">
        <f t="shared" ref="CG199:CG200" si="1777">AW199</f>
        <v>320</v>
      </c>
      <c r="CH199" s="111">
        <f t="shared" ref="CH199:CH200" si="1778">G199</f>
        <v>74</v>
      </c>
      <c r="CI199" s="113">
        <f t="shared" ref="CI199:CI200" si="1779">K199</f>
        <v>78</v>
      </c>
      <c r="CJ199" s="114">
        <f t="shared" ref="CJ199:CJ200" si="1780">O199</f>
        <v>109</v>
      </c>
      <c r="CK199" s="114">
        <f t="shared" ref="CK199:CK200" si="1781">S199</f>
        <v>113</v>
      </c>
      <c r="CL199" s="114">
        <f t="shared" ref="CL199:CL200" si="1782">W199</f>
        <v>149</v>
      </c>
      <c r="CM199" s="114">
        <f t="shared" ref="CM199:CM200" si="1783">AA199</f>
        <v>156</v>
      </c>
      <c r="CN199" s="114">
        <f t="shared" ref="CN199:CN200" si="1784">AE199</f>
        <v>186</v>
      </c>
      <c r="CO199" s="114">
        <f t="shared" ref="CO199:CO200" si="1785">AI199</f>
        <v>199</v>
      </c>
      <c r="CP199" s="114">
        <f t="shared" ref="CP199:CP200" si="1786">AM199</f>
        <v>225</v>
      </c>
      <c r="CQ199" s="114">
        <f t="shared" ref="CQ199:CQ200" si="1787">AQ199</f>
        <v>279</v>
      </c>
      <c r="CR199" s="114">
        <f t="shared" ref="CR199:CR200" si="1788">AU199</f>
        <v>319</v>
      </c>
      <c r="CS199" s="114">
        <f t="shared" ref="CS199:CS200" si="1789">AY199</f>
        <v>335</v>
      </c>
      <c r="CT199" s="109">
        <f t="shared" ref="CT199:CT200" si="1790">M199-K199</f>
        <v>1</v>
      </c>
    </row>
    <row r="200" spans="1:1029" s="12" customFormat="1" x14ac:dyDescent="0.2">
      <c r="A200" s="9" t="str">
        <f t="shared" si="1763"/>
        <v>ccr6_human_6WWZ</v>
      </c>
      <c r="B200" s="9" t="s">
        <v>174</v>
      </c>
      <c r="C200" s="9" t="s">
        <v>1683</v>
      </c>
      <c r="D200" s="9" t="str">
        <f>IFERROR(MID(VLOOKUP($B200,Seqs!$A:$B,2,0),E200,1),"")</f>
        <v>Q</v>
      </c>
      <c r="E200" s="9">
        <v>39</v>
      </c>
      <c r="F200" s="9" t="str">
        <f>IFERROR(MID(VLOOKUP($B200,Seqs!$A:$B,2,0),G200,1),"")</f>
        <v>Y</v>
      </c>
      <c r="G200" s="9">
        <v>74</v>
      </c>
      <c r="H200" s="9" t="str">
        <f>IFERROR(MID(VLOOKUP($B200,Seqs!$A:$B,2,0),I200,1),"")</f>
        <v>K</v>
      </c>
      <c r="I200" s="109">
        <v>75</v>
      </c>
      <c r="J200" s="9" t="str">
        <f>IFERROR(MID(VLOOKUP($B200,Seqs!$A:$B,2,0),K200,1),"")</f>
        <v>R</v>
      </c>
      <c r="K200" s="109">
        <v>78</v>
      </c>
      <c r="L200" s="9" t="str">
        <f>IFERROR(MID(VLOOKUP($B200,Seqs!$A:$B,2,0),M200,1),"")</f>
        <v>S</v>
      </c>
      <c r="M200" s="9">
        <v>79</v>
      </c>
      <c r="N200" s="9" t="str">
        <f>IFERROR(MID(VLOOKUP($B200,Seqs!$A:$B,2,0),O200,1),"")</f>
        <v>G</v>
      </c>
      <c r="O200" s="9">
        <v>109</v>
      </c>
      <c r="P200" s="9" t="str">
        <f>IFERROR(MID(VLOOKUP($B200,Seqs!$A:$B,2,0),Q200,1),"")</f>
        <v>A</v>
      </c>
      <c r="Q200" s="9">
        <v>110</v>
      </c>
      <c r="R200" s="9" t="str">
        <f>IFERROR(MID(VLOOKUP($B200,Seqs!$A:$B,2,0),S200,1),"")</f>
        <v>F</v>
      </c>
      <c r="S200" s="9">
        <v>113</v>
      </c>
      <c r="T200" s="9" t="str">
        <f>IFERROR(MID(VLOOKUP($B200,Seqs!$A:$B,2,0),U200,1),"")</f>
        <v>S</v>
      </c>
      <c r="U200" s="9">
        <v>114</v>
      </c>
      <c r="V200" s="9" t="str">
        <f>IFERROR(MID(VLOOKUP($B200,Seqs!$A:$B,2,0),W200,1),"")</f>
        <v>V</v>
      </c>
      <c r="W200" s="9">
        <v>148</v>
      </c>
      <c r="X200" s="9" t="str">
        <f>IFERROR(MID(VLOOKUP($B200,Seqs!$A:$B,2,0),Y200,1),"")</f>
        <v>A</v>
      </c>
      <c r="Y200" s="9">
        <v>150</v>
      </c>
      <c r="Z200" s="9" t="str">
        <f>IFERROR(MID(VLOOKUP($B200,Seqs!$A:$B,2,0),AA200,1),"")</f>
        <v>L</v>
      </c>
      <c r="AA200" s="9">
        <v>156</v>
      </c>
      <c r="AB200" s="9" t="str">
        <f>IFERROR(MID(VLOOKUP($B200,Seqs!$A:$B,2,0),AC200,1),"")</f>
        <v>L</v>
      </c>
      <c r="AC200" s="9">
        <v>161</v>
      </c>
      <c r="AD200" s="9" t="str">
        <f>IFERROR(MID(VLOOKUP($B200,Seqs!$A:$B,2,0),AE200,1),"")</f>
        <v>N</v>
      </c>
      <c r="AE200" s="9">
        <v>186</v>
      </c>
      <c r="AF200" s="9" t="str">
        <f>IFERROR(MID(VLOOKUP($B200,Seqs!$A:$B,2,0),AG200,1),"")</f>
        <v>C</v>
      </c>
      <c r="AG200" s="9">
        <v>197</v>
      </c>
      <c r="AH200" s="9" t="str">
        <f>IFERROR(MID(VLOOKUP($B200,Seqs!$A:$B,2,0),AI200,1),"")</f>
        <v>P</v>
      </c>
      <c r="AI200" s="9">
        <v>199</v>
      </c>
      <c r="AJ200" s="9" t="str">
        <f>IFERROR(MID(VLOOKUP($B200,Seqs!$A:$B,2,0),AK200,1),"")</f>
        <v>P</v>
      </c>
      <c r="AK200" s="9">
        <v>207</v>
      </c>
      <c r="AL200" s="9" t="str">
        <f>IFERROR(MID(VLOOKUP($B200,Seqs!$A:$B,2,0),AM200,1),"")</f>
        <v>A</v>
      </c>
      <c r="AM200" s="9">
        <v>244</v>
      </c>
      <c r="AN200" s="9" t="str">
        <f>IFERROR(MID(VLOOKUP($B200,Seqs!$A:$B,2,0),AO200,1),"")</f>
        <v>R</v>
      </c>
      <c r="AO200" s="9">
        <v>249</v>
      </c>
      <c r="AP200" s="9" t="str">
        <f>IFERROR(MID(VLOOKUP($B200,Seqs!$A:$B,2,0),AQ200,1),"")</f>
        <v>A</v>
      </c>
      <c r="AQ200" s="9">
        <v>279</v>
      </c>
      <c r="AR200" s="9" t="str">
        <f>IFERROR(MID(VLOOKUP($B200,Seqs!$A:$B,2,0),AS200,1),"")</f>
        <v>S</v>
      </c>
      <c r="AS200" s="9">
        <v>287</v>
      </c>
      <c r="AT200" s="9" t="str">
        <f>IFERROR(MID(VLOOKUP($B200,Seqs!$A:$B,2,0),AU200,1),"")</f>
        <v>I</v>
      </c>
      <c r="AU200" s="9">
        <v>319</v>
      </c>
      <c r="AV200" s="9" t="str">
        <f>IFERROR(MID(VLOOKUP($B200,Seqs!$A:$B,2,0),AW200,1),"")</f>
        <v>G</v>
      </c>
      <c r="AW200" s="9">
        <v>320</v>
      </c>
      <c r="AX200" s="9" t="str">
        <f>IFERROR(MID(VLOOKUP($B200,Seqs!$A:$B,2,0),AY200,1),"")</f>
        <v>W</v>
      </c>
      <c r="AY200" s="9">
        <v>335</v>
      </c>
      <c r="AZ200" s="110" t="str">
        <f>VLOOKUP(B200,Classification!A:D,2,0)</f>
        <v>A</v>
      </c>
      <c r="BA200" s="98" t="str">
        <f>VLOOKUP(B200,Classification!A:D,4,0)</f>
        <v>Chemokine</v>
      </c>
      <c r="BB200" s="36" t="b">
        <f t="shared" si="1764"/>
        <v>1</v>
      </c>
      <c r="BC200" s="109">
        <f t="shared" si="1765"/>
        <v>264</v>
      </c>
      <c r="BD200" s="40" t="s">
        <v>1369</v>
      </c>
      <c r="BE200" s="9" t="s">
        <v>1285</v>
      </c>
      <c r="BF200" s="119">
        <v>3.34</v>
      </c>
      <c r="BG200" s="51" t="s">
        <v>1416</v>
      </c>
      <c r="BH200" s="51" t="s">
        <v>1416</v>
      </c>
      <c r="BJ200" s="111" t="s">
        <v>1281</v>
      </c>
      <c r="BK200" s="112" t="s">
        <v>1281</v>
      </c>
      <c r="BL200" s="112" t="s">
        <v>1281</v>
      </c>
      <c r="BM200" s="112" t="s">
        <v>1281</v>
      </c>
      <c r="BN200" s="112" t="s">
        <v>1281</v>
      </c>
      <c r="BO200" s="112" t="s">
        <v>1281</v>
      </c>
      <c r="BP200" s="112" t="s">
        <v>1281</v>
      </c>
      <c r="BQ200" s="112" t="s">
        <v>1281</v>
      </c>
      <c r="BR200" s="112" t="s">
        <v>1281</v>
      </c>
      <c r="BS200" s="112" t="s">
        <v>1281</v>
      </c>
      <c r="BT200" s="112" t="s">
        <v>1281</v>
      </c>
      <c r="BU200" s="112" t="s">
        <v>1281</v>
      </c>
      <c r="BV200" s="111">
        <f t="shared" si="1766"/>
        <v>39</v>
      </c>
      <c r="BW200" s="113">
        <f t="shared" si="1767"/>
        <v>75</v>
      </c>
      <c r="BX200" s="114">
        <f t="shared" si="1768"/>
        <v>79</v>
      </c>
      <c r="BY200" s="113">
        <f t="shared" si="1769"/>
        <v>110</v>
      </c>
      <c r="BZ200" s="114">
        <f t="shared" si="1770"/>
        <v>114</v>
      </c>
      <c r="CA200" s="113">
        <f t="shared" si="1771"/>
        <v>150</v>
      </c>
      <c r="CB200" s="114">
        <f t="shared" si="1772"/>
        <v>161</v>
      </c>
      <c r="CC200" s="113">
        <f t="shared" si="1773"/>
        <v>197</v>
      </c>
      <c r="CD200" s="114">
        <f t="shared" si="1774"/>
        <v>207</v>
      </c>
      <c r="CE200" s="113">
        <f t="shared" si="1775"/>
        <v>249</v>
      </c>
      <c r="CF200" s="114">
        <f t="shared" si="1776"/>
        <v>287</v>
      </c>
      <c r="CG200" s="113">
        <f t="shared" si="1777"/>
        <v>320</v>
      </c>
      <c r="CH200" s="111">
        <f t="shared" si="1778"/>
        <v>74</v>
      </c>
      <c r="CI200" s="113">
        <f t="shared" si="1779"/>
        <v>78</v>
      </c>
      <c r="CJ200" s="114">
        <f t="shared" si="1780"/>
        <v>109</v>
      </c>
      <c r="CK200" s="114">
        <f t="shared" si="1781"/>
        <v>113</v>
      </c>
      <c r="CL200" s="114">
        <f t="shared" si="1782"/>
        <v>148</v>
      </c>
      <c r="CM200" s="114">
        <f t="shared" si="1783"/>
        <v>156</v>
      </c>
      <c r="CN200" s="114">
        <f t="shared" si="1784"/>
        <v>186</v>
      </c>
      <c r="CO200" s="114">
        <f t="shared" si="1785"/>
        <v>199</v>
      </c>
      <c r="CP200" s="114">
        <f t="shared" si="1786"/>
        <v>244</v>
      </c>
      <c r="CQ200" s="114">
        <f t="shared" si="1787"/>
        <v>279</v>
      </c>
      <c r="CR200" s="114">
        <f t="shared" si="1788"/>
        <v>319</v>
      </c>
      <c r="CS200" s="114">
        <f t="shared" si="1789"/>
        <v>335</v>
      </c>
      <c r="CT200" s="109">
        <f t="shared" si="1790"/>
        <v>1</v>
      </c>
    </row>
    <row r="201" spans="1:1029" x14ac:dyDescent="0.2">
      <c r="A201" s="3" t="str">
        <f t="shared" ref="A201:A202" si="1791">CONCATENATE(B201,"_",C201)</f>
        <v>ccr7_human__wt</v>
      </c>
      <c r="B201" s="3" t="s">
        <v>175</v>
      </c>
      <c r="C201" s="3" t="s">
        <v>100</v>
      </c>
      <c r="D201" s="3" t="str">
        <f>IFERROR(MID(VLOOKUP($B201,Seqs!$A:$B,2,0),E201,1),"")</f>
        <v>N</v>
      </c>
      <c r="E201" s="3">
        <v>55</v>
      </c>
      <c r="F201" s="3" t="str">
        <f>IFERROR(MID(VLOOKUP($B201,Seqs!$A:$B,2,0),G201,1),"")</f>
        <v>F</v>
      </c>
      <c r="G201" s="3">
        <v>86</v>
      </c>
      <c r="H201" s="3" t="str">
        <f>IFERROR(MID(VLOOKUP($B201,Seqs!$A:$B,2,0),I201,1),"")</f>
        <v>K</v>
      </c>
      <c r="I201" s="23">
        <v>87</v>
      </c>
      <c r="J201" s="3" t="str">
        <f>IFERROR(MID(VLOOKUP($B201,Seqs!$A:$B,2,0),K201,1),"")</f>
        <v>K</v>
      </c>
      <c r="K201" s="23">
        <v>90</v>
      </c>
      <c r="L201" s="3" t="str">
        <f>IFERROR(MID(VLOOKUP($B201,Seqs!$A:$B,2,0),M201,1),"")</f>
        <v>T</v>
      </c>
      <c r="M201" s="3">
        <v>91</v>
      </c>
      <c r="N201" s="3" t="str">
        <f>IFERROR(MID(VLOOKUP($B201,Seqs!$A:$B,2,0),O201,1),"")</f>
        <v>K</v>
      </c>
      <c r="O201" s="3">
        <v>120</v>
      </c>
      <c r="P201" s="3" t="str">
        <f>IFERROR(MID(VLOOKUP($B201,Seqs!$A:$B,2,0),Q201,1),"")</f>
        <v>S</v>
      </c>
      <c r="Q201" s="3">
        <v>121</v>
      </c>
      <c r="R201" s="3" t="str">
        <f>IFERROR(MID(VLOOKUP($B201,Seqs!$A:$B,2,0),S201,1),"")</f>
        <v>F</v>
      </c>
      <c r="S201" s="3">
        <v>124</v>
      </c>
      <c r="T201" s="3" t="str">
        <f>IFERROR(MID(VLOOKUP($B201,Seqs!$A:$B,2,0),U201,1),"")</f>
        <v>G</v>
      </c>
      <c r="U201" s="3">
        <v>125</v>
      </c>
      <c r="V201" s="3" t="str">
        <f>IFERROR(MID(VLOOKUP($B201,Seqs!$A:$B,2,0),W201,1),"")</f>
        <v>Q</v>
      </c>
      <c r="W201" s="3">
        <v>160</v>
      </c>
      <c r="X201" s="3" t="str">
        <f>IFERROR(MID(VLOOKUP($B201,Seqs!$A:$B,2,0),Y201,1),"")</f>
        <v>A</v>
      </c>
      <c r="Y201" s="3">
        <v>161</v>
      </c>
      <c r="Z201" s="3" t="str">
        <f>IFERROR(MID(VLOOKUP($B201,Seqs!$A:$B,2,0),AA201,1),"")</f>
        <v>A</v>
      </c>
      <c r="AA201" s="3">
        <v>169</v>
      </c>
      <c r="AB201" s="3" t="str">
        <f>IFERROR(MID(VLOOKUP($B201,Seqs!$A:$B,2,0),AC201,1),"")</f>
        <v>V</v>
      </c>
      <c r="AC201" s="3">
        <v>171</v>
      </c>
      <c r="AD201" s="3" t="str">
        <f>IFERROR(MID(VLOOKUP($B201,Seqs!$A:$B,2,0),AE201,1),"")</f>
        <v>S</v>
      </c>
      <c r="AE201" s="3">
        <v>197</v>
      </c>
      <c r="AF201" s="3" t="str">
        <f>IFERROR(MID(VLOOKUP($B201,Seqs!$A:$B,2,0),AG201,1),"")</f>
        <v>C</v>
      </c>
      <c r="AG201" s="3">
        <v>210</v>
      </c>
      <c r="AH201" s="3" t="str">
        <f>IFERROR(MID(VLOOKUP($B201,Seqs!$A:$B,2,0),AI201,1),"")</f>
        <v>L</v>
      </c>
      <c r="AI201" s="3">
        <v>212</v>
      </c>
      <c r="AJ201" s="3" t="str">
        <f>IFERROR(MID(VLOOKUP($B201,Seqs!$A:$B,2,0),AK201,1),"")</f>
        <v>E</v>
      </c>
      <c r="AK201" s="3">
        <v>218</v>
      </c>
      <c r="AL201" s="3" t="str">
        <f>IFERROR(MID(VLOOKUP($B201,Seqs!$A:$B,2,0),AM201,1),"")</f>
        <v>A</v>
      </c>
      <c r="AM201" s="3">
        <v>253</v>
      </c>
      <c r="AN201" s="3" t="str">
        <f>IFERROR(MID(VLOOKUP($B201,Seqs!$A:$B,2,0),AO201,1),"")</f>
        <v>R</v>
      </c>
      <c r="AO201" s="3">
        <v>258</v>
      </c>
      <c r="AP201" s="3" t="str">
        <f>IFERROR(MID(VLOOKUP($B201,Seqs!$A:$B,2,0),AQ201,1),"")</f>
        <v>I</v>
      </c>
      <c r="AQ201" s="3">
        <v>293</v>
      </c>
      <c r="AR201" s="3" t="str">
        <f>IFERROR(MID(VLOOKUP($B201,Seqs!$A:$B,2,0),AS201,1),"")</f>
        <v>T</v>
      </c>
      <c r="AS201" s="3">
        <v>297</v>
      </c>
      <c r="AT201" s="3" t="str">
        <f>IFERROR(MID(VLOOKUP($B201,Seqs!$A:$B,2,0),AU201,1),"")</f>
        <v>I</v>
      </c>
      <c r="AU201" s="3">
        <v>329</v>
      </c>
      <c r="AV201" s="3" t="str">
        <f>IFERROR(MID(VLOOKUP($B201,Seqs!$A:$B,2,0),AW201,1),"")</f>
        <v>G</v>
      </c>
      <c r="AW201" s="3">
        <v>330</v>
      </c>
      <c r="AX201" s="3" t="str">
        <f>IFERROR(MID(VLOOKUP($B201,Seqs!$A:$B,2,0),AY201,1),"")</f>
        <v>K</v>
      </c>
      <c r="AY201" s="3">
        <v>342</v>
      </c>
      <c r="AZ201" s="77" t="str">
        <f>VLOOKUP(B201,Classification!A:D,2,0)</f>
        <v>A</v>
      </c>
      <c r="BA201" s="94" t="str">
        <f>VLOOKUP(B201,Classification!A:D,4,0)</f>
        <v>Chemokine</v>
      </c>
      <c r="BB201" s="27" t="b">
        <f t="shared" ref="BB201:BB202" si="1792"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23">
        <f t="shared" ref="BC201:BC202" si="1793">_xlfn.AGGREGATE(9,6,CH201:CS201)-_xlfn.AGGREGATE(9,6,BV201:CG201)+12</f>
        <v>263</v>
      </c>
      <c r="BD201" s="2" t="s">
        <v>23</v>
      </c>
      <c r="BE201" s="3" t="s">
        <v>1368</v>
      </c>
      <c r="BF201" s="118">
        <v>5.5</v>
      </c>
      <c r="BG201" s="49" t="s">
        <v>1275</v>
      </c>
      <c r="BH201" s="49" t="s">
        <v>1275</v>
      </c>
      <c r="BI201" s="1"/>
      <c r="BJ201" s="70" t="s">
        <v>1281</v>
      </c>
      <c r="BK201" s="57" t="s">
        <v>1281</v>
      </c>
      <c r="BL201" s="57" t="s">
        <v>1281</v>
      </c>
      <c r="BM201" s="57" t="s">
        <v>1281</v>
      </c>
      <c r="BN201" s="57" t="s">
        <v>1281</v>
      </c>
      <c r="BO201" s="57" t="s">
        <v>1281</v>
      </c>
      <c r="BP201" s="57" t="s">
        <v>1281</v>
      </c>
      <c r="BQ201" s="57" t="s">
        <v>1281</v>
      </c>
      <c r="BR201" s="57" t="s">
        <v>1281</v>
      </c>
      <c r="BS201" s="57" t="s">
        <v>1281</v>
      </c>
      <c r="BT201" s="57" t="s">
        <v>1281</v>
      </c>
      <c r="BU201" s="57" t="s">
        <v>1281</v>
      </c>
      <c r="BV201" s="70">
        <f t="shared" ref="BV201:BV202" si="1794">E201</f>
        <v>55</v>
      </c>
      <c r="BW201" s="71">
        <f t="shared" ref="BW201:BW202" si="1795">I201</f>
        <v>87</v>
      </c>
      <c r="BX201" s="72">
        <f t="shared" ref="BX201:BX202" si="1796">M201</f>
        <v>91</v>
      </c>
      <c r="BY201" s="71">
        <f t="shared" ref="BY201:BY202" si="1797">Q201</f>
        <v>121</v>
      </c>
      <c r="BZ201" s="72">
        <f t="shared" ref="BZ201:BZ202" si="1798">U201</f>
        <v>125</v>
      </c>
      <c r="CA201" s="71">
        <f t="shared" ref="CA201:CA202" si="1799">Y201</f>
        <v>161</v>
      </c>
      <c r="CB201" s="72">
        <f t="shared" ref="CB201:CB202" si="1800">AC201</f>
        <v>171</v>
      </c>
      <c r="CC201" s="71">
        <f t="shared" ref="CC201:CC202" si="1801">AG201</f>
        <v>210</v>
      </c>
      <c r="CD201" s="72">
        <f t="shared" ref="CD201:CD202" si="1802">AK201</f>
        <v>218</v>
      </c>
      <c r="CE201" s="71">
        <f t="shared" ref="CE201:CE202" si="1803">AO201</f>
        <v>258</v>
      </c>
      <c r="CF201" s="72">
        <f t="shared" ref="CF201:CF202" si="1804">AS201</f>
        <v>297</v>
      </c>
      <c r="CG201" s="71">
        <f t="shared" ref="CG201:CG202" si="1805">AW201</f>
        <v>330</v>
      </c>
      <c r="CH201" s="70">
        <f t="shared" ref="CH201:CH202" si="1806">G201</f>
        <v>86</v>
      </c>
      <c r="CI201" s="71">
        <f t="shared" ref="CI201:CI202" si="1807">K201</f>
        <v>90</v>
      </c>
      <c r="CJ201" s="72">
        <f t="shared" ref="CJ201:CJ202" si="1808">O201</f>
        <v>120</v>
      </c>
      <c r="CK201" s="72">
        <f t="shared" ref="CK201:CK202" si="1809">S201</f>
        <v>124</v>
      </c>
      <c r="CL201" s="72">
        <f t="shared" ref="CL201:CL202" si="1810">W201</f>
        <v>160</v>
      </c>
      <c r="CM201" s="72">
        <f t="shared" ref="CM201:CM202" si="1811">AA201</f>
        <v>169</v>
      </c>
      <c r="CN201" s="72">
        <f t="shared" ref="CN201:CN202" si="1812">AE201</f>
        <v>197</v>
      </c>
      <c r="CO201" s="72">
        <f t="shared" ref="CO201:CO202" si="1813">AI201</f>
        <v>212</v>
      </c>
      <c r="CP201" s="72">
        <f t="shared" ref="CP201:CP202" si="1814">AM201</f>
        <v>253</v>
      </c>
      <c r="CQ201" s="72">
        <f t="shared" ref="CQ201:CQ202" si="1815">AQ201</f>
        <v>293</v>
      </c>
      <c r="CR201" s="72">
        <f t="shared" ref="CR201:CR202" si="1816">AU201</f>
        <v>329</v>
      </c>
      <c r="CS201" s="72">
        <f t="shared" ref="CS201:CS202" si="1817">AY201</f>
        <v>342</v>
      </c>
      <c r="CT201" s="23">
        <f t="shared" ref="CT201:CT202" si="1818">M201-K201</f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1791"/>
        <v>ccr7_human_6QZH</v>
      </c>
      <c r="B202" s="3" t="s">
        <v>175</v>
      </c>
      <c r="C202" s="3" t="s">
        <v>1586</v>
      </c>
      <c r="D202" s="3" t="str">
        <f>IFERROR(MID(VLOOKUP($B202,Seqs!$A:$B,2,0),E202,1),"")</f>
        <v>F</v>
      </c>
      <c r="E202" s="3">
        <v>56</v>
      </c>
      <c r="F202" s="3" t="str">
        <f>IFERROR(MID(VLOOKUP($B202,Seqs!$A:$B,2,0),G202,1),"")</f>
        <v>Y</v>
      </c>
      <c r="G202" s="3">
        <v>85</v>
      </c>
      <c r="H202" s="3" t="str">
        <f>IFERROR(MID(VLOOKUP($B202,Seqs!$A:$B,2,0),I202,1),"")</f>
        <v>K</v>
      </c>
      <c r="I202" s="23">
        <v>87</v>
      </c>
      <c r="J202" s="3" t="str">
        <f>IFERROR(MID(VLOOKUP($B202,Seqs!$A:$B,2,0),K202,1),"")</f>
        <v>K</v>
      </c>
      <c r="K202" s="23">
        <v>90</v>
      </c>
      <c r="L202" s="3" t="str">
        <f>IFERROR(MID(VLOOKUP($B202,Seqs!$A:$B,2,0),M202,1),"")</f>
        <v>T</v>
      </c>
      <c r="M202" s="3">
        <v>91</v>
      </c>
      <c r="N202" s="3" t="str">
        <f>IFERROR(MID(VLOOKUP($B202,Seqs!$A:$B,2,0),O202,1),"")</f>
        <v>K</v>
      </c>
      <c r="O202" s="3">
        <v>120</v>
      </c>
      <c r="P202" s="3" t="str">
        <f>IFERROR(MID(VLOOKUP($B202,Seqs!$A:$B,2,0),Q202,1),"")</f>
        <v>S</v>
      </c>
      <c r="Q202" s="3">
        <v>121</v>
      </c>
      <c r="R202" s="3" t="str">
        <f>IFERROR(MID(VLOOKUP($B202,Seqs!$A:$B,2,0),S202,1),"")</f>
        <v>F</v>
      </c>
      <c r="S202" s="3">
        <v>124</v>
      </c>
      <c r="T202" s="3" t="str">
        <f>IFERROR(MID(VLOOKUP($B202,Seqs!$A:$B,2,0),U202,1),"")</f>
        <v>G</v>
      </c>
      <c r="U202" s="3">
        <v>125</v>
      </c>
      <c r="V202" s="3" t="str">
        <f>IFERROR(MID(VLOOKUP($B202,Seqs!$A:$B,2,0),W202,1),"")</f>
        <v>V</v>
      </c>
      <c r="W202" s="3">
        <v>159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H</v>
      </c>
      <c r="AC202" s="3">
        <v>167</v>
      </c>
      <c r="AD202" s="3" t="str">
        <f>IFERROR(MID(VLOOKUP($B202,Seqs!$A:$B,2,0),AE202,1),"")</f>
        <v>Y</v>
      </c>
      <c r="AE202" s="3">
        <v>196</v>
      </c>
      <c r="AF202" s="3" t="str">
        <f>IFERROR(MID(VLOOKUP($B202,Seqs!$A:$B,2,0),AG202,1),"")</f>
        <v>C</v>
      </c>
      <c r="AG202" s="3">
        <v>210</v>
      </c>
      <c r="AH202" s="3" t="str">
        <f>IFERROR(MID(VLOOKUP($B202,Seqs!$A:$B,2,0),AI202,1),"")</f>
        <v>L</v>
      </c>
      <c r="AI202" s="3">
        <v>212</v>
      </c>
      <c r="AJ202" s="3" t="str">
        <f>IFERROR(MID(VLOOKUP($B202,Seqs!$A:$B,2,0),AK202,1),"")</f>
        <v>F</v>
      </c>
      <c r="AK202" s="3">
        <v>220</v>
      </c>
      <c r="AL202" s="3" t="str">
        <f>IFERROR(MID(VLOOKUP($B202,Seqs!$A:$B,2,0),AM202,1),"")</f>
        <v>L</v>
      </c>
      <c r="AM202" s="3">
        <v>251</v>
      </c>
      <c r="AN202" s="3" t="str">
        <f>IFERROR(MID(VLOOKUP($B202,Seqs!$A:$B,2,0),AO202,1),"")</f>
        <v>K</v>
      </c>
      <c r="AO202" s="3">
        <v>263</v>
      </c>
      <c r="AP202" s="3" t="str">
        <f>IFERROR(MID(VLOOKUP($B202,Seqs!$A:$B,2,0),AQ202,1),"")</f>
        <v>Q</v>
      </c>
      <c r="AQ202" s="3">
        <v>286</v>
      </c>
      <c r="AR202" s="3" t="str">
        <f>IFERROR(MID(VLOOKUP($B202,Seqs!$A:$B,2,0),AS202,1),"")</f>
        <v>C</v>
      </c>
      <c r="AS202" s="3">
        <v>298</v>
      </c>
      <c r="AT202" s="3" t="str">
        <f>IFERROR(MID(VLOOKUP($B202,Seqs!$A:$B,2,0),AU202,1),"")</f>
        <v>F</v>
      </c>
      <c r="AU202" s="3">
        <v>328</v>
      </c>
      <c r="AV202" s="3" t="str">
        <f>IFERROR(MID(VLOOKUP($B202,Seqs!$A:$B,2,0),AW202,1),"")</f>
        <v>K</v>
      </c>
      <c r="AW202" s="3">
        <v>332</v>
      </c>
      <c r="AX202" s="3" t="str">
        <f>IFERROR(MID(VLOOKUP($B202,Seqs!$A:$B,2,0),AY202,1),"")</f>
        <v>F</v>
      </c>
      <c r="AY202" s="3">
        <v>341</v>
      </c>
      <c r="AZ202" s="77" t="str">
        <f>VLOOKUP(B202,Classification!A:D,2,0)</f>
        <v>A</v>
      </c>
      <c r="BA202" s="94" t="str">
        <f>VLOOKUP(B202,Classification!A:D,4,0)</f>
        <v>Chemokine</v>
      </c>
      <c r="BB202" s="27" t="b">
        <f t="shared" si="1792"/>
        <v>1</v>
      </c>
      <c r="BC202" s="23">
        <f t="shared" si="1793"/>
        <v>234</v>
      </c>
      <c r="BD202" s="2" t="s">
        <v>1370</v>
      </c>
      <c r="BE202" s="3" t="s">
        <v>1368</v>
      </c>
      <c r="BF202" s="118">
        <v>2.1</v>
      </c>
      <c r="BG202" s="49" t="s">
        <v>1</v>
      </c>
      <c r="BH202" s="49" t="s">
        <v>1</v>
      </c>
      <c r="BI202" s="1"/>
      <c r="BJ202" s="70" t="s">
        <v>1281</v>
      </c>
      <c r="BK202" s="57" t="s">
        <v>1281</v>
      </c>
      <c r="BL202" s="57" t="s">
        <v>1281</v>
      </c>
      <c r="BM202" s="57" t="s">
        <v>1281</v>
      </c>
      <c r="BN202" s="57" t="s">
        <v>1281</v>
      </c>
      <c r="BO202" s="57" t="s">
        <v>1281</v>
      </c>
      <c r="BP202" s="57" t="s">
        <v>1281</v>
      </c>
      <c r="BQ202" s="57" t="s">
        <v>1281</v>
      </c>
      <c r="BR202" s="57" t="s">
        <v>1281</v>
      </c>
      <c r="BS202" s="57" t="s">
        <v>1281</v>
      </c>
      <c r="BT202" s="57" t="s">
        <v>1281</v>
      </c>
      <c r="BU202" s="57" t="s">
        <v>1281</v>
      </c>
      <c r="BV202" s="70">
        <f t="shared" si="1794"/>
        <v>56</v>
      </c>
      <c r="BW202" s="71">
        <f t="shared" si="1795"/>
        <v>87</v>
      </c>
      <c r="BX202" s="72">
        <f t="shared" si="1796"/>
        <v>91</v>
      </c>
      <c r="BY202" s="71">
        <f t="shared" si="1797"/>
        <v>121</v>
      </c>
      <c r="BZ202" s="72">
        <f t="shared" si="1798"/>
        <v>125</v>
      </c>
      <c r="CA202" s="71" t="str">
        <f t="shared" si="1799"/>
        <v>-</v>
      </c>
      <c r="CB202" s="72">
        <f t="shared" si="1800"/>
        <v>167</v>
      </c>
      <c r="CC202" s="71">
        <f t="shared" si="1801"/>
        <v>210</v>
      </c>
      <c r="CD202" s="72">
        <f t="shared" si="1802"/>
        <v>220</v>
      </c>
      <c r="CE202" s="71">
        <f t="shared" si="1803"/>
        <v>263</v>
      </c>
      <c r="CF202" s="72">
        <f t="shared" si="1804"/>
        <v>298</v>
      </c>
      <c r="CG202" s="71">
        <f t="shared" si="1805"/>
        <v>332</v>
      </c>
      <c r="CH202" s="70">
        <f t="shared" si="1806"/>
        <v>85</v>
      </c>
      <c r="CI202" s="71">
        <f t="shared" si="1807"/>
        <v>90</v>
      </c>
      <c r="CJ202" s="72">
        <f t="shared" si="1808"/>
        <v>120</v>
      </c>
      <c r="CK202" s="72">
        <f t="shared" si="1809"/>
        <v>124</v>
      </c>
      <c r="CL202" s="72">
        <f t="shared" si="1810"/>
        <v>159</v>
      </c>
      <c r="CM202" s="72" t="str">
        <f t="shared" si="1811"/>
        <v>-</v>
      </c>
      <c r="CN202" s="72">
        <f t="shared" si="1812"/>
        <v>196</v>
      </c>
      <c r="CO202" s="72">
        <f t="shared" si="1813"/>
        <v>212</v>
      </c>
      <c r="CP202" s="72">
        <f t="shared" si="1814"/>
        <v>251</v>
      </c>
      <c r="CQ202" s="72">
        <f t="shared" si="1815"/>
        <v>286</v>
      </c>
      <c r="CR202" s="72">
        <f t="shared" si="1816"/>
        <v>328</v>
      </c>
      <c r="CS202" s="72">
        <f t="shared" si="1817"/>
        <v>341</v>
      </c>
      <c r="CT202" s="23">
        <f t="shared" si="1818"/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1371"/>
        <v>ccr9_human__wt</v>
      </c>
      <c r="B203" s="3" t="s">
        <v>177</v>
      </c>
      <c r="C203" s="3" t="s">
        <v>100</v>
      </c>
      <c r="D203" s="3" t="str">
        <f>IFERROR(MID(VLOOKUP($B203,Seqs!$A:$B,2,0),E203,1),"")</f>
        <v>V</v>
      </c>
      <c r="E203" s="3">
        <v>43</v>
      </c>
      <c r="F203" s="3" t="str">
        <f>IFERROR(MID(VLOOKUP($B203,Seqs!$A:$B,2,0),G203,1),"")</f>
        <v>C</v>
      </c>
      <c r="G203" s="3">
        <v>76</v>
      </c>
      <c r="H203" s="3" t="str">
        <f>IFERROR(MID(VLOOKUP($B203,Seqs!$A:$B,2,0),I203,1),"")</f>
        <v>T</v>
      </c>
      <c r="I203" s="23">
        <v>77</v>
      </c>
      <c r="J203" s="3" t="str">
        <f>IFERROR(MID(VLOOKUP($B203,Seqs!$A:$B,2,0),K203,1),"")</f>
        <v>K</v>
      </c>
      <c r="K203" s="23">
        <v>80</v>
      </c>
      <c r="L203" s="3" t="str">
        <f>IFERROR(MID(VLOOKUP($B203,Seqs!$A:$B,2,0),M203,1),"")</f>
        <v>T</v>
      </c>
      <c r="M203" s="3">
        <v>81</v>
      </c>
      <c r="N203" s="3" t="str">
        <f>IFERROR(MID(VLOOKUP($B203,Seqs!$A:$B,2,0),O203,1),"")</f>
        <v>D</v>
      </c>
      <c r="O203" s="3">
        <v>110</v>
      </c>
      <c r="P203" s="3" t="str">
        <f>IFERROR(MID(VLOOKUP($B203,Seqs!$A:$B,2,0),Q203,1),"")</f>
        <v>Q</v>
      </c>
      <c r="Q203" s="3">
        <v>111</v>
      </c>
      <c r="R203" s="3" t="str">
        <f>IFERROR(MID(VLOOKUP($B203,Seqs!$A:$B,2,0),S203,1),"")</f>
        <v>F</v>
      </c>
      <c r="S203" s="3">
        <v>114</v>
      </c>
      <c r="T203" s="3" t="str">
        <f>IFERROR(MID(VLOOKUP($B203,Seqs!$A:$B,2,0),U203,1),"")</f>
        <v>Q</v>
      </c>
      <c r="U203" s="3">
        <v>115</v>
      </c>
      <c r="V203" s="3" t="str">
        <f>IFERROR(MID(VLOOKUP($B203,Seqs!$A:$B,2,0),W203,1),"")</f>
        <v>Q</v>
      </c>
      <c r="W203" s="3">
        <v>150</v>
      </c>
      <c r="X203" s="3" t="str">
        <f>IFERROR(MID(VLOOKUP($B203,Seqs!$A:$B,2,0),Y203,1),"")</f>
        <v>A</v>
      </c>
      <c r="Y203" s="3">
        <v>151</v>
      </c>
      <c r="Z203" s="3" t="str">
        <f>IFERROR(MID(VLOOKUP($B203,Seqs!$A:$B,2,0),AA203,1),"")</f>
        <v>W</v>
      </c>
      <c r="AA203" s="3">
        <v>157</v>
      </c>
      <c r="AB203" s="3" t="str">
        <f>IFERROR(MID(VLOOKUP($B203,Seqs!$A:$B,2,0),AC203,1),"")</f>
        <v>R</v>
      </c>
      <c r="AC203" s="3">
        <v>158</v>
      </c>
      <c r="AD203" s="3" t="str">
        <f>IFERROR(MID(VLOOKUP($B203,Seqs!$A:$B,2,0),AE203,1),"")</f>
        <v>S</v>
      </c>
      <c r="AE203" s="3">
        <v>187</v>
      </c>
      <c r="AF203" s="3" t="str">
        <f>IFERROR(MID(VLOOKUP($B203,Seqs!$A:$B,2,0),AG203,1),"")</f>
        <v>C</v>
      </c>
      <c r="AG203" s="3">
        <v>198</v>
      </c>
      <c r="AH203" s="3" t="str">
        <f>IFERROR(MID(VLOOKUP($B203,Seqs!$A:$B,2,0),AI203,1),"")</f>
        <v>M</v>
      </c>
      <c r="AI203" s="3">
        <v>200</v>
      </c>
      <c r="AJ203" s="3" t="str">
        <f>IFERROR(MID(VLOOKUP($B203,Seqs!$A:$B,2,0),AK203,1),"")</f>
        <v>K</v>
      </c>
      <c r="AK203" s="3">
        <v>209</v>
      </c>
      <c r="AL203" s="3" t="str">
        <f>IFERROR(MID(VLOOKUP($B203,Seqs!$A:$B,2,0),AM203,1),"")</f>
        <v>A</v>
      </c>
      <c r="AM203" s="3">
        <v>244</v>
      </c>
      <c r="AN203" s="3" t="str">
        <f>IFERROR(MID(VLOOKUP($B203,Seqs!$A:$B,2,0),AO203,1),"")</f>
        <v>S</v>
      </c>
      <c r="AO203" s="3">
        <v>247</v>
      </c>
      <c r="AP203" s="3" t="str">
        <f>IFERROR(MID(VLOOKUP($B203,Seqs!$A:$B,2,0),AQ203,1),"")</f>
        <v>M</v>
      </c>
      <c r="AQ203" s="3">
        <v>284</v>
      </c>
      <c r="AR203" s="3" t="str">
        <f>IFERROR(MID(VLOOKUP($B203,Seqs!$A:$B,2,0),AS203,1),"")</f>
        <v>N</v>
      </c>
      <c r="AS203" s="3">
        <v>288</v>
      </c>
      <c r="AT203" s="3" t="str">
        <f>IFERROR(MID(VLOOKUP($B203,Seqs!$A:$B,2,0),AU203,1),"")</f>
        <v>V</v>
      </c>
      <c r="AU203" s="3">
        <v>320</v>
      </c>
      <c r="AV203" s="3" t="str">
        <f>IFERROR(MID(VLOOKUP($B203,Seqs!$A:$B,2,0),AW203,1),"")</f>
        <v>G</v>
      </c>
      <c r="AW203" s="3">
        <v>321</v>
      </c>
      <c r="AX203" s="3" t="str">
        <f>IFERROR(MID(VLOOKUP($B203,Seqs!$A:$B,2,0),AY203,1),"")</f>
        <v>A</v>
      </c>
      <c r="AY203" s="3">
        <v>341</v>
      </c>
      <c r="AZ203" s="77" t="str">
        <f>VLOOKUP(B203,Classification!A:D,2,0)</f>
        <v>A</v>
      </c>
      <c r="BA203" s="94" t="str">
        <f>VLOOKUP(B203,Classification!A:D,4,0)</f>
        <v>Chemokine</v>
      </c>
      <c r="BB203" s="27" t="b">
        <f t="shared" si="1372"/>
        <v>1</v>
      </c>
      <c r="BC203" s="23">
        <f t="shared" si="1121"/>
        <v>276</v>
      </c>
      <c r="BD203" s="56" t="s">
        <v>23</v>
      </c>
      <c r="BE203" s="3" t="s">
        <v>23</v>
      </c>
      <c r="BF203" s="118" t="s">
        <v>23</v>
      </c>
      <c r="BG203" s="49" t="s">
        <v>1366</v>
      </c>
      <c r="BH203" s="49" t="s">
        <v>1371</v>
      </c>
      <c r="BI203" s="1"/>
      <c r="BJ203" s="70" t="s">
        <v>1281</v>
      </c>
      <c r="BK203" s="57" t="s">
        <v>1281</v>
      </c>
      <c r="BL203" s="57" t="s">
        <v>1281</v>
      </c>
      <c r="BM203" s="57" t="s">
        <v>1281</v>
      </c>
      <c r="BN203" s="57" t="s">
        <v>1281</v>
      </c>
      <c r="BO203" s="57" t="s">
        <v>1281</v>
      </c>
      <c r="BP203" s="57" t="s">
        <v>1281</v>
      </c>
      <c r="BQ203" s="57" t="s">
        <v>1281</v>
      </c>
      <c r="BR203" s="57" t="s">
        <v>1281</v>
      </c>
      <c r="BS203" s="57" t="s">
        <v>1281</v>
      </c>
      <c r="BT203" s="57" t="s">
        <v>1281</v>
      </c>
      <c r="BU203" s="57" t="s">
        <v>1281</v>
      </c>
      <c r="BV203" s="70">
        <f t="shared" si="1122"/>
        <v>43</v>
      </c>
      <c r="BW203" s="71">
        <f t="shared" si="1123"/>
        <v>77</v>
      </c>
      <c r="BX203" s="72">
        <f t="shared" si="1124"/>
        <v>81</v>
      </c>
      <c r="BY203" s="71">
        <f t="shared" si="1125"/>
        <v>111</v>
      </c>
      <c r="BZ203" s="72">
        <f t="shared" si="1126"/>
        <v>115</v>
      </c>
      <c r="CA203" s="71">
        <f t="shared" si="1127"/>
        <v>151</v>
      </c>
      <c r="CB203" s="72">
        <f t="shared" si="1128"/>
        <v>158</v>
      </c>
      <c r="CC203" s="71">
        <f t="shared" si="1129"/>
        <v>198</v>
      </c>
      <c r="CD203" s="72">
        <f t="shared" si="1130"/>
        <v>209</v>
      </c>
      <c r="CE203" s="71">
        <f t="shared" si="1131"/>
        <v>247</v>
      </c>
      <c r="CF203" s="72">
        <f t="shared" si="1132"/>
        <v>288</v>
      </c>
      <c r="CG203" s="71">
        <f t="shared" si="1133"/>
        <v>321</v>
      </c>
      <c r="CH203" s="70">
        <f t="shared" si="1134"/>
        <v>76</v>
      </c>
      <c r="CI203" s="71">
        <f t="shared" si="1135"/>
        <v>80</v>
      </c>
      <c r="CJ203" s="72">
        <f t="shared" si="1136"/>
        <v>110</v>
      </c>
      <c r="CK203" s="72">
        <f t="shared" si="1137"/>
        <v>114</v>
      </c>
      <c r="CL203" s="72">
        <f t="shared" si="1138"/>
        <v>150</v>
      </c>
      <c r="CM203" s="72">
        <f t="shared" si="1139"/>
        <v>157</v>
      </c>
      <c r="CN203" s="72">
        <f t="shared" si="1140"/>
        <v>187</v>
      </c>
      <c r="CO203" s="72">
        <f t="shared" si="1141"/>
        <v>200</v>
      </c>
      <c r="CP203" s="72">
        <f t="shared" si="1142"/>
        <v>244</v>
      </c>
      <c r="CQ203" s="72">
        <f t="shared" si="1143"/>
        <v>284</v>
      </c>
      <c r="CR203" s="72">
        <f t="shared" si="1144"/>
        <v>320</v>
      </c>
      <c r="CS203" s="72">
        <f t="shared" si="1145"/>
        <v>341</v>
      </c>
      <c r="CT203" s="23">
        <f t="shared" si="1146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1371"/>
        <v>ccr9_human_5LWE</v>
      </c>
      <c r="B204" s="3" t="s">
        <v>177</v>
      </c>
      <c r="C204" s="3" t="s">
        <v>1359</v>
      </c>
      <c r="D204" s="3" t="str">
        <f>IFERROR(MID(VLOOKUP($B204,Seqs!$A:$B,2,0),E204,1),"")</f>
        <v>V</v>
      </c>
      <c r="E204" s="3">
        <v>43</v>
      </c>
      <c r="F204" s="3" t="str">
        <f>IFERROR(MID(VLOOKUP($B204,Seqs!$A:$B,2,0),G204,1),"")</f>
        <v>C</v>
      </c>
      <c r="G204" s="3">
        <v>76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T</v>
      </c>
      <c r="M204" s="3">
        <v>81</v>
      </c>
      <c r="N204" s="3" t="str">
        <f>IFERROR(MID(VLOOKUP($B204,Seqs!$A:$B,2,0),O204,1),"")</f>
        <v>A</v>
      </c>
      <c r="O204" s="3">
        <v>108</v>
      </c>
      <c r="P204" s="3" t="str">
        <f>IFERROR(MID(VLOOKUP($B204,Seqs!$A:$B,2,0),Q204,1),"")</f>
        <v/>
      </c>
      <c r="Q204" s="3" t="s">
        <v>23</v>
      </c>
      <c r="R204" s="3" t="str">
        <f>IFERROR(MID(VLOOKUP($B204,Seqs!$A:$B,2,0),S204,1),"")</f>
        <v/>
      </c>
      <c r="S204" s="3" t="s">
        <v>23</v>
      </c>
      <c r="T204" s="3" t="str">
        <f>IFERROR(MID(VLOOKUP($B204,Seqs!$A:$B,2,0),U204,1),"")</f>
        <v>C</v>
      </c>
      <c r="U204" s="3">
        <v>119</v>
      </c>
      <c r="V204" s="3" t="str">
        <f>IFERROR(MID(VLOOKUP($B204,Seqs!$A:$B,2,0),W204,1),"")</f>
        <v>Q</v>
      </c>
      <c r="W204" s="3">
        <v>150</v>
      </c>
      <c r="X204" s="3" t="str">
        <f>IFERROR(MID(VLOOKUP($B204,Seqs!$A:$B,2,0),Y204,1),"")</f>
        <v>A</v>
      </c>
      <c r="Y204" s="3">
        <v>151</v>
      </c>
      <c r="Z204" s="3" t="str">
        <f>IFERROR(MID(VLOOKUP($B204,Seqs!$A:$B,2,0),AA204,1),"")</f>
        <v>W</v>
      </c>
      <c r="AA204" s="3">
        <v>157</v>
      </c>
      <c r="AB204" s="3" t="str">
        <f>IFERROR(MID(VLOOKUP($B204,Seqs!$A:$B,2,0),AC204,1),"")</f>
        <v>R</v>
      </c>
      <c r="AC204" s="3">
        <v>158</v>
      </c>
      <c r="AD204" s="3" t="str">
        <f>IFERROR(MID(VLOOKUP($B204,Seqs!$A:$B,2,0),AE204,1),"")</f>
        <v>I</v>
      </c>
      <c r="AE204" s="3">
        <v>184</v>
      </c>
      <c r="AF204" s="3" t="str">
        <f>IFERROR(MID(VLOOKUP($B204,Seqs!$A:$B,2,0),AG204,1),"")</f>
        <v/>
      </c>
      <c r="AG204" s="3" t="s">
        <v>23</v>
      </c>
      <c r="AH204" s="3" t="str">
        <f>IFERROR(MID(VLOOKUP($B204,Seqs!$A:$B,2,0),AI204,1),"")</f>
        <v/>
      </c>
      <c r="AI204" s="3" t="s">
        <v>23</v>
      </c>
      <c r="AJ204" s="3" t="str">
        <f>IFERROR(MID(VLOOKUP($B204,Seqs!$A:$B,2,0),AK204,1),"")</f>
        <v/>
      </c>
      <c r="AK204" s="3" t="s">
        <v>23</v>
      </c>
      <c r="AL204" s="3" t="str">
        <f>IFERROR(MID(VLOOKUP($B204,Seqs!$A:$B,2,0),AM204,1),"")</f>
        <v/>
      </c>
      <c r="AM204" s="3" t="s">
        <v>23</v>
      </c>
      <c r="AN204" s="3" t="str">
        <f>IFERROR(MID(VLOOKUP($B204,Seqs!$A:$B,2,0),AO204,1),"")</f>
        <v>S</v>
      </c>
      <c r="AO204" s="3">
        <v>247</v>
      </c>
      <c r="AP204" s="3" t="str">
        <f>IFERROR(MID(VLOOKUP($B204,Seqs!$A:$B,2,0),AQ204,1),"")</f>
        <v>M</v>
      </c>
      <c r="AQ204" s="3">
        <v>284</v>
      </c>
      <c r="AR204" s="3" t="str">
        <f>IFERROR(MID(VLOOKUP($B204,Seqs!$A:$B,2,0),AS204,1),"")</f>
        <v>N</v>
      </c>
      <c r="AS204" s="3">
        <v>288</v>
      </c>
      <c r="AT204" s="3" t="str">
        <f>IFERROR(MID(VLOOKUP($B204,Seqs!$A:$B,2,0),AU204,1),"")</f>
        <v>V</v>
      </c>
      <c r="AU204" s="3">
        <v>320</v>
      </c>
      <c r="AV204" s="3" t="str">
        <f>IFERROR(MID(VLOOKUP($B204,Seqs!$A:$B,2,0),AW204,1),"")</f>
        <v>G</v>
      </c>
      <c r="AW204" s="3">
        <v>321</v>
      </c>
      <c r="AX204" s="3" t="str">
        <f>IFERROR(MID(VLOOKUP($B204,Seqs!$A:$B,2,0),AY204,1),"")</f>
        <v>A</v>
      </c>
      <c r="AY204" s="3">
        <v>341</v>
      </c>
      <c r="AZ204" s="77" t="str">
        <f>VLOOKUP(B204,Classification!A:D,2,0)</f>
        <v>A</v>
      </c>
      <c r="BA204" s="94" t="str">
        <f>VLOOKUP(B204,Classification!A:D,4,0)</f>
        <v>Chemokine</v>
      </c>
      <c r="BB204" s="27" t="b">
        <f t="shared" si="1372"/>
        <v>0</v>
      </c>
      <c r="BC204" s="23">
        <f t="shared" si="1121"/>
        <v>224</v>
      </c>
      <c r="BD204" s="16" t="s">
        <v>1370</v>
      </c>
      <c r="BE204" s="3" t="s">
        <v>1368</v>
      </c>
      <c r="BF204" s="118">
        <v>2.8</v>
      </c>
      <c r="BG204" s="49" t="s">
        <v>1371</v>
      </c>
      <c r="BH204" s="49" t="s">
        <v>1371</v>
      </c>
      <c r="BI204" s="1"/>
      <c r="BJ204" s="70" t="s">
        <v>1281</v>
      </c>
      <c r="BK204" s="57" t="s">
        <v>1281</v>
      </c>
      <c r="BL204" s="57" t="s">
        <v>1281</v>
      </c>
      <c r="BM204" s="57" t="s">
        <v>1281</v>
      </c>
      <c r="BN204" s="57" t="s">
        <v>1281</v>
      </c>
      <c r="BO204" s="57" t="s">
        <v>1281</v>
      </c>
      <c r="BP204" s="57" t="s">
        <v>1281</v>
      </c>
      <c r="BQ204" s="57" t="s">
        <v>1281</v>
      </c>
      <c r="BR204" s="57" t="s">
        <v>1281</v>
      </c>
      <c r="BS204" s="57" t="s">
        <v>1281</v>
      </c>
      <c r="BT204" s="57" t="s">
        <v>1281</v>
      </c>
      <c r="BU204" s="57" t="s">
        <v>1281</v>
      </c>
      <c r="BV204" s="70">
        <f t="shared" si="1122"/>
        <v>43</v>
      </c>
      <c r="BW204" s="71" t="str">
        <f t="shared" si="1123"/>
        <v>-</v>
      </c>
      <c r="BX204" s="72">
        <f t="shared" si="1124"/>
        <v>81</v>
      </c>
      <c r="BY204" s="71" t="str">
        <f t="shared" si="1125"/>
        <v>-</v>
      </c>
      <c r="BZ204" s="72">
        <f t="shared" si="1126"/>
        <v>119</v>
      </c>
      <c r="CA204" s="71">
        <f t="shared" si="1127"/>
        <v>151</v>
      </c>
      <c r="CB204" s="72">
        <f t="shared" si="1128"/>
        <v>158</v>
      </c>
      <c r="CC204" s="71" t="str">
        <f t="shared" si="1129"/>
        <v>-</v>
      </c>
      <c r="CD204" s="72" t="str">
        <f t="shared" si="1130"/>
        <v>-</v>
      </c>
      <c r="CE204" s="71">
        <f t="shared" si="1131"/>
        <v>247</v>
      </c>
      <c r="CF204" s="72">
        <f t="shared" si="1132"/>
        <v>288</v>
      </c>
      <c r="CG204" s="71">
        <f t="shared" si="1133"/>
        <v>321</v>
      </c>
      <c r="CH204" s="70">
        <f t="shared" si="1134"/>
        <v>76</v>
      </c>
      <c r="CI204" s="71" t="str">
        <f t="shared" si="1135"/>
        <v>-</v>
      </c>
      <c r="CJ204" s="72">
        <f t="shared" si="1136"/>
        <v>108</v>
      </c>
      <c r="CK204" s="72" t="str">
        <f t="shared" si="1137"/>
        <v>-</v>
      </c>
      <c r="CL204" s="72">
        <f t="shared" si="1138"/>
        <v>150</v>
      </c>
      <c r="CM204" s="72">
        <f t="shared" si="1139"/>
        <v>157</v>
      </c>
      <c r="CN204" s="72">
        <f t="shared" si="1140"/>
        <v>184</v>
      </c>
      <c r="CO204" s="72" t="str">
        <f t="shared" si="1141"/>
        <v>-</v>
      </c>
      <c r="CP204" s="72" t="str">
        <f t="shared" si="1142"/>
        <v>-</v>
      </c>
      <c r="CQ204" s="72">
        <f t="shared" si="1143"/>
        <v>284</v>
      </c>
      <c r="CR204" s="72">
        <f t="shared" si="1144"/>
        <v>320</v>
      </c>
      <c r="CS204" s="72">
        <f t="shared" si="1145"/>
        <v>341</v>
      </c>
      <c r="CT204" s="23" t="e">
        <f t="shared" si="1146"/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>CONCATENATE(B205,"_",C205)</f>
        <v>ccr9_human_5LWE_dist</v>
      </c>
      <c r="B205" s="3" t="s">
        <v>177</v>
      </c>
      <c r="C205" s="3" t="s">
        <v>1378</v>
      </c>
      <c r="D205" s="3" t="str">
        <f>IFERROR(MID(VLOOKUP($B205,Seqs!$A:$B,2,0),E205,1),"")</f>
        <v>V</v>
      </c>
      <c r="E205" s="3">
        <v>43</v>
      </c>
      <c r="F205" s="3" t="str">
        <f>IFERROR(MID(VLOOKUP($B205,Seqs!$A:$B,2,0),G205,1),"")</f>
        <v>C</v>
      </c>
      <c r="G205" s="3">
        <v>76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T</v>
      </c>
      <c r="M205" s="3">
        <v>81</v>
      </c>
      <c r="N205" s="3" t="str">
        <f>IFERROR(MID(VLOOKUP($B205,Seqs!$A:$B,2,0),O205,1),"")</f>
        <v>A</v>
      </c>
      <c r="O205" s="3">
        <v>108</v>
      </c>
      <c r="P205" s="3" t="str">
        <f>IFERROR(MID(VLOOKUP($B205,Seqs!$A:$B,2,0),Q205,1),"")</f>
        <v/>
      </c>
      <c r="Q205" s="3" t="s">
        <v>23</v>
      </c>
      <c r="R205" s="3" t="str">
        <f>IFERROR(MID(VLOOKUP($B205,Seqs!$A:$B,2,0),S205,1),"")</f>
        <v/>
      </c>
      <c r="S205" s="3" t="s">
        <v>23</v>
      </c>
      <c r="T205" s="3" t="str">
        <f>IFERROR(MID(VLOOKUP($B205,Seqs!$A:$B,2,0),U205,1),"")</f>
        <v>C</v>
      </c>
      <c r="U205" s="3">
        <v>119</v>
      </c>
      <c r="V205" s="3" t="str">
        <f>IFERROR(MID(VLOOKUP($B205,Seqs!$A:$B,2,0),W205,1),"")</f>
        <v>Q</v>
      </c>
      <c r="W205" s="3">
        <v>150</v>
      </c>
      <c r="X205" s="3" t="str">
        <f>IFERROR(MID(VLOOKUP($B205,Seqs!$A:$B,2,0),Y205,1),"")</f>
        <v>A</v>
      </c>
      <c r="Y205" s="3">
        <v>151</v>
      </c>
      <c r="Z205" s="3" t="str">
        <f>IFERROR(MID(VLOOKUP($B205,Seqs!$A:$B,2,0),AA205,1),"")</f>
        <v>W</v>
      </c>
      <c r="AA205" s="3">
        <v>157</v>
      </c>
      <c r="AB205" s="3" t="str">
        <f>IFERROR(MID(VLOOKUP($B205,Seqs!$A:$B,2,0),AC205,1),"")</f>
        <v>R</v>
      </c>
      <c r="AC205" s="3">
        <v>158</v>
      </c>
      <c r="AD205" s="3" t="str">
        <f>IFERROR(MID(VLOOKUP($B205,Seqs!$A:$B,2,0),AE205,1),"")</f>
        <v>I</v>
      </c>
      <c r="AE205" s="3">
        <v>184</v>
      </c>
      <c r="AF205" s="3" t="str">
        <f>IFERROR(MID(VLOOKUP($B205,Seqs!$A:$B,2,0),AG205,1),"")</f>
        <v/>
      </c>
      <c r="AG205" s="3" t="s">
        <v>23</v>
      </c>
      <c r="AH205" s="3" t="str">
        <f>IFERROR(MID(VLOOKUP($B205,Seqs!$A:$B,2,0),AI205,1),"")</f>
        <v/>
      </c>
      <c r="AI205" s="3" t="s">
        <v>23</v>
      </c>
      <c r="AJ205" s="3" t="str">
        <f>IFERROR(MID(VLOOKUP($B205,Seqs!$A:$B,2,0),AK205,1),"")</f>
        <v>K</v>
      </c>
      <c r="AK205" s="3">
        <v>209</v>
      </c>
      <c r="AL205" s="3" t="str">
        <f>IFERROR(MID(VLOOKUP($B205,Seqs!$A:$B,2,0),AM205,1),"")</f>
        <v>A</v>
      </c>
      <c r="AM205" s="3">
        <v>244</v>
      </c>
      <c r="AN205" s="3" t="str">
        <f>IFERROR(MID(VLOOKUP($B205,Seqs!$A:$B,2,0),AO205,1),"")</f>
        <v>S</v>
      </c>
      <c r="AO205" s="3">
        <v>247</v>
      </c>
      <c r="AP205" s="3" t="str">
        <f>IFERROR(MID(VLOOKUP($B205,Seqs!$A:$B,2,0),AQ205,1),"")</f>
        <v>M</v>
      </c>
      <c r="AQ205" s="3">
        <v>284</v>
      </c>
      <c r="AR205" s="3" t="str">
        <f>IFERROR(MID(VLOOKUP($B205,Seqs!$A:$B,2,0),AS205,1),"")</f>
        <v>N</v>
      </c>
      <c r="AS205" s="3">
        <v>288</v>
      </c>
      <c r="AT205" s="3" t="str">
        <f>IFERROR(MID(VLOOKUP($B205,Seqs!$A:$B,2,0),AU205,1),"")</f>
        <v>V</v>
      </c>
      <c r="AU205" s="3">
        <v>320</v>
      </c>
      <c r="AV205" s="3" t="str">
        <f>IFERROR(MID(VLOOKUP($B205,Seqs!$A:$B,2,0),AW205,1),"")</f>
        <v>G</v>
      </c>
      <c r="AW205" s="3">
        <v>321</v>
      </c>
      <c r="AX205" s="3" t="str">
        <f>IFERROR(MID(VLOOKUP($B205,Seqs!$A:$B,2,0),AY205,1),"")</f>
        <v>A</v>
      </c>
      <c r="AY205" s="3">
        <v>341</v>
      </c>
      <c r="AZ205" s="77" t="str">
        <f>VLOOKUP(B205,Classification!A:D,2,0)</f>
        <v>A</v>
      </c>
      <c r="BA205" s="94" t="str">
        <f>VLOOKUP(B205,Classification!A:D,4,0)</f>
        <v>Chemokine</v>
      </c>
      <c r="BB205" s="27" t="b">
        <f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>_xlfn.AGGREGATE(9,6,CH205:CS205)-_xlfn.AGGREGATE(9,6,BV205:CG205)+12</f>
        <v>259</v>
      </c>
      <c r="BD205" s="16" t="s">
        <v>23</v>
      </c>
      <c r="BE205" s="3" t="s">
        <v>1368</v>
      </c>
      <c r="BF205" s="118">
        <v>2.8</v>
      </c>
      <c r="BG205" s="49" t="s">
        <v>1371</v>
      </c>
      <c r="BH205" s="49" t="s">
        <v>1371</v>
      </c>
      <c r="BI205" s="1"/>
      <c r="BJ205" s="70" t="s">
        <v>1281</v>
      </c>
      <c r="BK205" s="57" t="s">
        <v>1281</v>
      </c>
      <c r="BL205" s="57" t="s">
        <v>1281</v>
      </c>
      <c r="BM205" s="57" t="s">
        <v>1281</v>
      </c>
      <c r="BN205" s="57" t="s">
        <v>1281</v>
      </c>
      <c r="BO205" s="57" t="s">
        <v>1281</v>
      </c>
      <c r="BP205" s="57" t="s">
        <v>1281</v>
      </c>
      <c r="BQ205" s="57" t="s">
        <v>1281</v>
      </c>
      <c r="BR205" s="57" t="s">
        <v>1281</v>
      </c>
      <c r="BS205" s="57" t="s">
        <v>1281</v>
      </c>
      <c r="BT205" s="57" t="s">
        <v>1281</v>
      </c>
      <c r="BU205" s="57" t="s">
        <v>1281</v>
      </c>
      <c r="BV205" s="70">
        <f>E205</f>
        <v>43</v>
      </c>
      <c r="BW205" s="71" t="str">
        <f>I205</f>
        <v>-</v>
      </c>
      <c r="BX205" s="72">
        <f>M205</f>
        <v>81</v>
      </c>
      <c r="BY205" s="71" t="str">
        <f>Q205</f>
        <v>-</v>
      </c>
      <c r="BZ205" s="72">
        <f>U205</f>
        <v>119</v>
      </c>
      <c r="CA205" s="71">
        <f>Y205</f>
        <v>151</v>
      </c>
      <c r="CB205" s="72">
        <f>AC205</f>
        <v>158</v>
      </c>
      <c r="CC205" s="71" t="str">
        <f>AG205</f>
        <v>-</v>
      </c>
      <c r="CD205" s="72">
        <f>AK205</f>
        <v>209</v>
      </c>
      <c r="CE205" s="71">
        <f>AO205</f>
        <v>247</v>
      </c>
      <c r="CF205" s="72">
        <f>AS205</f>
        <v>288</v>
      </c>
      <c r="CG205" s="71">
        <f>AW205</f>
        <v>321</v>
      </c>
      <c r="CH205" s="70">
        <f>G205</f>
        <v>76</v>
      </c>
      <c r="CI205" s="71" t="str">
        <f>K205</f>
        <v>-</v>
      </c>
      <c r="CJ205" s="72">
        <f>O205</f>
        <v>108</v>
      </c>
      <c r="CK205" s="72" t="str">
        <f>S205</f>
        <v>-</v>
      </c>
      <c r="CL205" s="72">
        <f>W205</f>
        <v>150</v>
      </c>
      <c r="CM205" s="72">
        <f>AA205</f>
        <v>157</v>
      </c>
      <c r="CN205" s="72">
        <f>AE205</f>
        <v>184</v>
      </c>
      <c r="CO205" s="72" t="str">
        <f>AI205</f>
        <v>-</v>
      </c>
      <c r="CP205" s="72">
        <f>AM205</f>
        <v>244</v>
      </c>
      <c r="CQ205" s="72">
        <f>AQ205</f>
        <v>284</v>
      </c>
      <c r="CR205" s="72">
        <f>AU205</f>
        <v>320</v>
      </c>
      <c r="CS205" s="72">
        <f>AY205</f>
        <v>341</v>
      </c>
      <c r="CT205" s="23" t="e">
        <f>M205-K205</f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 t="shared" si="1371"/>
        <v>cltr1_human__wt</v>
      </c>
      <c r="B206" s="3" t="s">
        <v>179</v>
      </c>
      <c r="C206" s="3" t="s">
        <v>100</v>
      </c>
      <c r="D206" s="3" t="str">
        <f>IFERROR(MID(VLOOKUP($B206,Seqs!$A:$B,2,0),E206,1),"")</f>
        <v>S</v>
      </c>
      <c r="E206" s="3">
        <v>11</v>
      </c>
      <c r="F206" s="3" t="str">
        <f>IFERROR(MID(VLOOKUP($B206,Seqs!$A:$B,2,0),G206,1),"")</f>
        <v>T</v>
      </c>
      <c r="G206" s="3">
        <v>51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S</v>
      </c>
      <c r="M206" s="3">
        <v>56</v>
      </c>
      <c r="N206" s="3" t="str">
        <f>IFERROR(MID(VLOOKUP($B206,Seqs!$A:$B,2,0),O206,1),"")</f>
        <v>K</v>
      </c>
      <c r="O206" s="3">
        <v>86</v>
      </c>
      <c r="P206" s="3" t="str">
        <f>IFERROR(MID(VLOOKUP($B206,Seqs!$A:$B,2,0),Q206,1),"")</f>
        <v>I</v>
      </c>
      <c r="Q206" s="3">
        <v>88</v>
      </c>
      <c r="R206" s="3" t="str">
        <f>IFERROR(MID(VLOOKUP($B206,Seqs!$A:$B,2,0),S206,1),"")</f>
        <v>F</v>
      </c>
      <c r="S206" s="3">
        <v>91</v>
      </c>
      <c r="T206" s="3" t="str">
        <f>IFERROR(MID(VLOOKUP($B206,Seqs!$A:$B,2,0),U206,1),"")</f>
        <v>G</v>
      </c>
      <c r="U206" s="3">
        <v>92</v>
      </c>
      <c r="V206" s="3" t="str">
        <f>IFERROR(MID(VLOOKUP($B206,Seqs!$A:$B,2,0),W206,1),"")</f>
        <v>F</v>
      </c>
      <c r="W206" s="3">
        <v>127</v>
      </c>
      <c r="X206" s="3" t="str">
        <f>IFERROR(MID(VLOOKUP($B206,Seqs!$A:$B,2,0),Y206,1),"")</f>
        <v>P</v>
      </c>
      <c r="Y206" s="3">
        <v>128</v>
      </c>
      <c r="Z206" s="3" t="str">
        <f>IFERROR(MID(VLOOKUP($B206,Seqs!$A:$B,2,0),AA206,1),"")</f>
        <v>V</v>
      </c>
      <c r="AA206" s="3">
        <v>135</v>
      </c>
      <c r="AB206" s="3" t="str">
        <f>IFERROR(MID(VLOOKUP($B206,Seqs!$A:$B,2,0),AC206,1),"")</f>
        <v>T</v>
      </c>
      <c r="AC206" s="3">
        <v>136</v>
      </c>
      <c r="AD206" s="3" t="str">
        <f>IFERROR(MID(VLOOKUP($B206,Seqs!$A:$B,2,0),AE206,1),"")</f>
        <v>A</v>
      </c>
      <c r="AE206" s="3">
        <v>161</v>
      </c>
      <c r="AF206" s="3" t="str">
        <f>IFERROR(MID(VLOOKUP($B206,Seqs!$A:$B,2,0),AG206,1),"")</f>
        <v>C</v>
      </c>
      <c r="AG206" s="3">
        <v>173</v>
      </c>
      <c r="AH206" s="3" t="str">
        <f>IFERROR(MID(VLOOKUP($B206,Seqs!$A:$B,2,0),AI206,1),"")</f>
        <v>E</v>
      </c>
      <c r="AI206" s="3">
        <v>175</v>
      </c>
      <c r="AJ206" s="3" t="str">
        <f>IFERROR(MID(VLOOKUP($B206,Seqs!$A:$B,2,0),AK206,1),"")</f>
        <v>D</v>
      </c>
      <c r="AK206" s="3">
        <v>179</v>
      </c>
      <c r="AL206" s="3" t="str">
        <f>IFERROR(MID(VLOOKUP($B206,Seqs!$A:$B,2,0),AM206,1),"")</f>
        <v>K</v>
      </c>
      <c r="AM206" s="3">
        <v>218</v>
      </c>
      <c r="AN206" s="3" t="str">
        <f>IFERROR(MID(VLOOKUP($B206,Seqs!$A:$B,2,0),AO206,1),"")</f>
        <v>N</v>
      </c>
      <c r="AO206" s="3">
        <v>224</v>
      </c>
      <c r="AP206" s="3" t="str">
        <f>IFERROR(MID(VLOOKUP($B206,Seqs!$A:$B,2,0),AQ206,1),"")</f>
        <v>N</v>
      </c>
      <c r="AQ206" s="3">
        <v>262</v>
      </c>
      <c r="AR206" s="3" t="str">
        <f>IFERROR(MID(VLOOKUP($B206,Seqs!$A:$B,2,0),AS206,1),"")</f>
        <v>P</v>
      </c>
      <c r="AS206" s="3">
        <v>266</v>
      </c>
      <c r="AT206" s="3" t="str">
        <f>IFERROR(MID(VLOOKUP($B206,Seqs!$A:$B,2,0),AU206,1),"")</f>
        <v>S</v>
      </c>
      <c r="AU206" s="3">
        <v>298</v>
      </c>
      <c r="AV206" s="3" t="str">
        <f>IFERROR(MID(VLOOKUP($B206,Seqs!$A:$B,2,0),AW206,1),"")</f>
        <v>G</v>
      </c>
      <c r="AW206" s="3">
        <v>299</v>
      </c>
      <c r="AX206" s="3" t="str">
        <f>IFERROR(MID(VLOOKUP($B206,Seqs!$A:$B,2,0),AY206,1),"")</f>
        <v>K</v>
      </c>
      <c r="AY206" s="3">
        <v>311</v>
      </c>
      <c r="AZ206" s="77" t="str">
        <f>VLOOKUP(B206,Classification!A:D,2,0)</f>
        <v>A</v>
      </c>
      <c r="BA206" s="94" t="str">
        <f>VLOOKUP(B206,Classification!A:D,4,0)</f>
        <v>Leukotriene</v>
      </c>
      <c r="BB206" s="27" t="b">
        <f t="shared" ref="BB206:BB207" si="1819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:BC207" si="1820">_xlfn.AGGREGATE(9,6,CH206:CS206)-_xlfn.AGGREGATE(9,6,BV206:CG206)+12</f>
        <v>275</v>
      </c>
      <c r="BD206" s="16" t="s">
        <v>23</v>
      </c>
      <c r="BE206" s="3" t="s">
        <v>1368</v>
      </c>
      <c r="BF206" s="118">
        <v>3.8</v>
      </c>
      <c r="BG206" s="49" t="s">
        <v>1371</v>
      </c>
      <c r="BH206" s="49" t="s">
        <v>1371</v>
      </c>
      <c r="BI206" s="1"/>
      <c r="BJ206" s="70" t="s">
        <v>1281</v>
      </c>
      <c r="BK206" s="57" t="s">
        <v>1281</v>
      </c>
      <c r="BL206" s="57" t="s">
        <v>1281</v>
      </c>
      <c r="BM206" s="57" t="s">
        <v>1281</v>
      </c>
      <c r="BN206" s="57" t="s">
        <v>1281</v>
      </c>
      <c r="BO206" s="57" t="s">
        <v>1281</v>
      </c>
      <c r="BP206" s="57" t="s">
        <v>1281</v>
      </c>
      <c r="BQ206" s="57" t="s">
        <v>1281</v>
      </c>
      <c r="BR206" s="57" t="s">
        <v>1281</v>
      </c>
      <c r="BS206" s="57" t="s">
        <v>1281</v>
      </c>
      <c r="BT206" s="57" t="s">
        <v>1281</v>
      </c>
      <c r="BU206" s="57" t="s">
        <v>1281</v>
      </c>
      <c r="BV206" s="70">
        <f t="shared" ref="BV206:BV207" si="1821">E206</f>
        <v>11</v>
      </c>
      <c r="BW206" s="71" t="str">
        <f t="shared" ref="BW206:BW207" si="1822">I206</f>
        <v>-</v>
      </c>
      <c r="BX206" s="72">
        <f t="shared" ref="BX206:BX207" si="1823">M206</f>
        <v>56</v>
      </c>
      <c r="BY206" s="71">
        <f t="shared" ref="BY206:BY207" si="1824">Q206</f>
        <v>88</v>
      </c>
      <c r="BZ206" s="72">
        <f t="shared" ref="BZ206:BZ207" si="1825">U206</f>
        <v>92</v>
      </c>
      <c r="CA206" s="71">
        <f t="shared" ref="CA206:CA207" si="1826">Y206</f>
        <v>128</v>
      </c>
      <c r="CB206" s="72">
        <f t="shared" ref="CB206:CB207" si="1827">AC206</f>
        <v>136</v>
      </c>
      <c r="CC206" s="71">
        <f t="shared" ref="CC206:CC207" si="1828">AG206</f>
        <v>173</v>
      </c>
      <c r="CD206" s="72">
        <f t="shared" ref="CD206:CD207" si="1829">AK206</f>
        <v>179</v>
      </c>
      <c r="CE206" s="71">
        <f t="shared" ref="CE206:CE207" si="1830">AO206</f>
        <v>224</v>
      </c>
      <c r="CF206" s="72">
        <f t="shared" ref="CF206:CF207" si="1831">AS206</f>
        <v>266</v>
      </c>
      <c r="CG206" s="71">
        <f t="shared" ref="CG206:CG207" si="1832">AW206</f>
        <v>299</v>
      </c>
      <c r="CH206" s="70">
        <f t="shared" ref="CH206:CH207" si="1833">G206</f>
        <v>51</v>
      </c>
      <c r="CI206" s="71" t="str">
        <f t="shared" ref="CI206:CI207" si="1834">K206</f>
        <v>-</v>
      </c>
      <c r="CJ206" s="72">
        <f t="shared" ref="CJ206:CJ207" si="1835">O206</f>
        <v>86</v>
      </c>
      <c r="CK206" s="72">
        <f t="shared" ref="CK206:CK207" si="1836">S206</f>
        <v>91</v>
      </c>
      <c r="CL206" s="72">
        <f t="shared" ref="CL206:CL207" si="1837">W206</f>
        <v>127</v>
      </c>
      <c r="CM206" s="72">
        <f t="shared" ref="CM206:CM207" si="1838">AA206</f>
        <v>135</v>
      </c>
      <c r="CN206" s="72">
        <f t="shared" ref="CN206:CN207" si="1839">AE206</f>
        <v>161</v>
      </c>
      <c r="CO206" s="72">
        <f t="shared" ref="CO206:CO207" si="1840">AI206</f>
        <v>175</v>
      </c>
      <c r="CP206" s="72">
        <f t="shared" ref="CP206:CP207" si="1841">AM206</f>
        <v>218</v>
      </c>
      <c r="CQ206" s="72">
        <f t="shared" ref="CQ206:CQ207" si="1842">AQ206</f>
        <v>262</v>
      </c>
      <c r="CR206" s="72">
        <f t="shared" ref="CR206:CR207" si="1843">AU206</f>
        <v>298</v>
      </c>
      <c r="CS206" s="72">
        <f t="shared" ref="CS206:CS207" si="1844">AY206</f>
        <v>311</v>
      </c>
      <c r="CT206" s="23" t="e">
        <f t="shared" ref="CT206:CT207" si="1845"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si="1371"/>
        <v>cltr1_human_6RZ4</v>
      </c>
      <c r="B207" s="3" t="s">
        <v>179</v>
      </c>
      <c r="C207" s="3" t="s">
        <v>1595</v>
      </c>
      <c r="D207" s="3" t="str">
        <f>IFERROR(MID(VLOOKUP($B207,Seqs!$A:$B,2,0),E207,1),"")</f>
        <v>S</v>
      </c>
      <c r="E207" s="3">
        <v>11</v>
      </c>
      <c r="F207" s="3" t="str">
        <f>IFERROR(MID(VLOOKUP($B207,Seqs!$A:$B,2,0),G207,1),"")</f>
        <v>T</v>
      </c>
      <c r="G207" s="3">
        <v>51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S</v>
      </c>
      <c r="M207" s="3">
        <v>56</v>
      </c>
      <c r="N207" s="3" t="str">
        <f>IFERROR(MID(VLOOKUP($B207,Seqs!$A:$B,2,0),O207,1),"")</f>
        <v>K</v>
      </c>
      <c r="O207" s="3">
        <v>86</v>
      </c>
      <c r="P207" s="3" t="str">
        <f>IFERROR(MID(VLOOKUP($B207,Seqs!$A:$B,2,0),Q207,1),"")</f>
        <v>I</v>
      </c>
      <c r="Q207" s="3">
        <v>88</v>
      </c>
      <c r="R207" s="3" t="str">
        <f>IFERROR(MID(VLOOKUP($B207,Seqs!$A:$B,2,0),S207,1),"")</f>
        <v>F</v>
      </c>
      <c r="S207" s="3">
        <v>91</v>
      </c>
      <c r="T207" s="3" t="str">
        <f>IFERROR(MID(VLOOKUP($B207,Seqs!$A:$B,2,0),U207,1),"")</f>
        <v>G</v>
      </c>
      <c r="U207" s="3">
        <v>92</v>
      </c>
      <c r="V207" s="3" t="str">
        <f>IFERROR(MID(VLOOKUP($B207,Seqs!$A:$B,2,0),W207,1),"")</f>
        <v>F</v>
      </c>
      <c r="W207" s="3">
        <v>127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I</v>
      </c>
      <c r="AC207" s="3">
        <v>132</v>
      </c>
      <c r="AD207" s="3" t="str">
        <f>IFERROR(MID(VLOOKUP($B207,Seqs!$A:$B,2,0),AE207,1),"")</f>
        <v>A</v>
      </c>
      <c r="AE207" s="3">
        <v>161</v>
      </c>
      <c r="AF207" s="3" t="str">
        <f>IFERROR(MID(VLOOKUP($B207,Seqs!$A:$B,2,0),AG207,1),"")</f>
        <v>C</v>
      </c>
      <c r="AG207" s="3">
        <v>173</v>
      </c>
      <c r="AH207" s="3" t="str">
        <f>IFERROR(MID(VLOOKUP($B207,Seqs!$A:$B,2,0),AI207,1),"")</f>
        <v>E</v>
      </c>
      <c r="AI207" s="3">
        <v>175</v>
      </c>
      <c r="AJ207" s="3" t="str">
        <f>IFERROR(MID(VLOOKUP($B207,Seqs!$A:$B,2,0),AK207,1),"")</f>
        <v>D</v>
      </c>
      <c r="AK207" s="3">
        <v>179</v>
      </c>
      <c r="AL207" s="3" t="str">
        <f>IFERROR(MID(VLOOKUP($B207,Seqs!$A:$B,2,0),AM207,1),"")</f>
        <v>K</v>
      </c>
      <c r="AM207" s="3">
        <v>222</v>
      </c>
      <c r="AN207" s="3" t="str">
        <f>IFERROR(MID(VLOOKUP($B207,Seqs!$A:$B,2,0),AO207,1),"")</f>
        <v>L</v>
      </c>
      <c r="AO207" s="3">
        <v>225</v>
      </c>
      <c r="AP207" s="3" t="str">
        <f>IFERROR(MID(VLOOKUP($B207,Seqs!$A:$B,2,0),AQ207,1),"")</f>
        <v>N</v>
      </c>
      <c r="AQ207" s="3">
        <v>262</v>
      </c>
      <c r="AR207" s="3" t="str">
        <f>IFERROR(MID(VLOOKUP($B207,Seqs!$A:$B,2,0),AS207,1),"")</f>
        <v>P</v>
      </c>
      <c r="AS207" s="3">
        <v>266</v>
      </c>
      <c r="AT207" s="3" t="str">
        <f>IFERROR(MID(VLOOKUP($B207,Seqs!$A:$B,2,0),AU207,1),"")</f>
        <v>F</v>
      </c>
      <c r="AU207" s="3">
        <v>297</v>
      </c>
      <c r="AV207" s="3" t="str">
        <f>IFERROR(MID(VLOOKUP($B207,Seqs!$A:$B,2,0),AW207,1),"")</f>
        <v/>
      </c>
      <c r="AW207" s="3" t="s">
        <v>23</v>
      </c>
      <c r="AX207" s="3" t="str">
        <f>IFERROR(MID(VLOOKUP($B207,Seqs!$A:$B,2,0),AY207,1),"")</f>
        <v/>
      </c>
      <c r="AY207" s="3" t="s">
        <v>23</v>
      </c>
      <c r="AZ207" s="77" t="str">
        <f>VLOOKUP(B207,Classification!A:D,2,0)</f>
        <v>A</v>
      </c>
      <c r="BA207" s="94" t="str">
        <f>VLOOKUP(B207,Classification!A:D,4,0)</f>
        <v>Leukotriene</v>
      </c>
      <c r="BB207" s="27" t="b">
        <f t="shared" si="1819"/>
        <v>1</v>
      </c>
      <c r="BC207" s="23">
        <f t="shared" si="1820"/>
        <v>262</v>
      </c>
      <c r="BD207" s="16" t="s">
        <v>1423</v>
      </c>
      <c r="BE207" s="3" t="s">
        <v>1422</v>
      </c>
      <c r="BF207" s="118">
        <v>2.7</v>
      </c>
      <c r="BG207" s="49" t="s">
        <v>1</v>
      </c>
      <c r="BH207" s="49" t="s">
        <v>1</v>
      </c>
      <c r="BI207" s="1"/>
      <c r="BJ207" s="70" t="s">
        <v>1281</v>
      </c>
      <c r="BK207" s="57" t="s">
        <v>1281</v>
      </c>
      <c r="BL207" s="57" t="s">
        <v>1281</v>
      </c>
      <c r="BM207" s="57" t="s">
        <v>1281</v>
      </c>
      <c r="BN207" s="57" t="s">
        <v>1281</v>
      </c>
      <c r="BO207" s="57" t="s">
        <v>1281</v>
      </c>
      <c r="BP207" s="57" t="s">
        <v>1281</v>
      </c>
      <c r="BQ207" s="57" t="s">
        <v>1281</v>
      </c>
      <c r="BR207" s="57" t="s">
        <v>1281</v>
      </c>
      <c r="BS207" s="57" t="s">
        <v>1281</v>
      </c>
      <c r="BT207" s="57" t="s">
        <v>1281</v>
      </c>
      <c r="BU207" s="57" t="s">
        <v>1281</v>
      </c>
      <c r="BV207" s="70">
        <f t="shared" si="1821"/>
        <v>11</v>
      </c>
      <c r="BW207" s="71" t="str">
        <f t="shared" si="1822"/>
        <v>-</v>
      </c>
      <c r="BX207" s="72">
        <f t="shared" si="1823"/>
        <v>56</v>
      </c>
      <c r="BY207" s="71">
        <f t="shared" si="1824"/>
        <v>88</v>
      </c>
      <c r="BZ207" s="72">
        <f t="shared" si="1825"/>
        <v>92</v>
      </c>
      <c r="CA207" s="71" t="str">
        <f t="shared" si="1826"/>
        <v>-</v>
      </c>
      <c r="CB207" s="72">
        <f t="shared" si="1827"/>
        <v>132</v>
      </c>
      <c r="CC207" s="71">
        <f t="shared" si="1828"/>
        <v>173</v>
      </c>
      <c r="CD207" s="72">
        <f t="shared" si="1829"/>
        <v>179</v>
      </c>
      <c r="CE207" s="71">
        <f t="shared" si="1830"/>
        <v>225</v>
      </c>
      <c r="CF207" s="72">
        <f t="shared" si="1831"/>
        <v>266</v>
      </c>
      <c r="CG207" s="71" t="str">
        <f t="shared" si="1832"/>
        <v>-</v>
      </c>
      <c r="CH207" s="70">
        <f t="shared" si="1833"/>
        <v>51</v>
      </c>
      <c r="CI207" s="71" t="str">
        <f t="shared" si="1834"/>
        <v>-</v>
      </c>
      <c r="CJ207" s="72">
        <f t="shared" si="1835"/>
        <v>86</v>
      </c>
      <c r="CK207" s="72">
        <f t="shared" si="1836"/>
        <v>91</v>
      </c>
      <c r="CL207" s="72">
        <f t="shared" si="1837"/>
        <v>127</v>
      </c>
      <c r="CM207" s="72" t="str">
        <f t="shared" si="1838"/>
        <v>-</v>
      </c>
      <c r="CN207" s="72">
        <f t="shared" si="1839"/>
        <v>161</v>
      </c>
      <c r="CO207" s="72">
        <f t="shared" si="1840"/>
        <v>175</v>
      </c>
      <c r="CP207" s="72">
        <f t="shared" si="1841"/>
        <v>222</v>
      </c>
      <c r="CQ207" s="72">
        <f t="shared" si="1842"/>
        <v>262</v>
      </c>
      <c r="CR207" s="72">
        <f t="shared" si="1843"/>
        <v>297</v>
      </c>
      <c r="CS207" s="72" t="str">
        <f t="shared" si="1844"/>
        <v>-</v>
      </c>
      <c r="CT207" s="23" t="e">
        <f t="shared" si="1845"/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ref="A208" si="1846">CONCATENATE(B208,"_",C208)</f>
        <v>cltr1_human_6RZ5</v>
      </c>
      <c r="B208" s="3" t="s">
        <v>179</v>
      </c>
      <c r="C208" s="3" t="s">
        <v>1596</v>
      </c>
      <c r="D208" s="3" t="str">
        <f>IFERROR(MID(VLOOKUP($B208,Seqs!$A:$B,2,0),E208,1),"")</f>
        <v>I</v>
      </c>
      <c r="E208" s="3">
        <v>18</v>
      </c>
      <c r="F208" s="3" t="str">
        <f>IFERROR(MID(VLOOKUP($B208,Seqs!$A:$B,2,0),G208,1),"")</f>
        <v>T</v>
      </c>
      <c r="G208" s="3">
        <v>51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S</v>
      </c>
      <c r="M208" s="3">
        <v>56</v>
      </c>
      <c r="N208" s="3" t="str">
        <f>IFERROR(MID(VLOOKUP($B208,Seqs!$A:$B,2,0),O208,1),"")</f>
        <v>K</v>
      </c>
      <c r="O208" s="3">
        <v>86</v>
      </c>
      <c r="P208" s="3" t="str">
        <f>IFERROR(MID(VLOOKUP($B208,Seqs!$A:$B,2,0),Q208,1),"")</f>
        <v>I</v>
      </c>
      <c r="Q208" s="3">
        <v>88</v>
      </c>
      <c r="R208" s="3" t="str">
        <f>IFERROR(MID(VLOOKUP($B208,Seqs!$A:$B,2,0),S208,1),"")</f>
        <v>F</v>
      </c>
      <c r="S208" s="3">
        <v>91</v>
      </c>
      <c r="T208" s="3" t="str">
        <f>IFERROR(MID(VLOOKUP($B208,Seqs!$A:$B,2,0),U208,1),"")</f>
        <v>G</v>
      </c>
      <c r="U208" s="3">
        <v>92</v>
      </c>
      <c r="V208" s="3" t="str">
        <f>IFERROR(MID(VLOOKUP($B208,Seqs!$A:$B,2,0),W208,1),"")</f>
        <v>F</v>
      </c>
      <c r="W208" s="3">
        <v>127</v>
      </c>
      <c r="X208" s="3" t="str">
        <f>IFERROR(MID(VLOOKUP($B208,Seqs!$A:$B,2,0),Y208,1),"")</f>
        <v>P</v>
      </c>
      <c r="Y208" s="3">
        <v>128</v>
      </c>
      <c r="Z208" s="3" t="str">
        <f>IFERROR(MID(VLOOKUP($B208,Seqs!$A:$B,2,0),AA208,1),"")</f>
        <v>V</v>
      </c>
      <c r="AA208" s="3">
        <v>135</v>
      </c>
      <c r="AB208" s="3" t="str">
        <f>IFERROR(MID(VLOOKUP($B208,Seqs!$A:$B,2,0),AC208,1),"")</f>
        <v>T</v>
      </c>
      <c r="AC208" s="3">
        <v>136</v>
      </c>
      <c r="AD208" s="3" t="str">
        <f>IFERROR(MID(VLOOKUP($B208,Seqs!$A:$B,2,0),AE208,1),"")</f>
        <v>M</v>
      </c>
      <c r="AE208" s="3">
        <v>160</v>
      </c>
      <c r="AF208" s="3" t="str">
        <f>IFERROR(MID(VLOOKUP($B208,Seqs!$A:$B,2,0),AG208,1),"")</f>
        <v>C</v>
      </c>
      <c r="AG208" s="3">
        <v>173</v>
      </c>
      <c r="AH208" s="3" t="str">
        <f>IFERROR(MID(VLOOKUP($B208,Seqs!$A:$B,2,0),AI208,1),"")</f>
        <v>E</v>
      </c>
      <c r="AI208" s="3">
        <v>175</v>
      </c>
      <c r="AJ208" s="3" t="str">
        <f>IFERROR(MID(VLOOKUP($B208,Seqs!$A:$B,2,0),AK208,1),"")</f>
        <v>K</v>
      </c>
      <c r="AK208" s="3">
        <v>183</v>
      </c>
      <c r="AL208" s="3" t="str">
        <f>IFERROR(MID(VLOOKUP($B208,Seqs!$A:$B,2,0),AM208,1),"")</f>
        <v>K</v>
      </c>
      <c r="AM208" s="3">
        <v>222</v>
      </c>
      <c r="AN208" s="3" t="str">
        <f>IFERROR(MID(VLOOKUP($B208,Seqs!$A:$B,2,0),AO208,1),"")</f>
        <v>S</v>
      </c>
      <c r="AO208" s="3">
        <v>226</v>
      </c>
      <c r="AP208" s="3" t="str">
        <f>IFERROR(MID(VLOOKUP($B208,Seqs!$A:$B,2,0),AQ208,1),"")</f>
        <v>N</v>
      </c>
      <c r="AQ208" s="3">
        <v>262</v>
      </c>
      <c r="AR208" s="3" t="str">
        <f>IFERROR(MID(VLOOKUP($B208,Seqs!$A:$B,2,0),AS208,1),"")</f>
        <v>P</v>
      </c>
      <c r="AS208" s="3">
        <v>266</v>
      </c>
      <c r="AT208" s="3" t="str">
        <f>IFERROR(MID(VLOOKUP($B208,Seqs!$A:$B,2,0),AU208,1),"")</f>
        <v>S</v>
      </c>
      <c r="AU208" s="3">
        <v>298</v>
      </c>
      <c r="AV208" s="3" t="str">
        <f>IFERROR(MID(VLOOKUP($B208,Seqs!$A:$B,2,0),AW208,1),"")</f>
        <v/>
      </c>
      <c r="AW208" s="3" t="s">
        <v>23</v>
      </c>
      <c r="AX208" s="3" t="str">
        <f>IFERROR(MID(VLOOKUP($B208,Seqs!$A:$B,2,0),AY208,1),"")</f>
        <v/>
      </c>
      <c r="AY208" s="3" t="s">
        <v>23</v>
      </c>
      <c r="AZ208" s="77" t="str">
        <f>VLOOKUP(B208,Classification!A:D,2,0)</f>
        <v>A</v>
      </c>
      <c r="BA208" s="94" t="str">
        <f>VLOOKUP(B208,Classification!A:D,4,0)</f>
        <v>Leukotriene</v>
      </c>
      <c r="BB208" s="27" t="b">
        <f t="shared" ref="BB208" si="1847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ref="BC208" si="1848">_xlfn.AGGREGATE(9,6,CH208:CS208)-_xlfn.AGGREGATE(9,6,BV208:CG208)+12</f>
        <v>253</v>
      </c>
      <c r="BD208" s="16" t="s">
        <v>23</v>
      </c>
      <c r="BE208" s="3" t="s">
        <v>1422</v>
      </c>
      <c r="BF208" s="118">
        <v>2.5299999999999998</v>
      </c>
      <c r="BG208" s="49" t="s">
        <v>1275</v>
      </c>
      <c r="BH208" s="49" t="s">
        <v>1275</v>
      </c>
      <c r="BI208" s="1"/>
      <c r="BJ208" s="70" t="s">
        <v>1281</v>
      </c>
      <c r="BK208" s="57" t="s">
        <v>1281</v>
      </c>
      <c r="BL208" s="57" t="s">
        <v>1281</v>
      </c>
      <c r="BM208" s="57" t="s">
        <v>1281</v>
      </c>
      <c r="BN208" s="57" t="s">
        <v>1281</v>
      </c>
      <c r="BO208" s="57" t="s">
        <v>1281</v>
      </c>
      <c r="BP208" s="57" t="s">
        <v>1281</v>
      </c>
      <c r="BQ208" s="57" t="s">
        <v>1281</v>
      </c>
      <c r="BR208" s="57" t="s">
        <v>1281</v>
      </c>
      <c r="BS208" s="57" t="s">
        <v>1281</v>
      </c>
      <c r="BT208" s="57" t="s">
        <v>1281</v>
      </c>
      <c r="BU208" s="57" t="s">
        <v>1281</v>
      </c>
      <c r="BV208" s="70">
        <f t="shared" ref="BV208" si="1849">E208</f>
        <v>18</v>
      </c>
      <c r="BW208" s="71" t="str">
        <f t="shared" ref="BW208" si="1850">I208</f>
        <v>-</v>
      </c>
      <c r="BX208" s="72">
        <f t="shared" ref="BX208" si="1851">M208</f>
        <v>56</v>
      </c>
      <c r="BY208" s="71">
        <f t="shared" ref="BY208" si="1852">Q208</f>
        <v>88</v>
      </c>
      <c r="BZ208" s="72">
        <f t="shared" ref="BZ208" si="1853">U208</f>
        <v>92</v>
      </c>
      <c r="CA208" s="71">
        <f t="shared" ref="CA208" si="1854">Y208</f>
        <v>128</v>
      </c>
      <c r="CB208" s="72">
        <f t="shared" ref="CB208" si="1855">AC208</f>
        <v>136</v>
      </c>
      <c r="CC208" s="71">
        <f t="shared" ref="CC208" si="1856">AG208</f>
        <v>173</v>
      </c>
      <c r="CD208" s="72">
        <f t="shared" ref="CD208" si="1857">AK208</f>
        <v>183</v>
      </c>
      <c r="CE208" s="71">
        <f t="shared" ref="CE208" si="1858">AO208</f>
        <v>226</v>
      </c>
      <c r="CF208" s="72">
        <f t="shared" ref="CF208" si="1859">AS208</f>
        <v>266</v>
      </c>
      <c r="CG208" s="71" t="str">
        <f t="shared" ref="CG208" si="1860">AW208</f>
        <v>-</v>
      </c>
      <c r="CH208" s="70">
        <f t="shared" ref="CH208" si="1861">G208</f>
        <v>51</v>
      </c>
      <c r="CI208" s="71" t="str">
        <f t="shared" ref="CI208" si="1862">K208</f>
        <v>-</v>
      </c>
      <c r="CJ208" s="72">
        <f t="shared" ref="CJ208" si="1863">O208</f>
        <v>86</v>
      </c>
      <c r="CK208" s="72">
        <f t="shared" ref="CK208" si="1864">S208</f>
        <v>91</v>
      </c>
      <c r="CL208" s="72">
        <f t="shared" ref="CL208" si="1865">W208</f>
        <v>127</v>
      </c>
      <c r="CM208" s="72">
        <f t="shared" ref="CM208" si="1866">AA208</f>
        <v>135</v>
      </c>
      <c r="CN208" s="72">
        <f t="shared" ref="CN208" si="1867">AE208</f>
        <v>160</v>
      </c>
      <c r="CO208" s="72">
        <f t="shared" ref="CO208" si="1868">AI208</f>
        <v>175</v>
      </c>
      <c r="CP208" s="72">
        <f t="shared" ref="CP208" si="1869">AM208</f>
        <v>222</v>
      </c>
      <c r="CQ208" s="72">
        <f t="shared" ref="CQ208" si="1870">AQ208</f>
        <v>262</v>
      </c>
      <c r="CR208" s="72">
        <f t="shared" ref="CR208" si="1871">AU208</f>
        <v>298</v>
      </c>
      <c r="CS208" s="72" t="str">
        <f t="shared" ref="CS208" si="1872">AY208</f>
        <v>-</v>
      </c>
      <c r="CT208" s="23" t="e">
        <f t="shared" ref="CT208" si="1873">M208-K208</f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ref="A209:A210" si="1874">CONCATENATE(B209,"_",C209)</f>
        <v>cltr2_human__wt</v>
      </c>
      <c r="B209" s="3" t="s">
        <v>180</v>
      </c>
      <c r="C209" s="3" t="s">
        <v>100</v>
      </c>
      <c r="D209" s="3" t="str">
        <f>IFERROR(MID(VLOOKUP($B209,Seqs!$A:$B,2,0),E209,1),"")</f>
        <v>C</v>
      </c>
      <c r="E209" s="3">
        <v>31</v>
      </c>
      <c r="F209" s="3" t="str">
        <f>IFERROR(MID(VLOOKUP($B209,Seqs!$A:$B,2,0),G209,1),"")</f>
        <v>P</v>
      </c>
      <c r="G209" s="3">
        <v>66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T</v>
      </c>
      <c r="M209" s="3">
        <v>71</v>
      </c>
      <c r="N209" s="3" t="str">
        <f>IFERROR(MID(VLOOKUP($B209,Seqs!$A:$B,2,0),O209,1),"")</f>
        <v>G</v>
      </c>
      <c r="O209" s="3">
        <v>101</v>
      </c>
      <c r="P209" s="3" t="str">
        <f>IFERROR(MID(VLOOKUP($B209,Seqs!$A:$B,2,0),Q209,1),"")</f>
        <v>N</v>
      </c>
      <c r="Q209" s="3">
        <v>103</v>
      </c>
      <c r="R209" s="3" t="str">
        <f>IFERROR(MID(VLOOKUP($B209,Seqs!$A:$B,2,0),S209,1),"")</f>
        <v>F</v>
      </c>
      <c r="S209" s="3">
        <v>106</v>
      </c>
      <c r="T209" s="3" t="str">
        <f>IFERROR(MID(VLOOKUP($B209,Seqs!$A:$B,2,0),U209,1),"")</f>
        <v>G</v>
      </c>
      <c r="U209" s="3">
        <v>107</v>
      </c>
      <c r="V209" s="3" t="str">
        <f>IFERROR(MID(VLOOKUP($B209,Seqs!$A:$B,2,0),W209,1),"")</f>
        <v>H</v>
      </c>
      <c r="W209" s="3">
        <v>142</v>
      </c>
      <c r="X209" s="3" t="str">
        <f>IFERROR(MID(VLOOKUP($B209,Seqs!$A:$B,2,0),Y209,1),"")</f>
        <v>P</v>
      </c>
      <c r="Y209" s="3">
        <v>143</v>
      </c>
      <c r="Z209" s="3" t="str">
        <f>IFERROR(MID(VLOOKUP($B209,Seqs!$A:$B,2,0),AA209,1),"")</f>
        <v>T</v>
      </c>
      <c r="AA209" s="3">
        <v>150</v>
      </c>
      <c r="AB209" s="3" t="str">
        <f>IFERROR(MID(VLOOKUP($B209,Seqs!$A:$B,2,0),AC209,1),"")</f>
        <v>S</v>
      </c>
      <c r="AC209" s="3">
        <v>151</v>
      </c>
      <c r="AD209" s="3" t="str">
        <f>IFERROR(MID(VLOOKUP($B209,Seqs!$A:$B,2,0),AE209,1),"")</f>
        <v>S</v>
      </c>
      <c r="AE209" s="3">
        <v>176</v>
      </c>
      <c r="AF209" s="3" t="str">
        <f>IFERROR(MID(VLOOKUP($B209,Seqs!$A:$B,2,0),AG209,1),"")</f>
        <v>C</v>
      </c>
      <c r="AG209" s="3">
        <v>187</v>
      </c>
      <c r="AH209" s="3" t="str">
        <f>IFERROR(MID(VLOOKUP($B209,Seqs!$A:$B,2,0),AI209,1),"")</f>
        <v>E</v>
      </c>
      <c r="AI209" s="3">
        <v>189</v>
      </c>
      <c r="AJ209" s="3" t="str">
        <f>IFERROR(MID(VLOOKUP($B209,Seqs!$A:$B,2,0),AK209,1),"")</f>
        <v>I</v>
      </c>
      <c r="AK209" s="3">
        <v>195</v>
      </c>
      <c r="AL209" s="3" t="str">
        <f>IFERROR(MID(VLOOKUP($B209,Seqs!$A:$B,2,0),AM209,1),"")</f>
        <v>V</v>
      </c>
      <c r="AM209" s="3">
        <v>231</v>
      </c>
      <c r="AN209" s="3" t="str">
        <f>IFERROR(MID(VLOOKUP($B209,Seqs!$A:$B,2,0),AO209,1),"")</f>
        <v>S</v>
      </c>
      <c r="AO209" s="3">
        <v>236</v>
      </c>
      <c r="AP209" s="3" t="str">
        <f>IFERROR(MID(VLOOKUP($B209,Seqs!$A:$B,2,0),AQ209,1),"")</f>
        <v>W</v>
      </c>
      <c r="AQ209" s="3">
        <v>274</v>
      </c>
      <c r="AR209" s="3" t="str">
        <f>IFERROR(MID(VLOOKUP($B209,Seqs!$A:$B,2,0),AS209,1),"")</f>
        <v>K</v>
      </c>
      <c r="AS209" s="3">
        <v>280</v>
      </c>
      <c r="AT209" s="3" t="str">
        <f>IFERROR(MID(VLOOKUP($B209,Seqs!$A:$B,2,0),AU209,1),"")</f>
        <v>A</v>
      </c>
      <c r="AU209" s="3">
        <v>308</v>
      </c>
      <c r="AV209" s="3" t="str">
        <f>IFERROR(MID(VLOOKUP($B209,Seqs!$A:$B,2,0),AW209,1),"")</f>
        <v>G</v>
      </c>
      <c r="AW209" s="3">
        <v>309</v>
      </c>
      <c r="AX209" s="3" t="str">
        <f>IFERROR(MID(VLOOKUP($B209,Seqs!$A:$B,2,0),AY209,1),"")</f>
        <v>K</v>
      </c>
      <c r="AY209" s="3">
        <v>322</v>
      </c>
      <c r="AZ209" s="77" t="str">
        <f>VLOOKUP(B209,Classification!A:D,2,0)</f>
        <v>A</v>
      </c>
      <c r="BA209" s="94" t="str">
        <f>VLOOKUP(B209,Classification!A:D,4,0)</f>
        <v>Leukotriene</v>
      </c>
      <c r="BB209" s="27" t="b">
        <f t="shared" ref="BB209:BB210" si="1875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ref="BC209:BC210" si="1876">_xlfn.AGGREGATE(9,6,CH209:CS209)-_xlfn.AGGREGATE(9,6,BV209:CG209)+12</f>
        <v>264</v>
      </c>
      <c r="BD209" s="16" t="s">
        <v>23</v>
      </c>
      <c r="BE209" s="3" t="s">
        <v>23</v>
      </c>
      <c r="BF209" s="118" t="s">
        <v>23</v>
      </c>
      <c r="BG209" s="49" t="s">
        <v>23</v>
      </c>
      <c r="BH209" s="49" t="s">
        <v>23</v>
      </c>
      <c r="BI209" s="1"/>
      <c r="BJ209" s="70" t="s">
        <v>1281</v>
      </c>
      <c r="BK209" s="57" t="s">
        <v>1281</v>
      </c>
      <c r="BL209" s="57" t="s">
        <v>1281</v>
      </c>
      <c r="BM209" s="57" t="s">
        <v>1281</v>
      </c>
      <c r="BN209" s="57" t="s">
        <v>1281</v>
      </c>
      <c r="BO209" s="57" t="s">
        <v>1281</v>
      </c>
      <c r="BP209" s="57" t="s">
        <v>1281</v>
      </c>
      <c r="BQ209" s="57" t="s">
        <v>1281</v>
      </c>
      <c r="BR209" s="57" t="s">
        <v>1281</v>
      </c>
      <c r="BS209" s="57" t="s">
        <v>1281</v>
      </c>
      <c r="BT209" s="57" t="s">
        <v>1281</v>
      </c>
      <c r="BU209" s="57" t="s">
        <v>1281</v>
      </c>
      <c r="BV209" s="70">
        <f t="shared" ref="BV209:BV210" si="1877">E209</f>
        <v>31</v>
      </c>
      <c r="BW209" s="71" t="str">
        <f t="shared" ref="BW209:BW210" si="1878">I209</f>
        <v>-</v>
      </c>
      <c r="BX209" s="72">
        <f t="shared" ref="BX209:BX210" si="1879">M209</f>
        <v>71</v>
      </c>
      <c r="BY209" s="71">
        <f t="shared" ref="BY209:BY210" si="1880">Q209</f>
        <v>103</v>
      </c>
      <c r="BZ209" s="72">
        <f t="shared" ref="BZ209:BZ210" si="1881">U209</f>
        <v>107</v>
      </c>
      <c r="CA209" s="71">
        <f t="shared" ref="CA209:CA210" si="1882">Y209</f>
        <v>143</v>
      </c>
      <c r="CB209" s="72">
        <f t="shared" ref="CB209:CB210" si="1883">AC209</f>
        <v>151</v>
      </c>
      <c r="CC209" s="71">
        <f t="shared" ref="CC209:CC210" si="1884">AG209</f>
        <v>187</v>
      </c>
      <c r="CD209" s="72">
        <f t="shared" ref="CD209:CD210" si="1885">AK209</f>
        <v>195</v>
      </c>
      <c r="CE209" s="71">
        <f t="shared" ref="CE209:CE210" si="1886">AO209</f>
        <v>236</v>
      </c>
      <c r="CF209" s="72">
        <f t="shared" ref="CF209:CF210" si="1887">AS209</f>
        <v>280</v>
      </c>
      <c r="CG209" s="71">
        <f t="shared" ref="CG209:CG210" si="1888">AW209</f>
        <v>309</v>
      </c>
      <c r="CH209" s="70">
        <f t="shared" ref="CH209:CH210" si="1889">G209</f>
        <v>66</v>
      </c>
      <c r="CI209" s="71" t="str">
        <f t="shared" ref="CI209:CI210" si="1890">K209</f>
        <v>-</v>
      </c>
      <c r="CJ209" s="72">
        <f t="shared" ref="CJ209:CJ210" si="1891">O209</f>
        <v>101</v>
      </c>
      <c r="CK209" s="72">
        <f t="shared" ref="CK209:CK210" si="1892">S209</f>
        <v>106</v>
      </c>
      <c r="CL209" s="72">
        <f t="shared" ref="CL209:CL210" si="1893">W209</f>
        <v>142</v>
      </c>
      <c r="CM209" s="72">
        <f t="shared" ref="CM209:CM210" si="1894">AA209</f>
        <v>150</v>
      </c>
      <c r="CN209" s="72">
        <f t="shared" ref="CN209:CN210" si="1895">AE209</f>
        <v>176</v>
      </c>
      <c r="CO209" s="72">
        <f t="shared" ref="CO209:CO210" si="1896">AI209</f>
        <v>189</v>
      </c>
      <c r="CP209" s="72">
        <f t="shared" ref="CP209:CP210" si="1897">AM209</f>
        <v>231</v>
      </c>
      <c r="CQ209" s="72">
        <f t="shared" ref="CQ209:CQ210" si="1898">AQ209</f>
        <v>274</v>
      </c>
      <c r="CR209" s="72">
        <f t="shared" ref="CR209:CR210" si="1899">AU209</f>
        <v>308</v>
      </c>
      <c r="CS209" s="72">
        <f t="shared" ref="CS209:CS210" si="1900">AY209</f>
        <v>322</v>
      </c>
      <c r="CT209" s="23" t="e">
        <f t="shared" ref="CT209:CT210" si="1901">M209-K209</f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si="1874"/>
        <v>cltr2_human_6RZ6</v>
      </c>
      <c r="B210" s="3" t="s">
        <v>180</v>
      </c>
      <c r="C210" s="3" t="s">
        <v>1613</v>
      </c>
      <c r="D210" s="3" t="str">
        <f>IFERROR(MID(VLOOKUP($B210,Seqs!$A:$B,2,0),E210,1),"")</f>
        <v>C</v>
      </c>
      <c r="E210" s="3">
        <v>31</v>
      </c>
      <c r="F210" s="3" t="str">
        <f>IFERROR(MID(VLOOKUP($B210,Seqs!$A:$B,2,0),G210,1),"")</f>
        <v>Q</v>
      </c>
      <c r="G210" s="3">
        <v>65</v>
      </c>
      <c r="H210" s="3" t="str">
        <f>IFERROR(MID(VLOOKUP($B210,Seqs!$A:$B,2,0),I210,1),"")</f>
        <v/>
      </c>
      <c r="I210" s="23" t="s">
        <v>23</v>
      </c>
      <c r="J210" s="3" t="str">
        <f>IFERROR(MID(VLOOKUP($B210,Seqs!$A:$B,2,0),K210,1),"")</f>
        <v/>
      </c>
      <c r="K210" s="23" t="s">
        <v>23</v>
      </c>
      <c r="L210" s="3" t="str">
        <f>IFERROR(MID(VLOOKUP($B210,Seqs!$A:$B,2,0),M210,1),"")</f>
        <v>T</v>
      </c>
      <c r="M210" s="3">
        <v>71</v>
      </c>
      <c r="N210" s="3" t="str">
        <f>IFERROR(MID(VLOOKUP($B210,Seqs!$A:$B,2,0),O210,1),"")</f>
        <v>G</v>
      </c>
      <c r="O210" s="3">
        <v>101</v>
      </c>
      <c r="P210" s="3" t="str">
        <f>IFERROR(MID(VLOOKUP($B210,Seqs!$A:$B,2,0),Q210,1),"")</f>
        <v>N</v>
      </c>
      <c r="Q210" s="3">
        <v>103</v>
      </c>
      <c r="R210" s="3" t="str">
        <f>IFERROR(MID(VLOOKUP($B210,Seqs!$A:$B,2,0),S210,1),"")</f>
        <v>F</v>
      </c>
      <c r="S210" s="3">
        <v>106</v>
      </c>
      <c r="T210" s="3" t="str">
        <f>IFERROR(MID(VLOOKUP($B210,Seqs!$A:$B,2,0),U210,1),"")</f>
        <v>G</v>
      </c>
      <c r="U210" s="3">
        <v>107</v>
      </c>
      <c r="V210" s="3" t="str">
        <f>IFERROR(MID(VLOOKUP($B210,Seqs!$A:$B,2,0),W210,1),"")</f>
        <v>H</v>
      </c>
      <c r="W210" s="3">
        <v>142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V</v>
      </c>
      <c r="AC210" s="3">
        <v>149</v>
      </c>
      <c r="AD210" s="3" t="str">
        <f>IFERROR(MID(VLOOKUP($B210,Seqs!$A:$B,2,0),AE210,1),"")</f>
        <v>S</v>
      </c>
      <c r="AE210" s="3">
        <v>176</v>
      </c>
      <c r="AF210" s="3" t="str">
        <f>IFERROR(MID(VLOOKUP($B210,Seqs!$A:$B,2,0),AG210,1),"")</f>
        <v>C</v>
      </c>
      <c r="AG210" s="3">
        <v>187</v>
      </c>
      <c r="AH210" s="3" t="str">
        <f>IFERROR(MID(VLOOKUP($B210,Seqs!$A:$B,2,0),AI210,1),"")</f>
        <v>E</v>
      </c>
      <c r="AI210" s="3">
        <v>189</v>
      </c>
      <c r="AJ210" s="3" t="str">
        <f>IFERROR(MID(VLOOKUP($B210,Seqs!$A:$B,2,0),AK210,1),"")</f>
        <v>K</v>
      </c>
      <c r="AK210" s="3">
        <v>194</v>
      </c>
      <c r="AL210" s="3" t="str">
        <f>IFERROR(MID(VLOOKUP($B210,Seqs!$A:$B,2,0),AM210,1),"")</f>
        <v>E</v>
      </c>
      <c r="AM210" s="3">
        <v>232</v>
      </c>
      <c r="AN210" s="3" t="str">
        <f>IFERROR(MID(VLOOKUP($B210,Seqs!$A:$B,2,0),AO210,1),"")</f>
        <v>S</v>
      </c>
      <c r="AO210" s="3">
        <v>241</v>
      </c>
      <c r="AP210" s="3" t="str">
        <f>IFERROR(MID(VLOOKUP($B210,Seqs!$A:$B,2,0),AQ210,1),"")</f>
        <v>W</v>
      </c>
      <c r="AQ210" s="3">
        <v>274</v>
      </c>
      <c r="AR210" s="3" t="str">
        <f>IFERROR(MID(VLOOKUP($B210,Seqs!$A:$B,2,0),AS210,1),"")</f>
        <v>K</v>
      </c>
      <c r="AS210" s="3">
        <v>280</v>
      </c>
      <c r="AT210" s="3" t="str">
        <f>IFERROR(MID(VLOOKUP($B210,Seqs!$A:$B,2,0),AU210,1),"")</f>
        <v>A</v>
      </c>
      <c r="AU210" s="3">
        <v>308</v>
      </c>
      <c r="AV210" s="3" t="str">
        <f>IFERROR(MID(VLOOKUP($B210,Seqs!$A:$B,2,0),AW210,1),"")</f>
        <v>N</v>
      </c>
      <c r="AW210" s="3">
        <v>311</v>
      </c>
      <c r="AX210" s="3" t="str">
        <f>IFERROR(MID(VLOOKUP($B210,Seqs!$A:$B,2,0),AY210,1),"")</f>
        <v>K</v>
      </c>
      <c r="AY210" s="3">
        <v>322</v>
      </c>
      <c r="AZ210" s="77" t="str">
        <f>VLOOKUP(B210,Classification!A:D,2,0)</f>
        <v>A</v>
      </c>
      <c r="BA210" s="94" t="str">
        <f>VLOOKUP(B210,Classification!A:D,4,0)</f>
        <v>Leukotriene</v>
      </c>
      <c r="BB210" s="27" t="b">
        <f t="shared" si="1875"/>
        <v>1</v>
      </c>
      <c r="BC210" s="23">
        <f t="shared" si="1876"/>
        <v>253</v>
      </c>
      <c r="BD210" s="16" t="s">
        <v>23</v>
      </c>
      <c r="BE210" s="3" t="s">
        <v>1465</v>
      </c>
      <c r="BF210" s="118">
        <v>2.4300000000000002</v>
      </c>
      <c r="BG210" s="49" t="s">
        <v>1</v>
      </c>
      <c r="BH210" s="49" t="s">
        <v>1</v>
      </c>
      <c r="BI210" s="1"/>
      <c r="BJ210" s="70" t="s">
        <v>1281</v>
      </c>
      <c r="BK210" s="57" t="s">
        <v>1281</v>
      </c>
      <c r="BL210" s="57" t="s">
        <v>1281</v>
      </c>
      <c r="BM210" s="57" t="s">
        <v>1281</v>
      </c>
      <c r="BN210" s="57" t="s">
        <v>1281</v>
      </c>
      <c r="BO210" s="57" t="s">
        <v>1281</v>
      </c>
      <c r="BP210" s="57" t="s">
        <v>1281</v>
      </c>
      <c r="BQ210" s="57" t="s">
        <v>1281</v>
      </c>
      <c r="BR210" s="57" t="s">
        <v>1281</v>
      </c>
      <c r="BS210" s="57" t="s">
        <v>1281</v>
      </c>
      <c r="BT210" s="57" t="s">
        <v>1281</v>
      </c>
      <c r="BU210" s="57" t="s">
        <v>1281</v>
      </c>
      <c r="BV210" s="70">
        <f t="shared" si="1877"/>
        <v>31</v>
      </c>
      <c r="BW210" s="71" t="str">
        <f t="shared" si="1878"/>
        <v>-</v>
      </c>
      <c r="BX210" s="72">
        <f t="shared" si="1879"/>
        <v>71</v>
      </c>
      <c r="BY210" s="71">
        <f t="shared" si="1880"/>
        <v>103</v>
      </c>
      <c r="BZ210" s="72">
        <f t="shared" si="1881"/>
        <v>107</v>
      </c>
      <c r="CA210" s="71" t="str">
        <f t="shared" si="1882"/>
        <v>-</v>
      </c>
      <c r="CB210" s="72">
        <f t="shared" si="1883"/>
        <v>149</v>
      </c>
      <c r="CC210" s="71">
        <f t="shared" si="1884"/>
        <v>187</v>
      </c>
      <c r="CD210" s="72">
        <f t="shared" si="1885"/>
        <v>194</v>
      </c>
      <c r="CE210" s="71">
        <f t="shared" si="1886"/>
        <v>241</v>
      </c>
      <c r="CF210" s="72">
        <f t="shared" si="1887"/>
        <v>280</v>
      </c>
      <c r="CG210" s="71">
        <f t="shared" si="1888"/>
        <v>311</v>
      </c>
      <c r="CH210" s="70">
        <f t="shared" si="1889"/>
        <v>65</v>
      </c>
      <c r="CI210" s="71" t="str">
        <f t="shared" si="1890"/>
        <v>-</v>
      </c>
      <c r="CJ210" s="72">
        <f t="shared" si="1891"/>
        <v>101</v>
      </c>
      <c r="CK210" s="72">
        <f t="shared" si="1892"/>
        <v>106</v>
      </c>
      <c r="CL210" s="72">
        <f t="shared" si="1893"/>
        <v>142</v>
      </c>
      <c r="CM210" s="72" t="str">
        <f t="shared" si="1894"/>
        <v>-</v>
      </c>
      <c r="CN210" s="72">
        <f t="shared" si="1895"/>
        <v>176</v>
      </c>
      <c r="CO210" s="72">
        <f t="shared" si="1896"/>
        <v>189</v>
      </c>
      <c r="CP210" s="72">
        <f t="shared" si="1897"/>
        <v>232</v>
      </c>
      <c r="CQ210" s="72">
        <f t="shared" si="1898"/>
        <v>274</v>
      </c>
      <c r="CR210" s="72">
        <f t="shared" si="1899"/>
        <v>308</v>
      </c>
      <c r="CS210" s="72">
        <f t="shared" si="1900"/>
        <v>322</v>
      </c>
      <c r="CT210" s="23" t="e">
        <f t="shared" si="1901"/>
        <v>#VALUE!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ht="17" customHeight="1" x14ac:dyDescent="0.2">
      <c r="A211" s="3" t="str">
        <f t="shared" ref="A211" si="1902">CONCATENATE(B211,"_",C211)</f>
        <v>cltr2_human_6RZ7</v>
      </c>
      <c r="B211" s="3" t="s">
        <v>180</v>
      </c>
      <c r="C211" s="3" t="s">
        <v>1614</v>
      </c>
      <c r="D211" s="3" t="str">
        <f>IFERROR(MID(VLOOKUP($B211,Seqs!$A:$B,2,0),E211,1),"")</f>
        <v>C</v>
      </c>
      <c r="E211" s="3">
        <v>31</v>
      </c>
      <c r="F211" s="3" t="str">
        <f>IFERROR(MID(VLOOKUP($B211,Seqs!$A:$B,2,0),G211,1),"")</f>
        <v>Q</v>
      </c>
      <c r="G211" s="3">
        <v>65</v>
      </c>
      <c r="H211" s="3" t="str">
        <f>IFERROR(MID(VLOOKUP($B211,Seqs!$A:$B,2,0),I211,1),"")</f>
        <v/>
      </c>
      <c r="I211" s="23" t="s">
        <v>23</v>
      </c>
      <c r="J211" s="3" t="str">
        <f>IFERROR(MID(VLOOKUP($B211,Seqs!$A:$B,2,0),K211,1),"")</f>
        <v/>
      </c>
      <c r="K211" s="23" t="s">
        <v>23</v>
      </c>
      <c r="L211" s="3" t="str">
        <f>IFERROR(MID(VLOOKUP($B211,Seqs!$A:$B,2,0),M211,1),"")</f>
        <v>T</v>
      </c>
      <c r="M211" s="3">
        <v>71</v>
      </c>
      <c r="N211" s="3" t="str">
        <f>IFERROR(MID(VLOOKUP($B211,Seqs!$A:$B,2,0),O211,1),"")</f>
        <v>G</v>
      </c>
      <c r="O211" s="3">
        <v>101</v>
      </c>
      <c r="P211" s="3" t="str">
        <f>IFERROR(MID(VLOOKUP($B211,Seqs!$A:$B,2,0),Q211,1),"")</f>
        <v>N</v>
      </c>
      <c r="Q211" s="3">
        <v>103</v>
      </c>
      <c r="R211" s="3" t="str">
        <f>IFERROR(MID(VLOOKUP($B211,Seqs!$A:$B,2,0),S211,1),"")</f>
        <v>F</v>
      </c>
      <c r="S211" s="3">
        <v>106</v>
      </c>
      <c r="T211" s="3" t="str">
        <f>IFERROR(MID(VLOOKUP($B211,Seqs!$A:$B,2,0),U211,1),"")</f>
        <v>G</v>
      </c>
      <c r="U211" s="3">
        <v>107</v>
      </c>
      <c r="V211" s="3" t="str">
        <f>IFERROR(MID(VLOOKUP($B211,Seqs!$A:$B,2,0),W211,1),"")</f>
        <v>H</v>
      </c>
      <c r="W211" s="3">
        <v>142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S</v>
      </c>
      <c r="AC211" s="3">
        <v>151</v>
      </c>
      <c r="AD211" s="3" t="str">
        <f>IFERROR(MID(VLOOKUP($B211,Seqs!$A:$B,2,0),AE211,1),"")</f>
        <v>L</v>
      </c>
      <c r="AE211" s="3">
        <v>174</v>
      </c>
      <c r="AF211" s="3" t="str">
        <f>IFERROR(MID(VLOOKUP($B211,Seqs!$A:$B,2,0),AG211,1),"")</f>
        <v>C</v>
      </c>
      <c r="AG211" s="3">
        <v>187</v>
      </c>
      <c r="AH211" s="3" t="str">
        <f>IFERROR(MID(VLOOKUP($B211,Seqs!$A:$B,2,0),AI211,1),"")</f>
        <v>E</v>
      </c>
      <c r="AI211" s="3">
        <v>189</v>
      </c>
      <c r="AJ211" s="3" t="str">
        <f>IFERROR(MID(VLOOKUP($B211,Seqs!$A:$B,2,0),AK211,1),"")</f>
        <v>K</v>
      </c>
      <c r="AK211" s="3">
        <v>194</v>
      </c>
      <c r="AL211" s="3" t="str">
        <f>IFERROR(MID(VLOOKUP($B211,Seqs!$A:$B,2,0),AM211,1),"")</f>
        <v>E</v>
      </c>
      <c r="AM211" s="3">
        <v>232</v>
      </c>
      <c r="AN211" s="3" t="str">
        <f>IFERROR(MID(VLOOKUP($B211,Seqs!$A:$B,2,0),AO211,1),"")</f>
        <v>S</v>
      </c>
      <c r="AO211" s="3">
        <v>241</v>
      </c>
      <c r="AP211" s="3" t="str">
        <f>IFERROR(MID(VLOOKUP($B211,Seqs!$A:$B,2,0),AQ211,1),"")</f>
        <v>W</v>
      </c>
      <c r="AQ211" s="3">
        <v>274</v>
      </c>
      <c r="AR211" s="3" t="str">
        <f>IFERROR(MID(VLOOKUP($B211,Seqs!$A:$B,2,0),AS211,1),"")</f>
        <v>K</v>
      </c>
      <c r="AS211" s="3">
        <v>280</v>
      </c>
      <c r="AT211" s="3" t="str">
        <f>IFERROR(MID(VLOOKUP($B211,Seqs!$A:$B,2,0),AU211,1),"")</f>
        <v>G</v>
      </c>
      <c r="AU211" s="3">
        <v>309</v>
      </c>
      <c r="AV211" s="3" t="str">
        <f>IFERROR(MID(VLOOKUP($B211,Seqs!$A:$B,2,0),AW211,1),"")</f>
        <v>N</v>
      </c>
      <c r="AW211" s="3">
        <v>311</v>
      </c>
      <c r="AX211" s="3" t="str">
        <f>IFERROR(MID(VLOOKUP($B211,Seqs!$A:$B,2,0),AY211,1),"")</f>
        <v>R</v>
      </c>
      <c r="AY211" s="3">
        <v>321</v>
      </c>
      <c r="AZ211" s="77" t="str">
        <f>VLOOKUP(B211,Classification!A:D,2,0)</f>
        <v>A</v>
      </c>
      <c r="BA211" s="94" t="str">
        <f>VLOOKUP(B211,Classification!A:D,4,0)</f>
        <v>Leukotriene</v>
      </c>
      <c r="BB211" s="27" t="b">
        <f t="shared" ref="BB211" si="1903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" si="1904">_xlfn.AGGREGATE(9,6,CH211:CS211)-_xlfn.AGGREGATE(9,6,BV211:CG211)+12</f>
        <v>249</v>
      </c>
      <c r="BD211" s="16" t="s">
        <v>23</v>
      </c>
      <c r="BE211" s="3" t="s">
        <v>1465</v>
      </c>
      <c r="BF211" s="118">
        <v>2.4300000000000002</v>
      </c>
      <c r="BG211" s="49" t="s">
        <v>1</v>
      </c>
      <c r="BH211" s="49" t="s">
        <v>1</v>
      </c>
      <c r="BI211" s="1"/>
      <c r="BJ211" s="70" t="s">
        <v>1281</v>
      </c>
      <c r="BK211" s="57" t="s">
        <v>1281</v>
      </c>
      <c r="BL211" s="57" t="s">
        <v>1281</v>
      </c>
      <c r="BM211" s="57" t="s">
        <v>1281</v>
      </c>
      <c r="BN211" s="57" t="s">
        <v>1281</v>
      </c>
      <c r="BO211" s="57" t="s">
        <v>1281</v>
      </c>
      <c r="BP211" s="57" t="s">
        <v>1281</v>
      </c>
      <c r="BQ211" s="57" t="s">
        <v>1281</v>
      </c>
      <c r="BR211" s="57" t="s">
        <v>1281</v>
      </c>
      <c r="BS211" s="57" t="s">
        <v>1281</v>
      </c>
      <c r="BT211" s="57" t="s">
        <v>1281</v>
      </c>
      <c r="BU211" s="57" t="s">
        <v>1281</v>
      </c>
      <c r="BV211" s="70">
        <f t="shared" ref="BV211" si="1905">E211</f>
        <v>31</v>
      </c>
      <c r="BW211" s="71" t="str">
        <f t="shared" ref="BW211" si="1906">I211</f>
        <v>-</v>
      </c>
      <c r="BX211" s="72">
        <f t="shared" ref="BX211" si="1907">M211</f>
        <v>71</v>
      </c>
      <c r="BY211" s="71">
        <f t="shared" ref="BY211" si="1908">Q211</f>
        <v>103</v>
      </c>
      <c r="BZ211" s="72">
        <f t="shared" ref="BZ211" si="1909">U211</f>
        <v>107</v>
      </c>
      <c r="CA211" s="71" t="str">
        <f t="shared" ref="CA211" si="1910">Y211</f>
        <v>-</v>
      </c>
      <c r="CB211" s="72">
        <f t="shared" ref="CB211" si="1911">AC211</f>
        <v>151</v>
      </c>
      <c r="CC211" s="71">
        <f t="shared" ref="CC211" si="1912">AG211</f>
        <v>187</v>
      </c>
      <c r="CD211" s="72">
        <f t="shared" ref="CD211" si="1913">AK211</f>
        <v>194</v>
      </c>
      <c r="CE211" s="71">
        <f t="shared" ref="CE211" si="1914">AO211</f>
        <v>241</v>
      </c>
      <c r="CF211" s="72">
        <f t="shared" ref="CF211" si="1915">AS211</f>
        <v>280</v>
      </c>
      <c r="CG211" s="71">
        <f t="shared" ref="CG211" si="1916">AW211</f>
        <v>311</v>
      </c>
      <c r="CH211" s="70">
        <f t="shared" ref="CH211" si="1917">G211</f>
        <v>65</v>
      </c>
      <c r="CI211" s="71" t="str">
        <f t="shared" ref="CI211" si="1918">K211</f>
        <v>-</v>
      </c>
      <c r="CJ211" s="72">
        <f t="shared" ref="CJ211" si="1919">O211</f>
        <v>101</v>
      </c>
      <c r="CK211" s="72">
        <f t="shared" ref="CK211" si="1920">S211</f>
        <v>106</v>
      </c>
      <c r="CL211" s="72">
        <f t="shared" ref="CL211" si="1921">W211</f>
        <v>142</v>
      </c>
      <c r="CM211" s="72" t="str">
        <f t="shared" ref="CM211" si="1922">AA211</f>
        <v>-</v>
      </c>
      <c r="CN211" s="72">
        <f t="shared" ref="CN211" si="1923">AE211</f>
        <v>174</v>
      </c>
      <c r="CO211" s="72">
        <f t="shared" ref="CO211" si="1924">AI211</f>
        <v>189</v>
      </c>
      <c r="CP211" s="72">
        <f t="shared" ref="CP211" si="1925">AM211</f>
        <v>232</v>
      </c>
      <c r="CQ211" s="72">
        <f t="shared" ref="CQ211" si="1926">AQ211</f>
        <v>274</v>
      </c>
      <c r="CR211" s="72">
        <f t="shared" ref="CR211" si="1927">AU211</f>
        <v>309</v>
      </c>
      <c r="CS211" s="72">
        <f t="shared" ref="CS211" si="1928">AY211</f>
        <v>321</v>
      </c>
      <c r="CT211" s="23" t="e">
        <f t="shared" ref="CT211" si="1929">M211-K211</f>
        <v>#VALUE!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ref="A212" si="1930">CONCATENATE(B212,"_",C212)</f>
        <v>cltr2_human_6RZ8</v>
      </c>
      <c r="B212" s="3" t="s">
        <v>180</v>
      </c>
      <c r="C212" s="3" t="s">
        <v>1615</v>
      </c>
      <c r="D212" s="3" t="str">
        <f>IFERROR(MID(VLOOKUP($B212,Seqs!$A:$B,2,0),E212,1),"")</f>
        <v>T</v>
      </c>
      <c r="E212" s="3">
        <v>32</v>
      </c>
      <c r="F212" s="3" t="str">
        <f>IFERROR(MID(VLOOKUP($B212,Seqs!$A:$B,2,0),G212,1),"")</f>
        <v>Q</v>
      </c>
      <c r="G212" s="3">
        <v>65</v>
      </c>
      <c r="H212" s="3" t="str">
        <f>IFERROR(MID(VLOOKUP($B212,Seqs!$A:$B,2,0),I212,1),"")</f>
        <v/>
      </c>
      <c r="I212" s="23" t="s">
        <v>23</v>
      </c>
      <c r="J212" s="3" t="str">
        <f>IFERROR(MID(VLOOKUP($B212,Seqs!$A:$B,2,0),K212,1),"")</f>
        <v/>
      </c>
      <c r="K212" s="23" t="s">
        <v>23</v>
      </c>
      <c r="L212" s="3" t="str">
        <f>IFERROR(MID(VLOOKUP($B212,Seqs!$A:$B,2,0),M212,1),"")</f>
        <v>T</v>
      </c>
      <c r="M212" s="3">
        <v>71</v>
      </c>
      <c r="N212" s="3" t="str">
        <f>IFERROR(MID(VLOOKUP($B212,Seqs!$A:$B,2,0),O212,1),"")</f>
        <v>G</v>
      </c>
      <c r="O212" s="3">
        <v>101</v>
      </c>
      <c r="P212" s="3" t="str">
        <f>IFERROR(MID(VLOOKUP($B212,Seqs!$A:$B,2,0),Q212,1),"")</f>
        <v>N</v>
      </c>
      <c r="Q212" s="3">
        <v>103</v>
      </c>
      <c r="R212" s="3" t="str">
        <f>IFERROR(MID(VLOOKUP($B212,Seqs!$A:$B,2,0),S212,1),"")</f>
        <v>F</v>
      </c>
      <c r="S212" s="3">
        <v>106</v>
      </c>
      <c r="T212" s="3" t="str">
        <f>IFERROR(MID(VLOOKUP($B212,Seqs!$A:$B,2,0),U212,1),"")</f>
        <v>G</v>
      </c>
      <c r="U212" s="3">
        <v>107</v>
      </c>
      <c r="V212" s="3" t="str">
        <f>IFERROR(MID(VLOOKUP($B212,Seqs!$A:$B,2,0),W212,1),"")</f>
        <v>H</v>
      </c>
      <c r="W212" s="3">
        <v>142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S</v>
      </c>
      <c r="AC212" s="3">
        <v>151</v>
      </c>
      <c r="AD212" s="3" t="str">
        <f>IFERROR(MID(VLOOKUP($B212,Seqs!$A:$B,2,0),AE212,1),"")</f>
        <v>S</v>
      </c>
      <c r="AE212" s="3">
        <v>176</v>
      </c>
      <c r="AF212" s="3" t="str">
        <f>IFERROR(MID(VLOOKUP($B212,Seqs!$A:$B,2,0),AG212,1),"")</f>
        <v>C</v>
      </c>
      <c r="AG212" s="3">
        <v>187</v>
      </c>
      <c r="AH212" s="3" t="str">
        <f>IFERROR(MID(VLOOKUP($B212,Seqs!$A:$B,2,0),AI212,1),"")</f>
        <v>E</v>
      </c>
      <c r="AI212" s="3">
        <v>189</v>
      </c>
      <c r="AJ212" s="3" t="str">
        <f>IFERROR(MID(VLOOKUP($B212,Seqs!$A:$B,2,0),AK212,1),"")</f>
        <v>K</v>
      </c>
      <c r="AK212" s="3">
        <v>194</v>
      </c>
      <c r="AL212" s="3" t="str">
        <f>IFERROR(MID(VLOOKUP($B212,Seqs!$A:$B,2,0),AM212,1),"")</f>
        <v>E</v>
      </c>
      <c r="AM212" s="3">
        <v>232</v>
      </c>
      <c r="AN212" s="3" t="str">
        <f>IFERROR(MID(VLOOKUP($B212,Seqs!$A:$B,2,0),AO212,1),"")</f>
        <v>S</v>
      </c>
      <c r="AO212" s="3">
        <v>241</v>
      </c>
      <c r="AP212" s="3" t="str">
        <f>IFERROR(MID(VLOOKUP($B212,Seqs!$A:$B,2,0),AQ212,1),"")</f>
        <v>W</v>
      </c>
      <c r="AQ212" s="3">
        <v>274</v>
      </c>
      <c r="AR212" s="3" t="str">
        <f>IFERROR(MID(VLOOKUP($B212,Seqs!$A:$B,2,0),AS212,1),"")</f>
        <v>K</v>
      </c>
      <c r="AS212" s="3">
        <v>280</v>
      </c>
      <c r="AT212" s="3" t="str">
        <f>IFERROR(MID(VLOOKUP($B212,Seqs!$A:$B,2,0),AU212,1),"")</f>
        <v>E</v>
      </c>
      <c r="AU212" s="3">
        <v>310</v>
      </c>
      <c r="AV212" s="3" t="str">
        <f>IFERROR(MID(VLOOKUP($B212,Seqs!$A:$B,2,0),AW212,1),"")</f>
        <v/>
      </c>
      <c r="AW212" s="3" t="s">
        <v>23</v>
      </c>
      <c r="AX212" s="3" t="str">
        <f>IFERROR(MID(VLOOKUP($B212,Seqs!$A:$B,2,0),AY212,1),"")</f>
        <v/>
      </c>
      <c r="AY212" s="3" t="s">
        <v>23</v>
      </c>
      <c r="AZ212" s="77" t="str">
        <f>VLOOKUP(B212,Classification!A:D,2,0)</f>
        <v>A</v>
      </c>
      <c r="BA212" s="94" t="str">
        <f>VLOOKUP(B212,Classification!A:D,4,0)</f>
        <v>Leukotriene</v>
      </c>
      <c r="BB212" s="27" t="b">
        <f t="shared" ref="BB212" si="1931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" si="1932">_xlfn.AGGREGATE(9,6,CH212:CS212)-_xlfn.AGGREGATE(9,6,BV212:CG212)+12</f>
        <v>241</v>
      </c>
      <c r="BD212" s="16" t="s">
        <v>23</v>
      </c>
      <c r="BE212" s="3" t="s">
        <v>1465</v>
      </c>
      <c r="BF212" s="118">
        <v>2.7</v>
      </c>
      <c r="BG212" s="49" t="s">
        <v>1</v>
      </c>
      <c r="BH212" s="49" t="s">
        <v>1</v>
      </c>
      <c r="BI212" s="1"/>
      <c r="BJ212" s="70" t="s">
        <v>1281</v>
      </c>
      <c r="BK212" s="57" t="s">
        <v>1281</v>
      </c>
      <c r="BL212" s="57" t="s">
        <v>1281</v>
      </c>
      <c r="BM212" s="57" t="s">
        <v>1281</v>
      </c>
      <c r="BN212" s="57" t="s">
        <v>1281</v>
      </c>
      <c r="BO212" s="57" t="s">
        <v>1281</v>
      </c>
      <c r="BP212" s="57" t="s">
        <v>1281</v>
      </c>
      <c r="BQ212" s="57" t="s">
        <v>1281</v>
      </c>
      <c r="BR212" s="57" t="s">
        <v>1281</v>
      </c>
      <c r="BS212" s="57" t="s">
        <v>1281</v>
      </c>
      <c r="BT212" s="57" t="s">
        <v>1281</v>
      </c>
      <c r="BU212" s="57" t="s">
        <v>1281</v>
      </c>
      <c r="BV212" s="70">
        <f t="shared" ref="BV212" si="1933">E212</f>
        <v>32</v>
      </c>
      <c r="BW212" s="71" t="str">
        <f t="shared" ref="BW212" si="1934">I212</f>
        <v>-</v>
      </c>
      <c r="BX212" s="72">
        <f t="shared" ref="BX212" si="1935">M212</f>
        <v>71</v>
      </c>
      <c r="BY212" s="71">
        <f t="shared" ref="BY212" si="1936">Q212</f>
        <v>103</v>
      </c>
      <c r="BZ212" s="72">
        <f t="shared" ref="BZ212" si="1937">U212</f>
        <v>107</v>
      </c>
      <c r="CA212" s="71" t="str">
        <f t="shared" ref="CA212" si="1938">Y212</f>
        <v>-</v>
      </c>
      <c r="CB212" s="72">
        <f t="shared" ref="CB212" si="1939">AC212</f>
        <v>151</v>
      </c>
      <c r="CC212" s="71">
        <f t="shared" ref="CC212" si="1940">AG212</f>
        <v>187</v>
      </c>
      <c r="CD212" s="72">
        <f t="shared" ref="CD212" si="1941">AK212</f>
        <v>194</v>
      </c>
      <c r="CE212" s="71">
        <f t="shared" ref="CE212" si="1942">AO212</f>
        <v>241</v>
      </c>
      <c r="CF212" s="72">
        <f t="shared" ref="CF212" si="1943">AS212</f>
        <v>280</v>
      </c>
      <c r="CG212" s="71" t="str">
        <f t="shared" ref="CG212" si="1944">AW212</f>
        <v>-</v>
      </c>
      <c r="CH212" s="70">
        <f t="shared" ref="CH212" si="1945">G212</f>
        <v>65</v>
      </c>
      <c r="CI212" s="71" t="str">
        <f t="shared" ref="CI212" si="1946">K212</f>
        <v>-</v>
      </c>
      <c r="CJ212" s="72">
        <f t="shared" ref="CJ212" si="1947">O212</f>
        <v>101</v>
      </c>
      <c r="CK212" s="72">
        <f t="shared" ref="CK212" si="1948">S212</f>
        <v>106</v>
      </c>
      <c r="CL212" s="72">
        <f t="shared" ref="CL212" si="1949">W212</f>
        <v>142</v>
      </c>
      <c r="CM212" s="72" t="str">
        <f t="shared" ref="CM212" si="1950">AA212</f>
        <v>-</v>
      </c>
      <c r="CN212" s="72">
        <f t="shared" ref="CN212" si="1951">AE212</f>
        <v>176</v>
      </c>
      <c r="CO212" s="72">
        <f t="shared" ref="CO212" si="1952">AI212</f>
        <v>189</v>
      </c>
      <c r="CP212" s="72">
        <f t="shared" ref="CP212" si="1953">AM212</f>
        <v>232</v>
      </c>
      <c r="CQ212" s="72">
        <f t="shared" ref="CQ212" si="1954">AQ212</f>
        <v>274</v>
      </c>
      <c r="CR212" s="72">
        <f t="shared" ref="CR212" si="1955">AU212</f>
        <v>310</v>
      </c>
      <c r="CS212" s="72" t="str">
        <f t="shared" ref="CS212" si="1956">AY212</f>
        <v>-</v>
      </c>
      <c r="CT212" s="23" t="e">
        <f t="shared" ref="CT212" si="1957">M212-K212</f>
        <v>#VALUE!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ref="A213" si="1958">CONCATENATE(B213,"_",C213)</f>
        <v>cltr2_human_6RZ9</v>
      </c>
      <c r="B213" s="3" t="s">
        <v>180</v>
      </c>
      <c r="C213" s="3" t="s">
        <v>1616</v>
      </c>
      <c r="D213" s="3" t="str">
        <f>IFERROR(MID(VLOOKUP($B213,Seqs!$A:$B,2,0),E213,1),"")</f>
        <v>C</v>
      </c>
      <c r="E213" s="3">
        <v>31</v>
      </c>
      <c r="F213" s="3" t="str">
        <f>IFERROR(MID(VLOOKUP($B213,Seqs!$A:$B,2,0),G213,1),"")</f>
        <v>Q</v>
      </c>
      <c r="G213" s="3">
        <v>65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T</v>
      </c>
      <c r="M213" s="3">
        <v>71</v>
      </c>
      <c r="N213" s="3" t="str">
        <f>IFERROR(MID(VLOOKUP($B213,Seqs!$A:$B,2,0),O213,1),"")</f>
        <v>G</v>
      </c>
      <c r="O213" s="3">
        <v>101</v>
      </c>
      <c r="P213" s="3" t="str">
        <f>IFERROR(MID(VLOOKUP($B213,Seqs!$A:$B,2,0),Q213,1),"")</f>
        <v>N</v>
      </c>
      <c r="Q213" s="3">
        <v>103</v>
      </c>
      <c r="R213" s="3" t="str">
        <f>IFERROR(MID(VLOOKUP($B213,Seqs!$A:$B,2,0),S213,1),"")</f>
        <v>F</v>
      </c>
      <c r="S213" s="3">
        <v>106</v>
      </c>
      <c r="T213" s="3" t="str">
        <f>IFERROR(MID(VLOOKUP($B213,Seqs!$A:$B,2,0),U213,1),"")</f>
        <v>G</v>
      </c>
      <c r="U213" s="3">
        <v>107</v>
      </c>
      <c r="V213" s="3" t="str">
        <f>IFERROR(MID(VLOOKUP($B213,Seqs!$A:$B,2,0),W213,1),"")</f>
        <v>H</v>
      </c>
      <c r="W213" s="3">
        <v>142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H</v>
      </c>
      <c r="AC213" s="3">
        <v>148</v>
      </c>
      <c r="AD213" s="3" t="str">
        <f>IFERROR(MID(VLOOKUP($B213,Seqs!$A:$B,2,0),AE213,1),"")</f>
        <v>S</v>
      </c>
      <c r="AE213" s="3">
        <v>176</v>
      </c>
      <c r="AF213" s="3" t="str">
        <f>IFERROR(MID(VLOOKUP($B213,Seqs!$A:$B,2,0),AG213,1),"")</f>
        <v>C</v>
      </c>
      <c r="AG213" s="3">
        <v>187</v>
      </c>
      <c r="AH213" s="3" t="str">
        <f>IFERROR(MID(VLOOKUP($B213,Seqs!$A:$B,2,0),AI213,1),"")</f>
        <v>E</v>
      </c>
      <c r="AI213" s="3">
        <v>189</v>
      </c>
      <c r="AJ213" s="3" t="str">
        <f>IFERROR(MID(VLOOKUP($B213,Seqs!$A:$B,2,0),AK213,1),"")</f>
        <v>K</v>
      </c>
      <c r="AK213" s="3">
        <v>194</v>
      </c>
      <c r="AL213" s="3" t="str">
        <f>IFERROR(MID(VLOOKUP($B213,Seqs!$A:$B,2,0),AM213,1),"")</f>
        <v>E</v>
      </c>
      <c r="AM213" s="3">
        <v>232</v>
      </c>
      <c r="AN213" s="3" t="str">
        <f>IFERROR(MID(VLOOKUP($B213,Seqs!$A:$B,2,0),AO213,1),"")</f>
        <v>S</v>
      </c>
      <c r="AO213" s="3">
        <v>241</v>
      </c>
      <c r="AP213" s="3" t="str">
        <f>IFERROR(MID(VLOOKUP($B213,Seqs!$A:$B,2,0),AQ213,1),"")</f>
        <v>W</v>
      </c>
      <c r="AQ213" s="3">
        <v>274</v>
      </c>
      <c r="AR213" s="3" t="str">
        <f>IFERROR(MID(VLOOKUP($B213,Seqs!$A:$B,2,0),AS213,1),"")</f>
        <v>K</v>
      </c>
      <c r="AS213" s="3">
        <v>280</v>
      </c>
      <c r="AT213" s="3" t="str">
        <f>IFERROR(MID(VLOOKUP($B213,Seqs!$A:$B,2,0),AU213,1),"")</f>
        <v>A</v>
      </c>
      <c r="AU213" s="3">
        <v>308</v>
      </c>
      <c r="AV213" s="3" t="str">
        <f>IFERROR(MID(VLOOKUP($B213,Seqs!$A:$B,2,0),AW213,1),"")</f>
        <v>N</v>
      </c>
      <c r="AW213" s="3">
        <v>311</v>
      </c>
      <c r="AX213" s="3" t="str">
        <f>IFERROR(MID(VLOOKUP($B213,Seqs!$A:$B,2,0),AY213,1),"")</f>
        <v>R</v>
      </c>
      <c r="AY213" s="3">
        <v>321</v>
      </c>
      <c r="AZ213" s="77" t="str">
        <f>VLOOKUP(B213,Classification!A:D,2,0)</f>
        <v>A</v>
      </c>
      <c r="BA213" s="94" t="str">
        <f>VLOOKUP(B213,Classification!A:D,4,0)</f>
        <v>Leukotriene</v>
      </c>
      <c r="BB213" s="27" t="b">
        <f t="shared" ref="BB213" si="1959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 t="shared" ref="BC213" si="1960">_xlfn.AGGREGATE(9,6,CH213:CS213)-_xlfn.AGGREGATE(9,6,BV213:CG213)+12</f>
        <v>253</v>
      </c>
      <c r="BD213" s="16" t="s">
        <v>1423</v>
      </c>
      <c r="BE213" s="3" t="s">
        <v>1465</v>
      </c>
      <c r="BF213" s="118">
        <v>2.73</v>
      </c>
      <c r="BG213" s="49" t="s">
        <v>1</v>
      </c>
      <c r="BH213" s="49" t="s">
        <v>1</v>
      </c>
      <c r="BI213" s="1"/>
      <c r="BJ213" s="70" t="s">
        <v>1281</v>
      </c>
      <c r="BK213" s="57" t="s">
        <v>1281</v>
      </c>
      <c r="BL213" s="57" t="s">
        <v>1281</v>
      </c>
      <c r="BM213" s="57" t="s">
        <v>1281</v>
      </c>
      <c r="BN213" s="57" t="s">
        <v>1281</v>
      </c>
      <c r="BO213" s="57" t="s">
        <v>1281</v>
      </c>
      <c r="BP213" s="57" t="s">
        <v>1281</v>
      </c>
      <c r="BQ213" s="57" t="s">
        <v>1281</v>
      </c>
      <c r="BR213" s="57" t="s">
        <v>1281</v>
      </c>
      <c r="BS213" s="57" t="s">
        <v>1281</v>
      </c>
      <c r="BT213" s="57" t="s">
        <v>1281</v>
      </c>
      <c r="BU213" s="57" t="s">
        <v>1281</v>
      </c>
      <c r="BV213" s="70">
        <f t="shared" ref="BV213" si="1961">E213</f>
        <v>31</v>
      </c>
      <c r="BW213" s="71" t="str">
        <f t="shared" ref="BW213" si="1962">I213</f>
        <v>-</v>
      </c>
      <c r="BX213" s="72">
        <f t="shared" ref="BX213" si="1963">M213</f>
        <v>71</v>
      </c>
      <c r="BY213" s="71">
        <f t="shared" ref="BY213" si="1964">Q213</f>
        <v>103</v>
      </c>
      <c r="BZ213" s="72">
        <f t="shared" ref="BZ213" si="1965">U213</f>
        <v>107</v>
      </c>
      <c r="CA213" s="71" t="str">
        <f t="shared" ref="CA213" si="1966">Y213</f>
        <v>-</v>
      </c>
      <c r="CB213" s="72">
        <f t="shared" ref="CB213" si="1967">AC213</f>
        <v>148</v>
      </c>
      <c r="CC213" s="71">
        <f t="shared" ref="CC213" si="1968">AG213</f>
        <v>187</v>
      </c>
      <c r="CD213" s="72">
        <f t="shared" ref="CD213" si="1969">AK213</f>
        <v>194</v>
      </c>
      <c r="CE213" s="71">
        <f t="shared" ref="CE213" si="1970">AO213</f>
        <v>241</v>
      </c>
      <c r="CF213" s="72">
        <f t="shared" ref="CF213" si="1971">AS213</f>
        <v>280</v>
      </c>
      <c r="CG213" s="71">
        <f t="shared" ref="CG213" si="1972">AW213</f>
        <v>311</v>
      </c>
      <c r="CH213" s="70">
        <f t="shared" ref="CH213" si="1973">G213</f>
        <v>65</v>
      </c>
      <c r="CI213" s="71" t="str">
        <f t="shared" ref="CI213" si="1974">K213</f>
        <v>-</v>
      </c>
      <c r="CJ213" s="72">
        <f t="shared" ref="CJ213" si="1975">O213</f>
        <v>101</v>
      </c>
      <c r="CK213" s="72">
        <f t="shared" ref="CK213" si="1976">S213</f>
        <v>106</v>
      </c>
      <c r="CL213" s="72">
        <f t="shared" ref="CL213" si="1977">W213</f>
        <v>142</v>
      </c>
      <c r="CM213" s="72" t="str">
        <f t="shared" ref="CM213" si="1978">AA213</f>
        <v>-</v>
      </c>
      <c r="CN213" s="72">
        <f t="shared" ref="CN213" si="1979">AE213</f>
        <v>176</v>
      </c>
      <c r="CO213" s="72">
        <f t="shared" ref="CO213" si="1980">AI213</f>
        <v>189</v>
      </c>
      <c r="CP213" s="72">
        <f t="shared" ref="CP213" si="1981">AM213</f>
        <v>232</v>
      </c>
      <c r="CQ213" s="72">
        <f t="shared" ref="CQ213" si="1982">AQ213</f>
        <v>274</v>
      </c>
      <c r="CR213" s="72">
        <f t="shared" ref="CR213" si="1983">AU213</f>
        <v>308</v>
      </c>
      <c r="CS213" s="72">
        <f t="shared" ref="CS213" si="1984">AY213</f>
        <v>321</v>
      </c>
      <c r="CT213" s="23" t="e">
        <f t="shared" ref="CT213" si="1985">M213-K213</f>
        <v>#VALUE!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1371"/>
        <v>cnr1_human__wt</v>
      </c>
      <c r="B214" s="3" t="s">
        <v>182</v>
      </c>
      <c r="C214" s="3" t="s">
        <v>100</v>
      </c>
      <c r="D214" s="3" t="str">
        <f>IFERROR(MID(VLOOKUP($B214,Seqs!$A:$B,2,0),E214,1),"")</f>
        <v>N</v>
      </c>
      <c r="E214" s="3">
        <v>112</v>
      </c>
      <c r="F214" s="3" t="str">
        <f>IFERROR(MID(VLOOKUP($B214,Seqs!$A:$B,2,0),G214,1),"")</f>
        <v>S</v>
      </c>
      <c r="G214" s="3">
        <v>144</v>
      </c>
      <c r="H214" s="3" t="str">
        <f>IFERROR(MID(VLOOKUP($B214,Seqs!$A:$B,2,0),I214,1),"")</f>
        <v>R</v>
      </c>
      <c r="I214" s="23">
        <v>145</v>
      </c>
      <c r="J214" s="3" t="str">
        <f>IFERROR(MID(VLOOKUP($B214,Seqs!$A:$B,2,0),K214,1),"")</f>
        <v>R</v>
      </c>
      <c r="K214" s="23">
        <v>148</v>
      </c>
      <c r="L214" s="3" t="str">
        <f>IFERROR(MID(VLOOKUP($B214,Seqs!$A:$B,2,0),M214,1),"")</f>
        <v>R</v>
      </c>
      <c r="M214" s="3">
        <v>150</v>
      </c>
      <c r="N214" s="3" t="str">
        <f>IFERROR(MID(VLOOKUP($B214,Seqs!$A:$B,2,0),O214,1),"")</f>
        <v>V</v>
      </c>
      <c r="O214" s="3">
        <v>179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S</v>
      </c>
      <c r="U214" s="3">
        <v>185</v>
      </c>
      <c r="V214" s="3" t="str">
        <f>IFERROR(MID(VLOOKUP($B214,Seqs!$A:$B,2,0),W214,1),"")</f>
        <v>R</v>
      </c>
      <c r="W214" s="3">
        <v>220</v>
      </c>
      <c r="X214" s="3" t="str">
        <f>IFERROR(MID(VLOOKUP($B214,Seqs!$A:$B,2,0),Y214,1),"")</f>
        <v>P</v>
      </c>
      <c r="Y214" s="3">
        <v>221</v>
      </c>
      <c r="Z214" s="3" t="str">
        <f>IFERROR(MID(VLOOKUP($B214,Seqs!$A:$B,2,0),AA214,1),"")</f>
        <v>V</v>
      </c>
      <c r="AA214" s="3">
        <v>228</v>
      </c>
      <c r="AB214" s="3" t="str">
        <f>IFERROR(MID(VLOOKUP($B214,Seqs!$A:$B,2,0),AC214,1),"")</f>
        <v>T</v>
      </c>
      <c r="AC214" s="3">
        <v>229</v>
      </c>
      <c r="AD214" s="3" t="str">
        <f>IFERROR(MID(VLOOKUP($B214,Seqs!$A:$B,2,0),AE214,1),"")</f>
        <v>G</v>
      </c>
      <c r="AE214" s="3">
        <v>254</v>
      </c>
      <c r="AF214" s="3" t="str">
        <f>IFERROR(MID(VLOOKUP($B214,Seqs!$A:$B,2,0),AG214,1),"")</f>
        <v/>
      </c>
      <c r="AG214" s="3" t="s">
        <v>23</v>
      </c>
      <c r="AH214" s="3" t="str">
        <f>IFERROR(MID(VLOOKUP($B214,Seqs!$A:$B,2,0),AI214,1),"")</f>
        <v/>
      </c>
      <c r="AI214" s="3" t="s">
        <v>23</v>
      </c>
      <c r="AJ214" s="3" t="str">
        <f>IFERROR(MID(VLOOKUP($B214,Seqs!$A:$B,2,0),AK214,1),"")</f>
        <v>D</v>
      </c>
      <c r="AK214" s="3">
        <v>272</v>
      </c>
      <c r="AL214" s="3" t="str">
        <f>IFERROR(MID(VLOOKUP($B214,Seqs!$A:$B,2,0),AM214,1),"")</f>
        <v>G</v>
      </c>
      <c r="AM214" s="3">
        <v>312</v>
      </c>
      <c r="AN214" s="3" t="str">
        <f>IFERROR(MID(VLOOKUP($B214,Seqs!$A:$B,2,0),AO214,1),"")</f>
        <v>P</v>
      </c>
      <c r="AO214" s="3">
        <v>332</v>
      </c>
      <c r="AP214" s="3" t="str">
        <f>IFERROR(MID(VLOOKUP($B214,Seqs!$A:$B,2,0),AQ214,1),"")</f>
        <v>G</v>
      </c>
      <c r="AQ214" s="3">
        <v>369</v>
      </c>
      <c r="AR214" s="3" t="str">
        <f>IFERROR(MID(VLOOKUP($B214,Seqs!$A:$B,2,0),AS214,1),"")</f>
        <v>N</v>
      </c>
      <c r="AS214" s="3">
        <v>372</v>
      </c>
      <c r="AT214" s="3" t="str">
        <f>IFERROR(MID(VLOOKUP($B214,Seqs!$A:$B,2,0),AU214,1),"")</f>
        <v>R</v>
      </c>
      <c r="AU214" s="3">
        <v>400</v>
      </c>
      <c r="AV214" s="3" t="str">
        <f>IFERROR(MID(VLOOKUP($B214,Seqs!$A:$B,2,0),AW214,1),"")</f>
        <v>S</v>
      </c>
      <c r="AW214" s="3">
        <v>401</v>
      </c>
      <c r="AX214" s="3" t="str">
        <f>IFERROR(MID(VLOOKUP($B214,Seqs!$A:$B,2,0),AY214,1),"")</f>
        <v>P</v>
      </c>
      <c r="AY214" s="3">
        <v>413</v>
      </c>
      <c r="AZ214" s="77" t="str">
        <f>VLOOKUP(B214,Classification!A:D,2,0)</f>
        <v>A</v>
      </c>
      <c r="BA214" s="94" t="str">
        <f>VLOOKUP(B214,Classification!A:D,4,0)</f>
        <v>Cannabinoid</v>
      </c>
      <c r="BB214" s="27" t="b">
        <f t="shared" si="1372"/>
        <v>1</v>
      </c>
      <c r="BC214" s="23">
        <f t="shared" si="1121"/>
        <v>260</v>
      </c>
      <c r="BD214" s="56" t="s">
        <v>23</v>
      </c>
      <c r="BE214" s="3" t="s">
        <v>23</v>
      </c>
      <c r="BF214" s="118" t="s">
        <v>23</v>
      </c>
      <c r="BG214" s="49" t="s">
        <v>1366</v>
      </c>
      <c r="BH214" s="49" t="s">
        <v>1371</v>
      </c>
      <c r="BJ214" s="70" t="s">
        <v>1281</v>
      </c>
      <c r="BK214" s="57" t="s">
        <v>1281</v>
      </c>
      <c r="BL214" s="57" t="s">
        <v>1281</v>
      </c>
      <c r="BM214" s="57" t="s">
        <v>1281</v>
      </c>
      <c r="BN214" s="57" t="s">
        <v>1281</v>
      </c>
      <c r="BO214" s="57" t="s">
        <v>1281</v>
      </c>
      <c r="BP214" s="57" t="s">
        <v>1281</v>
      </c>
      <c r="BQ214" s="57" t="s">
        <v>1281</v>
      </c>
      <c r="BR214" s="57" t="s">
        <v>1281</v>
      </c>
      <c r="BS214" s="57" t="s">
        <v>1281</v>
      </c>
      <c r="BT214" s="57" t="s">
        <v>1281</v>
      </c>
      <c r="BU214" s="57" t="s">
        <v>1281</v>
      </c>
      <c r="BV214" s="70">
        <f t="shared" si="1122"/>
        <v>112</v>
      </c>
      <c r="BW214" s="71">
        <f t="shared" si="1123"/>
        <v>145</v>
      </c>
      <c r="BX214" s="72">
        <f t="shared" si="1124"/>
        <v>150</v>
      </c>
      <c r="BY214" s="71" t="str">
        <f t="shared" si="1125"/>
        <v>-</v>
      </c>
      <c r="BZ214" s="72">
        <f t="shared" si="1126"/>
        <v>185</v>
      </c>
      <c r="CA214" s="71">
        <f t="shared" si="1127"/>
        <v>221</v>
      </c>
      <c r="CB214" s="72">
        <f t="shared" si="1128"/>
        <v>229</v>
      </c>
      <c r="CC214" s="71" t="str">
        <f t="shared" si="1129"/>
        <v>-</v>
      </c>
      <c r="CD214" s="72">
        <f t="shared" si="1130"/>
        <v>272</v>
      </c>
      <c r="CE214" s="71">
        <f t="shared" si="1131"/>
        <v>332</v>
      </c>
      <c r="CF214" s="72">
        <f t="shared" si="1132"/>
        <v>372</v>
      </c>
      <c r="CG214" s="71">
        <f t="shared" si="1133"/>
        <v>401</v>
      </c>
      <c r="CH214" s="70">
        <f t="shared" si="1134"/>
        <v>144</v>
      </c>
      <c r="CI214" s="71">
        <f t="shared" si="1135"/>
        <v>148</v>
      </c>
      <c r="CJ214" s="72">
        <f t="shared" si="1136"/>
        <v>179</v>
      </c>
      <c r="CK214" s="72" t="str">
        <f t="shared" si="1137"/>
        <v>-</v>
      </c>
      <c r="CL214" s="72">
        <f t="shared" si="1138"/>
        <v>220</v>
      </c>
      <c r="CM214" s="72">
        <f t="shared" si="1139"/>
        <v>228</v>
      </c>
      <c r="CN214" s="72">
        <f t="shared" si="1140"/>
        <v>254</v>
      </c>
      <c r="CO214" s="72" t="str">
        <f t="shared" si="1141"/>
        <v>-</v>
      </c>
      <c r="CP214" s="72">
        <f t="shared" si="1142"/>
        <v>312</v>
      </c>
      <c r="CQ214" s="72">
        <f t="shared" si="1143"/>
        <v>369</v>
      </c>
      <c r="CR214" s="72">
        <f t="shared" si="1144"/>
        <v>400</v>
      </c>
      <c r="CS214" s="72">
        <f t="shared" si="1145"/>
        <v>413</v>
      </c>
      <c r="CT214" s="23">
        <f t="shared" si="1146"/>
        <v>2</v>
      </c>
    </row>
    <row r="215" spans="1:1030" s="3" customFormat="1" x14ac:dyDescent="0.2">
      <c r="A215" s="3" t="str">
        <f t="shared" si="1371"/>
        <v>cnr1_human_5TGZ</v>
      </c>
      <c r="B215" s="3" t="s">
        <v>182</v>
      </c>
      <c r="C215" s="3" t="s">
        <v>1353</v>
      </c>
      <c r="D215" s="3" t="str">
        <f>IFERROR(MID(VLOOKUP($B215,Seqs!$A:$B,2,0),E215,1),"")</f>
        <v>P</v>
      </c>
      <c r="E215" s="3">
        <v>113</v>
      </c>
      <c r="F215" s="3" t="str">
        <f>IFERROR(MID(VLOOKUP($B215,Seqs!$A:$B,2,0),G215,1),"")</f>
        <v>S</v>
      </c>
      <c r="G215" s="3">
        <v>144</v>
      </c>
      <c r="H215" s="3" t="str">
        <f>IFERROR(MID(VLOOKUP($B215,Seqs!$A:$B,2,0),I215,1),"")</f>
        <v>R</v>
      </c>
      <c r="I215" s="23">
        <v>145</v>
      </c>
      <c r="J215" s="3" t="str">
        <f>IFERROR(MID(VLOOKUP($B215,Seqs!$A:$B,2,0),K215,1),"")</f>
        <v>R</v>
      </c>
      <c r="K215" s="23">
        <v>148</v>
      </c>
      <c r="L215" s="3" t="str">
        <f>IFERROR(MID(VLOOKUP($B215,Seqs!$A:$B,2,0),M215,1),"")</f>
        <v>R</v>
      </c>
      <c r="M215" s="3">
        <v>150</v>
      </c>
      <c r="N215" s="3" t="str">
        <f>IFERROR(MID(VLOOKUP($B215,Seqs!$A:$B,2,0),O215,1),"")</f>
        <v>V</v>
      </c>
      <c r="O215" s="3">
        <v>179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S</v>
      </c>
      <c r="U215" s="3">
        <v>185</v>
      </c>
      <c r="V215" s="3" t="str">
        <f>IFERROR(MID(VLOOKUP($B215,Seqs!$A:$B,2,0),W215,1),"")</f>
        <v>R</v>
      </c>
      <c r="W215" s="3">
        <v>220</v>
      </c>
      <c r="X215" s="3" t="str">
        <f>IFERROR(MID(VLOOKUP($B215,Seqs!$A:$B,2,0),Y215,1),"")</f>
        <v>P</v>
      </c>
      <c r="Y215" s="3">
        <v>221</v>
      </c>
      <c r="Z215" s="3" t="str">
        <f>IFERROR(MID(VLOOKUP($B215,Seqs!$A:$B,2,0),AA215,1),"")</f>
        <v>V</v>
      </c>
      <c r="AA215" s="3">
        <v>228</v>
      </c>
      <c r="AB215" s="3" t="str">
        <f>IFERROR(MID(VLOOKUP($B215,Seqs!$A:$B,2,0),AC215,1),"")</f>
        <v>T</v>
      </c>
      <c r="AC215" s="3">
        <v>229</v>
      </c>
      <c r="AD215" s="3" t="str">
        <f>IFERROR(MID(VLOOKUP($B215,Seqs!$A:$B,2,0),AE215,1),"")</f>
        <v>G</v>
      </c>
      <c r="AE215" s="3">
        <v>254</v>
      </c>
      <c r="AF215" s="3" t="str">
        <f>IFERROR(MID(VLOOKUP($B215,Seqs!$A:$B,2,0),AG215,1),"")</f>
        <v/>
      </c>
      <c r="AG215" s="3" t="s">
        <v>23</v>
      </c>
      <c r="AH215" s="3" t="str">
        <f>IFERROR(MID(VLOOKUP($B215,Seqs!$A:$B,2,0),AI215,1),"")</f>
        <v/>
      </c>
      <c r="AI215" s="3" t="s">
        <v>23</v>
      </c>
      <c r="AJ215" s="3" t="str">
        <f>IFERROR(MID(VLOOKUP($B215,Seqs!$A:$B,2,0),AK215,1),"")</f>
        <v>D</v>
      </c>
      <c r="AK215" s="3">
        <v>272</v>
      </c>
      <c r="AL215" s="3" t="str">
        <f>IFERROR(MID(VLOOKUP($B215,Seqs!$A:$B,2,0),AM215,1),"")</f>
        <v>H</v>
      </c>
      <c r="AM215" s="3">
        <v>304</v>
      </c>
      <c r="AN215" s="3" t="str">
        <f>IFERROR(MID(VLOOKUP($B215,Seqs!$A:$B,2,0),AO215,1),"")</f>
        <v>P</v>
      </c>
      <c r="AO215" s="3">
        <v>332</v>
      </c>
      <c r="AP215" s="3" t="str">
        <f>IFERROR(MID(VLOOKUP($B215,Seqs!$A:$B,2,0),AQ215,1),"")</f>
        <v>F</v>
      </c>
      <c r="AQ215" s="3">
        <v>368</v>
      </c>
      <c r="AR215" s="3" t="str">
        <f>IFERROR(MID(VLOOKUP($B215,Seqs!$A:$B,2,0),AS215,1),"")</f>
        <v>N</v>
      </c>
      <c r="AS215" s="3">
        <v>372</v>
      </c>
      <c r="AT215" s="3" t="str">
        <f>IFERROR(MID(VLOOKUP($B215,Seqs!$A:$B,2,0),AU215,1),"")</f>
        <v>R</v>
      </c>
      <c r="AU215" s="3">
        <v>400</v>
      </c>
      <c r="AV215" s="3" t="str">
        <f>IFERROR(MID(VLOOKUP($B215,Seqs!$A:$B,2,0),AW215,1),"")</f>
        <v>S</v>
      </c>
      <c r="AW215" s="3">
        <v>401</v>
      </c>
      <c r="AX215" s="3" t="str">
        <f>IFERROR(MID(VLOOKUP($B215,Seqs!$A:$B,2,0),AY215,1),"")</f>
        <v>M</v>
      </c>
      <c r="AY215" s="3">
        <v>411</v>
      </c>
      <c r="AZ215" s="77" t="str">
        <f>VLOOKUP(B215,Classification!A:D,2,0)</f>
        <v>A</v>
      </c>
      <c r="BA215" s="94" t="str">
        <f>VLOOKUP(B215,Classification!A:D,4,0)</f>
        <v>Cannabinoid</v>
      </c>
      <c r="BB215" s="27" t="b">
        <f t="shared" si="1372"/>
        <v>1</v>
      </c>
      <c r="BC215" s="23">
        <f t="shared" si="1121"/>
        <v>248</v>
      </c>
      <c r="BD215" s="16" t="s">
        <v>1370</v>
      </c>
      <c r="BE215" s="3" t="s">
        <v>1368</v>
      </c>
      <c r="BF215" s="118">
        <v>2.8</v>
      </c>
      <c r="BG215" s="49" t="s">
        <v>1371</v>
      </c>
      <c r="BH215" s="49" t="s">
        <v>1371</v>
      </c>
      <c r="BJ215" s="70" t="s">
        <v>1281</v>
      </c>
      <c r="BK215" s="57" t="s">
        <v>1281</v>
      </c>
      <c r="BL215" s="57" t="s">
        <v>1281</v>
      </c>
      <c r="BM215" s="57" t="s">
        <v>1281</v>
      </c>
      <c r="BN215" s="57" t="s">
        <v>1281</v>
      </c>
      <c r="BO215" s="57" t="s">
        <v>1281</v>
      </c>
      <c r="BP215" s="57" t="s">
        <v>1281</v>
      </c>
      <c r="BQ215" s="57" t="s">
        <v>1281</v>
      </c>
      <c r="BR215" s="57" t="s">
        <v>1281</v>
      </c>
      <c r="BS215" s="57" t="s">
        <v>1281</v>
      </c>
      <c r="BT215" s="57" t="s">
        <v>1281</v>
      </c>
      <c r="BU215" s="57" t="s">
        <v>1281</v>
      </c>
      <c r="BV215" s="70">
        <f t="shared" si="1122"/>
        <v>113</v>
      </c>
      <c r="BW215" s="71">
        <f t="shared" si="1123"/>
        <v>145</v>
      </c>
      <c r="BX215" s="72">
        <f t="shared" si="1124"/>
        <v>150</v>
      </c>
      <c r="BY215" s="71" t="str">
        <f t="shared" si="1125"/>
        <v>-</v>
      </c>
      <c r="BZ215" s="72">
        <f t="shared" si="1126"/>
        <v>185</v>
      </c>
      <c r="CA215" s="71">
        <f t="shared" si="1127"/>
        <v>221</v>
      </c>
      <c r="CB215" s="72">
        <f t="shared" si="1128"/>
        <v>229</v>
      </c>
      <c r="CC215" s="71" t="str">
        <f t="shared" si="1129"/>
        <v>-</v>
      </c>
      <c r="CD215" s="72">
        <f t="shared" si="1130"/>
        <v>272</v>
      </c>
      <c r="CE215" s="71">
        <f t="shared" si="1131"/>
        <v>332</v>
      </c>
      <c r="CF215" s="72">
        <f t="shared" si="1132"/>
        <v>372</v>
      </c>
      <c r="CG215" s="71">
        <f t="shared" si="1133"/>
        <v>401</v>
      </c>
      <c r="CH215" s="70">
        <f t="shared" si="1134"/>
        <v>144</v>
      </c>
      <c r="CI215" s="71">
        <f t="shared" si="1135"/>
        <v>148</v>
      </c>
      <c r="CJ215" s="72">
        <f t="shared" si="1136"/>
        <v>179</v>
      </c>
      <c r="CK215" s="72" t="str">
        <f t="shared" si="1137"/>
        <v>-</v>
      </c>
      <c r="CL215" s="72">
        <f t="shared" si="1138"/>
        <v>220</v>
      </c>
      <c r="CM215" s="72">
        <f t="shared" si="1139"/>
        <v>228</v>
      </c>
      <c r="CN215" s="72">
        <f t="shared" si="1140"/>
        <v>254</v>
      </c>
      <c r="CO215" s="72" t="str">
        <f t="shared" si="1141"/>
        <v>-</v>
      </c>
      <c r="CP215" s="72">
        <f t="shared" si="1142"/>
        <v>304</v>
      </c>
      <c r="CQ215" s="72">
        <f t="shared" si="1143"/>
        <v>368</v>
      </c>
      <c r="CR215" s="72">
        <f t="shared" si="1144"/>
        <v>400</v>
      </c>
      <c r="CS215" s="72">
        <f t="shared" si="1145"/>
        <v>411</v>
      </c>
      <c r="CT215" s="23">
        <f t="shared" si="1146"/>
        <v>2</v>
      </c>
      <c r="AMP215" s="1"/>
    </row>
    <row r="216" spans="1:1030" x14ac:dyDescent="0.2">
      <c r="A216" s="3" t="str">
        <f t="shared" si="1371"/>
        <v>cnr1_human_5U09</v>
      </c>
      <c r="B216" s="3" t="s">
        <v>182</v>
      </c>
      <c r="C216" s="3" t="s">
        <v>1358</v>
      </c>
      <c r="D216" s="3" t="str">
        <f>IFERROR(MID(VLOOKUP($B216,Seqs!$A:$B,2,0),E216,1),"")</f>
        <v>N</v>
      </c>
      <c r="E216" s="3">
        <v>112</v>
      </c>
      <c r="F216" s="3" t="str">
        <f>IFERROR(MID(VLOOKUP($B216,Seqs!$A:$B,2,0),G216,1),"")</f>
        <v>S</v>
      </c>
      <c r="G216" s="3">
        <v>144</v>
      </c>
      <c r="H216" s="3" t="str">
        <f>IFERROR(MID(VLOOKUP($B216,Seqs!$A:$B,2,0),I216,1),"")</f>
        <v>R</v>
      </c>
      <c r="I216" s="23">
        <v>145</v>
      </c>
      <c r="J216" s="3" t="str">
        <f>IFERROR(MID(VLOOKUP($B216,Seqs!$A:$B,2,0),K216,1),"")</f>
        <v>R</v>
      </c>
      <c r="K216" s="23">
        <v>148</v>
      </c>
      <c r="L216" s="3" t="str">
        <f>IFERROR(MID(VLOOKUP($B216,Seqs!$A:$B,2,0),M216,1),"")</f>
        <v>R</v>
      </c>
      <c r="M216" s="3">
        <v>150</v>
      </c>
      <c r="N216" s="3" t="str">
        <f>IFERROR(MID(VLOOKUP($B216,Seqs!$A:$B,2,0),O216,1),"")</f>
        <v>V</v>
      </c>
      <c r="O216" s="3">
        <v>179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S</v>
      </c>
      <c r="U216" s="3">
        <v>185</v>
      </c>
      <c r="V216" s="3" t="str">
        <f>IFERROR(MID(VLOOKUP($B216,Seqs!$A:$B,2,0),W216,1),"")</f>
        <v>R</v>
      </c>
      <c r="W216" s="3">
        <v>220</v>
      </c>
      <c r="X216" s="3" t="str">
        <f>IFERROR(MID(VLOOKUP($B216,Seqs!$A:$B,2,0),Y216,1),"")</f>
        <v>P</v>
      </c>
      <c r="Y216" s="3">
        <v>221</v>
      </c>
      <c r="Z216" s="3" t="str">
        <f>IFERROR(MID(VLOOKUP($B216,Seqs!$A:$B,2,0),AA216,1),"")</f>
        <v>V</v>
      </c>
      <c r="AA216" s="3">
        <v>228</v>
      </c>
      <c r="AB216" s="3" t="str">
        <f>IFERROR(MID(VLOOKUP($B216,Seqs!$A:$B,2,0),AC216,1),"")</f>
        <v>T</v>
      </c>
      <c r="AC216" s="3">
        <v>229</v>
      </c>
      <c r="AD216" s="3" t="str">
        <f>IFERROR(MID(VLOOKUP($B216,Seqs!$A:$B,2,0),AE216,1),"")</f>
        <v>G</v>
      </c>
      <c r="AE216" s="3">
        <v>254</v>
      </c>
      <c r="AF216" s="3" t="str">
        <f>IFERROR(MID(VLOOKUP($B216,Seqs!$A:$B,2,0),AG216,1),"")</f>
        <v/>
      </c>
      <c r="AG216" s="3" t="s">
        <v>23</v>
      </c>
      <c r="AH216" s="3" t="str">
        <f>IFERROR(MID(VLOOKUP($B216,Seqs!$A:$B,2,0),AI216,1),"")</f>
        <v/>
      </c>
      <c r="AI216" s="3" t="s">
        <v>23</v>
      </c>
      <c r="AJ216" s="3" t="str">
        <f>IFERROR(MID(VLOOKUP($B216,Seqs!$A:$B,2,0),AK216,1),"")</f>
        <v>D</v>
      </c>
      <c r="AK216" s="3">
        <v>272</v>
      </c>
      <c r="AL216" s="3" t="str">
        <f>IFERROR(MID(VLOOKUP($B216,Seqs!$A:$B,2,0),AM216,1),"")</f>
        <v>A</v>
      </c>
      <c r="AM216" s="3">
        <v>301</v>
      </c>
      <c r="AN216" s="3" t="str">
        <f>IFERROR(MID(VLOOKUP($B216,Seqs!$A:$B,2,0),AO216,1),"")</f>
        <v>D</v>
      </c>
      <c r="AO216" s="3">
        <v>333</v>
      </c>
      <c r="AP216" s="3" t="str">
        <f>IFERROR(MID(VLOOKUP($B216,Seqs!$A:$B,2,0),AQ216,1),"")</f>
        <v>F</v>
      </c>
      <c r="AQ216" s="3">
        <v>368</v>
      </c>
      <c r="AR216" s="3" t="str">
        <f>IFERROR(MID(VLOOKUP($B216,Seqs!$A:$B,2,0),AS216,1),"")</f>
        <v>L</v>
      </c>
      <c r="AS216" s="3">
        <v>374</v>
      </c>
      <c r="AT216" s="3" t="str">
        <f>IFERROR(MID(VLOOKUP($B216,Seqs!$A:$B,2,0),AU216,1),"")</f>
        <v>R</v>
      </c>
      <c r="AU216" s="3">
        <v>400</v>
      </c>
      <c r="AV216" s="3" t="str">
        <f>IFERROR(MID(VLOOKUP($B216,Seqs!$A:$B,2,0),AW216,1),"")</f>
        <v>S</v>
      </c>
      <c r="AW216" s="3">
        <v>401</v>
      </c>
      <c r="AX216" s="3" t="str">
        <f>IFERROR(MID(VLOOKUP($B216,Seqs!$A:$B,2,0),AY216,1),"")</f>
        <v>M</v>
      </c>
      <c r="AY216" s="3">
        <v>411</v>
      </c>
      <c r="AZ216" s="77" t="str">
        <f>VLOOKUP(B216,Classification!A:D,2,0)</f>
        <v>A</v>
      </c>
      <c r="BA216" s="94" t="str">
        <f>VLOOKUP(B216,Classification!A:D,4,0)</f>
        <v>Cannabinoid</v>
      </c>
      <c r="BB216" s="27" t="b">
        <f t="shared" si="1372"/>
        <v>1</v>
      </c>
      <c r="BC216" s="23">
        <f t="shared" si="1121"/>
        <v>243</v>
      </c>
      <c r="BD216" s="2" t="s">
        <v>23</v>
      </c>
      <c r="BE216" s="3" t="s">
        <v>1368</v>
      </c>
      <c r="BF216" s="118">
        <v>2.6</v>
      </c>
      <c r="BG216" s="49" t="s">
        <v>1371</v>
      </c>
      <c r="BH216" s="49" t="s">
        <v>1371</v>
      </c>
      <c r="BJ216" s="70" t="s">
        <v>1281</v>
      </c>
      <c r="BK216" s="57" t="s">
        <v>1281</v>
      </c>
      <c r="BL216" s="57" t="s">
        <v>1281</v>
      </c>
      <c r="BM216" s="57" t="s">
        <v>1281</v>
      </c>
      <c r="BN216" s="57" t="s">
        <v>1281</v>
      </c>
      <c r="BO216" s="57" t="s">
        <v>1281</v>
      </c>
      <c r="BP216" s="57" t="s">
        <v>1281</v>
      </c>
      <c r="BQ216" s="57" t="s">
        <v>1281</v>
      </c>
      <c r="BR216" s="57" t="s">
        <v>1281</v>
      </c>
      <c r="BS216" s="57" t="s">
        <v>1281</v>
      </c>
      <c r="BT216" s="57" t="s">
        <v>1281</v>
      </c>
      <c r="BU216" s="57" t="s">
        <v>1281</v>
      </c>
      <c r="BV216" s="70">
        <f t="shared" si="1122"/>
        <v>112</v>
      </c>
      <c r="BW216" s="71">
        <f t="shared" si="1123"/>
        <v>145</v>
      </c>
      <c r="BX216" s="72">
        <f t="shared" si="1124"/>
        <v>150</v>
      </c>
      <c r="BY216" s="71" t="str">
        <f t="shared" si="1125"/>
        <v>-</v>
      </c>
      <c r="BZ216" s="72">
        <f t="shared" si="1126"/>
        <v>185</v>
      </c>
      <c r="CA216" s="71">
        <f t="shared" si="1127"/>
        <v>221</v>
      </c>
      <c r="CB216" s="72">
        <f t="shared" si="1128"/>
        <v>229</v>
      </c>
      <c r="CC216" s="71" t="str">
        <f t="shared" si="1129"/>
        <v>-</v>
      </c>
      <c r="CD216" s="72">
        <f t="shared" si="1130"/>
        <v>272</v>
      </c>
      <c r="CE216" s="71">
        <f t="shared" si="1131"/>
        <v>333</v>
      </c>
      <c r="CF216" s="72">
        <f t="shared" si="1132"/>
        <v>374</v>
      </c>
      <c r="CG216" s="71">
        <f t="shared" si="1133"/>
        <v>401</v>
      </c>
      <c r="CH216" s="70">
        <f t="shared" si="1134"/>
        <v>144</v>
      </c>
      <c r="CI216" s="71">
        <f t="shared" si="1135"/>
        <v>148</v>
      </c>
      <c r="CJ216" s="72">
        <f t="shared" si="1136"/>
        <v>179</v>
      </c>
      <c r="CK216" s="72" t="str">
        <f t="shared" si="1137"/>
        <v>-</v>
      </c>
      <c r="CL216" s="72">
        <f t="shared" si="1138"/>
        <v>220</v>
      </c>
      <c r="CM216" s="72">
        <f t="shared" si="1139"/>
        <v>228</v>
      </c>
      <c r="CN216" s="72">
        <f t="shared" si="1140"/>
        <v>254</v>
      </c>
      <c r="CO216" s="72" t="str">
        <f t="shared" si="1141"/>
        <v>-</v>
      </c>
      <c r="CP216" s="72">
        <f t="shared" si="1142"/>
        <v>301</v>
      </c>
      <c r="CQ216" s="72">
        <f t="shared" si="1143"/>
        <v>368</v>
      </c>
      <c r="CR216" s="72">
        <f t="shared" si="1144"/>
        <v>400</v>
      </c>
      <c r="CS216" s="72">
        <f t="shared" si="1145"/>
        <v>411</v>
      </c>
      <c r="CT216" s="23">
        <f t="shared" si="1146"/>
        <v>2</v>
      </c>
    </row>
    <row r="217" spans="1:1030" x14ac:dyDescent="0.2">
      <c r="A217" s="3" t="str">
        <f t="shared" ref="A217:A223" si="1986">CONCATENATE(B217,"_",C217)</f>
        <v>cnr1_human_5XR8</v>
      </c>
      <c r="B217" s="3" t="s">
        <v>182</v>
      </c>
      <c r="C217" s="3" t="s">
        <v>1418</v>
      </c>
      <c r="D217" s="3" t="str">
        <f>IFERROR(MID(VLOOKUP($B217,Seqs!$A:$B,2,0),E217,1),"")</f>
        <v>N</v>
      </c>
      <c r="E217" s="3">
        <v>112</v>
      </c>
      <c r="F217" s="3" t="str">
        <f>IFERROR(MID(VLOOKUP($B217,Seqs!$A:$B,2,0),G217,1),"")</f>
        <v>S</v>
      </c>
      <c r="G217" s="3">
        <v>146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Y</v>
      </c>
      <c r="M217" s="3">
        <v>153</v>
      </c>
      <c r="N217" s="3" t="str">
        <f>IFERROR(MID(VLOOKUP($B217,Seqs!$A:$B,2,0),O217,1),"")</f>
        <v>F</v>
      </c>
      <c r="O217" s="3">
        <v>180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S</v>
      </c>
      <c r="U217" s="3">
        <v>185</v>
      </c>
      <c r="V217" s="3" t="str">
        <f>IFERROR(MID(VLOOKUP($B217,Seqs!$A:$B,2,0),W217,1),"")</f>
        <v>R</v>
      </c>
      <c r="W217" s="3">
        <v>220</v>
      </c>
      <c r="X217" s="3" t="str">
        <f>IFERROR(MID(VLOOKUP($B217,Seqs!$A:$B,2,0),Y217,1),"")</f>
        <v>P</v>
      </c>
      <c r="Y217" s="3">
        <v>221</v>
      </c>
      <c r="Z217" s="3" t="str">
        <f>IFERROR(MID(VLOOKUP($B217,Seqs!$A:$B,2,0),AA217,1),"")</f>
        <v>V</v>
      </c>
      <c r="AA217" s="3">
        <v>228</v>
      </c>
      <c r="AB217" s="3" t="str">
        <f>IFERROR(MID(VLOOKUP($B217,Seqs!$A:$B,2,0),AC217,1),"")</f>
        <v>T</v>
      </c>
      <c r="AC217" s="3">
        <v>229</v>
      </c>
      <c r="AD217" s="3" t="str">
        <f>IFERROR(MID(VLOOKUP($B217,Seqs!$A:$B,2,0),AE217,1),"")</f>
        <v>G</v>
      </c>
      <c r="AE217" s="3">
        <v>254</v>
      </c>
      <c r="AF217" s="3" t="str">
        <f>IFERROR(MID(VLOOKUP($B217,Seqs!$A:$B,2,0),AG217,1),"")</f>
        <v/>
      </c>
      <c r="AG217" s="3" t="s">
        <v>23</v>
      </c>
      <c r="AH217" s="3" t="str">
        <f>IFERROR(MID(VLOOKUP($B217,Seqs!$A:$B,2,0),AI217,1),"")</f>
        <v/>
      </c>
      <c r="AI217" s="3" t="s">
        <v>23</v>
      </c>
      <c r="AJ217" s="3" t="str">
        <f>IFERROR(MID(VLOOKUP($B217,Seqs!$A:$B,2,0),AK217,1),"")</f>
        <v>D</v>
      </c>
      <c r="AK217" s="3">
        <v>272</v>
      </c>
      <c r="AL217" s="3" t="str">
        <f>IFERROR(MID(VLOOKUP($B217,Seqs!$A:$B,2,0),AM217,1),"")</f>
        <v>S</v>
      </c>
      <c r="AM217" s="3">
        <v>303</v>
      </c>
      <c r="AN217" s="3" t="str">
        <f>IFERROR(MID(VLOOKUP($B217,Seqs!$A:$B,2,0),AO217,1),"")</f>
        <v>T</v>
      </c>
      <c r="AO217" s="3">
        <v>460</v>
      </c>
      <c r="AP217" s="3" t="str">
        <f>IFERROR(MID(VLOOKUP($B217,Seqs!$A:$B,2,0),AQ217,1),"")</f>
        <v/>
      </c>
      <c r="AQ217" s="3">
        <v>490</v>
      </c>
      <c r="AR217" s="3" t="str">
        <f>IFERROR(MID(VLOOKUP($B217,Seqs!$A:$B,2,0),AS217,1),"")</f>
        <v/>
      </c>
      <c r="AS217" s="3">
        <v>494</v>
      </c>
      <c r="AT217" s="3" t="str">
        <f>IFERROR(MID(VLOOKUP($B217,Seqs!$A:$B,2,0),AU217,1),"")</f>
        <v/>
      </c>
      <c r="AU217" s="3">
        <v>522</v>
      </c>
      <c r="AV217" s="3" t="str">
        <f>IFERROR(MID(VLOOKUP($B217,Seqs!$A:$B,2,0),AW217,1),"")</f>
        <v/>
      </c>
      <c r="AW217" s="3">
        <v>523</v>
      </c>
      <c r="AX217" s="3" t="str">
        <f>IFERROR(MID(VLOOKUP($B217,Seqs!$A:$B,2,0),AY217,1),"")</f>
        <v/>
      </c>
      <c r="AY217" s="3">
        <v>534</v>
      </c>
      <c r="AZ217" s="77" t="str">
        <f>VLOOKUP(B217,Classification!A:D,2,0)</f>
        <v>A</v>
      </c>
      <c r="BA217" s="94" t="str">
        <f>VLOOKUP(B217,Classification!A:D,4,0)</f>
        <v>Cannabinoid</v>
      </c>
      <c r="BB217" s="27" t="b">
        <f t="shared" ref="BB217:BB223" si="1987"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 t="shared" ref="BC217:BC223" si="1988">_xlfn.AGGREGATE(9,6,CH217:CS217)-_xlfn.AGGREGATE(9,6,BV217:CG217)+12</f>
        <v>240</v>
      </c>
      <c r="BD217" s="2" t="s">
        <v>23</v>
      </c>
      <c r="BE217" s="3" t="s">
        <v>1285</v>
      </c>
      <c r="BF217" s="118">
        <v>2.95</v>
      </c>
      <c r="BG217" s="49" t="s">
        <v>1</v>
      </c>
      <c r="BH217" s="49" t="s">
        <v>1</v>
      </c>
      <c r="BJ217" s="70" t="s">
        <v>1281</v>
      </c>
      <c r="BK217" s="57" t="s">
        <v>1281</v>
      </c>
      <c r="BL217" s="57" t="s">
        <v>1281</v>
      </c>
      <c r="BM217" s="57" t="s">
        <v>1281</v>
      </c>
      <c r="BN217" s="57" t="s">
        <v>1281</v>
      </c>
      <c r="BO217" s="57" t="s">
        <v>1281</v>
      </c>
      <c r="BP217" s="57" t="s">
        <v>1281</v>
      </c>
      <c r="BQ217" s="57" t="s">
        <v>1281</v>
      </c>
      <c r="BR217" s="57" t="s">
        <v>1281</v>
      </c>
      <c r="BS217" s="57" t="s">
        <v>1281</v>
      </c>
      <c r="BT217" s="57" t="s">
        <v>1281</v>
      </c>
      <c r="BU217" s="57" t="s">
        <v>1281</v>
      </c>
      <c r="BV217" s="70">
        <f t="shared" ref="BV217:BV223" si="1989">E217</f>
        <v>112</v>
      </c>
      <c r="BW217" s="71" t="str">
        <f t="shared" ref="BW217:BW223" si="1990">I217</f>
        <v>-</v>
      </c>
      <c r="BX217" s="72">
        <f t="shared" ref="BX217:BX223" si="1991">M217</f>
        <v>153</v>
      </c>
      <c r="BY217" s="71" t="str">
        <f t="shared" ref="BY217:BY223" si="1992">Q217</f>
        <v>-</v>
      </c>
      <c r="BZ217" s="72">
        <f t="shared" ref="BZ217:BZ223" si="1993">U217</f>
        <v>185</v>
      </c>
      <c r="CA217" s="71">
        <f t="shared" ref="CA217:CA223" si="1994">Y217</f>
        <v>221</v>
      </c>
      <c r="CB217" s="72">
        <f t="shared" ref="CB217:CB223" si="1995">AC217</f>
        <v>229</v>
      </c>
      <c r="CC217" s="71" t="str">
        <f t="shared" ref="CC217:CC223" si="1996">AG217</f>
        <v>-</v>
      </c>
      <c r="CD217" s="72">
        <f t="shared" ref="CD217:CD223" si="1997">AK217</f>
        <v>272</v>
      </c>
      <c r="CE217" s="71">
        <f t="shared" ref="CE217:CE223" si="1998">AO217</f>
        <v>460</v>
      </c>
      <c r="CF217" s="72">
        <f t="shared" ref="CF217:CF223" si="1999">AS217</f>
        <v>494</v>
      </c>
      <c r="CG217" s="71">
        <f t="shared" ref="CG217:CG223" si="2000">AW217</f>
        <v>523</v>
      </c>
      <c r="CH217" s="70">
        <f t="shared" ref="CH217:CH223" si="2001">G217</f>
        <v>146</v>
      </c>
      <c r="CI217" s="71" t="str">
        <f t="shared" ref="CI217:CI223" si="2002">K217</f>
        <v>-</v>
      </c>
      <c r="CJ217" s="72">
        <f t="shared" ref="CJ217:CJ223" si="2003">O217</f>
        <v>180</v>
      </c>
      <c r="CK217" s="72" t="str">
        <f t="shared" ref="CK217:CK223" si="2004">S217</f>
        <v>-</v>
      </c>
      <c r="CL217" s="72">
        <f t="shared" ref="CL217:CL223" si="2005">W217</f>
        <v>220</v>
      </c>
      <c r="CM217" s="72">
        <f t="shared" ref="CM217:CM223" si="2006">AA217</f>
        <v>228</v>
      </c>
      <c r="CN217" s="72">
        <f t="shared" ref="CN217:CN223" si="2007">AE217</f>
        <v>254</v>
      </c>
      <c r="CO217" s="72" t="str">
        <f t="shared" ref="CO217:CO223" si="2008">AI217</f>
        <v>-</v>
      </c>
      <c r="CP217" s="72">
        <f t="shared" ref="CP217:CP223" si="2009">AM217</f>
        <v>303</v>
      </c>
      <c r="CQ217" s="72">
        <f t="shared" ref="CQ217:CQ223" si="2010">AQ217</f>
        <v>490</v>
      </c>
      <c r="CR217" s="72">
        <f t="shared" ref="CR217:CR223" si="2011">AU217</f>
        <v>522</v>
      </c>
      <c r="CS217" s="72">
        <f t="shared" ref="CS217:CS223" si="2012">AY217</f>
        <v>534</v>
      </c>
      <c r="CT217" s="23" t="e">
        <f t="shared" ref="CT217:CT223" si="2013">M217-K217</f>
        <v>#VALUE!</v>
      </c>
    </row>
    <row r="218" spans="1:1030" x14ac:dyDescent="0.2">
      <c r="A218" s="3" t="str">
        <f t="shared" si="1986"/>
        <v>cnr1_human_5XRA</v>
      </c>
      <c r="B218" s="3" t="s">
        <v>182</v>
      </c>
      <c r="C218" s="3" t="s">
        <v>1419</v>
      </c>
      <c r="D218" s="3" t="str">
        <f>IFERROR(MID(VLOOKUP($B218,Seqs!$A:$B,2,0),E218,1),"")</f>
        <v>N</v>
      </c>
      <c r="E218" s="3">
        <v>112</v>
      </c>
      <c r="F218" s="3" t="str">
        <f>IFERROR(MID(VLOOKUP($B218,Seqs!$A:$B,2,0),G218,1),"")</f>
        <v>S</v>
      </c>
      <c r="G218" s="3">
        <v>146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Y</v>
      </c>
      <c r="M218" s="3">
        <v>153</v>
      </c>
      <c r="N218" s="3" t="str">
        <f>IFERROR(MID(VLOOKUP($B218,Seqs!$A:$B,2,0),O218,1),"")</f>
        <v>F</v>
      </c>
      <c r="O218" s="3">
        <v>180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S</v>
      </c>
      <c r="U218" s="3">
        <v>185</v>
      </c>
      <c r="V218" s="3" t="str">
        <f>IFERROR(MID(VLOOKUP($B218,Seqs!$A:$B,2,0),W218,1),"")</f>
        <v>R</v>
      </c>
      <c r="W218" s="3">
        <v>220</v>
      </c>
      <c r="X218" s="3" t="str">
        <f>IFERROR(MID(VLOOKUP($B218,Seqs!$A:$B,2,0),Y218,1),"")</f>
        <v>P</v>
      </c>
      <c r="Y218" s="3">
        <v>221</v>
      </c>
      <c r="Z218" s="3" t="str">
        <f>IFERROR(MID(VLOOKUP($B218,Seqs!$A:$B,2,0),AA218,1),"")</f>
        <v>V</v>
      </c>
      <c r="AA218" s="3">
        <v>228</v>
      </c>
      <c r="AB218" s="3" t="str">
        <f>IFERROR(MID(VLOOKUP($B218,Seqs!$A:$B,2,0),AC218,1),"")</f>
        <v>T</v>
      </c>
      <c r="AC218" s="3">
        <v>229</v>
      </c>
      <c r="AD218" s="3" t="str">
        <f>IFERROR(MID(VLOOKUP($B218,Seqs!$A:$B,2,0),AE218,1),"")</f>
        <v>G</v>
      </c>
      <c r="AE218" s="3">
        <v>254</v>
      </c>
      <c r="AF218" s="3" t="str">
        <f>IFERROR(MID(VLOOKUP($B218,Seqs!$A:$B,2,0),AG218,1),"")</f>
        <v/>
      </c>
      <c r="AG218" s="3" t="s">
        <v>23</v>
      </c>
      <c r="AH218" s="3" t="str">
        <f>IFERROR(MID(VLOOKUP($B218,Seqs!$A:$B,2,0),AI218,1),"")</f>
        <v/>
      </c>
      <c r="AI218" s="3" t="s">
        <v>23</v>
      </c>
      <c r="AJ218" s="3" t="str">
        <f>IFERROR(MID(VLOOKUP($B218,Seqs!$A:$B,2,0),AK218,1),"")</f>
        <v>D</v>
      </c>
      <c r="AK218" s="3">
        <v>272</v>
      </c>
      <c r="AL218" s="3" t="str">
        <f>IFERROR(MID(VLOOKUP($B218,Seqs!$A:$B,2,0),AM218,1),"")</f>
        <v>A</v>
      </c>
      <c r="AM218" s="3">
        <v>305</v>
      </c>
      <c r="AN218" s="3" t="str">
        <f>IFERROR(MID(VLOOKUP($B218,Seqs!$A:$B,2,0),AO218,1),"")</f>
        <v>D</v>
      </c>
      <c r="AO218" s="3">
        <v>338</v>
      </c>
      <c r="AP218" s="3" t="str">
        <f>IFERROR(MID(VLOOKUP($B218,Seqs!$A:$B,2,0),AQ218,1),"")</f>
        <v>G</v>
      </c>
      <c r="AQ218" s="3">
        <v>369</v>
      </c>
      <c r="AR218" s="3" t="str">
        <f>IFERROR(MID(VLOOKUP($B218,Seqs!$A:$B,2,0),AS218,1),"")</f>
        <v>N</v>
      </c>
      <c r="AS218" s="3">
        <v>372</v>
      </c>
      <c r="AT218" s="3" t="str">
        <f>IFERROR(MID(VLOOKUP($B218,Seqs!$A:$B,2,0),AU218,1),"")</f>
        <v>Y</v>
      </c>
      <c r="AU218" s="3">
        <v>397</v>
      </c>
      <c r="AV218" s="3" t="str">
        <f>IFERROR(MID(VLOOKUP($B218,Seqs!$A:$B,2,0),AW218,1),"")</f>
        <v>S</v>
      </c>
      <c r="AW218" s="3">
        <v>401</v>
      </c>
      <c r="AX218" s="3" t="str">
        <f>IFERROR(MID(VLOOKUP($B218,Seqs!$A:$B,2,0),AY218,1),"")</f>
        <v>F</v>
      </c>
      <c r="AY218" s="3">
        <v>412</v>
      </c>
      <c r="AZ218" s="77" t="str">
        <f>VLOOKUP(B218,Classification!A:D,2,0)</f>
        <v>A</v>
      </c>
      <c r="BA218" s="94" t="str">
        <f>VLOOKUP(B218,Classification!A:D,4,0)</f>
        <v>Cannabinoid</v>
      </c>
      <c r="BB218" s="27" t="b">
        <f t="shared" si="1987"/>
        <v>1</v>
      </c>
      <c r="BC218" s="23">
        <f t="shared" si="1988"/>
        <v>240</v>
      </c>
      <c r="BD218" s="2" t="s">
        <v>23</v>
      </c>
      <c r="BE218" s="3" t="s">
        <v>1285</v>
      </c>
      <c r="BF218" s="118">
        <v>2.8</v>
      </c>
      <c r="BG218" s="49" t="s">
        <v>1</v>
      </c>
      <c r="BH218" s="49" t="s">
        <v>1</v>
      </c>
      <c r="BJ218" s="70" t="s">
        <v>1281</v>
      </c>
      <c r="BK218" s="57" t="s">
        <v>1281</v>
      </c>
      <c r="BL218" s="57" t="s">
        <v>1281</v>
      </c>
      <c r="BM218" s="57" t="s">
        <v>1281</v>
      </c>
      <c r="BN218" s="57" t="s">
        <v>1281</v>
      </c>
      <c r="BO218" s="57" t="s">
        <v>1281</v>
      </c>
      <c r="BP218" s="57" t="s">
        <v>1281</v>
      </c>
      <c r="BQ218" s="57" t="s">
        <v>1281</v>
      </c>
      <c r="BR218" s="57" t="s">
        <v>1281</v>
      </c>
      <c r="BS218" s="57" t="s">
        <v>1281</v>
      </c>
      <c r="BT218" s="57" t="s">
        <v>1281</v>
      </c>
      <c r="BU218" s="57" t="s">
        <v>1281</v>
      </c>
      <c r="BV218" s="70">
        <f t="shared" si="1989"/>
        <v>112</v>
      </c>
      <c r="BW218" s="71" t="str">
        <f t="shared" si="1990"/>
        <v>-</v>
      </c>
      <c r="BX218" s="72">
        <f t="shared" si="1991"/>
        <v>153</v>
      </c>
      <c r="BY218" s="71" t="str">
        <f t="shared" si="1992"/>
        <v>-</v>
      </c>
      <c r="BZ218" s="72">
        <f t="shared" si="1993"/>
        <v>185</v>
      </c>
      <c r="CA218" s="71">
        <f t="shared" si="1994"/>
        <v>221</v>
      </c>
      <c r="CB218" s="72">
        <f t="shared" si="1995"/>
        <v>229</v>
      </c>
      <c r="CC218" s="71" t="str">
        <f t="shared" si="1996"/>
        <v>-</v>
      </c>
      <c r="CD218" s="72">
        <f t="shared" si="1997"/>
        <v>272</v>
      </c>
      <c r="CE218" s="71">
        <f t="shared" si="1998"/>
        <v>338</v>
      </c>
      <c r="CF218" s="72">
        <f t="shared" si="1999"/>
        <v>372</v>
      </c>
      <c r="CG218" s="71">
        <f t="shared" si="2000"/>
        <v>401</v>
      </c>
      <c r="CH218" s="70">
        <f t="shared" si="2001"/>
        <v>146</v>
      </c>
      <c r="CI218" s="71" t="str">
        <f t="shared" si="2002"/>
        <v>-</v>
      </c>
      <c r="CJ218" s="72">
        <f t="shared" si="2003"/>
        <v>180</v>
      </c>
      <c r="CK218" s="72" t="str">
        <f t="shared" si="2004"/>
        <v>-</v>
      </c>
      <c r="CL218" s="72">
        <f t="shared" si="2005"/>
        <v>220</v>
      </c>
      <c r="CM218" s="72">
        <f t="shared" si="2006"/>
        <v>228</v>
      </c>
      <c r="CN218" s="72">
        <f t="shared" si="2007"/>
        <v>254</v>
      </c>
      <c r="CO218" s="72" t="str">
        <f t="shared" si="2008"/>
        <v>-</v>
      </c>
      <c r="CP218" s="72">
        <f t="shared" si="2009"/>
        <v>305</v>
      </c>
      <c r="CQ218" s="72">
        <f t="shared" si="2010"/>
        <v>369</v>
      </c>
      <c r="CR218" s="72">
        <f t="shared" si="2011"/>
        <v>397</v>
      </c>
      <c r="CS218" s="72">
        <f t="shared" si="2012"/>
        <v>412</v>
      </c>
      <c r="CT218" s="23" t="e">
        <f t="shared" si="2013"/>
        <v>#VALUE!</v>
      </c>
    </row>
    <row r="219" spans="1:1030" x14ac:dyDescent="0.2">
      <c r="A219" s="3" t="str">
        <f t="shared" si="1986"/>
        <v>cnr1_human_6N4B</v>
      </c>
      <c r="B219" s="3" t="s">
        <v>182</v>
      </c>
      <c r="C219" s="3" t="s">
        <v>1550</v>
      </c>
      <c r="D219" s="3" t="str">
        <f>IFERROR(MID(VLOOKUP($B219,Seqs!$A:$B,2,0),E219,1),"")</f>
        <v>N</v>
      </c>
      <c r="E219" s="3">
        <v>112</v>
      </c>
      <c r="F219" s="3" t="str">
        <f>IFERROR(MID(VLOOKUP($B219,Seqs!$A:$B,2,0),G219,1),"")</f>
        <v>H</v>
      </c>
      <c r="G219" s="3">
        <v>143</v>
      </c>
      <c r="H219" s="3" t="str">
        <f>IFERROR(MID(VLOOKUP($B219,Seqs!$A:$B,2,0),I219,1),"")</f>
        <v>R</v>
      </c>
      <c r="I219" s="23">
        <v>145</v>
      </c>
      <c r="J219" s="3" t="str">
        <f>IFERROR(MID(VLOOKUP($B219,Seqs!$A:$B,2,0),K219,1),"")</f>
        <v>R</v>
      </c>
      <c r="K219" s="23">
        <v>148</v>
      </c>
      <c r="L219" s="3" t="str">
        <f>IFERROR(MID(VLOOKUP($B219,Seqs!$A:$B,2,0),M219,1),"")</f>
        <v>Y</v>
      </c>
      <c r="M219" s="3">
        <v>153</v>
      </c>
      <c r="N219" s="3" t="str">
        <f>IFERROR(MID(VLOOKUP($B219,Seqs!$A:$B,2,0),O219,1),"")</f>
        <v>H</v>
      </c>
      <c r="O219" s="3">
        <v>178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S</v>
      </c>
      <c r="U219" s="3">
        <v>185</v>
      </c>
      <c r="V219" s="3" t="str">
        <f>IFERROR(MID(VLOOKUP($B219,Seqs!$A:$B,2,0),W219,1),"")</f>
        <v>R</v>
      </c>
      <c r="W219" s="3">
        <v>220</v>
      </c>
      <c r="X219" s="3" t="str">
        <f>IFERROR(MID(VLOOKUP($B219,Seqs!$A:$B,2,0),Y219,1),"")</f>
        <v>P</v>
      </c>
      <c r="Y219" s="3">
        <v>221</v>
      </c>
      <c r="Z219" s="3" t="str">
        <f>IFERROR(MID(VLOOKUP($B219,Seqs!$A:$B,2,0),AA219,1),"")</f>
        <v>V</v>
      </c>
      <c r="AA219" s="3">
        <v>228</v>
      </c>
      <c r="AB219" s="3" t="str">
        <f>IFERROR(MID(VLOOKUP($B219,Seqs!$A:$B,2,0),AC219,1),"")</f>
        <v>T</v>
      </c>
      <c r="AC219" s="3">
        <v>229</v>
      </c>
      <c r="AD219" s="3" t="str">
        <f>IFERROR(MID(VLOOKUP($B219,Seqs!$A:$B,2,0),AE219,1),"")</f>
        <v>G</v>
      </c>
      <c r="AE219" s="3">
        <v>254</v>
      </c>
      <c r="AF219" s="3" t="str">
        <f>IFERROR(MID(VLOOKUP($B219,Seqs!$A:$B,2,0),AG219,1),"")</f>
        <v/>
      </c>
      <c r="AG219" s="3" t="s">
        <v>23</v>
      </c>
      <c r="AH219" s="3" t="str">
        <f>IFERROR(MID(VLOOKUP($B219,Seqs!$A:$B,2,0),AI219,1),"")</f>
        <v/>
      </c>
      <c r="AI219" s="3" t="s">
        <v>23</v>
      </c>
      <c r="AJ219" s="3" t="str">
        <f>IFERROR(MID(VLOOKUP($B219,Seqs!$A:$B,2,0),AK219,1),"")</f>
        <v>D</v>
      </c>
      <c r="AK219" s="3">
        <v>272</v>
      </c>
      <c r="AL219" s="3" t="str">
        <f>IFERROR(MID(VLOOKUP($B219,Seqs!$A:$B,2,0),AM219,1),"")</f>
        <v>R</v>
      </c>
      <c r="AM219" s="3">
        <v>311</v>
      </c>
      <c r="AN219" s="3" t="str">
        <f>IFERROR(MID(VLOOKUP($B219,Seqs!$A:$B,2,0),AO219,1),"")</f>
        <v>A</v>
      </c>
      <c r="AO219" s="3">
        <v>335</v>
      </c>
      <c r="AP219" s="3" t="str">
        <f>IFERROR(MID(VLOOKUP($B219,Seqs!$A:$B,2,0),AQ219,1),"")</f>
        <v>M</v>
      </c>
      <c r="AQ219" s="3">
        <v>363</v>
      </c>
      <c r="AR219" s="3" t="str">
        <f>IFERROR(MID(VLOOKUP($B219,Seqs!$A:$B,2,0),AS219,1),"")</f>
        <v>L</v>
      </c>
      <c r="AS219" s="3">
        <v>374</v>
      </c>
      <c r="AT219" s="3" t="str">
        <f>IFERROR(MID(VLOOKUP($B219,Seqs!$A:$B,2,0),AU219,1),"")</f>
        <v>R</v>
      </c>
      <c r="AU219" s="3">
        <v>400</v>
      </c>
      <c r="AV219" s="3" t="str">
        <f>IFERROR(MID(VLOOKUP($B219,Seqs!$A:$B,2,0),AW219,1),"")</f>
        <v>S</v>
      </c>
      <c r="AW219" s="3">
        <v>401</v>
      </c>
      <c r="AX219" s="3" t="str">
        <f>IFERROR(MID(VLOOKUP($B219,Seqs!$A:$B,2,0),AY219,1),"")</f>
        <v>M</v>
      </c>
      <c r="AY219" s="3">
        <v>411</v>
      </c>
      <c r="AZ219" s="77" t="str">
        <f>VLOOKUP(B219,Classification!A:D,2,0)</f>
        <v>A</v>
      </c>
      <c r="BA219" s="94" t="str">
        <f>VLOOKUP(B219,Classification!A:D,4,0)</f>
        <v>Cannabinoid</v>
      </c>
      <c r="BB219" s="27" t="b">
        <f t="shared" si="1987"/>
        <v>1</v>
      </c>
      <c r="BC219" s="23">
        <f t="shared" si="1988"/>
        <v>241</v>
      </c>
      <c r="BD219" s="2" t="s">
        <v>1369</v>
      </c>
      <c r="BE219" s="3" t="s">
        <v>1285</v>
      </c>
      <c r="BF219" s="118">
        <v>3</v>
      </c>
      <c r="BG219" s="49" t="s">
        <v>1416</v>
      </c>
      <c r="BH219" s="49" t="s">
        <v>1416</v>
      </c>
      <c r="BJ219" s="70" t="s">
        <v>1281</v>
      </c>
      <c r="BK219" s="57" t="s">
        <v>1281</v>
      </c>
      <c r="BL219" s="57" t="s">
        <v>1281</v>
      </c>
      <c r="BM219" s="57" t="s">
        <v>1281</v>
      </c>
      <c r="BN219" s="57" t="s">
        <v>1281</v>
      </c>
      <c r="BO219" s="57" t="s">
        <v>1281</v>
      </c>
      <c r="BP219" s="57" t="s">
        <v>1281</v>
      </c>
      <c r="BQ219" s="57" t="s">
        <v>1281</v>
      </c>
      <c r="BR219" s="57" t="s">
        <v>1281</v>
      </c>
      <c r="BS219" s="57" t="s">
        <v>1281</v>
      </c>
      <c r="BT219" s="57" t="s">
        <v>1281</v>
      </c>
      <c r="BU219" s="57" t="s">
        <v>1281</v>
      </c>
      <c r="BV219" s="70">
        <f t="shared" si="1989"/>
        <v>112</v>
      </c>
      <c r="BW219" s="71">
        <f t="shared" si="1990"/>
        <v>145</v>
      </c>
      <c r="BX219" s="72">
        <f t="shared" si="1991"/>
        <v>153</v>
      </c>
      <c r="BY219" s="71" t="str">
        <f t="shared" si="1992"/>
        <v>-</v>
      </c>
      <c r="BZ219" s="72">
        <f t="shared" si="1993"/>
        <v>185</v>
      </c>
      <c r="CA219" s="71">
        <f t="shared" si="1994"/>
        <v>221</v>
      </c>
      <c r="CB219" s="72">
        <f t="shared" si="1995"/>
        <v>229</v>
      </c>
      <c r="CC219" s="71" t="str">
        <f t="shared" si="1996"/>
        <v>-</v>
      </c>
      <c r="CD219" s="72">
        <f t="shared" si="1997"/>
        <v>272</v>
      </c>
      <c r="CE219" s="71">
        <f t="shared" si="1998"/>
        <v>335</v>
      </c>
      <c r="CF219" s="72">
        <f t="shared" si="1999"/>
        <v>374</v>
      </c>
      <c r="CG219" s="71">
        <f t="shared" si="2000"/>
        <v>401</v>
      </c>
      <c r="CH219" s="70">
        <f t="shared" si="2001"/>
        <v>143</v>
      </c>
      <c r="CI219" s="71">
        <f t="shared" si="2002"/>
        <v>148</v>
      </c>
      <c r="CJ219" s="72">
        <f t="shared" si="2003"/>
        <v>178</v>
      </c>
      <c r="CK219" s="72" t="str">
        <f t="shared" si="2004"/>
        <v>-</v>
      </c>
      <c r="CL219" s="72">
        <f t="shared" si="2005"/>
        <v>220</v>
      </c>
      <c r="CM219" s="72">
        <f t="shared" si="2006"/>
        <v>228</v>
      </c>
      <c r="CN219" s="72">
        <f t="shared" si="2007"/>
        <v>254</v>
      </c>
      <c r="CO219" s="72" t="str">
        <f t="shared" si="2008"/>
        <v>-</v>
      </c>
      <c r="CP219" s="72">
        <f t="shared" si="2009"/>
        <v>311</v>
      </c>
      <c r="CQ219" s="72">
        <f t="shared" si="2010"/>
        <v>363</v>
      </c>
      <c r="CR219" s="72">
        <f t="shared" si="2011"/>
        <v>400</v>
      </c>
      <c r="CS219" s="72">
        <f t="shared" si="2012"/>
        <v>411</v>
      </c>
      <c r="CT219" s="23">
        <f t="shared" si="2013"/>
        <v>5</v>
      </c>
    </row>
    <row r="220" spans="1:1030" x14ac:dyDescent="0.2">
      <c r="A220" s="3" t="str">
        <f t="shared" si="1986"/>
        <v>cnr1_human_6KQI</v>
      </c>
      <c r="B220" s="3" t="s">
        <v>182</v>
      </c>
      <c r="C220" s="3" t="s">
        <v>1587</v>
      </c>
      <c r="D220" s="3" t="str">
        <f>IFERROR(MID(VLOOKUP($B220,Seqs!$A:$B,2,0),E220,1),"")</f>
        <v>N</v>
      </c>
      <c r="E220" s="3">
        <v>112</v>
      </c>
      <c r="F220" s="3" t="str">
        <f>IFERROR(MID(VLOOKUP($B220,Seqs!$A:$B,2,0),G220,1),"")</f>
        <v>S</v>
      </c>
      <c r="G220" s="3">
        <v>144</v>
      </c>
      <c r="H220" s="3" t="str">
        <f>IFERROR(MID(VLOOKUP($B220,Seqs!$A:$B,2,0),I220,1),"")</f>
        <v>R</v>
      </c>
      <c r="I220" s="23">
        <v>145</v>
      </c>
      <c r="J220" s="3" t="str">
        <f>IFERROR(MID(VLOOKUP($B220,Seqs!$A:$B,2,0),K220,1),"")</f>
        <v>R</v>
      </c>
      <c r="K220" s="23">
        <v>148</v>
      </c>
      <c r="L220" s="3" t="str">
        <f>IFERROR(MID(VLOOKUP($B220,Seqs!$A:$B,2,0),M220,1),"")</f>
        <v>Y</v>
      </c>
      <c r="M220" s="3">
        <v>153</v>
      </c>
      <c r="N220" s="3" t="str">
        <f>IFERROR(MID(VLOOKUP($B220,Seqs!$A:$B,2,0),O220,1),"")</f>
        <v>V</v>
      </c>
      <c r="O220" s="3">
        <v>179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S</v>
      </c>
      <c r="U220" s="3">
        <v>185</v>
      </c>
      <c r="V220" s="3" t="str">
        <f>IFERROR(MID(VLOOKUP($B220,Seqs!$A:$B,2,0),W220,1),"")</f>
        <v>R</v>
      </c>
      <c r="W220" s="3">
        <v>220</v>
      </c>
      <c r="X220" s="3" t="str">
        <f>IFERROR(MID(VLOOKUP($B220,Seqs!$A:$B,2,0),Y220,1),"")</f>
        <v>P</v>
      </c>
      <c r="Y220" s="3">
        <v>221</v>
      </c>
      <c r="Z220" s="3" t="str">
        <f>IFERROR(MID(VLOOKUP($B220,Seqs!$A:$B,2,0),AA220,1),"")</f>
        <v>V</v>
      </c>
      <c r="AA220" s="3">
        <v>228</v>
      </c>
      <c r="AC220" s="3">
        <v>229</v>
      </c>
      <c r="AD220" s="3" t="str">
        <f>IFERROR(MID(VLOOKUP($B220,Seqs!$A:$B,2,0),AE220,1),"")</f>
        <v>L</v>
      </c>
      <c r="AE220" s="3">
        <v>253</v>
      </c>
      <c r="AF220" s="3" t="str">
        <f>IFERROR(MID(VLOOKUP($B220,Seqs!$A:$B,2,0),AG220,1),"")</f>
        <v/>
      </c>
      <c r="AG220" s="3" t="s">
        <v>23</v>
      </c>
      <c r="AH220" s="3" t="str">
        <f>IFERROR(MID(VLOOKUP($B220,Seqs!$A:$B,2,0),AI220,1),"")</f>
        <v/>
      </c>
      <c r="AI220" s="3" t="s">
        <v>23</v>
      </c>
      <c r="AJ220" s="3" t="str">
        <f>IFERROR(MID(VLOOKUP($B220,Seqs!$A:$B,2,0),AK220,1),"")</f>
        <v>D</v>
      </c>
      <c r="AK220" s="3">
        <v>272</v>
      </c>
      <c r="AL220" s="3" t="str">
        <f>IFERROR(MID(VLOOKUP($B220,Seqs!$A:$B,2,0),AM220,1),"")</f>
        <v>A</v>
      </c>
      <c r="AM220" s="3">
        <v>301</v>
      </c>
      <c r="AN220" s="3" t="str">
        <f>IFERROR(MID(VLOOKUP($B220,Seqs!$A:$B,2,0),AO220,1),"")</f>
        <v>D</v>
      </c>
      <c r="AO220" s="3">
        <v>333</v>
      </c>
      <c r="AP220" s="3" t="str">
        <f>IFERROR(MID(VLOOKUP($B220,Seqs!$A:$B,2,0),AQ220,1),"")</f>
        <v>F</v>
      </c>
      <c r="AQ220" s="3">
        <v>368</v>
      </c>
      <c r="AR220" s="3" t="str">
        <f>IFERROR(MID(VLOOKUP($B220,Seqs!$A:$B,2,0),AS220,1),"")</f>
        <v>N</v>
      </c>
      <c r="AS220" s="3">
        <v>372</v>
      </c>
      <c r="AT220" s="3" t="str">
        <f>IFERROR(MID(VLOOKUP($B220,Seqs!$A:$B,2,0),AU220,1),"")</f>
        <v>R</v>
      </c>
      <c r="AU220" s="3">
        <v>400</v>
      </c>
      <c r="AV220" s="3" t="str">
        <f>IFERROR(MID(VLOOKUP($B220,Seqs!$A:$B,2,0),AW220,1),"")</f>
        <v>S</v>
      </c>
      <c r="AW220" s="3">
        <v>401</v>
      </c>
      <c r="AX220" s="3" t="str">
        <f>IFERROR(MID(VLOOKUP($B220,Seqs!$A:$B,2,0),AY220,1),"")</f>
        <v>F</v>
      </c>
      <c r="AY220" s="3">
        <v>412</v>
      </c>
      <c r="AZ220" s="77" t="str">
        <f>VLOOKUP(B220,Classification!A:D,2,0)</f>
        <v>A</v>
      </c>
      <c r="BA220" s="94" t="str">
        <f>VLOOKUP(B220,Classification!A:D,4,0)</f>
        <v>Cannabinoid</v>
      </c>
      <c r="BB220" s="27" t="b">
        <f t="shared" si="1987"/>
        <v>1</v>
      </c>
      <c r="BC220" s="23">
        <f t="shared" si="1988"/>
        <v>242</v>
      </c>
      <c r="BD220" s="2" t="s">
        <v>23</v>
      </c>
      <c r="BE220" s="3" t="s">
        <v>1368</v>
      </c>
      <c r="BF220" s="118">
        <v>3.25</v>
      </c>
      <c r="BG220" s="49" t="s">
        <v>1</v>
      </c>
      <c r="BH220" s="49" t="s">
        <v>1</v>
      </c>
      <c r="BJ220" s="70" t="s">
        <v>1281</v>
      </c>
      <c r="BK220" s="57" t="s">
        <v>1281</v>
      </c>
      <c r="BL220" s="57" t="s">
        <v>1281</v>
      </c>
      <c r="BM220" s="57" t="s">
        <v>1281</v>
      </c>
      <c r="BN220" s="57" t="s">
        <v>1281</v>
      </c>
      <c r="BO220" s="57" t="s">
        <v>1281</v>
      </c>
      <c r="BP220" s="57" t="s">
        <v>1281</v>
      </c>
      <c r="BQ220" s="57" t="s">
        <v>1281</v>
      </c>
      <c r="BR220" s="57" t="s">
        <v>1281</v>
      </c>
      <c r="BS220" s="57" t="s">
        <v>1281</v>
      </c>
      <c r="BT220" s="57" t="s">
        <v>1281</v>
      </c>
      <c r="BU220" s="57" t="s">
        <v>1281</v>
      </c>
      <c r="BV220" s="70">
        <f t="shared" si="1989"/>
        <v>112</v>
      </c>
      <c r="BW220" s="71">
        <f t="shared" si="1990"/>
        <v>145</v>
      </c>
      <c r="BX220" s="72">
        <f t="shared" si="1991"/>
        <v>153</v>
      </c>
      <c r="BY220" s="71" t="str">
        <f t="shared" si="1992"/>
        <v>-</v>
      </c>
      <c r="BZ220" s="72">
        <f t="shared" si="1993"/>
        <v>185</v>
      </c>
      <c r="CA220" s="71">
        <f t="shared" si="1994"/>
        <v>221</v>
      </c>
      <c r="CB220" s="72">
        <f t="shared" si="1995"/>
        <v>229</v>
      </c>
      <c r="CC220" s="71" t="str">
        <f t="shared" si="1996"/>
        <v>-</v>
      </c>
      <c r="CD220" s="72">
        <f t="shared" si="1997"/>
        <v>272</v>
      </c>
      <c r="CE220" s="71">
        <f t="shared" si="1998"/>
        <v>333</v>
      </c>
      <c r="CF220" s="72">
        <f t="shared" si="1999"/>
        <v>372</v>
      </c>
      <c r="CG220" s="71">
        <f t="shared" si="2000"/>
        <v>401</v>
      </c>
      <c r="CH220" s="70">
        <f t="shared" si="2001"/>
        <v>144</v>
      </c>
      <c r="CI220" s="71">
        <f t="shared" si="2002"/>
        <v>148</v>
      </c>
      <c r="CJ220" s="72">
        <f t="shared" si="2003"/>
        <v>179</v>
      </c>
      <c r="CK220" s="72" t="str">
        <f t="shared" si="2004"/>
        <v>-</v>
      </c>
      <c r="CL220" s="72">
        <f t="shared" si="2005"/>
        <v>220</v>
      </c>
      <c r="CM220" s="72">
        <f t="shared" si="2006"/>
        <v>228</v>
      </c>
      <c r="CN220" s="72">
        <f t="shared" si="2007"/>
        <v>253</v>
      </c>
      <c r="CO220" s="72" t="str">
        <f t="shared" si="2008"/>
        <v>-</v>
      </c>
      <c r="CP220" s="72">
        <f t="shared" si="2009"/>
        <v>301</v>
      </c>
      <c r="CQ220" s="72">
        <f t="shared" si="2010"/>
        <v>368</v>
      </c>
      <c r="CR220" s="72">
        <f t="shared" si="2011"/>
        <v>400</v>
      </c>
      <c r="CS220" s="72">
        <f t="shared" si="2012"/>
        <v>412</v>
      </c>
      <c r="CT220" s="23">
        <f t="shared" si="2013"/>
        <v>5</v>
      </c>
    </row>
    <row r="221" spans="1:1030" x14ac:dyDescent="0.2">
      <c r="A221" s="3" t="str">
        <f t="shared" ref="A221" si="2014">CONCATENATE(B221,"_",C221)</f>
        <v>cnr1_human_6KPG</v>
      </c>
      <c r="B221" s="3" t="s">
        <v>182</v>
      </c>
      <c r="C221" s="3" t="s">
        <v>1660</v>
      </c>
      <c r="D221" s="3" t="str">
        <f>IFERROR(MID(VLOOKUP($B221,Seqs!$A:$B,2,0),E221,1),"")</f>
        <v>Q</v>
      </c>
      <c r="E221" s="3">
        <v>115</v>
      </c>
      <c r="F221" s="3" t="str">
        <f>IFERROR(MID(VLOOKUP($B221,Seqs!$A:$B,2,0),G221,1),"")</f>
        <v>S</v>
      </c>
      <c r="G221" s="3">
        <v>144</v>
      </c>
      <c r="H221" s="3" t="str">
        <f>IFERROR(MID(VLOOKUP($B221,Seqs!$A:$B,2,0),I221,1),"")</f>
        <v>R</v>
      </c>
      <c r="I221" s="23">
        <v>145</v>
      </c>
      <c r="J221" s="3" t="str">
        <f>IFERROR(MID(VLOOKUP($B221,Seqs!$A:$B,2,0),K221,1),"")</f>
        <v>R</v>
      </c>
      <c r="K221" s="23">
        <v>148</v>
      </c>
      <c r="L221" s="3" t="str">
        <f>IFERROR(MID(VLOOKUP($B221,Seqs!$A:$B,2,0),M221,1),"")</f>
        <v>R</v>
      </c>
      <c r="M221" s="3">
        <v>150</v>
      </c>
      <c r="N221" s="3" t="str">
        <f>IFERROR(MID(VLOOKUP($B221,Seqs!$A:$B,2,0),O221,1),"")</f>
        <v>H</v>
      </c>
      <c r="O221" s="3">
        <v>178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F</v>
      </c>
      <c r="U221" s="3">
        <v>189</v>
      </c>
      <c r="V221" s="3" t="str">
        <f>IFERROR(MID(VLOOKUP($B221,Seqs!$A:$B,2,0),W221,1),"")</f>
        <v>R</v>
      </c>
      <c r="W221" s="3">
        <v>220</v>
      </c>
      <c r="X221" s="3" t="str">
        <f>IFERROR(MID(VLOOKUP($B221,Seqs!$A:$B,2,0),Y221,1),"")</f>
        <v>P</v>
      </c>
      <c r="Y221" s="3">
        <v>221</v>
      </c>
      <c r="Z221" s="3" t="str">
        <f>IFERROR(MID(VLOOKUP($B221,Seqs!$A:$B,2,0),AA221,1),"")</f>
        <v>V</v>
      </c>
      <c r="AA221" s="3">
        <v>228</v>
      </c>
      <c r="AC221" s="3">
        <v>229</v>
      </c>
      <c r="AD221" s="3" t="str">
        <f>IFERROR(MID(VLOOKUP($B221,Seqs!$A:$B,2,0),AE221,1),"")</f>
        <v>L</v>
      </c>
      <c r="AE221" s="3">
        <v>253</v>
      </c>
      <c r="AF221" s="3" t="str">
        <f>IFERROR(MID(VLOOKUP($B221,Seqs!$A:$B,2,0),AG221,1),"")</f>
        <v/>
      </c>
      <c r="AG221" s="3" t="s">
        <v>23</v>
      </c>
      <c r="AH221" s="3" t="str">
        <f>IFERROR(MID(VLOOKUP($B221,Seqs!$A:$B,2,0),AI221,1),"")</f>
        <v/>
      </c>
      <c r="AI221" s="3" t="s">
        <v>23</v>
      </c>
      <c r="AJ221" s="3" t="str">
        <f>IFERROR(MID(VLOOKUP($B221,Seqs!$A:$B,2,0),AK221,1),"")</f>
        <v>Y</v>
      </c>
      <c r="AK221" s="3">
        <v>275</v>
      </c>
      <c r="AL221" s="3" t="str">
        <f>IFERROR(MID(VLOOKUP($B221,Seqs!$A:$B,2,0),AM221,1),"")</f>
        <v>G</v>
      </c>
      <c r="AM221" s="3">
        <v>312</v>
      </c>
      <c r="AN221" s="3" t="str">
        <f>IFERROR(MID(VLOOKUP($B221,Seqs!$A:$B,2,0),AO221,1),"")</f>
        <v>M</v>
      </c>
      <c r="AO221" s="3">
        <v>337</v>
      </c>
      <c r="AP221" s="3" t="str">
        <f>IFERROR(MID(VLOOKUP($B221,Seqs!$A:$B,2,0),AQ221,1),"")</f>
        <v>Y</v>
      </c>
      <c r="AQ221" s="3">
        <v>365</v>
      </c>
      <c r="AR221" s="3" t="str">
        <f>IFERROR(MID(VLOOKUP($B221,Seqs!$A:$B,2,0),AS221,1),"")</f>
        <v>N</v>
      </c>
      <c r="AS221" s="3">
        <v>372</v>
      </c>
      <c r="AT221" s="3" t="str">
        <f>IFERROR(MID(VLOOKUP($B221,Seqs!$A:$B,2,0),AU221,1),"")</f>
        <v>R</v>
      </c>
      <c r="AU221" s="3">
        <v>400</v>
      </c>
      <c r="AV221" s="3" t="str">
        <f>IFERROR(MID(VLOOKUP($B221,Seqs!$A:$B,2,0),AW221,1),"")</f>
        <v>S</v>
      </c>
      <c r="AW221" s="3">
        <v>401</v>
      </c>
      <c r="AX221" s="3" t="str">
        <f>IFERROR(MID(VLOOKUP($B221,Seqs!$A:$B,2,0),AY221,1),"")</f>
        <v>M</v>
      </c>
      <c r="AY221" s="3">
        <v>411</v>
      </c>
      <c r="AZ221" s="77" t="str">
        <f>VLOOKUP(B221,Classification!A:D,2,0)</f>
        <v>A</v>
      </c>
      <c r="BA221" s="94" t="str">
        <f>VLOOKUP(B221,Classification!A:D,4,0)</f>
        <v>Cannabinoid</v>
      </c>
      <c r="BB221" s="27" t="b">
        <f t="shared" ref="BB221" si="2015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 t="shared" ref="BC221" si="2016">_xlfn.AGGREGATE(9,6,CH221:CS221)-_xlfn.AGGREGATE(9,6,BV221:CG221)+12</f>
        <v>237</v>
      </c>
      <c r="BD221" s="2" t="s">
        <v>23</v>
      </c>
      <c r="BE221" s="3" t="s">
        <v>1285</v>
      </c>
      <c r="BF221" s="118">
        <v>3</v>
      </c>
      <c r="BG221" s="49" t="s">
        <v>1416</v>
      </c>
      <c r="BH221" s="49" t="s">
        <v>1416</v>
      </c>
      <c r="BJ221" s="70" t="s">
        <v>1281</v>
      </c>
      <c r="BK221" s="57" t="s">
        <v>1281</v>
      </c>
      <c r="BL221" s="57" t="s">
        <v>1281</v>
      </c>
      <c r="BM221" s="57" t="s">
        <v>1281</v>
      </c>
      <c r="BN221" s="57" t="s">
        <v>1281</v>
      </c>
      <c r="BO221" s="57" t="s">
        <v>1281</v>
      </c>
      <c r="BP221" s="57" t="s">
        <v>1281</v>
      </c>
      <c r="BQ221" s="57" t="s">
        <v>1281</v>
      </c>
      <c r="BR221" s="57" t="s">
        <v>1281</v>
      </c>
      <c r="BS221" s="57" t="s">
        <v>1281</v>
      </c>
      <c r="BT221" s="57" t="s">
        <v>1281</v>
      </c>
      <c r="BU221" s="57" t="s">
        <v>1281</v>
      </c>
      <c r="BV221" s="70">
        <f t="shared" ref="BV221" si="2017">E221</f>
        <v>115</v>
      </c>
      <c r="BW221" s="71">
        <f t="shared" ref="BW221" si="2018">I221</f>
        <v>145</v>
      </c>
      <c r="BX221" s="72">
        <f t="shared" ref="BX221" si="2019">M221</f>
        <v>150</v>
      </c>
      <c r="BY221" s="71" t="str">
        <f t="shared" ref="BY221" si="2020">Q221</f>
        <v>-</v>
      </c>
      <c r="BZ221" s="72">
        <f t="shared" ref="BZ221" si="2021">U221</f>
        <v>189</v>
      </c>
      <c r="CA221" s="71">
        <f t="shared" ref="CA221" si="2022">Y221</f>
        <v>221</v>
      </c>
      <c r="CB221" s="72">
        <f t="shared" ref="CB221" si="2023">AC221</f>
        <v>229</v>
      </c>
      <c r="CC221" s="71" t="str">
        <f t="shared" ref="CC221" si="2024">AG221</f>
        <v>-</v>
      </c>
      <c r="CD221" s="72">
        <f t="shared" ref="CD221" si="2025">AK221</f>
        <v>275</v>
      </c>
      <c r="CE221" s="71">
        <f t="shared" ref="CE221" si="2026">AO221</f>
        <v>337</v>
      </c>
      <c r="CF221" s="72">
        <f t="shared" ref="CF221" si="2027">AS221</f>
        <v>372</v>
      </c>
      <c r="CG221" s="71">
        <f t="shared" ref="CG221" si="2028">AW221</f>
        <v>401</v>
      </c>
      <c r="CH221" s="70">
        <f t="shared" ref="CH221" si="2029">G221</f>
        <v>144</v>
      </c>
      <c r="CI221" s="71">
        <f t="shared" ref="CI221" si="2030">K221</f>
        <v>148</v>
      </c>
      <c r="CJ221" s="72">
        <f t="shared" ref="CJ221" si="2031">O221</f>
        <v>178</v>
      </c>
      <c r="CK221" s="72" t="str">
        <f t="shared" ref="CK221" si="2032">S221</f>
        <v>-</v>
      </c>
      <c r="CL221" s="72">
        <f t="shared" ref="CL221" si="2033">W221</f>
        <v>220</v>
      </c>
      <c r="CM221" s="72">
        <f t="shared" ref="CM221" si="2034">AA221</f>
        <v>228</v>
      </c>
      <c r="CN221" s="72">
        <f t="shared" ref="CN221" si="2035">AE221</f>
        <v>253</v>
      </c>
      <c r="CO221" s="72" t="str">
        <f t="shared" ref="CO221" si="2036">AI221</f>
        <v>-</v>
      </c>
      <c r="CP221" s="72">
        <f t="shared" ref="CP221" si="2037">AM221</f>
        <v>312</v>
      </c>
      <c r="CQ221" s="72">
        <f t="shared" ref="CQ221" si="2038">AQ221</f>
        <v>365</v>
      </c>
      <c r="CR221" s="72">
        <f t="shared" ref="CR221" si="2039">AU221</f>
        <v>400</v>
      </c>
      <c r="CS221" s="72">
        <f t="shared" ref="CS221" si="2040">AY221</f>
        <v>411</v>
      </c>
      <c r="CT221" s="23">
        <f t="shared" ref="CT221" si="2041">M221-K221</f>
        <v>2</v>
      </c>
    </row>
    <row r="222" spans="1:1030" x14ac:dyDescent="0.2">
      <c r="A222" s="3" t="str">
        <f t="shared" si="1986"/>
        <v>cnr2_human__wt</v>
      </c>
      <c r="B222" s="3" t="s">
        <v>183</v>
      </c>
      <c r="C222" s="3" t="s">
        <v>100</v>
      </c>
      <c r="D222" s="3" t="str">
        <f>IFERROR(MID(VLOOKUP($B222,Seqs!$A:$B,2,0),E222,1),"")</f>
        <v>S</v>
      </c>
      <c r="E222" s="3">
        <v>29</v>
      </c>
      <c r="F222" s="3" t="str">
        <f>IFERROR(MID(VLOOKUP($B222,Seqs!$A:$B,2,0),G222,1),"")</f>
        <v>S</v>
      </c>
      <c r="G222" s="3">
        <v>61</v>
      </c>
      <c r="H222" s="3" t="str">
        <f>IFERROR(MID(VLOOKUP($B222,Seqs!$A:$B,2,0),I222,1),"")</f>
        <v>H</v>
      </c>
      <c r="I222" s="23">
        <v>62</v>
      </c>
      <c r="J222" s="3" t="str">
        <f>IFERROR(MID(VLOOKUP($B222,Seqs!$A:$B,2,0),K222,1),"")</f>
        <v>R</v>
      </c>
      <c r="K222" s="23">
        <v>65</v>
      </c>
      <c r="L222" s="3" t="str">
        <f>IFERROR(MID(VLOOKUP($B222,Seqs!$A:$B,2,0),M222,1),"")</f>
        <v>K</v>
      </c>
      <c r="M222" s="3">
        <v>67</v>
      </c>
      <c r="N222" s="3" t="str">
        <f>IFERROR(MID(VLOOKUP($B222,Seqs!$A:$B,2,0),O222,1),"")</f>
        <v>V</v>
      </c>
      <c r="O222" s="3">
        <v>96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S</v>
      </c>
      <c r="U222" s="3">
        <v>102</v>
      </c>
      <c r="V222" s="3" t="str">
        <f>IFERROR(MID(VLOOKUP($B222,Seqs!$A:$B,2,0),W222,1),"")</f>
        <v>Y</v>
      </c>
      <c r="W222" s="3">
        <v>137</v>
      </c>
      <c r="X222" s="3" t="str">
        <f>IFERROR(MID(VLOOKUP($B222,Seqs!$A:$B,2,0),Y222,1),"")</f>
        <v>P</v>
      </c>
      <c r="Y222" s="3">
        <v>138</v>
      </c>
      <c r="Z222" s="3" t="str">
        <f>IFERROR(MID(VLOOKUP($B222,Seqs!$A:$B,2,0),AA222,1),"")</f>
        <v>L</v>
      </c>
      <c r="AA222" s="3">
        <v>145</v>
      </c>
      <c r="AB222" s="3" t="str">
        <f>IFERROR(MID(VLOOKUP($B222,Seqs!$A:$B,2,0),AC222,1),"")</f>
        <v>T</v>
      </c>
      <c r="AC222" s="3">
        <v>146</v>
      </c>
      <c r="AD222" s="3" t="str">
        <f>IFERROR(MID(VLOOKUP($B222,Seqs!$A:$B,2,0),AE222,1),"")</f>
        <v>G</v>
      </c>
      <c r="AE222" s="3">
        <v>171</v>
      </c>
      <c r="AF222" s="3" t="str">
        <f>IFERROR(MID(VLOOKUP($B222,Seqs!$A:$B,2,0),AG222,1),"")</f>
        <v/>
      </c>
      <c r="AG222" s="3" t="s">
        <v>23</v>
      </c>
      <c r="AH222" s="3" t="str">
        <f>IFERROR(MID(VLOOKUP($B222,Seqs!$A:$B,2,0),AI222,1),"")</f>
        <v/>
      </c>
      <c r="AI222" s="3" t="s">
        <v>23</v>
      </c>
      <c r="AJ222" s="3" t="str">
        <f>IFERROR(MID(VLOOKUP($B222,Seqs!$A:$B,2,0),AK222,1),"")</f>
        <v>P</v>
      </c>
      <c r="AK222" s="3">
        <v>187</v>
      </c>
      <c r="AL222" s="3" t="str">
        <f>IFERROR(MID(VLOOKUP($B222,Seqs!$A:$B,2,0),AM222,1),"")</f>
        <v>G</v>
      </c>
      <c r="AM222" s="3">
        <v>225</v>
      </c>
      <c r="AN222" s="3" t="str">
        <f>IFERROR(MID(VLOOKUP($B222,Seqs!$A:$B,2,0),AO222,1),"")</f>
        <v>R</v>
      </c>
      <c r="AO222" s="3">
        <v>238</v>
      </c>
      <c r="AP222" s="3" t="str">
        <f>IFERROR(MID(VLOOKUP($B222,Seqs!$A:$B,2,0),AQ222,1),"")</f>
        <v>T</v>
      </c>
      <c r="AQ222" s="3">
        <v>271</v>
      </c>
      <c r="AR222" s="3" t="str">
        <f>IFERROR(MID(VLOOKUP($B222,Seqs!$A:$B,2,0),AS222,1),"")</f>
        <v>S</v>
      </c>
      <c r="AS222" s="3">
        <v>274</v>
      </c>
      <c r="AT222" s="3" t="str">
        <f>IFERROR(MID(VLOOKUP($B222,Seqs!$A:$B,2,0),AU222,1),"")</f>
        <v>R</v>
      </c>
      <c r="AU222" s="3">
        <v>302</v>
      </c>
      <c r="AV222" s="3" t="str">
        <f>IFERROR(MID(VLOOKUP($B222,Seqs!$A:$B,2,0),AW222,1),"")</f>
        <v>S</v>
      </c>
      <c r="AW222" s="3">
        <v>303</v>
      </c>
      <c r="AX222" s="3" t="str">
        <f>IFERROR(MID(VLOOKUP($B222,Seqs!$A:$B,2,0),AY222,1),"")</f>
        <v>K</v>
      </c>
      <c r="AY222" s="3">
        <v>319</v>
      </c>
      <c r="AZ222" s="77" t="str">
        <f>VLOOKUP(B222,Classification!A:D,2,0)</f>
        <v>A</v>
      </c>
      <c r="BA222" s="94" t="str">
        <f>VLOOKUP(B222,Classification!A:D,4,0)</f>
        <v>Cannabinoid</v>
      </c>
      <c r="BB222" s="27" t="b">
        <f t="shared" si="1987"/>
        <v>1</v>
      </c>
      <c r="BC222" s="23">
        <f t="shared" si="1988"/>
        <v>258</v>
      </c>
      <c r="BD222" s="2" t="s">
        <v>23</v>
      </c>
      <c r="BE222" s="3" t="s">
        <v>23</v>
      </c>
      <c r="BF222" s="118" t="s">
        <v>23</v>
      </c>
      <c r="BG222" s="49" t="s">
        <v>23</v>
      </c>
      <c r="BH222" s="49" t="s">
        <v>23</v>
      </c>
      <c r="BJ222" s="70" t="s">
        <v>1281</v>
      </c>
      <c r="BK222" s="57" t="s">
        <v>1281</v>
      </c>
      <c r="BL222" s="57" t="s">
        <v>1281</v>
      </c>
      <c r="BM222" s="57" t="s">
        <v>1281</v>
      </c>
      <c r="BN222" s="57" t="s">
        <v>1281</v>
      </c>
      <c r="BO222" s="57" t="s">
        <v>1281</v>
      </c>
      <c r="BP222" s="57" t="s">
        <v>1281</v>
      </c>
      <c r="BQ222" s="57" t="s">
        <v>1281</v>
      </c>
      <c r="BR222" s="57" t="s">
        <v>1281</v>
      </c>
      <c r="BS222" s="57" t="s">
        <v>1281</v>
      </c>
      <c r="BT222" s="57" t="s">
        <v>1281</v>
      </c>
      <c r="BU222" s="57" t="s">
        <v>1281</v>
      </c>
      <c r="BV222" s="70">
        <f t="shared" si="1989"/>
        <v>29</v>
      </c>
      <c r="BW222" s="71">
        <f t="shared" si="1990"/>
        <v>62</v>
      </c>
      <c r="BX222" s="72">
        <f t="shared" si="1991"/>
        <v>67</v>
      </c>
      <c r="BY222" s="71" t="str">
        <f t="shared" si="1992"/>
        <v>-</v>
      </c>
      <c r="BZ222" s="72">
        <f t="shared" si="1993"/>
        <v>102</v>
      </c>
      <c r="CA222" s="71">
        <f t="shared" si="1994"/>
        <v>138</v>
      </c>
      <c r="CB222" s="72">
        <f t="shared" si="1995"/>
        <v>146</v>
      </c>
      <c r="CC222" s="71" t="str">
        <f t="shared" si="1996"/>
        <v>-</v>
      </c>
      <c r="CD222" s="72">
        <f t="shared" si="1997"/>
        <v>187</v>
      </c>
      <c r="CE222" s="71">
        <f t="shared" si="1998"/>
        <v>238</v>
      </c>
      <c r="CF222" s="72">
        <f t="shared" si="1999"/>
        <v>274</v>
      </c>
      <c r="CG222" s="71">
        <f t="shared" si="2000"/>
        <v>303</v>
      </c>
      <c r="CH222" s="70">
        <f t="shared" si="2001"/>
        <v>61</v>
      </c>
      <c r="CI222" s="71">
        <f t="shared" si="2002"/>
        <v>65</v>
      </c>
      <c r="CJ222" s="72">
        <f t="shared" si="2003"/>
        <v>96</v>
      </c>
      <c r="CK222" s="72" t="str">
        <f t="shared" si="2004"/>
        <v>-</v>
      </c>
      <c r="CL222" s="72">
        <f t="shared" si="2005"/>
        <v>137</v>
      </c>
      <c r="CM222" s="72">
        <f t="shared" si="2006"/>
        <v>145</v>
      </c>
      <c r="CN222" s="72">
        <f t="shared" si="2007"/>
        <v>171</v>
      </c>
      <c r="CO222" s="72" t="str">
        <f t="shared" si="2008"/>
        <v>-</v>
      </c>
      <c r="CP222" s="72">
        <f t="shared" si="2009"/>
        <v>225</v>
      </c>
      <c r="CQ222" s="72">
        <f t="shared" si="2010"/>
        <v>271</v>
      </c>
      <c r="CR222" s="72">
        <f t="shared" si="2011"/>
        <v>302</v>
      </c>
      <c r="CS222" s="72">
        <f t="shared" si="2012"/>
        <v>319</v>
      </c>
      <c r="CT222" s="23">
        <f t="shared" si="2013"/>
        <v>2</v>
      </c>
    </row>
    <row r="223" spans="1:1030" x14ac:dyDescent="0.2">
      <c r="A223" s="3" t="str">
        <f t="shared" si="1986"/>
        <v>cnr2_human_5ZTY</v>
      </c>
      <c r="B223" s="3" t="s">
        <v>183</v>
      </c>
      <c r="C223" s="3" t="s">
        <v>1551</v>
      </c>
      <c r="D223" s="3" t="str">
        <f>IFERROR(MID(VLOOKUP($B223,Seqs!$A:$B,2,0),E223,1),"")</f>
        <v>S</v>
      </c>
      <c r="E223" s="3">
        <v>29</v>
      </c>
      <c r="F223" s="3" t="str">
        <f>IFERROR(MID(VLOOKUP($B223,Seqs!$A:$B,2,0),G223,1),"")</f>
        <v>S</v>
      </c>
      <c r="G223" s="3">
        <v>61</v>
      </c>
      <c r="H223" s="3" t="str">
        <f>IFERROR(MID(VLOOKUP($B223,Seqs!$A:$B,2,0),I223,1),"")</f>
        <v>H</v>
      </c>
      <c r="I223" s="23">
        <v>62</v>
      </c>
      <c r="J223" s="3" t="str">
        <f>IFERROR(MID(VLOOKUP($B223,Seqs!$A:$B,2,0),K223,1),"")</f>
        <v>R</v>
      </c>
      <c r="K223" s="23">
        <v>65</v>
      </c>
      <c r="L223" s="3" t="str">
        <f>IFERROR(MID(VLOOKUP($B223,Seqs!$A:$B,2,0),M223,1),"")</f>
        <v>K</v>
      </c>
      <c r="M223" s="3">
        <v>67</v>
      </c>
      <c r="N223" s="3" t="str">
        <f>IFERROR(MID(VLOOKUP($B223,Seqs!$A:$B,2,0),O223,1),"")</f>
        <v>V</v>
      </c>
      <c r="O223" s="3">
        <v>96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S</v>
      </c>
      <c r="U223" s="3">
        <v>102</v>
      </c>
      <c r="V223" s="3" t="str">
        <f>IFERROR(MID(VLOOKUP($B223,Seqs!$A:$B,2,0),W223,1),"")</f>
        <v>Y</v>
      </c>
      <c r="W223" s="3">
        <v>137</v>
      </c>
      <c r="X223" s="3" t="str">
        <f>IFERROR(MID(VLOOKUP($B223,Seqs!$A:$B,2,0),Y223,1),"")</f>
        <v>P</v>
      </c>
      <c r="Y223" s="3">
        <v>138</v>
      </c>
      <c r="Z223" s="3" t="str">
        <f>IFERROR(MID(VLOOKUP($B223,Seqs!$A:$B,2,0),AA223,1),"")</f>
        <v>L</v>
      </c>
      <c r="AA223" s="3">
        <v>145</v>
      </c>
      <c r="AB223" s="3" t="str">
        <f>IFERROR(MID(VLOOKUP($B223,Seqs!$A:$B,2,0),AC223,1),"")</f>
        <v>T</v>
      </c>
      <c r="AC223" s="3">
        <v>146</v>
      </c>
      <c r="AD223" s="3" t="str">
        <f>IFERROR(MID(VLOOKUP($B223,Seqs!$A:$B,2,0),AE223,1),"")</f>
        <v>G</v>
      </c>
      <c r="AE223" s="3">
        <v>171</v>
      </c>
      <c r="AF223" s="3" t="str">
        <f>IFERROR(MID(VLOOKUP($B223,Seqs!$A:$B,2,0),AG223,1),"")</f>
        <v/>
      </c>
      <c r="AG223" s="3" t="s">
        <v>23</v>
      </c>
      <c r="AH223" s="3" t="str">
        <f>IFERROR(MID(VLOOKUP($B223,Seqs!$A:$B,2,0),AI223,1),"")</f>
        <v/>
      </c>
      <c r="AI223" s="3" t="s">
        <v>23</v>
      </c>
      <c r="AJ223" s="3" t="str">
        <f>IFERROR(MID(VLOOKUP($B223,Seqs!$A:$B,2,0),AK223,1),"")</f>
        <v>P</v>
      </c>
      <c r="AK223" s="3">
        <v>187</v>
      </c>
      <c r="AL223" s="3" t="str">
        <f>IFERROR(MID(VLOOKUP($B223,Seqs!$A:$B,2,0),AM223,1),"")</f>
        <v>V</v>
      </c>
      <c r="AM223" s="3">
        <v>220</v>
      </c>
      <c r="AN223" s="3" t="str">
        <f>IFERROR(MID(VLOOKUP($B223,Seqs!$A:$B,2,0),AO223,1),"")</f>
        <v>M</v>
      </c>
      <c r="AO223" s="3">
        <v>237</v>
      </c>
      <c r="AP223" s="3" t="str">
        <f>IFERROR(MID(VLOOKUP($B223,Seqs!$A:$B,2,0),AQ223,1),"")</f>
        <v>T</v>
      </c>
      <c r="AQ223" s="3">
        <v>271</v>
      </c>
      <c r="AR223" s="3" t="str">
        <f>IFERROR(MID(VLOOKUP($B223,Seqs!$A:$B,2,0),AS223,1),"")</f>
        <v>S</v>
      </c>
      <c r="AS223" s="3">
        <v>274</v>
      </c>
      <c r="AT223" s="3" t="str">
        <f>IFERROR(MID(VLOOKUP($B223,Seqs!$A:$B,2,0),AU223,1),"")</f>
        <v>R</v>
      </c>
      <c r="AU223" s="3">
        <v>302</v>
      </c>
      <c r="AV223" s="3" t="str">
        <f>IFERROR(MID(VLOOKUP($B223,Seqs!$A:$B,2,0),AW223,1),"")</f>
        <v>S</v>
      </c>
      <c r="AW223" s="3">
        <v>303</v>
      </c>
      <c r="AX223" s="3" t="str">
        <f>IFERROR(MID(VLOOKUP($B223,Seqs!$A:$B,2,0),AY223,1),"")</f>
        <v>K</v>
      </c>
      <c r="AY223" s="3">
        <v>319</v>
      </c>
      <c r="AZ223" s="77" t="str">
        <f>VLOOKUP(B223,Classification!A:D,2,0)</f>
        <v>A</v>
      </c>
      <c r="BA223" s="94" t="str">
        <f>VLOOKUP(B223,Classification!A:D,4,0)</f>
        <v>Cannabinoid</v>
      </c>
      <c r="BB223" s="27" t="b">
        <f t="shared" si="1987"/>
        <v>1</v>
      </c>
      <c r="BC223" s="23">
        <f t="shared" si="1988"/>
        <v>254</v>
      </c>
      <c r="BD223" s="2" t="s">
        <v>1370</v>
      </c>
      <c r="BE223" s="3" t="s">
        <v>1368</v>
      </c>
      <c r="BF223" s="118">
        <v>2.8</v>
      </c>
      <c r="BG223" s="49" t="s">
        <v>1</v>
      </c>
      <c r="BH223" s="49" t="s">
        <v>1</v>
      </c>
      <c r="BJ223" s="70" t="s">
        <v>1281</v>
      </c>
      <c r="BK223" s="57" t="s">
        <v>1281</v>
      </c>
      <c r="BL223" s="57" t="s">
        <v>1281</v>
      </c>
      <c r="BM223" s="57" t="s">
        <v>1281</v>
      </c>
      <c r="BN223" s="57" t="s">
        <v>1281</v>
      </c>
      <c r="BO223" s="57" t="s">
        <v>1281</v>
      </c>
      <c r="BP223" s="57" t="s">
        <v>1281</v>
      </c>
      <c r="BQ223" s="57" t="s">
        <v>1281</v>
      </c>
      <c r="BR223" s="57" t="s">
        <v>1281</v>
      </c>
      <c r="BS223" s="57" t="s">
        <v>1281</v>
      </c>
      <c r="BT223" s="57" t="s">
        <v>1281</v>
      </c>
      <c r="BU223" s="57" t="s">
        <v>1281</v>
      </c>
      <c r="BV223" s="70">
        <f t="shared" si="1989"/>
        <v>29</v>
      </c>
      <c r="BW223" s="71">
        <f t="shared" si="1990"/>
        <v>62</v>
      </c>
      <c r="BX223" s="72">
        <f t="shared" si="1991"/>
        <v>67</v>
      </c>
      <c r="BY223" s="71" t="str">
        <f t="shared" si="1992"/>
        <v>-</v>
      </c>
      <c r="BZ223" s="72">
        <f t="shared" si="1993"/>
        <v>102</v>
      </c>
      <c r="CA223" s="71">
        <f t="shared" si="1994"/>
        <v>138</v>
      </c>
      <c r="CB223" s="72">
        <f t="shared" si="1995"/>
        <v>146</v>
      </c>
      <c r="CC223" s="71" t="str">
        <f t="shared" si="1996"/>
        <v>-</v>
      </c>
      <c r="CD223" s="72">
        <f t="shared" si="1997"/>
        <v>187</v>
      </c>
      <c r="CE223" s="71">
        <f t="shared" si="1998"/>
        <v>237</v>
      </c>
      <c r="CF223" s="72">
        <f t="shared" si="1999"/>
        <v>274</v>
      </c>
      <c r="CG223" s="71">
        <f t="shared" si="2000"/>
        <v>303</v>
      </c>
      <c r="CH223" s="70">
        <f t="shared" si="2001"/>
        <v>61</v>
      </c>
      <c r="CI223" s="71">
        <f t="shared" si="2002"/>
        <v>65</v>
      </c>
      <c r="CJ223" s="72">
        <f t="shared" si="2003"/>
        <v>96</v>
      </c>
      <c r="CK223" s="72" t="str">
        <f t="shared" si="2004"/>
        <v>-</v>
      </c>
      <c r="CL223" s="72">
        <f t="shared" si="2005"/>
        <v>137</v>
      </c>
      <c r="CM223" s="72">
        <f t="shared" si="2006"/>
        <v>145</v>
      </c>
      <c r="CN223" s="72">
        <f t="shared" si="2007"/>
        <v>171</v>
      </c>
      <c r="CO223" s="72" t="str">
        <f t="shared" si="2008"/>
        <v>-</v>
      </c>
      <c r="CP223" s="72">
        <f t="shared" si="2009"/>
        <v>220</v>
      </c>
      <c r="CQ223" s="72">
        <f t="shared" si="2010"/>
        <v>271</v>
      </c>
      <c r="CR223" s="72">
        <f t="shared" si="2011"/>
        <v>302</v>
      </c>
      <c r="CS223" s="72">
        <f t="shared" si="2012"/>
        <v>319</v>
      </c>
      <c r="CT223" s="23">
        <f t="shared" si="2013"/>
        <v>2</v>
      </c>
    </row>
    <row r="224" spans="1:1030" x14ac:dyDescent="0.2">
      <c r="A224" s="3" t="str">
        <f t="shared" ref="A224" si="2042">CONCATENATE(B224,"_",C224)</f>
        <v>cnr2_human_6KPC</v>
      </c>
      <c r="B224" s="3" t="s">
        <v>183</v>
      </c>
      <c r="C224" s="3" t="s">
        <v>1643</v>
      </c>
      <c r="D224" s="3" t="str">
        <f>IFERROR(MID(VLOOKUP($B224,Seqs!$A:$B,2,0),E224,1),"")</f>
        <v>S</v>
      </c>
      <c r="E224" s="3">
        <v>29</v>
      </c>
      <c r="F224" s="3" t="str">
        <f>IFERROR(MID(VLOOKUP($B224,Seqs!$A:$B,2,0),G224,1),"")</f>
        <v>S</v>
      </c>
      <c r="G224" s="3">
        <v>61</v>
      </c>
      <c r="H224" s="3" t="str">
        <f>IFERROR(MID(VLOOKUP($B224,Seqs!$A:$B,2,0),I224,1),"")</f>
        <v>H</v>
      </c>
      <c r="I224" s="23">
        <v>62</v>
      </c>
      <c r="J224" s="3" t="str">
        <f>IFERROR(MID(VLOOKUP($B224,Seqs!$A:$B,2,0),K224,1),"")</f>
        <v>R</v>
      </c>
      <c r="K224" s="23">
        <v>65</v>
      </c>
      <c r="L224" s="3" t="str">
        <f>IFERROR(MID(VLOOKUP($B224,Seqs!$A:$B,2,0),M224,1),"")</f>
        <v>P</v>
      </c>
      <c r="M224" s="3">
        <v>68</v>
      </c>
      <c r="N224" s="3" t="str">
        <f>IFERROR(MID(VLOOKUP($B224,Seqs!$A:$B,2,0),O224,1),"")</f>
        <v>H</v>
      </c>
      <c r="O224" s="3">
        <v>95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S</v>
      </c>
      <c r="U224" s="3">
        <v>102</v>
      </c>
      <c r="V224" s="3" t="str">
        <f>IFERROR(MID(VLOOKUP($B224,Seqs!$A:$B,2,0),W224,1),"")</f>
        <v>Y</v>
      </c>
      <c r="W224" s="3">
        <v>137</v>
      </c>
      <c r="X224" s="3" t="str">
        <f>IFERROR(MID(VLOOKUP($B224,Seqs!$A:$B,2,0),Y224,1),"")</f>
        <v>P</v>
      </c>
      <c r="Y224" s="3">
        <v>138</v>
      </c>
      <c r="Z224" s="3" t="str">
        <f>IFERROR(MID(VLOOKUP($B224,Seqs!$A:$B,2,0),AA224,1),"")</f>
        <v>L</v>
      </c>
      <c r="AA224" s="3">
        <v>145</v>
      </c>
      <c r="AB224" s="3" t="str">
        <f>IFERROR(MID(VLOOKUP($B224,Seqs!$A:$B,2,0),AC224,1),"")</f>
        <v>T</v>
      </c>
      <c r="AC224" s="3">
        <v>146</v>
      </c>
      <c r="AD224" s="3" t="str">
        <f>IFERROR(MID(VLOOKUP($B224,Seqs!$A:$B,2,0),AE224,1),"")</f>
        <v>M</v>
      </c>
      <c r="AE224" s="3">
        <v>170</v>
      </c>
      <c r="AF224" s="3" t="str">
        <f>IFERROR(MID(VLOOKUP($B224,Seqs!$A:$B,2,0),AG224,1),"")</f>
        <v/>
      </c>
      <c r="AG224" s="3" t="s">
        <v>23</v>
      </c>
      <c r="AH224" s="3" t="str">
        <f>IFERROR(MID(VLOOKUP($B224,Seqs!$A:$B,2,0),AI224,1),"")</f>
        <v/>
      </c>
      <c r="AI224" s="3" t="s">
        <v>23</v>
      </c>
      <c r="AJ224" s="3" t="str">
        <f>IFERROR(MID(VLOOKUP($B224,Seqs!$A:$B,2,0),AK224,1),"")</f>
        <v>P</v>
      </c>
      <c r="AK224" s="3">
        <v>187</v>
      </c>
      <c r="AL224" s="3" t="str">
        <f>IFERROR(MID(VLOOKUP($B224,Seqs!$A:$B,2,0),AM224,1),"")</f>
        <v>V</v>
      </c>
      <c r="AM224" s="3">
        <v>220</v>
      </c>
      <c r="AN224" s="3" t="str">
        <f>IFERROR(MID(VLOOKUP($B224,Seqs!$A:$B,2,0),AO224,1),"")</f>
        <v>M</v>
      </c>
      <c r="AO224" s="3">
        <v>237</v>
      </c>
      <c r="AP224" s="3" t="str">
        <f>IFERROR(MID(VLOOKUP($B224,Seqs!$A:$B,2,0),AQ224,1),"")</f>
        <v>T</v>
      </c>
      <c r="AQ224" s="3">
        <v>271</v>
      </c>
      <c r="AR224" s="3" t="str">
        <f>IFERROR(MID(VLOOKUP($B224,Seqs!$A:$B,2,0),AS224,1),"")</f>
        <v>S</v>
      </c>
      <c r="AS224" s="3">
        <v>274</v>
      </c>
      <c r="AT224" s="3" t="str">
        <f>IFERROR(MID(VLOOKUP($B224,Seqs!$A:$B,2,0),AU224,1),"")</f>
        <v>R</v>
      </c>
      <c r="AU224" s="3">
        <v>302</v>
      </c>
      <c r="AV224" s="3" t="str">
        <f>IFERROR(MID(VLOOKUP($B224,Seqs!$A:$B,2,0),AW224,1),"")</f>
        <v>S</v>
      </c>
      <c r="AW224" s="3">
        <v>303</v>
      </c>
      <c r="AX224" s="3" t="str">
        <f>IFERROR(MID(VLOOKUP($B224,Seqs!$A:$B,2,0),AY224,1),"")</f>
        <v>H</v>
      </c>
      <c r="AY224" s="3">
        <v>312</v>
      </c>
      <c r="AZ224" s="77" t="str">
        <f>VLOOKUP(B224,Classification!A:D,2,0)</f>
        <v>A</v>
      </c>
      <c r="BA224" s="94" t="str">
        <f>VLOOKUP(B224,Classification!A:D,4,0)</f>
        <v>Cannabinoid</v>
      </c>
      <c r="BB224" s="27" t="b">
        <f t="shared" ref="BB224" si="2043">AND(E224&lt;G224,OR(G224&lt;I224,I224="-"),OR(I224&lt;K224,I224="-"),OR(K224&lt;M224,K224="-"),M224&lt;O224,OR(O224&lt;Q224,Q224="-"),OR(Q224&lt;S224,Q224="-"),OR(S224&lt;U224,S224="-"),U224&lt;W224,OR(W224&lt;Y224,Y224="-"),OR(Y224&lt;AA224,Y224="-"),OR(AA224&lt;AC224,AA224="-"),AC224&lt;AE224,OR(AE224&lt;AG224,AG224="-"),OR(AG224&lt;AI224,AG224="-"),OR(AI224&lt;AK224,AI224="-"),AK224&lt;AM224,AM224&lt;AO224,AO224&lt;AQ224,AQ224&lt;AS224,AS224&lt;AU224,OR(AU224&lt;AW224,AW224="-"),OR(AW224&lt;AY224,AW224="-"))</f>
        <v>1</v>
      </c>
      <c r="BC224" s="23">
        <f t="shared" ref="BC224" si="2044">_xlfn.AGGREGATE(9,6,CH224:CS224)-_xlfn.AGGREGATE(9,6,BV224:CG224)+12</f>
        <v>244</v>
      </c>
      <c r="BD224" s="2" t="s">
        <v>23</v>
      </c>
      <c r="BE224" s="3" t="s">
        <v>1368</v>
      </c>
      <c r="BF224" s="118">
        <v>3.2</v>
      </c>
      <c r="BG224" s="49" t="s">
        <v>1</v>
      </c>
      <c r="BH224" s="49" t="s">
        <v>1</v>
      </c>
      <c r="BJ224" s="70" t="s">
        <v>1281</v>
      </c>
      <c r="BK224" s="57" t="s">
        <v>1281</v>
      </c>
      <c r="BL224" s="57" t="s">
        <v>1281</v>
      </c>
      <c r="BM224" s="57" t="s">
        <v>1281</v>
      </c>
      <c r="BN224" s="57" t="s">
        <v>1281</v>
      </c>
      <c r="BO224" s="57" t="s">
        <v>1281</v>
      </c>
      <c r="BP224" s="57" t="s">
        <v>1281</v>
      </c>
      <c r="BQ224" s="57" t="s">
        <v>1281</v>
      </c>
      <c r="BR224" s="57" t="s">
        <v>1281</v>
      </c>
      <c r="BS224" s="57" t="s">
        <v>1281</v>
      </c>
      <c r="BT224" s="57" t="s">
        <v>1281</v>
      </c>
      <c r="BU224" s="57" t="s">
        <v>1281</v>
      </c>
      <c r="BV224" s="70">
        <f t="shared" ref="BV224" si="2045">E224</f>
        <v>29</v>
      </c>
      <c r="BW224" s="71">
        <f t="shared" ref="BW224" si="2046">I224</f>
        <v>62</v>
      </c>
      <c r="BX224" s="72">
        <f t="shared" ref="BX224" si="2047">M224</f>
        <v>68</v>
      </c>
      <c r="BY224" s="71" t="str">
        <f t="shared" ref="BY224" si="2048">Q224</f>
        <v>-</v>
      </c>
      <c r="BZ224" s="72">
        <f t="shared" ref="BZ224" si="2049">U224</f>
        <v>102</v>
      </c>
      <c r="CA224" s="71">
        <f t="shared" ref="CA224" si="2050">Y224</f>
        <v>138</v>
      </c>
      <c r="CB224" s="72">
        <f t="shared" ref="CB224" si="2051">AC224</f>
        <v>146</v>
      </c>
      <c r="CC224" s="71" t="str">
        <f t="shared" ref="CC224" si="2052">AG224</f>
        <v>-</v>
      </c>
      <c r="CD224" s="72">
        <f t="shared" ref="CD224" si="2053">AK224</f>
        <v>187</v>
      </c>
      <c r="CE224" s="71">
        <f t="shared" ref="CE224" si="2054">AO224</f>
        <v>237</v>
      </c>
      <c r="CF224" s="72">
        <f t="shared" ref="CF224" si="2055">AS224</f>
        <v>274</v>
      </c>
      <c r="CG224" s="71">
        <f t="shared" ref="CG224" si="2056">AW224</f>
        <v>303</v>
      </c>
      <c r="CH224" s="70">
        <f t="shared" ref="CH224" si="2057">G224</f>
        <v>61</v>
      </c>
      <c r="CI224" s="71">
        <f t="shared" ref="CI224" si="2058">K224</f>
        <v>65</v>
      </c>
      <c r="CJ224" s="72">
        <f t="shared" ref="CJ224" si="2059">O224</f>
        <v>95</v>
      </c>
      <c r="CK224" s="72" t="str">
        <f t="shared" ref="CK224" si="2060">S224</f>
        <v>-</v>
      </c>
      <c r="CL224" s="72">
        <f t="shared" ref="CL224" si="2061">W224</f>
        <v>137</v>
      </c>
      <c r="CM224" s="72">
        <f t="shared" ref="CM224" si="2062">AA224</f>
        <v>145</v>
      </c>
      <c r="CN224" s="72">
        <f t="shared" ref="CN224" si="2063">AE224</f>
        <v>170</v>
      </c>
      <c r="CO224" s="72" t="str">
        <f t="shared" ref="CO224" si="2064">AI224</f>
        <v>-</v>
      </c>
      <c r="CP224" s="72">
        <f t="shared" ref="CP224" si="2065">AM224</f>
        <v>220</v>
      </c>
      <c r="CQ224" s="72">
        <f t="shared" ref="CQ224" si="2066">AQ224</f>
        <v>271</v>
      </c>
      <c r="CR224" s="72">
        <f t="shared" ref="CR224" si="2067">AU224</f>
        <v>302</v>
      </c>
      <c r="CS224" s="72">
        <f t="shared" ref="CS224" si="2068">AY224</f>
        <v>312</v>
      </c>
      <c r="CT224" s="23">
        <f t="shared" ref="CT224" si="2069">M224-K224</f>
        <v>3</v>
      </c>
    </row>
    <row r="225" spans="1:1029" x14ac:dyDescent="0.2">
      <c r="A225" s="3" t="str">
        <f t="shared" ref="A225" si="2070">CONCATENATE(B225,"_",C225)</f>
        <v>cnr2_human_6KPF</v>
      </c>
      <c r="B225" s="3" t="s">
        <v>183</v>
      </c>
      <c r="C225" s="3" t="s">
        <v>1644</v>
      </c>
      <c r="D225" s="3" t="str">
        <f>IFERROR(MID(VLOOKUP($B225,Seqs!$A:$B,2,0),E225,1),"")</f>
        <v>S</v>
      </c>
      <c r="E225" s="3">
        <v>29</v>
      </c>
      <c r="F225" s="3" t="str">
        <f>IFERROR(MID(VLOOKUP($B225,Seqs!$A:$B,2,0),G225,1),"")</f>
        <v>S</v>
      </c>
      <c r="G225" s="3">
        <v>60</v>
      </c>
      <c r="H225" s="3" t="str">
        <f>IFERROR(MID(VLOOKUP($B225,Seqs!$A:$B,2,0),I225,1),"")</f>
        <v>H</v>
      </c>
      <c r="I225" s="23">
        <v>62</v>
      </c>
      <c r="J225" s="3" t="str">
        <f>IFERROR(MID(VLOOKUP($B225,Seqs!$A:$B,2,0),K225,1),"")</f>
        <v>R</v>
      </c>
      <c r="K225" s="23">
        <v>65</v>
      </c>
      <c r="L225" s="3" t="str">
        <f>IFERROR(MID(VLOOKUP($B225,Seqs!$A:$B,2,0),M225,1),"")</f>
        <v>K</v>
      </c>
      <c r="M225" s="3">
        <v>67</v>
      </c>
      <c r="N225" s="3" t="str">
        <f>IFERROR(MID(VLOOKUP($B225,Seqs!$A:$B,2,0),O225,1),"")</f>
        <v>H</v>
      </c>
      <c r="O225" s="3">
        <v>95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V</v>
      </c>
      <c r="U225" s="3">
        <v>105</v>
      </c>
      <c r="V225" s="3" t="str">
        <f>IFERROR(MID(VLOOKUP($B225,Seqs!$A:$B,2,0),W225,1),"")</f>
        <v>R</v>
      </c>
      <c r="W225" s="3">
        <v>136</v>
      </c>
      <c r="X225" s="3" t="str">
        <f>IFERROR(MID(VLOOKUP($B225,Seqs!$A:$B,2,0),Y225,1),"")</f>
        <v>P</v>
      </c>
      <c r="Y225" s="3">
        <v>138</v>
      </c>
      <c r="Z225" s="3" t="str">
        <f>IFERROR(MID(VLOOKUP($B225,Seqs!$A:$B,2,0),AA225,1),"")</f>
        <v>L</v>
      </c>
      <c r="AA225" s="3">
        <v>145</v>
      </c>
      <c r="AB225" s="3" t="str">
        <f>IFERROR(MID(VLOOKUP($B225,Seqs!$A:$B,2,0),AC225,1),"")</f>
        <v>T</v>
      </c>
      <c r="AC225" s="3">
        <v>146</v>
      </c>
      <c r="AD225" s="3" t="str">
        <f>IFERROR(MID(VLOOKUP($B225,Seqs!$A:$B,2,0),AE225,1),"")</f>
        <v>Y</v>
      </c>
      <c r="AE225" s="3">
        <v>166</v>
      </c>
      <c r="AF225" s="3" t="str">
        <f>IFERROR(MID(VLOOKUP($B225,Seqs!$A:$B,2,0),AG225,1),"")</f>
        <v/>
      </c>
      <c r="AG225" s="3" t="s">
        <v>23</v>
      </c>
      <c r="AH225" s="3" t="str">
        <f>IFERROR(MID(VLOOKUP($B225,Seqs!$A:$B,2,0),AI225,1),"")</f>
        <v/>
      </c>
      <c r="AI225" s="3" t="s">
        <v>23</v>
      </c>
      <c r="AJ225" s="3" t="str">
        <f>IFERROR(MID(VLOOKUP($B225,Seqs!$A:$B,2,0),AK225,1),"")</f>
        <v>P</v>
      </c>
      <c r="AK225" s="3">
        <v>187</v>
      </c>
      <c r="AL225" s="3" t="str">
        <f>IFERROR(MID(VLOOKUP($B225,Seqs!$A:$B,2,0),AM225,1),"")</f>
        <v>H</v>
      </c>
      <c r="AM225" s="3">
        <v>226</v>
      </c>
      <c r="AN225" s="3" t="str">
        <f>IFERROR(MID(VLOOKUP($B225,Seqs!$A:$B,2,0),AO225,1),"")</f>
        <v>R</v>
      </c>
      <c r="AO225" s="3">
        <v>238</v>
      </c>
      <c r="AP225" s="3" t="str">
        <f>IFERROR(MID(VLOOKUP($B225,Seqs!$A:$B,2,0),AQ225,1),"")</f>
        <v>A</v>
      </c>
      <c r="AQ225" s="3">
        <v>266</v>
      </c>
      <c r="AR225" s="3" t="str">
        <f>IFERROR(MID(VLOOKUP($B225,Seqs!$A:$B,2,0),AS225,1),"")</f>
        <v>D</v>
      </c>
      <c r="AS225" s="3">
        <v>275</v>
      </c>
      <c r="AT225" s="3" t="str">
        <f>IFERROR(MID(VLOOKUP($B225,Seqs!$A:$B,2,0),AU225,1),"")</f>
        <v>R</v>
      </c>
      <c r="AU225" s="3">
        <v>302</v>
      </c>
      <c r="AV225" s="3" t="str">
        <f>IFERROR(MID(VLOOKUP($B225,Seqs!$A:$B,2,0),AW225,1),"")</f>
        <v>S</v>
      </c>
      <c r="AW225" s="3">
        <v>303</v>
      </c>
      <c r="AX225" s="3" t="str">
        <f>IFERROR(MID(VLOOKUP($B225,Seqs!$A:$B,2,0),AY225,1),"")</f>
        <v>C</v>
      </c>
      <c r="AY225" s="3">
        <v>313</v>
      </c>
      <c r="AZ225" s="77" t="str">
        <f>VLOOKUP(B225,Classification!A:D,2,0)</f>
        <v>A</v>
      </c>
      <c r="BA225" s="94" t="str">
        <f>VLOOKUP(B225,Classification!A:D,4,0)</f>
        <v>Cannabinoid</v>
      </c>
      <c r="BB225" s="27" t="b">
        <f t="shared" ref="BB225" si="2071">AND(E225&lt;G225,OR(G225&lt;I225,I225="-"),OR(I225&lt;K225,I225="-"),OR(K225&lt;M225,K225="-"),M225&lt;O225,OR(O225&lt;Q225,Q225="-"),OR(Q225&lt;S225,Q225="-"),OR(S225&lt;U225,S225="-"),U225&lt;W225,OR(W225&lt;Y225,Y225="-"),OR(Y225&lt;AA225,Y225="-"),OR(AA225&lt;AC225,AA225="-"),AC225&lt;AE225,OR(AE225&lt;AG225,AG225="-"),OR(AG225&lt;AI225,AG225="-"),OR(AI225&lt;AK225,AI225="-"),AK225&lt;AM225,AM225&lt;AO225,AO225&lt;AQ225,AQ225&lt;AS225,AS225&lt;AU225,OR(AU225&lt;AW225,AW225="-"),OR(AW225&lt;AY225,AW225="-"))</f>
        <v>1</v>
      </c>
      <c r="BC225" s="23">
        <f t="shared" ref="BC225" si="2072">_xlfn.AGGREGATE(9,6,CH225:CS225)-_xlfn.AGGREGATE(9,6,BV225:CG225)+12</f>
        <v>236</v>
      </c>
      <c r="BD225" s="2" t="s">
        <v>23</v>
      </c>
      <c r="BE225" s="3" t="s">
        <v>1285</v>
      </c>
      <c r="BF225" s="118">
        <v>2.9</v>
      </c>
      <c r="BG225" s="49" t="s">
        <v>1416</v>
      </c>
      <c r="BH225" s="49" t="s">
        <v>1416</v>
      </c>
      <c r="BJ225" s="70" t="s">
        <v>1281</v>
      </c>
      <c r="BK225" s="57" t="s">
        <v>1281</v>
      </c>
      <c r="BL225" s="57" t="s">
        <v>1281</v>
      </c>
      <c r="BM225" s="57" t="s">
        <v>1281</v>
      </c>
      <c r="BN225" s="57" t="s">
        <v>1281</v>
      </c>
      <c r="BO225" s="57" t="s">
        <v>1281</v>
      </c>
      <c r="BP225" s="57" t="s">
        <v>1281</v>
      </c>
      <c r="BQ225" s="57" t="s">
        <v>1281</v>
      </c>
      <c r="BR225" s="57" t="s">
        <v>1281</v>
      </c>
      <c r="BS225" s="57" t="s">
        <v>1281</v>
      </c>
      <c r="BT225" s="57" t="s">
        <v>1281</v>
      </c>
      <c r="BU225" s="57" t="s">
        <v>1281</v>
      </c>
      <c r="BV225" s="70">
        <f t="shared" ref="BV225" si="2073">E225</f>
        <v>29</v>
      </c>
      <c r="BW225" s="71">
        <f t="shared" ref="BW225" si="2074">I225</f>
        <v>62</v>
      </c>
      <c r="BX225" s="72">
        <f t="shared" ref="BX225" si="2075">M225</f>
        <v>67</v>
      </c>
      <c r="BY225" s="71" t="str">
        <f t="shared" ref="BY225" si="2076">Q225</f>
        <v>-</v>
      </c>
      <c r="BZ225" s="72">
        <f t="shared" ref="BZ225" si="2077">U225</f>
        <v>105</v>
      </c>
      <c r="CA225" s="71">
        <f t="shared" ref="CA225" si="2078">Y225</f>
        <v>138</v>
      </c>
      <c r="CB225" s="72">
        <f t="shared" ref="CB225" si="2079">AC225</f>
        <v>146</v>
      </c>
      <c r="CC225" s="71" t="str">
        <f t="shared" ref="CC225" si="2080">AG225</f>
        <v>-</v>
      </c>
      <c r="CD225" s="72">
        <f t="shared" ref="CD225" si="2081">AK225</f>
        <v>187</v>
      </c>
      <c r="CE225" s="71">
        <f t="shared" ref="CE225" si="2082">AO225</f>
        <v>238</v>
      </c>
      <c r="CF225" s="72">
        <f t="shared" ref="CF225" si="2083">AS225</f>
        <v>275</v>
      </c>
      <c r="CG225" s="71">
        <f t="shared" ref="CG225" si="2084">AW225</f>
        <v>303</v>
      </c>
      <c r="CH225" s="70">
        <f t="shared" ref="CH225" si="2085">G225</f>
        <v>60</v>
      </c>
      <c r="CI225" s="71">
        <f t="shared" ref="CI225" si="2086">K225</f>
        <v>65</v>
      </c>
      <c r="CJ225" s="72">
        <f t="shared" ref="CJ225" si="2087">O225</f>
        <v>95</v>
      </c>
      <c r="CK225" s="72" t="str">
        <f t="shared" ref="CK225" si="2088">S225</f>
        <v>-</v>
      </c>
      <c r="CL225" s="72">
        <f t="shared" ref="CL225" si="2089">W225</f>
        <v>136</v>
      </c>
      <c r="CM225" s="72">
        <f t="shared" ref="CM225" si="2090">AA225</f>
        <v>145</v>
      </c>
      <c r="CN225" s="72">
        <f t="shared" ref="CN225" si="2091">AE225</f>
        <v>166</v>
      </c>
      <c r="CO225" s="72" t="str">
        <f t="shared" ref="CO225" si="2092">AI225</f>
        <v>-</v>
      </c>
      <c r="CP225" s="72">
        <f t="shared" ref="CP225" si="2093">AM225</f>
        <v>226</v>
      </c>
      <c r="CQ225" s="72">
        <f t="shared" ref="CQ225" si="2094">AQ225</f>
        <v>266</v>
      </c>
      <c r="CR225" s="72">
        <f t="shared" ref="CR225" si="2095">AU225</f>
        <v>302</v>
      </c>
      <c r="CS225" s="72">
        <f t="shared" ref="CS225" si="2096">AY225</f>
        <v>313</v>
      </c>
      <c r="CT225" s="23">
        <f t="shared" ref="CT225" si="2097">M225-K225</f>
        <v>2</v>
      </c>
    </row>
    <row r="226" spans="1:1029" x14ac:dyDescent="0.2">
      <c r="A226" s="3" t="str">
        <f t="shared" ref="A226:A228" si="2098">CONCATENATE(B226,"_",C226)</f>
        <v>cnr2_human_6PT0</v>
      </c>
      <c r="B226" s="3" t="s">
        <v>183</v>
      </c>
      <c r="C226" s="3" t="s">
        <v>1645</v>
      </c>
      <c r="D226" s="3" t="str">
        <f>IFERROR(MID(VLOOKUP($B226,Seqs!$A:$B,2,0),E226,1),"")</f>
        <v>S</v>
      </c>
      <c r="E226" s="3">
        <v>29</v>
      </c>
      <c r="F226" s="3" t="str">
        <f>IFERROR(MID(VLOOKUP($B226,Seqs!$A:$B,2,0),G226,1),"")</f>
        <v>S</v>
      </c>
      <c r="G226" s="3">
        <v>60</v>
      </c>
      <c r="H226" s="3" t="str">
        <f>IFERROR(MID(VLOOKUP($B226,Seqs!$A:$B,2,0),I226,1),"")</f>
        <v>H</v>
      </c>
      <c r="I226" s="23">
        <v>62</v>
      </c>
      <c r="J226" s="3" t="str">
        <f>IFERROR(MID(VLOOKUP($B226,Seqs!$A:$B,2,0),K226,1),"")</f>
        <v>R</v>
      </c>
      <c r="K226" s="23">
        <v>65</v>
      </c>
      <c r="L226" s="3" t="str">
        <f>IFERROR(MID(VLOOKUP($B226,Seqs!$A:$B,2,0),M226,1),"")</f>
        <v>K</v>
      </c>
      <c r="M226" s="3">
        <v>67</v>
      </c>
      <c r="N226" s="3" t="str">
        <f>IFERROR(MID(VLOOKUP($B226,Seqs!$A:$B,2,0),O226,1),"")</f>
        <v>V</v>
      </c>
      <c r="O226" s="3">
        <v>96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S</v>
      </c>
      <c r="U226" s="3">
        <v>102</v>
      </c>
      <c r="V226" s="3" t="str">
        <f>IFERROR(MID(VLOOKUP($B226,Seqs!$A:$B,2,0),W226,1),"")</f>
        <v>Y</v>
      </c>
      <c r="W226" s="3">
        <v>137</v>
      </c>
      <c r="X226" s="3" t="str">
        <f>IFERROR(MID(VLOOKUP($B226,Seqs!$A:$B,2,0),Y226,1),"")</f>
        <v>P</v>
      </c>
      <c r="Y226" s="3">
        <v>138</v>
      </c>
      <c r="Z226" s="3" t="str">
        <f>IFERROR(MID(VLOOKUP($B226,Seqs!$A:$B,2,0),AA226,1),"")</f>
        <v>L</v>
      </c>
      <c r="AA226" s="3">
        <v>145</v>
      </c>
      <c r="AB226" s="3" t="str">
        <f>IFERROR(MID(VLOOKUP($B226,Seqs!$A:$B,2,0),AC226,1),"")</f>
        <v>T</v>
      </c>
      <c r="AC226" s="3">
        <v>146</v>
      </c>
      <c r="AD226" s="3" t="str">
        <f>IFERROR(MID(VLOOKUP($B226,Seqs!$A:$B,2,0),AE226,1),"")</f>
        <v>G</v>
      </c>
      <c r="AE226" s="3">
        <v>171</v>
      </c>
      <c r="AF226" s="3" t="str">
        <f>IFERROR(MID(VLOOKUP($B226,Seqs!$A:$B,2,0),AG226,1),"")</f>
        <v/>
      </c>
      <c r="AG226" s="3" t="s">
        <v>23</v>
      </c>
      <c r="AH226" s="3" t="str">
        <f>IFERROR(MID(VLOOKUP($B226,Seqs!$A:$B,2,0),AI226,1),"")</f>
        <v/>
      </c>
      <c r="AI226" s="3" t="s">
        <v>23</v>
      </c>
      <c r="AJ226" s="3" t="str">
        <f>IFERROR(MID(VLOOKUP($B226,Seqs!$A:$B,2,0),AK226,1),"")</f>
        <v>P</v>
      </c>
      <c r="AK226" s="3">
        <v>187</v>
      </c>
      <c r="AL226" s="3" t="str">
        <f>IFERROR(MID(VLOOKUP($B226,Seqs!$A:$B,2,0),AM226,1),"")</f>
        <v>G</v>
      </c>
      <c r="AM226" s="3">
        <v>225</v>
      </c>
      <c r="AN226" s="3" t="str">
        <f>IFERROR(MID(VLOOKUP($B226,Seqs!$A:$B,2,0),AO226,1),"")</f>
        <v>R</v>
      </c>
      <c r="AO226" s="3">
        <v>238</v>
      </c>
      <c r="AP226" s="3" t="str">
        <f>IFERROR(MID(VLOOKUP($B226,Seqs!$A:$B,2,0),AQ226,1),"")</f>
        <v>T</v>
      </c>
      <c r="AQ226" s="3">
        <v>271</v>
      </c>
      <c r="AR226" s="3" t="str">
        <f>IFERROR(MID(VLOOKUP($B226,Seqs!$A:$B,2,0),AS226,1),"")</f>
        <v>S</v>
      </c>
      <c r="AS226" s="3">
        <v>274</v>
      </c>
      <c r="AT226" s="3" t="str">
        <f>IFERROR(MID(VLOOKUP($B226,Seqs!$A:$B,2,0),AU226,1),"")</f>
        <v>R</v>
      </c>
      <c r="AU226" s="3">
        <v>302</v>
      </c>
      <c r="AV226" s="3" t="str">
        <f>IFERROR(MID(VLOOKUP($B226,Seqs!$A:$B,2,0),AW226,1),"")</f>
        <v>S</v>
      </c>
      <c r="AW226" s="3">
        <v>303</v>
      </c>
      <c r="AX226" s="3" t="str">
        <f>IFERROR(MID(VLOOKUP($B226,Seqs!$A:$B,2,0),AY226,1),"")</f>
        <v>K</v>
      </c>
      <c r="AY226" s="3">
        <v>319</v>
      </c>
      <c r="AZ226" s="77" t="str">
        <f>VLOOKUP(B226,Classification!A:D,2,0)</f>
        <v>A</v>
      </c>
      <c r="BA226" s="94" t="str">
        <f>VLOOKUP(B226,Classification!A:D,4,0)</f>
        <v>Cannabinoid</v>
      </c>
      <c r="BB226" s="27" t="b">
        <f t="shared" ref="BB226:BB228" si="2099"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 t="shared" ref="BC226:BC228" si="2100">_xlfn.AGGREGATE(9,6,CH226:CS226)-_xlfn.AGGREGATE(9,6,BV226:CG226)+12</f>
        <v>257</v>
      </c>
      <c r="BD226" s="2" t="s">
        <v>1369</v>
      </c>
      <c r="BE226" s="3" t="s">
        <v>1285</v>
      </c>
      <c r="BF226" s="118">
        <v>3.2</v>
      </c>
      <c r="BG226" s="49" t="s">
        <v>1416</v>
      </c>
      <c r="BH226" s="49" t="s">
        <v>1416</v>
      </c>
      <c r="BJ226" s="70" t="s">
        <v>1281</v>
      </c>
      <c r="BK226" s="57" t="s">
        <v>1281</v>
      </c>
      <c r="BL226" s="57" t="s">
        <v>1281</v>
      </c>
      <c r="BM226" s="57" t="s">
        <v>1281</v>
      </c>
      <c r="BN226" s="57" t="s">
        <v>1281</v>
      </c>
      <c r="BO226" s="57" t="s">
        <v>1281</v>
      </c>
      <c r="BP226" s="57" t="s">
        <v>1281</v>
      </c>
      <c r="BQ226" s="57" t="s">
        <v>1281</v>
      </c>
      <c r="BR226" s="57" t="s">
        <v>1281</v>
      </c>
      <c r="BS226" s="57" t="s">
        <v>1281</v>
      </c>
      <c r="BT226" s="57" t="s">
        <v>1281</v>
      </c>
      <c r="BU226" s="57" t="s">
        <v>1281</v>
      </c>
      <c r="BV226" s="70">
        <f t="shared" ref="BV226:BV228" si="2101">E226</f>
        <v>29</v>
      </c>
      <c r="BW226" s="71">
        <f t="shared" ref="BW226:BW228" si="2102">I226</f>
        <v>62</v>
      </c>
      <c r="BX226" s="72">
        <f t="shared" ref="BX226:BX228" si="2103">M226</f>
        <v>67</v>
      </c>
      <c r="BY226" s="71" t="str">
        <f t="shared" ref="BY226:BY228" si="2104">Q226</f>
        <v>-</v>
      </c>
      <c r="BZ226" s="72">
        <f t="shared" ref="BZ226:BZ228" si="2105">U226</f>
        <v>102</v>
      </c>
      <c r="CA226" s="71">
        <f t="shared" ref="CA226:CA228" si="2106">Y226</f>
        <v>138</v>
      </c>
      <c r="CB226" s="72">
        <f t="shared" ref="CB226:CB228" si="2107">AC226</f>
        <v>146</v>
      </c>
      <c r="CC226" s="71" t="str">
        <f t="shared" ref="CC226:CC228" si="2108">AG226</f>
        <v>-</v>
      </c>
      <c r="CD226" s="72">
        <f t="shared" ref="CD226:CD228" si="2109">AK226</f>
        <v>187</v>
      </c>
      <c r="CE226" s="71">
        <f t="shared" ref="CE226:CE228" si="2110">AO226</f>
        <v>238</v>
      </c>
      <c r="CF226" s="72">
        <f t="shared" ref="CF226:CF228" si="2111">AS226</f>
        <v>274</v>
      </c>
      <c r="CG226" s="71">
        <f t="shared" ref="CG226:CG228" si="2112">AW226</f>
        <v>303</v>
      </c>
      <c r="CH226" s="70">
        <f t="shared" ref="CH226:CH228" si="2113">G226</f>
        <v>60</v>
      </c>
      <c r="CI226" s="71">
        <f t="shared" ref="CI226:CI228" si="2114">K226</f>
        <v>65</v>
      </c>
      <c r="CJ226" s="72">
        <f t="shared" ref="CJ226:CJ228" si="2115">O226</f>
        <v>96</v>
      </c>
      <c r="CK226" s="72" t="str">
        <f t="shared" ref="CK226:CK228" si="2116">S226</f>
        <v>-</v>
      </c>
      <c r="CL226" s="72">
        <f t="shared" ref="CL226:CL228" si="2117">W226</f>
        <v>137</v>
      </c>
      <c r="CM226" s="72">
        <f t="shared" ref="CM226:CM228" si="2118">AA226</f>
        <v>145</v>
      </c>
      <c r="CN226" s="72">
        <f t="shared" ref="CN226:CN228" si="2119">AE226</f>
        <v>171</v>
      </c>
      <c r="CO226" s="72" t="str">
        <f t="shared" ref="CO226:CO228" si="2120">AI226</f>
        <v>-</v>
      </c>
      <c r="CP226" s="72">
        <f t="shared" ref="CP226:CP228" si="2121">AM226</f>
        <v>225</v>
      </c>
      <c r="CQ226" s="72">
        <f t="shared" ref="CQ226:CQ228" si="2122">AQ226</f>
        <v>271</v>
      </c>
      <c r="CR226" s="72">
        <f t="shared" ref="CR226:CR228" si="2123">AU226</f>
        <v>302</v>
      </c>
      <c r="CS226" s="72">
        <f t="shared" ref="CS226:CS228" si="2124">AY226</f>
        <v>319</v>
      </c>
      <c r="CT226" s="23">
        <f t="shared" ref="CT226:CT228" si="2125">M226-K226</f>
        <v>2</v>
      </c>
    </row>
    <row r="227" spans="1:1029" s="12" customFormat="1" x14ac:dyDescent="0.2">
      <c r="A227" s="9" t="str">
        <f t="shared" si="2098"/>
        <v>cxcr2_human__wt</v>
      </c>
      <c r="B227" s="9" t="s">
        <v>186</v>
      </c>
      <c r="C227" s="9" t="s">
        <v>100</v>
      </c>
      <c r="D227" s="9" t="str">
        <f>IFERROR(MID(VLOOKUP($B227,Seqs!$A:$B,2,0),E227,1),"")</f>
        <v>E</v>
      </c>
      <c r="E227" s="9">
        <v>45</v>
      </c>
      <c r="F227" s="9" t="str">
        <f>IFERROR(MID(VLOOKUP($B227,Seqs!$A:$B,2,0),G227,1),"")</f>
        <v>S</v>
      </c>
      <c r="G227" s="9">
        <v>76</v>
      </c>
      <c r="H227" s="9" t="str">
        <f>IFERROR(MID(VLOOKUP($B227,Seqs!$A:$B,2,0),I227,1),"")</f>
        <v>R</v>
      </c>
      <c r="I227" s="109">
        <v>77</v>
      </c>
      <c r="J227" s="9" t="str">
        <f>IFERROR(MID(VLOOKUP($B227,Seqs!$A:$B,2,0),K227,1),"")</f>
        <v>R</v>
      </c>
      <c r="K227" s="109">
        <v>80</v>
      </c>
      <c r="L227" s="9" t="str">
        <f>IFERROR(MID(VLOOKUP($B227,Seqs!$A:$B,2,0),M227,1),"")</f>
        <v>S</v>
      </c>
      <c r="M227" s="9">
        <v>81</v>
      </c>
      <c r="N227" s="9" t="str">
        <f>IFERROR(MID(VLOOKUP($B227,Seqs!$A:$B,2,0),O227,1),"")</f>
        <v>N</v>
      </c>
      <c r="O227" s="9">
        <v>110</v>
      </c>
      <c r="P227" s="9" t="str">
        <f>IFERROR(MID(VLOOKUP($B227,Seqs!$A:$B,2,0),Q227,1),"")</f>
        <v>G</v>
      </c>
      <c r="Q227" s="9">
        <v>111</v>
      </c>
      <c r="R227" s="9" t="str">
        <f>IFERROR(MID(VLOOKUP($B227,Seqs!$A:$B,2,0),S227,1),"")</f>
        <v>F</v>
      </c>
      <c r="S227" s="9">
        <v>114</v>
      </c>
      <c r="T227" s="9" t="str">
        <f>IFERROR(MID(VLOOKUP($B227,Seqs!$A:$B,2,0),U227,1),"")</f>
        <v>G</v>
      </c>
      <c r="U227" s="9">
        <v>115</v>
      </c>
      <c r="V227" s="9" t="str">
        <f>IFERROR(MID(VLOOKUP($B227,Seqs!$A:$B,2,0),W227,1),"")</f>
        <v>H</v>
      </c>
      <c r="W227" s="9">
        <v>150</v>
      </c>
      <c r="X227" s="9" t="str">
        <f>IFERROR(MID(VLOOKUP($B227,Seqs!$A:$B,2,0),Y227,1),"")</f>
        <v>A</v>
      </c>
      <c r="Y227" s="9">
        <v>151</v>
      </c>
      <c r="Z227" s="9" t="str">
        <f>IFERROR(MID(VLOOKUP($B227,Seqs!$A:$B,2,0),AA227,1),"")</f>
        <v>Y</v>
      </c>
      <c r="AA227" s="9">
        <v>160</v>
      </c>
      <c r="AB227" s="9" t="str">
        <f>IFERROR(MID(VLOOKUP($B227,Seqs!$A:$B,2,0),AC227,1),"")</f>
        <v>L</v>
      </c>
      <c r="AC227" s="9">
        <v>161</v>
      </c>
      <c r="AD227" s="9" t="str">
        <f>IFERROR(MID(VLOOKUP($B227,Seqs!$A:$B,2,0),AE227,1),"")</f>
        <v>R</v>
      </c>
      <c r="AE227" s="9">
        <v>184</v>
      </c>
      <c r="AF227" s="9" t="str">
        <f>IFERROR(MID(VLOOKUP($B227,Seqs!$A:$B,2,0),AG227,1),"")</f>
        <v>C</v>
      </c>
      <c r="AG227" s="9">
        <v>196</v>
      </c>
      <c r="AH227" s="9" t="str">
        <f>IFERROR(MID(VLOOKUP($B227,Seqs!$A:$B,2,0),AI227,1),"")</f>
        <v>E</v>
      </c>
      <c r="AI227" s="9">
        <v>198</v>
      </c>
      <c r="AJ227" s="9" t="str">
        <f>IFERROR(MID(VLOOKUP($B227,Seqs!$A:$B,2,0),AK227,1),"")</f>
        <v>N</v>
      </c>
      <c r="AK227" s="9">
        <v>203</v>
      </c>
      <c r="AL227" s="9" t="str">
        <f>IFERROR(MID(VLOOKUP($B227,Seqs!$A:$B,2,0),AM227,1),"")</f>
        <v>A</v>
      </c>
      <c r="AM227" s="9">
        <v>241</v>
      </c>
      <c r="AN227" s="9" t="str">
        <f>IFERROR(MID(VLOOKUP($B227,Seqs!$A:$B,2,0),AO227,1),"")</f>
        <v>Q</v>
      </c>
      <c r="AO227" s="9">
        <v>245</v>
      </c>
      <c r="AP227" s="9" t="str">
        <f>IFERROR(MID(VLOOKUP($B227,Seqs!$A:$B,2,0),AQ227,1),"")</f>
        <v>Q</v>
      </c>
      <c r="AQ227" s="9">
        <v>280</v>
      </c>
      <c r="AR227" s="9" t="str">
        <f>IFERROR(MID(VLOOKUP($B227,Seqs!$A:$B,2,0),AS227,1),"")</f>
        <v>T</v>
      </c>
      <c r="AS227" s="9">
        <v>285</v>
      </c>
      <c r="AT227" s="9" t="str">
        <f>IFERROR(MID(VLOOKUP($B227,Seqs!$A:$B,2,0),AU227,1),"")</f>
        <v>I</v>
      </c>
      <c r="AU227" s="9">
        <v>317</v>
      </c>
      <c r="AV227" s="9" t="str">
        <f>IFERROR(MID(VLOOKUP($B227,Seqs!$A:$B,2,0),AW227,1),"")</f>
        <v>G</v>
      </c>
      <c r="AW227" s="9">
        <v>318</v>
      </c>
      <c r="AX227" s="9" t="str">
        <f>IFERROR(MID(VLOOKUP($B227,Seqs!$A:$B,2,0),AY227,1),"")</f>
        <v>H</v>
      </c>
      <c r="AY227" s="9">
        <v>332</v>
      </c>
      <c r="AZ227" s="110" t="str">
        <f>VLOOKUP(B227,Classification!A:D,2,0)</f>
        <v>A</v>
      </c>
      <c r="BA227" s="98" t="str">
        <f>VLOOKUP(B227,Classification!A:D,4,0)</f>
        <v>Chemokine</v>
      </c>
      <c r="BB227" s="36" t="b">
        <f t="shared" si="2099"/>
        <v>1</v>
      </c>
      <c r="BC227" s="109">
        <f t="shared" si="2100"/>
        <v>266</v>
      </c>
      <c r="BD227" s="138" t="s">
        <v>23</v>
      </c>
      <c r="BE227" s="9" t="s">
        <v>23</v>
      </c>
      <c r="BF227" s="119" t="s">
        <v>23</v>
      </c>
      <c r="BG227" s="51" t="s">
        <v>23</v>
      </c>
      <c r="BH227" s="51" t="s">
        <v>23</v>
      </c>
      <c r="BJ227" s="111" t="s">
        <v>1281</v>
      </c>
      <c r="BK227" s="112" t="s">
        <v>1281</v>
      </c>
      <c r="BL227" s="112" t="s">
        <v>1281</v>
      </c>
      <c r="BM227" s="112" t="s">
        <v>1281</v>
      </c>
      <c r="BN227" s="112" t="s">
        <v>1281</v>
      </c>
      <c r="BO227" s="112" t="s">
        <v>1281</v>
      </c>
      <c r="BP227" s="112" t="s">
        <v>1281</v>
      </c>
      <c r="BQ227" s="112" t="s">
        <v>1281</v>
      </c>
      <c r="BR227" s="112" t="s">
        <v>1281</v>
      </c>
      <c r="BS227" s="112" t="s">
        <v>1281</v>
      </c>
      <c r="BT227" s="112" t="s">
        <v>1281</v>
      </c>
      <c r="BU227" s="112" t="s">
        <v>1281</v>
      </c>
      <c r="BV227" s="111">
        <f t="shared" si="2101"/>
        <v>45</v>
      </c>
      <c r="BW227" s="113">
        <f t="shared" si="2102"/>
        <v>77</v>
      </c>
      <c r="BX227" s="114">
        <f t="shared" si="2103"/>
        <v>81</v>
      </c>
      <c r="BY227" s="113">
        <f t="shared" si="2104"/>
        <v>111</v>
      </c>
      <c r="BZ227" s="114">
        <f t="shared" si="2105"/>
        <v>115</v>
      </c>
      <c r="CA227" s="113">
        <f t="shared" si="2106"/>
        <v>151</v>
      </c>
      <c r="CB227" s="114">
        <f t="shared" si="2107"/>
        <v>161</v>
      </c>
      <c r="CC227" s="113">
        <f t="shared" si="2108"/>
        <v>196</v>
      </c>
      <c r="CD227" s="114">
        <f t="shared" si="2109"/>
        <v>203</v>
      </c>
      <c r="CE227" s="113">
        <f t="shared" si="2110"/>
        <v>245</v>
      </c>
      <c r="CF227" s="114">
        <f t="shared" si="2111"/>
        <v>285</v>
      </c>
      <c r="CG227" s="113">
        <f t="shared" si="2112"/>
        <v>318</v>
      </c>
      <c r="CH227" s="111">
        <f t="shared" si="2113"/>
        <v>76</v>
      </c>
      <c r="CI227" s="113">
        <f t="shared" si="2114"/>
        <v>80</v>
      </c>
      <c r="CJ227" s="114">
        <f t="shared" si="2115"/>
        <v>110</v>
      </c>
      <c r="CK227" s="114">
        <f t="shared" si="2116"/>
        <v>114</v>
      </c>
      <c r="CL227" s="114">
        <f t="shared" si="2117"/>
        <v>150</v>
      </c>
      <c r="CM227" s="114">
        <f t="shared" si="2118"/>
        <v>160</v>
      </c>
      <c r="CN227" s="114">
        <f t="shared" si="2119"/>
        <v>184</v>
      </c>
      <c r="CO227" s="114">
        <f t="shared" si="2120"/>
        <v>198</v>
      </c>
      <c r="CP227" s="114">
        <f t="shared" si="2121"/>
        <v>241</v>
      </c>
      <c r="CQ227" s="114">
        <f t="shared" si="2122"/>
        <v>280</v>
      </c>
      <c r="CR227" s="114">
        <f t="shared" si="2123"/>
        <v>317</v>
      </c>
      <c r="CS227" s="114">
        <f t="shared" si="2124"/>
        <v>332</v>
      </c>
      <c r="CT227" s="109">
        <f t="shared" si="2125"/>
        <v>1</v>
      </c>
    </row>
    <row r="228" spans="1:1029" s="12" customFormat="1" x14ac:dyDescent="0.2">
      <c r="A228" s="9" t="str">
        <f t="shared" si="2098"/>
        <v>cxcr2_human_6LFO</v>
      </c>
      <c r="B228" s="9" t="s">
        <v>186</v>
      </c>
      <c r="C228" s="9" t="s">
        <v>1723</v>
      </c>
      <c r="D228" s="9" t="str">
        <f>IFERROR(MID(VLOOKUP($B228,Seqs!$A:$B,2,0),E228,1),"")</f>
        <v>E</v>
      </c>
      <c r="E228" s="9">
        <v>45</v>
      </c>
      <c r="F228" s="9" t="str">
        <f>IFERROR(MID(VLOOKUP($B228,Seqs!$A:$B,2,0),G228,1),"")</f>
        <v>Y</v>
      </c>
      <c r="G228" s="9">
        <v>75</v>
      </c>
      <c r="H228" s="9" t="str">
        <f>IFERROR(MID(VLOOKUP($B228,Seqs!$A:$B,2,0),I228,1),"")</f>
        <v/>
      </c>
      <c r="I228" s="109" t="s">
        <v>23</v>
      </c>
      <c r="J228" s="9" t="str">
        <f>IFERROR(MID(VLOOKUP($B228,Seqs!$A:$B,2,0),K228,1),"")</f>
        <v/>
      </c>
      <c r="K228" s="109" t="s">
        <v>23</v>
      </c>
      <c r="L228" s="9" t="str">
        <f>IFERROR(MID(VLOOKUP($B228,Seqs!$A:$B,2,0),M228,1),"")</f>
        <v>V</v>
      </c>
      <c r="M228" s="9">
        <v>82</v>
      </c>
      <c r="N228" s="9" t="str">
        <f>IFERROR(MID(VLOOKUP($B228,Seqs!$A:$B,2,0),O228,1),"")</f>
        <v>N</v>
      </c>
      <c r="O228" s="9">
        <v>110</v>
      </c>
      <c r="P228" s="9" t="str">
        <f>IFERROR(MID(VLOOKUP($B228,Seqs!$A:$B,2,0),Q228,1),"")</f>
        <v>G</v>
      </c>
      <c r="Q228" s="9">
        <v>111</v>
      </c>
      <c r="R228" s="9" t="str">
        <f>IFERROR(MID(VLOOKUP($B228,Seqs!$A:$B,2,0),S228,1),"")</f>
        <v>F</v>
      </c>
      <c r="S228" s="9">
        <v>114</v>
      </c>
      <c r="T228" s="9" t="str">
        <f>IFERROR(MID(VLOOKUP($B228,Seqs!$A:$B,2,0),U228,1),"")</f>
        <v>T</v>
      </c>
      <c r="U228" s="9">
        <v>116</v>
      </c>
      <c r="V228" s="9" t="str">
        <f>IFERROR(MID(VLOOKUP($B228,Seqs!$A:$B,2,0),W228,1),"")</f>
        <v>H</v>
      </c>
      <c r="W228" s="9">
        <v>150</v>
      </c>
      <c r="X228" s="9" t="str">
        <f>IFERROR(MID(VLOOKUP($B228,Seqs!$A:$B,2,0),Y228,1),"")</f>
        <v>A</v>
      </c>
      <c r="Y228" s="9">
        <v>151</v>
      </c>
      <c r="Z228" s="9" t="str">
        <f>IFERROR(MID(VLOOKUP($B228,Seqs!$A:$B,2,0),AA228,1),"")</f>
        <v>Y</v>
      </c>
      <c r="AA228" s="9">
        <v>160</v>
      </c>
      <c r="AB228" s="9" t="str">
        <f>IFERROR(MID(VLOOKUP($B228,Seqs!$A:$B,2,0),AC228,1),"")</f>
        <v>L</v>
      </c>
      <c r="AC228" s="9">
        <v>161</v>
      </c>
      <c r="AD228" s="9" t="str">
        <f>IFERROR(MID(VLOOKUP($B228,Seqs!$A:$B,2,0),AE228,1),"")</f>
        <v>L</v>
      </c>
      <c r="AE228" s="9">
        <v>182</v>
      </c>
      <c r="AF228" s="9" t="str">
        <f>IFERROR(MID(VLOOKUP($B228,Seqs!$A:$B,2,0),AG228,1),"")</f>
        <v>C</v>
      </c>
      <c r="AG228" s="9">
        <v>196</v>
      </c>
      <c r="AH228" s="9" t="str">
        <f>IFERROR(MID(VLOOKUP($B228,Seqs!$A:$B,2,0),AI228,1),"")</f>
        <v>E</v>
      </c>
      <c r="AI228" s="9">
        <v>198</v>
      </c>
      <c r="AJ228" s="9" t="str">
        <f>IFERROR(MID(VLOOKUP($B228,Seqs!$A:$B,2,0),AK228,1),"")</f>
        <v>N</v>
      </c>
      <c r="AK228" s="9">
        <v>203</v>
      </c>
      <c r="AL228" s="9" t="str">
        <f>IFERROR(MID(VLOOKUP($B228,Seqs!$A:$B,2,0),AM228,1),"")</f>
        <v>A</v>
      </c>
      <c r="AM228" s="9">
        <v>241</v>
      </c>
      <c r="AN228" s="9" t="str">
        <f>IFERROR(MID(VLOOKUP($B228,Seqs!$A:$B,2,0),AO228,1),"")</f>
        <v>Q</v>
      </c>
      <c r="AO228" s="9">
        <v>245</v>
      </c>
      <c r="AP228" s="9" t="str">
        <f>IFERROR(MID(VLOOKUP($B228,Seqs!$A:$B,2,0),AQ228,1),"")</f>
        <v>R</v>
      </c>
      <c r="AQ228" s="9">
        <v>278</v>
      </c>
      <c r="AR228" s="9" t="str">
        <f>IFERROR(MID(VLOOKUP($B228,Seqs!$A:$B,2,0),AS228,1),"")</f>
        <v>T</v>
      </c>
      <c r="AS228" s="9">
        <v>285</v>
      </c>
      <c r="AT228" s="9" t="str">
        <f>IFERROR(MID(VLOOKUP($B228,Seqs!$A:$B,2,0),AU228,1),"")</f>
        <v>I</v>
      </c>
      <c r="AU228" s="9">
        <v>317</v>
      </c>
      <c r="AV228" s="9" t="str">
        <f>IFERROR(MID(VLOOKUP($B228,Seqs!$A:$B,2,0),AW228,1),"")</f>
        <v>G</v>
      </c>
      <c r="AW228" s="9">
        <v>318</v>
      </c>
      <c r="AX228" s="9" t="str">
        <f>IFERROR(MID(VLOOKUP($B228,Seqs!$A:$B,2,0),AY228,1),"")</f>
        <v>H</v>
      </c>
      <c r="AY228" s="9">
        <v>332</v>
      </c>
      <c r="AZ228" s="110" t="str">
        <f>VLOOKUP(B228,Classification!A:D,2,0)</f>
        <v>A</v>
      </c>
      <c r="BA228" s="98" t="str">
        <f>VLOOKUP(B228,Classification!A:D,4,0)</f>
        <v>Chemokine</v>
      </c>
      <c r="BB228" s="36" t="b">
        <f t="shared" si="2099"/>
        <v>1</v>
      </c>
      <c r="BC228" s="109">
        <f t="shared" si="2100"/>
        <v>256</v>
      </c>
      <c r="BD228" s="138" t="s">
        <v>1369</v>
      </c>
      <c r="BE228" s="9" t="s">
        <v>1285</v>
      </c>
      <c r="BF228" s="119">
        <v>3.4</v>
      </c>
      <c r="BG228" s="51" t="s">
        <v>1416</v>
      </c>
      <c r="BH228" s="51" t="s">
        <v>1416</v>
      </c>
      <c r="BJ228" s="111" t="s">
        <v>1281</v>
      </c>
      <c r="BK228" s="112" t="s">
        <v>1281</v>
      </c>
      <c r="BL228" s="112" t="s">
        <v>1281</v>
      </c>
      <c r="BM228" s="112" t="s">
        <v>1281</v>
      </c>
      <c r="BN228" s="112" t="s">
        <v>1281</v>
      </c>
      <c r="BO228" s="112" t="s">
        <v>1281</v>
      </c>
      <c r="BP228" s="112" t="s">
        <v>1281</v>
      </c>
      <c r="BQ228" s="112" t="s">
        <v>1281</v>
      </c>
      <c r="BR228" s="112" t="s">
        <v>1281</v>
      </c>
      <c r="BS228" s="112" t="s">
        <v>1281</v>
      </c>
      <c r="BT228" s="112" t="s">
        <v>1281</v>
      </c>
      <c r="BU228" s="112" t="s">
        <v>1281</v>
      </c>
      <c r="BV228" s="111">
        <f t="shared" si="2101"/>
        <v>45</v>
      </c>
      <c r="BW228" s="113" t="str">
        <f t="shared" si="2102"/>
        <v>-</v>
      </c>
      <c r="BX228" s="114">
        <f t="shared" si="2103"/>
        <v>82</v>
      </c>
      <c r="BY228" s="113">
        <f t="shared" si="2104"/>
        <v>111</v>
      </c>
      <c r="BZ228" s="114">
        <f t="shared" si="2105"/>
        <v>116</v>
      </c>
      <c r="CA228" s="113">
        <f t="shared" si="2106"/>
        <v>151</v>
      </c>
      <c r="CB228" s="114">
        <f t="shared" si="2107"/>
        <v>161</v>
      </c>
      <c r="CC228" s="113">
        <f t="shared" si="2108"/>
        <v>196</v>
      </c>
      <c r="CD228" s="114">
        <f t="shared" si="2109"/>
        <v>203</v>
      </c>
      <c r="CE228" s="113">
        <f t="shared" si="2110"/>
        <v>245</v>
      </c>
      <c r="CF228" s="114">
        <f t="shared" si="2111"/>
        <v>285</v>
      </c>
      <c r="CG228" s="113">
        <f t="shared" si="2112"/>
        <v>318</v>
      </c>
      <c r="CH228" s="111">
        <f t="shared" si="2113"/>
        <v>75</v>
      </c>
      <c r="CI228" s="113" t="str">
        <f t="shared" si="2114"/>
        <v>-</v>
      </c>
      <c r="CJ228" s="114">
        <f t="shared" si="2115"/>
        <v>110</v>
      </c>
      <c r="CK228" s="114">
        <f t="shared" si="2116"/>
        <v>114</v>
      </c>
      <c r="CL228" s="114">
        <f t="shared" si="2117"/>
        <v>150</v>
      </c>
      <c r="CM228" s="114">
        <f t="shared" si="2118"/>
        <v>160</v>
      </c>
      <c r="CN228" s="114">
        <f t="shared" si="2119"/>
        <v>182</v>
      </c>
      <c r="CO228" s="114">
        <f t="shared" si="2120"/>
        <v>198</v>
      </c>
      <c r="CP228" s="114">
        <f t="shared" si="2121"/>
        <v>241</v>
      </c>
      <c r="CQ228" s="114">
        <f t="shared" si="2122"/>
        <v>278</v>
      </c>
      <c r="CR228" s="114">
        <f t="shared" si="2123"/>
        <v>317</v>
      </c>
      <c r="CS228" s="114">
        <f t="shared" si="2124"/>
        <v>332</v>
      </c>
      <c r="CT228" s="109" t="e">
        <f t="shared" si="2125"/>
        <v>#VALUE!</v>
      </c>
    </row>
    <row r="229" spans="1:1029" s="12" customFormat="1" x14ac:dyDescent="0.2">
      <c r="A229" s="9" t="str">
        <f t="shared" ref="A229" si="2126">CONCATENATE(B229,"_",C229)</f>
        <v>cxcr2_human_6LFM</v>
      </c>
      <c r="B229" s="9" t="s">
        <v>186</v>
      </c>
      <c r="C229" s="9" t="s">
        <v>1724</v>
      </c>
      <c r="D229" s="9" t="str">
        <f>IFERROR(MID(VLOOKUP($B229,Seqs!$A:$B,2,0),E229,1),"")</f>
        <v>I</v>
      </c>
      <c r="E229" s="9">
        <v>46</v>
      </c>
      <c r="F229" s="9" t="str">
        <f>IFERROR(MID(VLOOKUP($B229,Seqs!$A:$B,2,0),G229,1),"")</f>
        <v>Y</v>
      </c>
      <c r="G229" s="9">
        <v>75</v>
      </c>
      <c r="H229" s="9" t="str">
        <f>IFERROR(MID(VLOOKUP($B229,Seqs!$A:$B,2,0),I229,1),"")</f>
        <v/>
      </c>
      <c r="I229" s="109" t="s">
        <v>23</v>
      </c>
      <c r="J229" s="9" t="str">
        <f>IFERROR(MID(VLOOKUP($B229,Seqs!$A:$B,2,0),K229,1),"")</f>
        <v/>
      </c>
      <c r="K229" s="109" t="s">
        <v>23</v>
      </c>
      <c r="L229" s="9" t="str">
        <f>IFERROR(MID(VLOOKUP($B229,Seqs!$A:$B,2,0),M229,1),"")</f>
        <v>S</v>
      </c>
      <c r="M229" s="9">
        <v>81</v>
      </c>
      <c r="N229" s="9" t="str">
        <f>IFERROR(MID(VLOOKUP($B229,Seqs!$A:$B,2,0),O229,1),"")</f>
        <v>V</v>
      </c>
      <c r="O229" s="9">
        <v>109</v>
      </c>
      <c r="P229" s="9" t="str">
        <f>IFERROR(MID(VLOOKUP($B229,Seqs!$A:$B,2,0),Q229,1),"")</f>
        <v>G</v>
      </c>
      <c r="Q229" s="9">
        <v>111</v>
      </c>
      <c r="R229" s="9" t="str">
        <f>IFERROR(MID(VLOOKUP($B229,Seqs!$A:$B,2,0),S229,1),"")</f>
        <v>F</v>
      </c>
      <c r="S229" s="9">
        <v>114</v>
      </c>
      <c r="T229" s="9" t="str">
        <f>IFERROR(MID(VLOOKUP($B229,Seqs!$A:$B,2,0),U229,1),"")</f>
        <v>T</v>
      </c>
      <c r="U229" s="9">
        <v>116</v>
      </c>
      <c r="V229" s="9" t="str">
        <f>IFERROR(MID(VLOOKUP($B229,Seqs!$A:$B,2,0),W229,1),"")</f>
        <v>H</v>
      </c>
      <c r="W229" s="9">
        <v>150</v>
      </c>
      <c r="X229" s="9" t="str">
        <f>IFERROR(MID(VLOOKUP($B229,Seqs!$A:$B,2,0),Y229,1),"")</f>
        <v>A</v>
      </c>
      <c r="Y229" s="9">
        <v>151</v>
      </c>
      <c r="Z229" s="9" t="str">
        <f>IFERROR(MID(VLOOKUP($B229,Seqs!$A:$B,2,0),AA229,1),"")</f>
        <v>Y</v>
      </c>
      <c r="AA229" s="9">
        <v>160</v>
      </c>
      <c r="AB229" s="9" t="str">
        <f>IFERROR(MID(VLOOKUP($B229,Seqs!$A:$B,2,0),AC229,1),"")</f>
        <v>L</v>
      </c>
      <c r="AC229" s="9">
        <v>161</v>
      </c>
      <c r="AD229" s="9" t="str">
        <f>IFERROR(MID(VLOOKUP($B229,Seqs!$A:$B,2,0),AE229,1),"")</f>
        <v>L</v>
      </c>
      <c r="AE229" s="9">
        <v>182</v>
      </c>
      <c r="AF229" s="9" t="str">
        <f>IFERROR(MID(VLOOKUP($B229,Seqs!$A:$B,2,0),AG229,1),"")</f>
        <v>C</v>
      </c>
      <c r="AG229" s="9">
        <v>196</v>
      </c>
      <c r="AH229" s="9" t="str">
        <f>IFERROR(MID(VLOOKUP($B229,Seqs!$A:$B,2,0),AI229,1),"")</f>
        <v>E</v>
      </c>
      <c r="AI229" s="9">
        <v>198</v>
      </c>
      <c r="AJ229" s="9" t="str">
        <f>IFERROR(MID(VLOOKUP($B229,Seqs!$A:$B,2,0),AK229,1),"")</f>
        <v>N</v>
      </c>
      <c r="AK229" s="9">
        <v>203</v>
      </c>
      <c r="AL229" s="9" t="str">
        <f>IFERROR(MID(VLOOKUP($B229,Seqs!$A:$B,2,0),AM229,1),"")</f>
        <v>A</v>
      </c>
      <c r="AM229" s="9">
        <v>241</v>
      </c>
      <c r="AN229" s="9" t="str">
        <f>IFERROR(MID(VLOOKUP($B229,Seqs!$A:$B,2,0),AO229,1),"")</f>
        <v>K</v>
      </c>
      <c r="AO229" s="9">
        <v>246</v>
      </c>
      <c r="AP229" s="9" t="str">
        <f>IFERROR(MID(VLOOKUP($B229,Seqs!$A:$B,2,0),AQ229,1),"")</f>
        <v>T</v>
      </c>
      <c r="AQ229" s="9">
        <v>279</v>
      </c>
      <c r="AR229" s="9" t="str">
        <f>IFERROR(MID(VLOOKUP($B229,Seqs!$A:$B,2,0),AS229,1),"")</f>
        <v>T</v>
      </c>
      <c r="AS229" s="9">
        <v>285</v>
      </c>
      <c r="AT229" s="9" t="str">
        <f>IFERROR(MID(VLOOKUP($B229,Seqs!$A:$B,2,0),AU229,1),"")</f>
        <v>I</v>
      </c>
      <c r="AU229" s="9">
        <v>317</v>
      </c>
      <c r="AV229" s="9" t="str">
        <f>IFERROR(MID(VLOOKUP($B229,Seqs!$A:$B,2,0),AW229,1),"")</f>
        <v>G</v>
      </c>
      <c r="AW229" s="9">
        <v>318</v>
      </c>
      <c r="AX229" s="9" t="str">
        <f>IFERROR(MID(VLOOKUP($B229,Seqs!$A:$B,2,0),AY229,1),"")</f>
        <v>I</v>
      </c>
      <c r="AY229" s="9">
        <v>331</v>
      </c>
      <c r="AZ229" s="110" t="str">
        <f>VLOOKUP(B229,Classification!A:D,2,0)</f>
        <v>A</v>
      </c>
      <c r="BA229" s="98" t="str">
        <f>VLOOKUP(B229,Classification!A:D,4,0)</f>
        <v>Chemokine</v>
      </c>
      <c r="BB229" s="36" t="b">
        <f t="shared" ref="BB229" si="2127"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109">
        <f t="shared" ref="BC229" si="2128">_xlfn.AGGREGATE(9,6,CH229:CS229)-_xlfn.AGGREGATE(9,6,BV229:CG229)+12</f>
        <v>254</v>
      </c>
      <c r="BD229" s="138" t="s">
        <v>23</v>
      </c>
      <c r="BE229" s="9" t="s">
        <v>1285</v>
      </c>
      <c r="BF229" s="119">
        <v>3.5</v>
      </c>
      <c r="BG229" s="51" t="s">
        <v>1416</v>
      </c>
      <c r="BH229" s="51" t="s">
        <v>1416</v>
      </c>
      <c r="BJ229" s="111" t="s">
        <v>1281</v>
      </c>
      <c r="BK229" s="112" t="s">
        <v>1281</v>
      </c>
      <c r="BL229" s="112" t="s">
        <v>1281</v>
      </c>
      <c r="BM229" s="112" t="s">
        <v>1281</v>
      </c>
      <c r="BN229" s="112" t="s">
        <v>1281</v>
      </c>
      <c r="BO229" s="112" t="s">
        <v>1281</v>
      </c>
      <c r="BP229" s="112" t="s">
        <v>1281</v>
      </c>
      <c r="BQ229" s="112" t="s">
        <v>1281</v>
      </c>
      <c r="BR229" s="112" t="s">
        <v>1281</v>
      </c>
      <c r="BS229" s="112" t="s">
        <v>1281</v>
      </c>
      <c r="BT229" s="112" t="s">
        <v>1281</v>
      </c>
      <c r="BU229" s="112" t="s">
        <v>1281</v>
      </c>
      <c r="BV229" s="111">
        <f t="shared" ref="BV229" si="2129">E229</f>
        <v>46</v>
      </c>
      <c r="BW229" s="113" t="str">
        <f t="shared" ref="BW229" si="2130">I229</f>
        <v>-</v>
      </c>
      <c r="BX229" s="114">
        <f t="shared" ref="BX229" si="2131">M229</f>
        <v>81</v>
      </c>
      <c r="BY229" s="113">
        <f t="shared" ref="BY229" si="2132">Q229</f>
        <v>111</v>
      </c>
      <c r="BZ229" s="114">
        <f t="shared" ref="BZ229" si="2133">U229</f>
        <v>116</v>
      </c>
      <c r="CA229" s="113">
        <f t="shared" ref="CA229" si="2134">Y229</f>
        <v>151</v>
      </c>
      <c r="CB229" s="114">
        <f t="shared" ref="CB229" si="2135">AC229</f>
        <v>161</v>
      </c>
      <c r="CC229" s="113">
        <f t="shared" ref="CC229" si="2136">AG229</f>
        <v>196</v>
      </c>
      <c r="CD229" s="114">
        <f t="shared" ref="CD229" si="2137">AK229</f>
        <v>203</v>
      </c>
      <c r="CE229" s="113">
        <f t="shared" ref="CE229" si="2138">AO229</f>
        <v>246</v>
      </c>
      <c r="CF229" s="114">
        <f t="shared" ref="CF229" si="2139">AS229</f>
        <v>285</v>
      </c>
      <c r="CG229" s="113">
        <f t="shared" ref="CG229" si="2140">AW229</f>
        <v>318</v>
      </c>
      <c r="CH229" s="111">
        <f t="shared" ref="CH229" si="2141">G229</f>
        <v>75</v>
      </c>
      <c r="CI229" s="113" t="str">
        <f t="shared" ref="CI229" si="2142">K229</f>
        <v>-</v>
      </c>
      <c r="CJ229" s="114">
        <f t="shared" ref="CJ229" si="2143">O229</f>
        <v>109</v>
      </c>
      <c r="CK229" s="114">
        <f t="shared" ref="CK229" si="2144">S229</f>
        <v>114</v>
      </c>
      <c r="CL229" s="114">
        <f t="shared" ref="CL229" si="2145">W229</f>
        <v>150</v>
      </c>
      <c r="CM229" s="114">
        <f t="shared" ref="CM229" si="2146">AA229</f>
        <v>160</v>
      </c>
      <c r="CN229" s="114">
        <f t="shared" ref="CN229" si="2147">AE229</f>
        <v>182</v>
      </c>
      <c r="CO229" s="114">
        <f t="shared" ref="CO229" si="2148">AI229</f>
        <v>198</v>
      </c>
      <c r="CP229" s="114">
        <f t="shared" ref="CP229" si="2149">AM229</f>
        <v>241</v>
      </c>
      <c r="CQ229" s="114">
        <f t="shared" ref="CQ229" si="2150">AQ229</f>
        <v>279</v>
      </c>
      <c r="CR229" s="114">
        <f t="shared" ref="CR229" si="2151">AU229</f>
        <v>317</v>
      </c>
      <c r="CS229" s="114">
        <f t="shared" ref="CS229" si="2152">AY229</f>
        <v>331</v>
      </c>
      <c r="CT229" s="109" t="e">
        <f t="shared" ref="CT229" si="2153">M229-K229</f>
        <v>#VALUE!</v>
      </c>
    </row>
    <row r="230" spans="1:1029" s="12" customFormat="1" x14ac:dyDescent="0.2">
      <c r="A230" s="9" t="str">
        <f t="shared" ref="A230" si="2154">CONCATENATE(B230,"_",C230)</f>
        <v>cxcr2_human_6LFL</v>
      </c>
      <c r="B230" s="9" t="s">
        <v>186</v>
      </c>
      <c r="C230" s="9" t="s">
        <v>1725</v>
      </c>
      <c r="D230" s="9" t="str">
        <f>IFERROR(MID(VLOOKUP($B230,Seqs!$A:$B,2,0),E230,1),"")</f>
        <v>I</v>
      </c>
      <c r="E230" s="9">
        <v>46</v>
      </c>
      <c r="F230" s="9" t="str">
        <f>IFERROR(MID(VLOOKUP($B230,Seqs!$A:$B,2,0),G230,1),"")</f>
        <v>Y</v>
      </c>
      <c r="G230" s="9">
        <v>75</v>
      </c>
      <c r="H230" s="9" t="str">
        <f>IFERROR(MID(VLOOKUP($B230,Seqs!$A:$B,2,0),I230,1),"")</f>
        <v>R</v>
      </c>
      <c r="I230" s="109">
        <v>77</v>
      </c>
      <c r="J230" s="9" t="str">
        <f>IFERROR(MID(VLOOKUP($B230,Seqs!$A:$B,2,0),K230,1),"")</f>
        <v>R</v>
      </c>
      <c r="K230" s="109">
        <v>80</v>
      </c>
      <c r="L230" s="9" t="str">
        <f>IFERROR(MID(VLOOKUP($B230,Seqs!$A:$B,2,0),M230,1),"")</f>
        <v>S</v>
      </c>
      <c r="M230" s="9">
        <v>81</v>
      </c>
      <c r="N230" s="9" t="str">
        <f>IFERROR(MID(VLOOKUP($B230,Seqs!$A:$B,2,0),O230,1),"")</f>
        <v>N</v>
      </c>
      <c r="O230" s="9">
        <v>110</v>
      </c>
      <c r="P230" s="9" t="str">
        <f>IFERROR(MID(VLOOKUP($B230,Seqs!$A:$B,2,0),Q230,1),"")</f>
        <v>G</v>
      </c>
      <c r="Q230" s="9">
        <v>111</v>
      </c>
      <c r="R230" s="9" t="str">
        <f>IFERROR(MID(VLOOKUP($B230,Seqs!$A:$B,2,0),S230,1),"")</f>
        <v>F</v>
      </c>
      <c r="S230" s="9">
        <v>114</v>
      </c>
      <c r="T230" s="9" t="str">
        <f>IFERROR(MID(VLOOKUP($B230,Seqs!$A:$B,2,0),U230,1),"")</f>
        <v>G</v>
      </c>
      <c r="U230" s="9">
        <v>115</v>
      </c>
      <c r="V230" s="9" t="str">
        <f>IFERROR(MID(VLOOKUP($B230,Seqs!$A:$B,2,0),W230,1),"")</f>
        <v>H</v>
      </c>
      <c r="W230" s="9">
        <v>150</v>
      </c>
      <c r="X230" s="9" t="str">
        <f>IFERROR(MID(VLOOKUP($B230,Seqs!$A:$B,2,0),Y230,1),"")</f>
        <v/>
      </c>
      <c r="Y230" s="9" t="s">
        <v>23</v>
      </c>
      <c r="Z230" s="9" t="str">
        <f>IFERROR(MID(VLOOKUP($B230,Seqs!$A:$B,2,0),AA230,1),"")</f>
        <v/>
      </c>
      <c r="AA230" s="9" t="s">
        <v>23</v>
      </c>
      <c r="AB230" s="9" t="str">
        <f>IFERROR(MID(VLOOKUP($B230,Seqs!$A:$B,2,0),AC230,1),"")</f>
        <v>K</v>
      </c>
      <c r="AC230" s="9">
        <v>158</v>
      </c>
      <c r="AD230" s="9" t="str">
        <f>IFERROR(MID(VLOOKUP($B230,Seqs!$A:$B,2,0),AE230,1),"")</f>
        <v>R</v>
      </c>
      <c r="AE230" s="9">
        <v>184</v>
      </c>
      <c r="AF230" s="9" t="str">
        <f>IFERROR(MID(VLOOKUP($B230,Seqs!$A:$B,2,0),AG230,1),"")</f>
        <v>C</v>
      </c>
      <c r="AG230" s="9">
        <v>196</v>
      </c>
      <c r="AH230" s="9" t="str">
        <f>IFERROR(MID(VLOOKUP($B230,Seqs!$A:$B,2,0),AI230,1),"")</f>
        <v>E</v>
      </c>
      <c r="AI230" s="9">
        <v>198</v>
      </c>
      <c r="AJ230" s="9" t="str">
        <f>IFERROR(MID(VLOOKUP($B230,Seqs!$A:$B,2,0),AK230,1),"")</f>
        <v>A</v>
      </c>
      <c r="AK230" s="9">
        <v>205</v>
      </c>
      <c r="AL230" s="9" t="str">
        <f>IFERROR(MID(VLOOKUP($B230,Seqs!$A:$B,2,0),AM230,1),"")</f>
        <v>K</v>
      </c>
      <c r="AM230" s="9">
        <v>240</v>
      </c>
      <c r="AN230" s="9" t="str">
        <f>IFERROR(MID(VLOOKUP($B230,Seqs!$A:$B,2,0),AO230,1),"")</f>
        <v>K</v>
      </c>
      <c r="AO230" s="9">
        <v>246</v>
      </c>
      <c r="AP230" s="9" t="str">
        <f>IFERROR(MID(VLOOKUP($B230,Seqs!$A:$B,2,0),AQ230,1),"")</f>
        <v>T</v>
      </c>
      <c r="AQ230" s="9">
        <v>279</v>
      </c>
      <c r="AR230" s="9" t="str">
        <f>IFERROR(MID(VLOOKUP($B230,Seqs!$A:$B,2,0),AS230,1),"")</f>
        <v>R</v>
      </c>
      <c r="AS230" s="9">
        <v>289</v>
      </c>
      <c r="AT230" s="9" t="str">
        <f>IFERROR(MID(VLOOKUP($B230,Seqs!$A:$B,2,0),AU230,1),"")</f>
        <v>I</v>
      </c>
      <c r="AU230" s="9">
        <v>317</v>
      </c>
      <c r="AV230" s="9" t="str">
        <f>IFERROR(MID(VLOOKUP($B230,Seqs!$A:$B,2,0),AW230,1),"")</f>
        <v>G</v>
      </c>
      <c r="AW230" s="9">
        <v>318</v>
      </c>
      <c r="AX230" s="9" t="str">
        <f>IFERROR(MID(VLOOKUP($B230,Seqs!$A:$B,2,0),AY230,1),"")</f>
        <v>H</v>
      </c>
      <c r="AY230" s="9">
        <v>332</v>
      </c>
      <c r="AZ230" s="110" t="str">
        <f>VLOOKUP(B230,Classification!A:D,2,0)</f>
        <v>A</v>
      </c>
      <c r="BA230" s="98" t="str">
        <f>VLOOKUP(B230,Classification!A:D,4,0)</f>
        <v>Chemokine</v>
      </c>
      <c r="BB230" s="36" t="b">
        <f t="shared" ref="BB230" si="2155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109">
        <f t="shared" ref="BC230" si="2156">_xlfn.AGGREGATE(9,6,CH230:CS230)-_xlfn.AGGREGATE(9,6,BV230:CG230)+12</f>
        <v>249</v>
      </c>
      <c r="BD230" s="138" t="s">
        <v>1370</v>
      </c>
      <c r="BE230" s="9" t="s">
        <v>1368</v>
      </c>
      <c r="BF230" s="119">
        <v>3.2</v>
      </c>
      <c r="BG230" s="51" t="s">
        <v>1</v>
      </c>
      <c r="BH230" s="51" t="s">
        <v>1</v>
      </c>
      <c r="BJ230" s="111" t="s">
        <v>1281</v>
      </c>
      <c r="BK230" s="112" t="s">
        <v>1281</v>
      </c>
      <c r="BL230" s="112" t="s">
        <v>1281</v>
      </c>
      <c r="BM230" s="112" t="s">
        <v>1281</v>
      </c>
      <c r="BN230" s="112" t="s">
        <v>1281</v>
      </c>
      <c r="BO230" s="112" t="s">
        <v>1281</v>
      </c>
      <c r="BP230" s="112" t="s">
        <v>1281</v>
      </c>
      <c r="BQ230" s="112" t="s">
        <v>1281</v>
      </c>
      <c r="BR230" s="112" t="s">
        <v>1281</v>
      </c>
      <c r="BS230" s="112" t="s">
        <v>1281</v>
      </c>
      <c r="BT230" s="112" t="s">
        <v>1281</v>
      </c>
      <c r="BU230" s="112" t="s">
        <v>1281</v>
      </c>
      <c r="BV230" s="111">
        <f t="shared" ref="BV230" si="2157">E230</f>
        <v>46</v>
      </c>
      <c r="BW230" s="113">
        <f t="shared" ref="BW230" si="2158">I230</f>
        <v>77</v>
      </c>
      <c r="BX230" s="114">
        <f t="shared" ref="BX230" si="2159">M230</f>
        <v>81</v>
      </c>
      <c r="BY230" s="113">
        <f t="shared" ref="BY230" si="2160">Q230</f>
        <v>111</v>
      </c>
      <c r="BZ230" s="114">
        <f t="shared" ref="BZ230" si="2161">U230</f>
        <v>115</v>
      </c>
      <c r="CA230" s="113" t="str">
        <f t="shared" ref="CA230" si="2162">Y230</f>
        <v>-</v>
      </c>
      <c r="CB230" s="114">
        <f t="shared" ref="CB230" si="2163">AC230</f>
        <v>158</v>
      </c>
      <c r="CC230" s="113">
        <f t="shared" ref="CC230" si="2164">AG230</f>
        <v>196</v>
      </c>
      <c r="CD230" s="114">
        <f t="shared" ref="CD230" si="2165">AK230</f>
        <v>205</v>
      </c>
      <c r="CE230" s="113">
        <f t="shared" ref="CE230" si="2166">AO230</f>
        <v>246</v>
      </c>
      <c r="CF230" s="114">
        <f t="shared" ref="CF230" si="2167">AS230</f>
        <v>289</v>
      </c>
      <c r="CG230" s="113">
        <f t="shared" ref="CG230" si="2168">AW230</f>
        <v>318</v>
      </c>
      <c r="CH230" s="111">
        <f t="shared" ref="CH230" si="2169">G230</f>
        <v>75</v>
      </c>
      <c r="CI230" s="113">
        <f t="shared" ref="CI230" si="2170">K230</f>
        <v>80</v>
      </c>
      <c r="CJ230" s="114">
        <f t="shared" ref="CJ230" si="2171">O230</f>
        <v>110</v>
      </c>
      <c r="CK230" s="114">
        <f t="shared" ref="CK230" si="2172">S230</f>
        <v>114</v>
      </c>
      <c r="CL230" s="114">
        <f t="shared" ref="CL230" si="2173">W230</f>
        <v>150</v>
      </c>
      <c r="CM230" s="114" t="str">
        <f t="shared" ref="CM230" si="2174">AA230</f>
        <v>-</v>
      </c>
      <c r="CN230" s="114">
        <f t="shared" ref="CN230" si="2175">AE230</f>
        <v>184</v>
      </c>
      <c r="CO230" s="114">
        <f t="shared" ref="CO230" si="2176">AI230</f>
        <v>198</v>
      </c>
      <c r="CP230" s="114">
        <f t="shared" ref="CP230" si="2177">AM230</f>
        <v>240</v>
      </c>
      <c r="CQ230" s="114">
        <f t="shared" ref="CQ230" si="2178">AQ230</f>
        <v>279</v>
      </c>
      <c r="CR230" s="114">
        <f t="shared" ref="CR230" si="2179">AU230</f>
        <v>317</v>
      </c>
      <c r="CS230" s="114">
        <f t="shared" ref="CS230" si="2180">AY230</f>
        <v>332</v>
      </c>
      <c r="CT230" s="109">
        <f t="shared" ref="CT230" si="2181">M230-K230</f>
        <v>1</v>
      </c>
    </row>
    <row r="231" spans="1:1029" x14ac:dyDescent="0.2">
      <c r="A231" s="3" t="str">
        <f t="shared" si="1371"/>
        <v>cxcr4_human__wt</v>
      </c>
      <c r="B231" s="3" t="s">
        <v>1165</v>
      </c>
      <c r="C231" s="3" t="s">
        <v>100</v>
      </c>
      <c r="D231" s="3" t="str">
        <f>IFERROR(MID(VLOOKUP($B231,Seqs!$A:$B,2,0),E231,1),"")</f>
        <v>R</v>
      </c>
      <c r="E231" s="3">
        <v>30</v>
      </c>
      <c r="F231" s="3" t="str">
        <f>IFERROR(MID(VLOOKUP($B231,Seqs!$A:$B,2,0),G231,1),"")</f>
        <v>Q</v>
      </c>
      <c r="G231" s="3">
        <v>66</v>
      </c>
      <c r="H231" s="3" t="str">
        <f>IFERROR(MID(VLOOKUP($B231,Seqs!$A:$B,2,0),I231,1),"")</f>
        <v>K</v>
      </c>
      <c r="I231" s="23">
        <v>67</v>
      </c>
      <c r="J231" s="3" t="str">
        <f>IFERROR(MID(VLOOKUP($B231,Seqs!$A:$B,2,0),K231,1),"")</f>
        <v>R</v>
      </c>
      <c r="K231" s="23">
        <v>70</v>
      </c>
      <c r="L231" s="3" t="str">
        <f>IFERROR(MID(VLOOKUP($B231,Seqs!$A:$B,2,0),M231,1),"")</f>
        <v>S</v>
      </c>
      <c r="M231" s="3">
        <v>71</v>
      </c>
      <c r="N231" s="3" t="str">
        <f>IFERROR(MID(VLOOKUP($B231,Seqs!$A:$B,2,0),O231,1),"")</f>
        <v>A</v>
      </c>
      <c r="O231" s="3">
        <v>100</v>
      </c>
      <c r="P231" s="3" t="str">
        <f>IFERROR(MID(VLOOKUP($B231,Seqs!$A:$B,2,0),Q231,1),"")</f>
        <v>N</v>
      </c>
      <c r="Q231" s="3">
        <v>101</v>
      </c>
      <c r="R231" s="3" t="str">
        <f>IFERROR(MID(VLOOKUP($B231,Seqs!$A:$B,2,0),S231,1),"")</f>
        <v>F</v>
      </c>
      <c r="S231" s="3">
        <v>104</v>
      </c>
      <c r="T231" s="3" t="str">
        <f>IFERROR(MID(VLOOKUP($B231,Seqs!$A:$B,2,0),U231,1),"")</f>
        <v>G</v>
      </c>
      <c r="U231" s="3">
        <v>105</v>
      </c>
      <c r="V231" s="3" t="str">
        <f>IFERROR(MID(VLOOKUP($B231,Seqs!$A:$B,2,0),W231,1),"")</f>
        <v>H</v>
      </c>
      <c r="W231" s="3">
        <v>140</v>
      </c>
      <c r="X231" s="3" t="str">
        <f>IFERROR(MID(VLOOKUP($B231,Seqs!$A:$B,2,0),Y231,1),"")</f>
        <v>A</v>
      </c>
      <c r="Y231" s="3">
        <v>141</v>
      </c>
      <c r="Z231" s="3" t="str">
        <f>IFERROR(MID(VLOOKUP($B231,Seqs!$A:$B,2,0),AA231,1),"")</f>
        <v>R</v>
      </c>
      <c r="AA231" s="3">
        <v>148</v>
      </c>
      <c r="AB231" s="3" t="str">
        <f>IFERROR(MID(VLOOKUP($B231,Seqs!$A:$B,2,0),AC231,1),"")</f>
        <v>K</v>
      </c>
      <c r="AC231" s="3">
        <v>149</v>
      </c>
      <c r="AD231" s="3" t="str">
        <f>IFERROR(MID(VLOOKUP($B231,Seqs!$A:$B,2,0),AE231,1),"")</f>
        <v>A</v>
      </c>
      <c r="AE231" s="3">
        <v>175</v>
      </c>
      <c r="AF231" s="3" t="str">
        <f>IFERROR(MID(VLOOKUP($B231,Seqs!$A:$B,2,0),AG231,1),"")</f>
        <v>C</v>
      </c>
      <c r="AG231" s="3">
        <v>186</v>
      </c>
      <c r="AH231" s="3" t="str">
        <f>IFERROR(MID(VLOOKUP($B231,Seqs!$A:$B,2,0),AI231,1),"")</f>
        <v>R</v>
      </c>
      <c r="AI231" s="3">
        <v>188</v>
      </c>
      <c r="AJ231" s="3" t="str">
        <f>IFERROR(MID(VLOOKUP($B231,Seqs!$A:$B,2,0),AK231,1),"")</f>
        <v>D</v>
      </c>
      <c r="AK231" s="3">
        <v>193</v>
      </c>
      <c r="AL231" s="3" t="str">
        <f>IFERROR(MID(VLOOKUP($B231,Seqs!$A:$B,2,0),AM231,1),"")</f>
        <v>S</v>
      </c>
      <c r="AM231" s="3">
        <v>229</v>
      </c>
      <c r="AN231" s="3" t="str">
        <f>IFERROR(MID(VLOOKUP($B231,Seqs!$A:$B,2,0),AO231,1),"")</f>
        <v>K</v>
      </c>
      <c r="AO231" s="3">
        <v>234</v>
      </c>
      <c r="AP231" s="3" t="str">
        <f>IFERROR(MID(VLOOKUP($B231,Seqs!$A:$B,2,0),AQ231,1),"")</f>
        <v>E</v>
      </c>
      <c r="AQ231" s="3">
        <v>268</v>
      </c>
      <c r="AR231" s="3" t="str">
        <f>IFERROR(MID(VLOOKUP($B231,Seqs!$A:$B,2,0),AS231,1),"")</f>
        <v>G</v>
      </c>
      <c r="AS231" s="3">
        <v>273</v>
      </c>
      <c r="AT231" s="3" t="str">
        <f>IFERROR(MID(VLOOKUP($B231,Seqs!$A:$B,2,0),AU231,1),"")</f>
        <v>L</v>
      </c>
      <c r="AU231" s="3">
        <v>305</v>
      </c>
      <c r="AV231" s="3" t="str">
        <f>IFERROR(MID(VLOOKUP($B231,Seqs!$A:$B,2,0),AW231,1),"")</f>
        <v>G</v>
      </c>
      <c r="AW231" s="3">
        <v>306</v>
      </c>
      <c r="AX231" s="3" t="str">
        <f>IFERROR(MID(VLOOKUP($B231,Seqs!$A:$B,2,0),AY231,1),"")</f>
        <v>T</v>
      </c>
      <c r="AY231" s="3">
        <v>318</v>
      </c>
      <c r="AZ231" s="77" t="str">
        <f>VLOOKUP(B231,Classification!A:D,2,0)</f>
        <v>A</v>
      </c>
      <c r="BA231" s="94" t="str">
        <f>VLOOKUP(B231,Classification!A:D,4,0)</f>
        <v>Chemokine</v>
      </c>
      <c r="BB231" s="27" t="b">
        <f t="shared" si="1372"/>
        <v>1</v>
      </c>
      <c r="BC231" s="23">
        <f t="shared" ref="BC231:BC240" si="2182">_xlfn.AGGREGATE(9,6,CH231:CS231)-_xlfn.AGGREGATE(9,6,BV231:CG231)+12</f>
        <v>267</v>
      </c>
      <c r="BD231" s="34" t="s">
        <v>23</v>
      </c>
      <c r="BE231" s="3" t="s">
        <v>23</v>
      </c>
      <c r="BF231" s="118" t="s">
        <v>23</v>
      </c>
      <c r="BG231" s="49" t="s">
        <v>1366</v>
      </c>
      <c r="BH231" s="49" t="s">
        <v>1371</v>
      </c>
      <c r="BI231" s="1"/>
      <c r="BJ231" s="70" t="s">
        <v>1281</v>
      </c>
      <c r="BK231" s="57" t="s">
        <v>1281</v>
      </c>
      <c r="BL231" s="57" t="s">
        <v>1281</v>
      </c>
      <c r="BM231" s="57" t="s">
        <v>1281</v>
      </c>
      <c r="BN231" s="57" t="s">
        <v>1281</v>
      </c>
      <c r="BO231" s="57" t="s">
        <v>1281</v>
      </c>
      <c r="BP231" s="57" t="s">
        <v>1281</v>
      </c>
      <c r="BQ231" s="57" t="s">
        <v>1281</v>
      </c>
      <c r="BR231" s="57" t="s">
        <v>1281</v>
      </c>
      <c r="BS231" s="57" t="s">
        <v>1281</v>
      </c>
      <c r="BT231" s="57" t="s">
        <v>1281</v>
      </c>
      <c r="BU231" s="57" t="s">
        <v>1281</v>
      </c>
      <c r="BV231" s="70">
        <f t="shared" ref="BV231:BV240" si="2183">E231</f>
        <v>30</v>
      </c>
      <c r="BW231" s="71">
        <f t="shared" ref="BW231:BW240" si="2184">I231</f>
        <v>67</v>
      </c>
      <c r="BX231" s="72">
        <f t="shared" ref="BX231:BX240" si="2185">M231</f>
        <v>71</v>
      </c>
      <c r="BY231" s="71">
        <f t="shared" ref="BY231:BY240" si="2186">Q231</f>
        <v>101</v>
      </c>
      <c r="BZ231" s="72">
        <f t="shared" ref="BZ231:BZ240" si="2187">U231</f>
        <v>105</v>
      </c>
      <c r="CA231" s="71">
        <f t="shared" ref="CA231:CA240" si="2188">Y231</f>
        <v>141</v>
      </c>
      <c r="CB231" s="72">
        <f t="shared" ref="CB231:CB240" si="2189">AC231</f>
        <v>149</v>
      </c>
      <c r="CC231" s="71">
        <f t="shared" ref="CC231:CC240" si="2190">AG231</f>
        <v>186</v>
      </c>
      <c r="CD231" s="72">
        <f t="shared" ref="CD231:CD240" si="2191">AK231</f>
        <v>193</v>
      </c>
      <c r="CE231" s="71">
        <f t="shared" ref="CE231:CE240" si="2192">AO231</f>
        <v>234</v>
      </c>
      <c r="CF231" s="72">
        <f t="shared" ref="CF231:CF240" si="2193">AS231</f>
        <v>273</v>
      </c>
      <c r="CG231" s="71">
        <f t="shared" ref="CG231:CG240" si="2194">AW231</f>
        <v>306</v>
      </c>
      <c r="CH231" s="70">
        <f t="shared" ref="CH231:CH240" si="2195">G231</f>
        <v>66</v>
      </c>
      <c r="CI231" s="71">
        <f t="shared" ref="CI231:CI240" si="2196">K231</f>
        <v>70</v>
      </c>
      <c r="CJ231" s="72">
        <f t="shared" ref="CJ231:CJ240" si="2197">O231</f>
        <v>100</v>
      </c>
      <c r="CK231" s="72">
        <f t="shared" ref="CK231:CK240" si="2198">S231</f>
        <v>104</v>
      </c>
      <c r="CL231" s="72">
        <f t="shared" ref="CL231:CL240" si="2199">W231</f>
        <v>140</v>
      </c>
      <c r="CM231" s="72">
        <f t="shared" ref="CM231:CM240" si="2200">AA231</f>
        <v>148</v>
      </c>
      <c r="CN231" s="72">
        <f t="shared" ref="CN231:CN240" si="2201">AE231</f>
        <v>175</v>
      </c>
      <c r="CO231" s="72">
        <f t="shared" ref="CO231:CO240" si="2202">AI231</f>
        <v>188</v>
      </c>
      <c r="CP231" s="72">
        <f t="shared" ref="CP231:CP240" si="2203">AM231</f>
        <v>229</v>
      </c>
      <c r="CQ231" s="72">
        <f t="shared" ref="CQ231:CQ240" si="2204">AQ231</f>
        <v>268</v>
      </c>
      <c r="CR231" s="72">
        <f t="shared" ref="CR231:CR240" si="2205">AU231</f>
        <v>305</v>
      </c>
      <c r="CS231" s="72">
        <f t="shared" ref="CS231:CS240" si="2206">AY231</f>
        <v>318</v>
      </c>
      <c r="CT231" s="23">
        <f t="shared" ref="CT231:CT240" si="2207">M231-K231</f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3" t="str">
        <f t="shared" si="1371"/>
        <v>cxcr4_human_3ODU</v>
      </c>
      <c r="B232" s="3" t="s">
        <v>1165</v>
      </c>
      <c r="C232" s="3" t="s">
        <v>63</v>
      </c>
      <c r="D232" s="3" t="str">
        <f>IFERROR(MID(VLOOKUP($B232,Seqs!$A:$B,2,0),E232,1),"")</f>
        <v>A</v>
      </c>
      <c r="E232" s="3">
        <v>34</v>
      </c>
      <c r="F232" s="3" t="str">
        <f>IFERROR(MID(VLOOKUP($B232,Seqs!$A:$B,2,0),G232,1),"")</f>
        <v>Q</v>
      </c>
      <c r="G232" s="3">
        <v>66</v>
      </c>
      <c r="H232" s="3" t="str">
        <f>IFERROR(MID(VLOOKUP($B232,Seqs!$A:$B,2,0),I232,1),"")</f>
        <v/>
      </c>
      <c r="I232" s="23" t="s">
        <v>23</v>
      </c>
      <c r="J232" s="3" t="str">
        <f>IFERROR(MID(VLOOKUP($B232,Seqs!$A:$B,2,0),K232,1),"")</f>
        <v/>
      </c>
      <c r="K232" s="23" t="s">
        <v>23</v>
      </c>
      <c r="L232" s="3" t="str">
        <f>IFERROR(MID(VLOOKUP($B232,Seqs!$A:$B,2,0),M232,1),"")</f>
        <v>S</v>
      </c>
      <c r="M232" s="3">
        <v>71</v>
      </c>
      <c r="N232" s="3" t="str">
        <f>IFERROR(MID(VLOOKUP($B232,Seqs!$A:$B,2,0),O232,1),"")</f>
        <v>A</v>
      </c>
      <c r="O232" s="3">
        <v>100</v>
      </c>
      <c r="P232" s="3" t="str">
        <f>IFERROR(MID(VLOOKUP($B232,Seqs!$A:$B,2,0),Q232,1),"")</f>
        <v>N</v>
      </c>
      <c r="Q232" s="3">
        <v>101</v>
      </c>
      <c r="R232" s="3" t="str">
        <f>IFERROR(MID(VLOOKUP($B232,Seqs!$A:$B,2,0),S232,1),"")</f>
        <v>F</v>
      </c>
      <c r="S232" s="3">
        <v>104</v>
      </c>
      <c r="T232" s="3" t="str">
        <f>IFERROR(MID(VLOOKUP($B232,Seqs!$A:$B,2,0),U232,1),"")</f>
        <v>G</v>
      </c>
      <c r="U232" s="3">
        <v>105</v>
      </c>
      <c r="V232" s="3" t="str">
        <f>IFERROR(MID(VLOOKUP($B232,Seqs!$A:$B,2,0),W232,1),"")</f>
        <v>H</v>
      </c>
      <c r="W232" s="3">
        <v>140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S</v>
      </c>
      <c r="AC232" s="3">
        <v>144</v>
      </c>
      <c r="AD232" s="3" t="str">
        <f>IFERROR(MID(VLOOKUP($B232,Seqs!$A:$B,2,0),AE232,1),"")</f>
        <v>A</v>
      </c>
      <c r="AE232" s="3">
        <v>175</v>
      </c>
      <c r="AF232" s="3" t="str">
        <f>IFERROR(MID(VLOOKUP($B232,Seqs!$A:$B,2,0),AG232,1),"")</f>
        <v>C</v>
      </c>
      <c r="AG232" s="3">
        <v>186</v>
      </c>
      <c r="AH232" s="3" t="str">
        <f>IFERROR(MID(VLOOKUP($B232,Seqs!$A:$B,2,0),AI232,1),"")</f>
        <v>R</v>
      </c>
      <c r="AI232" s="3">
        <v>188</v>
      </c>
      <c r="AJ232" s="3" t="str">
        <f>IFERROR(MID(VLOOKUP($B232,Seqs!$A:$B,2,0),AK232,1),"")</f>
        <v>D</v>
      </c>
      <c r="AK232" s="3">
        <v>193</v>
      </c>
      <c r="AL232" s="3" t="str">
        <f>IFERROR(MID(VLOOKUP($B232,Seqs!$A:$B,2,0),AM232,1),"")</f>
        <v>K</v>
      </c>
      <c r="AM232" s="3">
        <v>225</v>
      </c>
      <c r="AN232" s="3" t="str">
        <f>IFERROR(MID(VLOOKUP($B232,Seqs!$A:$B,2,0),AO232,1),"")</f>
        <v>G</v>
      </c>
      <c r="AO232" s="3">
        <v>231</v>
      </c>
      <c r="AP232" s="3" t="str">
        <f>IFERROR(MID(VLOOKUP($B232,Seqs!$A:$B,2,0),AQ232,1),"")</f>
        <v>E</v>
      </c>
      <c r="AQ232" s="3">
        <v>268</v>
      </c>
      <c r="AR232" s="3" t="str">
        <f>IFERROR(MID(VLOOKUP($B232,Seqs!$A:$B,2,0),AS232,1),"")</f>
        <v>G</v>
      </c>
      <c r="AS232" s="3">
        <v>273</v>
      </c>
      <c r="AT232" s="3" t="str">
        <f>IFERROR(MID(VLOOKUP($B232,Seqs!$A:$B,2,0),AU232,1),"")</f>
        <v>I</v>
      </c>
      <c r="AU232" s="3">
        <v>300</v>
      </c>
      <c r="AV232" s="3" t="str">
        <f>IFERROR(MID(VLOOKUP($B232,Seqs!$A:$B,2,0),AW232,1),"")</f>
        <v/>
      </c>
      <c r="AW232" s="3" t="s">
        <v>23</v>
      </c>
      <c r="AX232" s="3" t="str">
        <f>IFERROR(MID(VLOOKUP($B232,Seqs!$A:$B,2,0),AY232,1),"")</f>
        <v/>
      </c>
      <c r="AY232" s="3" t="s">
        <v>23</v>
      </c>
      <c r="AZ232" s="77" t="str">
        <f>VLOOKUP(B232,Classification!A:D,2,0)</f>
        <v>A</v>
      </c>
      <c r="BA232" s="94" t="str">
        <f>VLOOKUP(B232,Classification!A:D,4,0)</f>
        <v>Chemokine</v>
      </c>
      <c r="BB232" s="27" t="b">
        <f t="shared" si="1372"/>
        <v>1</v>
      </c>
      <c r="BC232" s="23">
        <f t="shared" si="2182"/>
        <v>240</v>
      </c>
      <c r="BD232" s="2" t="s">
        <v>1370</v>
      </c>
      <c r="BE232" s="3" t="s">
        <v>1368</v>
      </c>
      <c r="BF232" s="118">
        <v>2.5</v>
      </c>
      <c r="BG232" s="49" t="s">
        <v>1371</v>
      </c>
      <c r="BH232" s="49" t="s">
        <v>1371</v>
      </c>
      <c r="BI232" s="1"/>
      <c r="BJ232" s="70" t="s">
        <v>1281</v>
      </c>
      <c r="BK232" s="57" t="s">
        <v>1281</v>
      </c>
      <c r="BL232" s="57" t="s">
        <v>1281</v>
      </c>
      <c r="BM232" s="57" t="s">
        <v>1281</v>
      </c>
      <c r="BN232" s="57" t="s">
        <v>1281</v>
      </c>
      <c r="BO232" s="57" t="s">
        <v>1281</v>
      </c>
      <c r="BP232" s="57" t="s">
        <v>1281</v>
      </c>
      <c r="BQ232" s="57" t="s">
        <v>1281</v>
      </c>
      <c r="BR232" s="57" t="s">
        <v>1281</v>
      </c>
      <c r="BS232" s="57" t="s">
        <v>1281</v>
      </c>
      <c r="BT232" s="57" t="s">
        <v>1281</v>
      </c>
      <c r="BU232" s="57" t="s">
        <v>1281</v>
      </c>
      <c r="BV232" s="70">
        <f t="shared" si="2183"/>
        <v>34</v>
      </c>
      <c r="BW232" s="71" t="str">
        <f t="shared" si="2184"/>
        <v>-</v>
      </c>
      <c r="BX232" s="72">
        <f t="shared" si="2185"/>
        <v>71</v>
      </c>
      <c r="BY232" s="71">
        <f t="shared" si="2186"/>
        <v>101</v>
      </c>
      <c r="BZ232" s="72">
        <f t="shared" si="2187"/>
        <v>105</v>
      </c>
      <c r="CA232" s="71" t="str">
        <f t="shared" si="2188"/>
        <v>-</v>
      </c>
      <c r="CB232" s="72">
        <f t="shared" si="2189"/>
        <v>144</v>
      </c>
      <c r="CC232" s="71">
        <f t="shared" si="2190"/>
        <v>186</v>
      </c>
      <c r="CD232" s="72">
        <f t="shared" si="2191"/>
        <v>193</v>
      </c>
      <c r="CE232" s="71">
        <f t="shared" si="2192"/>
        <v>231</v>
      </c>
      <c r="CF232" s="72">
        <f t="shared" si="2193"/>
        <v>273</v>
      </c>
      <c r="CG232" s="71" t="str">
        <f t="shared" si="2194"/>
        <v>-</v>
      </c>
      <c r="CH232" s="70">
        <f t="shared" si="2195"/>
        <v>66</v>
      </c>
      <c r="CI232" s="71" t="str">
        <f t="shared" si="2196"/>
        <v>-</v>
      </c>
      <c r="CJ232" s="72">
        <f t="shared" si="2197"/>
        <v>100</v>
      </c>
      <c r="CK232" s="72">
        <f t="shared" si="2198"/>
        <v>104</v>
      </c>
      <c r="CL232" s="72">
        <f t="shared" si="2199"/>
        <v>140</v>
      </c>
      <c r="CM232" s="72" t="str">
        <f t="shared" si="2200"/>
        <v>-</v>
      </c>
      <c r="CN232" s="72">
        <f t="shared" si="2201"/>
        <v>175</v>
      </c>
      <c r="CO232" s="72">
        <f t="shared" si="2202"/>
        <v>188</v>
      </c>
      <c r="CP232" s="72">
        <f t="shared" si="2203"/>
        <v>225</v>
      </c>
      <c r="CQ232" s="72">
        <f t="shared" si="2204"/>
        <v>268</v>
      </c>
      <c r="CR232" s="72">
        <f t="shared" si="2205"/>
        <v>300</v>
      </c>
      <c r="CS232" s="72" t="str">
        <f t="shared" si="2206"/>
        <v>-</v>
      </c>
      <c r="CT232" s="23" t="e">
        <f t="shared" si="2207"/>
        <v>#VALUE!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 t="shared" si="1371"/>
        <v>cxcr4_human_3OE0</v>
      </c>
      <c r="B233" s="3" t="s">
        <v>1165</v>
      </c>
      <c r="C233" s="3" t="s">
        <v>1025</v>
      </c>
      <c r="D233" s="3" t="str">
        <f>IFERROR(MID(VLOOKUP($B233,Seqs!$A:$B,2,0),E233,1),"")</f>
        <v>A</v>
      </c>
      <c r="E233" s="3">
        <v>34</v>
      </c>
      <c r="F233" s="3" t="str">
        <f>IFERROR(MID(VLOOKUP($B233,Seqs!$A:$B,2,0),G233,1),"")</f>
        <v>Q</v>
      </c>
      <c r="G233" s="3">
        <v>66</v>
      </c>
      <c r="H233" s="3" t="str">
        <f>IFERROR(MID(VLOOKUP($B233,Seqs!$A:$B,2,0),I233,1),"")</f>
        <v/>
      </c>
      <c r="I233" s="23" t="s">
        <v>23</v>
      </c>
      <c r="J233" s="3" t="str">
        <f>IFERROR(MID(VLOOKUP($B233,Seqs!$A:$B,2,0),K233,1),"")</f>
        <v/>
      </c>
      <c r="K233" s="23" t="s">
        <v>23</v>
      </c>
      <c r="L233" s="3" t="str">
        <f>IFERROR(MID(VLOOKUP($B233,Seqs!$A:$B,2,0),M233,1),"")</f>
        <v>S</v>
      </c>
      <c r="M233" s="3">
        <v>71</v>
      </c>
      <c r="N233" s="3" t="str">
        <f>IFERROR(MID(VLOOKUP($B233,Seqs!$A:$B,2,0),O233,1),"")</f>
        <v>A</v>
      </c>
      <c r="O233" s="3">
        <v>100</v>
      </c>
      <c r="P233" s="3" t="str">
        <f>IFERROR(MID(VLOOKUP($B233,Seqs!$A:$B,2,0),Q233,1),"")</f>
        <v>N</v>
      </c>
      <c r="Q233" s="3">
        <v>101</v>
      </c>
      <c r="R233" s="3" t="str">
        <f>IFERROR(MID(VLOOKUP($B233,Seqs!$A:$B,2,0),S233,1),"")</f>
        <v>F</v>
      </c>
      <c r="S233" s="3">
        <v>104</v>
      </c>
      <c r="T233" s="3" t="str">
        <f>IFERROR(MID(VLOOKUP($B233,Seqs!$A:$B,2,0),U233,1),"")</f>
        <v>G</v>
      </c>
      <c r="U233" s="3">
        <v>105</v>
      </c>
      <c r="V233" s="3" t="str">
        <f>IFERROR(MID(VLOOKUP($B233,Seqs!$A:$B,2,0),W233,1),"")</f>
        <v>H</v>
      </c>
      <c r="W233" s="3">
        <v>140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S</v>
      </c>
      <c r="AC233" s="3">
        <v>144</v>
      </c>
      <c r="AD233" s="3" t="str">
        <f>IFERROR(MID(VLOOKUP($B233,Seqs!$A:$B,2,0),AE233,1),"")</f>
        <v>A</v>
      </c>
      <c r="AE233" s="3">
        <v>175</v>
      </c>
      <c r="AF233" s="3" t="str">
        <f>IFERROR(MID(VLOOKUP($B233,Seqs!$A:$B,2,0),AG233,1),"")</f>
        <v>C</v>
      </c>
      <c r="AG233" s="3">
        <v>186</v>
      </c>
      <c r="AH233" s="3" t="str">
        <f>IFERROR(MID(VLOOKUP($B233,Seqs!$A:$B,2,0),AI233,1),"")</f>
        <v>R</v>
      </c>
      <c r="AI233" s="3">
        <v>188</v>
      </c>
      <c r="AJ233" s="3" t="str">
        <f>IFERROR(MID(VLOOKUP($B233,Seqs!$A:$B,2,0),AK233,1),"")</f>
        <v>D</v>
      </c>
      <c r="AK233" s="3">
        <v>193</v>
      </c>
      <c r="AL233" s="3" t="str">
        <f>IFERROR(MID(VLOOKUP($B233,Seqs!$A:$B,2,0),AM233,1),"")</f>
        <v>H</v>
      </c>
      <c r="AM233" s="3">
        <v>228</v>
      </c>
      <c r="AN233" s="3" t="str">
        <f>IFERROR(MID(VLOOKUP($B233,Seqs!$A:$B,2,0),AO233,1),"")</f>
        <v>K</v>
      </c>
      <c r="AO233" s="3">
        <v>239</v>
      </c>
      <c r="AP233" s="3" t="str">
        <f>IFERROR(MID(VLOOKUP($B233,Seqs!$A:$B,2,0),AQ233,1),"")</f>
        <v>E</v>
      </c>
      <c r="AQ233" s="3">
        <v>268</v>
      </c>
      <c r="AR233" s="3" t="str">
        <f>IFERROR(MID(VLOOKUP($B233,Seqs!$A:$B,2,0),AS233,1),"")</f>
        <v>G</v>
      </c>
      <c r="AS233" s="3">
        <v>273</v>
      </c>
      <c r="AT233" s="3" t="str">
        <f>IFERROR(MID(VLOOKUP($B233,Seqs!$A:$B,2,0),AU233,1),"")</f>
        <v>I</v>
      </c>
      <c r="AU233" s="3">
        <v>300</v>
      </c>
      <c r="AV233" s="3" t="str">
        <f>IFERROR(MID(VLOOKUP($B233,Seqs!$A:$B,2,0),AW233,1),"")</f>
        <v/>
      </c>
      <c r="AW233" s="3" t="s">
        <v>23</v>
      </c>
      <c r="AX233" s="3" t="str">
        <f>IFERROR(MID(VLOOKUP($B233,Seqs!$A:$B,2,0),AY233,1),"")</f>
        <v/>
      </c>
      <c r="AY233" s="3" t="s">
        <v>23</v>
      </c>
      <c r="AZ233" s="77" t="str">
        <f>VLOOKUP(B233,Classification!A:D,2,0)</f>
        <v>A</v>
      </c>
      <c r="BA233" s="94" t="str">
        <f>VLOOKUP(B233,Classification!A:D,4,0)</f>
        <v>Chemokine</v>
      </c>
      <c r="BB233" s="27" t="b">
        <f t="shared" si="1372"/>
        <v>1</v>
      </c>
      <c r="BC233" s="23">
        <f t="shared" si="2182"/>
        <v>235</v>
      </c>
      <c r="BD233" s="4" t="s">
        <v>23</v>
      </c>
      <c r="BE233" s="3" t="s">
        <v>1368</v>
      </c>
      <c r="BF233" s="118">
        <v>2.9</v>
      </c>
      <c r="BG233" s="49" t="s">
        <v>1371</v>
      </c>
      <c r="BH233" s="49" t="s">
        <v>1371</v>
      </c>
      <c r="BI233" s="1"/>
      <c r="BJ233" s="70" t="s">
        <v>1281</v>
      </c>
      <c r="BK233" s="57" t="s">
        <v>1281</v>
      </c>
      <c r="BL233" s="57" t="s">
        <v>1281</v>
      </c>
      <c r="BM233" s="57" t="s">
        <v>1281</v>
      </c>
      <c r="BN233" s="57" t="s">
        <v>1281</v>
      </c>
      <c r="BO233" s="57" t="s">
        <v>1281</v>
      </c>
      <c r="BP233" s="57" t="s">
        <v>1281</v>
      </c>
      <c r="BQ233" s="57" t="s">
        <v>1281</v>
      </c>
      <c r="BR233" s="57" t="s">
        <v>1281</v>
      </c>
      <c r="BS233" s="57" t="s">
        <v>1281</v>
      </c>
      <c r="BT233" s="57" t="s">
        <v>1281</v>
      </c>
      <c r="BU233" s="57" t="s">
        <v>1281</v>
      </c>
      <c r="BV233" s="70">
        <f t="shared" si="2183"/>
        <v>34</v>
      </c>
      <c r="BW233" s="71" t="str">
        <f t="shared" si="2184"/>
        <v>-</v>
      </c>
      <c r="BX233" s="72">
        <f t="shared" si="2185"/>
        <v>71</v>
      </c>
      <c r="BY233" s="71">
        <f t="shared" si="2186"/>
        <v>101</v>
      </c>
      <c r="BZ233" s="72">
        <f t="shared" si="2187"/>
        <v>105</v>
      </c>
      <c r="CA233" s="71" t="str">
        <f t="shared" si="2188"/>
        <v>-</v>
      </c>
      <c r="CB233" s="72">
        <f t="shared" si="2189"/>
        <v>144</v>
      </c>
      <c r="CC233" s="71">
        <f t="shared" si="2190"/>
        <v>186</v>
      </c>
      <c r="CD233" s="72">
        <f t="shared" si="2191"/>
        <v>193</v>
      </c>
      <c r="CE233" s="71">
        <f t="shared" si="2192"/>
        <v>239</v>
      </c>
      <c r="CF233" s="72">
        <f t="shared" si="2193"/>
        <v>273</v>
      </c>
      <c r="CG233" s="71" t="str">
        <f t="shared" si="2194"/>
        <v>-</v>
      </c>
      <c r="CH233" s="70">
        <f t="shared" si="2195"/>
        <v>66</v>
      </c>
      <c r="CI233" s="71" t="str">
        <f t="shared" si="2196"/>
        <v>-</v>
      </c>
      <c r="CJ233" s="72">
        <f t="shared" si="2197"/>
        <v>100</v>
      </c>
      <c r="CK233" s="72">
        <f t="shared" si="2198"/>
        <v>104</v>
      </c>
      <c r="CL233" s="72">
        <f t="shared" si="2199"/>
        <v>140</v>
      </c>
      <c r="CM233" s="72" t="str">
        <f t="shared" si="2200"/>
        <v>-</v>
      </c>
      <c r="CN233" s="72">
        <f t="shared" si="2201"/>
        <v>175</v>
      </c>
      <c r="CO233" s="72">
        <f t="shared" si="2202"/>
        <v>188</v>
      </c>
      <c r="CP233" s="72">
        <f t="shared" si="2203"/>
        <v>228</v>
      </c>
      <c r="CQ233" s="72">
        <f t="shared" si="2204"/>
        <v>268</v>
      </c>
      <c r="CR233" s="72">
        <f t="shared" si="2205"/>
        <v>300</v>
      </c>
      <c r="CS233" s="72" t="str">
        <f t="shared" si="2206"/>
        <v>-</v>
      </c>
      <c r="CT233" s="23" t="e">
        <f t="shared" si="2207"/>
        <v>#VALUE!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si="1371"/>
        <v>cxcr4_human_4RWS</v>
      </c>
      <c r="B234" s="3" t="s">
        <v>1165</v>
      </c>
      <c r="C234" s="3" t="s">
        <v>1046</v>
      </c>
      <c r="D234" s="3" t="str">
        <f>IFERROR(MID(VLOOKUP($B234,Seqs!$A:$B,2,0),E234,1),"")</f>
        <v>R</v>
      </c>
      <c r="E234" s="3">
        <v>30</v>
      </c>
      <c r="F234" s="3" t="str">
        <f>IFERROR(MID(VLOOKUP($B234,Seqs!$A:$B,2,0),G234,1),"")</f>
        <v>Q</v>
      </c>
      <c r="G234" s="3">
        <v>66</v>
      </c>
      <c r="H234" s="3" t="str">
        <f>IFERROR(MID(VLOOKUP($B234,Seqs!$A:$B,2,0),I234,1),"")</f>
        <v/>
      </c>
      <c r="I234" s="23" t="s">
        <v>23</v>
      </c>
      <c r="J234" s="3" t="str">
        <f>IFERROR(MID(VLOOKUP($B234,Seqs!$A:$B,2,0),K234,1),"")</f>
        <v/>
      </c>
      <c r="K234" s="23" t="s">
        <v>23</v>
      </c>
      <c r="L234" s="3" t="str">
        <f>IFERROR(MID(VLOOKUP($B234,Seqs!$A:$B,2,0),M234,1),"")</f>
        <v>S</v>
      </c>
      <c r="M234" s="3">
        <v>71</v>
      </c>
      <c r="N234" s="3" t="str">
        <f>IFERROR(MID(VLOOKUP($B234,Seqs!$A:$B,2,0),O234,1),"")</f>
        <v>A</v>
      </c>
      <c r="O234" s="3">
        <v>100</v>
      </c>
      <c r="P234" s="3" t="str">
        <f>IFERROR(MID(VLOOKUP($B234,Seqs!$A:$B,2,0),Q234,1),"")</f>
        <v>N</v>
      </c>
      <c r="Q234" s="3">
        <v>101</v>
      </c>
      <c r="R234" s="3" t="str">
        <f>IFERROR(MID(VLOOKUP($B234,Seqs!$A:$B,2,0),S234,1),"")</f>
        <v>F</v>
      </c>
      <c r="S234" s="3">
        <v>104</v>
      </c>
      <c r="T234" s="3" t="str">
        <f>IFERROR(MID(VLOOKUP($B234,Seqs!$A:$B,2,0),U234,1),"")</f>
        <v>G</v>
      </c>
      <c r="U234" s="3">
        <v>105</v>
      </c>
      <c r="V234" s="3" t="str">
        <f>IFERROR(MID(VLOOKUP($B234,Seqs!$A:$B,2,0),W234,1),"")</f>
        <v>H</v>
      </c>
      <c r="W234" s="3">
        <v>140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S</v>
      </c>
      <c r="AC234" s="3">
        <v>144</v>
      </c>
      <c r="AD234" s="3" t="str">
        <f>IFERROR(MID(VLOOKUP($B234,Seqs!$A:$B,2,0),AE234,1),"")</f>
        <v>A</v>
      </c>
      <c r="AE234" s="3">
        <v>175</v>
      </c>
      <c r="AF234" s="3" t="str">
        <f>IFERROR(MID(VLOOKUP($B234,Seqs!$A:$B,2,0),AG234,1),"")</f>
        <v>C</v>
      </c>
      <c r="AG234" s="3">
        <v>186</v>
      </c>
      <c r="AH234" s="3" t="str">
        <f>IFERROR(MID(VLOOKUP($B234,Seqs!$A:$B,2,0),AI234,1),"")</f>
        <v>R</v>
      </c>
      <c r="AI234" s="3">
        <v>188</v>
      </c>
      <c r="AJ234" s="3" t="str">
        <f>IFERROR(MID(VLOOKUP($B234,Seqs!$A:$B,2,0),AK234,1),"")</f>
        <v>D</v>
      </c>
      <c r="AK234" s="3">
        <v>193</v>
      </c>
      <c r="AL234" s="3" t="str">
        <f>IFERROR(MID(VLOOKUP($B234,Seqs!$A:$B,2,0),AM234,1),"")</f>
        <v>S</v>
      </c>
      <c r="AM234" s="3">
        <v>227</v>
      </c>
      <c r="AN234" s="3" t="str">
        <f>IFERROR(MID(VLOOKUP($B234,Seqs!$A:$B,2,0),AO234,1),"")</f>
        <v>K</v>
      </c>
      <c r="AO234" s="3">
        <v>239</v>
      </c>
      <c r="AP234" s="3" t="str">
        <f>IFERROR(MID(VLOOKUP($B234,Seqs!$A:$B,2,0),AQ234,1),"")</f>
        <v>E</v>
      </c>
      <c r="AQ234" s="3">
        <v>268</v>
      </c>
      <c r="AR234" s="3" t="str">
        <f>IFERROR(MID(VLOOKUP($B234,Seqs!$A:$B,2,0),AS234,1),"")</f>
        <v>G</v>
      </c>
      <c r="AS234" s="3">
        <v>273</v>
      </c>
      <c r="AT234" s="3" t="str">
        <f>IFERROR(MID(VLOOKUP($B234,Seqs!$A:$B,2,0),AU234,1),"")</f>
        <v>I</v>
      </c>
      <c r="AU234" s="3">
        <v>300</v>
      </c>
      <c r="AV234" s="3" t="str">
        <f>IFERROR(MID(VLOOKUP($B234,Seqs!$A:$B,2,0),AW234,1),"")</f>
        <v/>
      </c>
      <c r="AW234" s="3" t="s">
        <v>23</v>
      </c>
      <c r="AX234" s="3" t="str">
        <f>IFERROR(MID(VLOOKUP($B234,Seqs!$A:$B,2,0),AY234,1),"")</f>
        <v/>
      </c>
      <c r="AY234" s="3" t="s">
        <v>23</v>
      </c>
      <c r="AZ234" s="77" t="str">
        <f>VLOOKUP(B234,Classification!A:D,2,0)</f>
        <v>A</v>
      </c>
      <c r="BA234" s="94" t="str">
        <f>VLOOKUP(B234,Classification!A:D,4,0)</f>
        <v>Chemokine</v>
      </c>
      <c r="BB234" s="27" t="b">
        <f t="shared" si="1372"/>
        <v>1</v>
      </c>
      <c r="BC234" s="23">
        <f t="shared" si="2182"/>
        <v>238</v>
      </c>
      <c r="BD234" s="5" t="s">
        <v>23</v>
      </c>
      <c r="BE234" s="3" t="s">
        <v>1368</v>
      </c>
      <c r="BF234" s="118">
        <v>3.1</v>
      </c>
      <c r="BG234" s="49" t="s">
        <v>1371</v>
      </c>
      <c r="BH234" s="49" t="s">
        <v>1371</v>
      </c>
      <c r="BI234" s="1"/>
      <c r="BJ234" s="70" t="s">
        <v>1281</v>
      </c>
      <c r="BK234" s="57" t="s">
        <v>1281</v>
      </c>
      <c r="BL234" s="57" t="s">
        <v>1281</v>
      </c>
      <c r="BM234" s="57" t="s">
        <v>1281</v>
      </c>
      <c r="BN234" s="57" t="s">
        <v>1281</v>
      </c>
      <c r="BO234" s="57" t="s">
        <v>1281</v>
      </c>
      <c r="BP234" s="57" t="s">
        <v>1281</v>
      </c>
      <c r="BQ234" s="57" t="s">
        <v>1281</v>
      </c>
      <c r="BR234" s="57" t="s">
        <v>1281</v>
      </c>
      <c r="BS234" s="57" t="s">
        <v>1281</v>
      </c>
      <c r="BT234" s="57" t="s">
        <v>1281</v>
      </c>
      <c r="BU234" s="57" t="s">
        <v>1281</v>
      </c>
      <c r="BV234" s="70">
        <f t="shared" si="2183"/>
        <v>30</v>
      </c>
      <c r="BW234" s="71" t="str">
        <f t="shared" si="2184"/>
        <v>-</v>
      </c>
      <c r="BX234" s="72">
        <f t="shared" si="2185"/>
        <v>71</v>
      </c>
      <c r="BY234" s="71">
        <f t="shared" si="2186"/>
        <v>101</v>
      </c>
      <c r="BZ234" s="72">
        <f t="shared" si="2187"/>
        <v>105</v>
      </c>
      <c r="CA234" s="71" t="str">
        <f t="shared" si="2188"/>
        <v>-</v>
      </c>
      <c r="CB234" s="72">
        <f t="shared" si="2189"/>
        <v>144</v>
      </c>
      <c r="CC234" s="71">
        <f t="shared" si="2190"/>
        <v>186</v>
      </c>
      <c r="CD234" s="72">
        <f t="shared" si="2191"/>
        <v>193</v>
      </c>
      <c r="CE234" s="71">
        <f t="shared" si="2192"/>
        <v>239</v>
      </c>
      <c r="CF234" s="72">
        <f t="shared" si="2193"/>
        <v>273</v>
      </c>
      <c r="CG234" s="71" t="str">
        <f t="shared" si="2194"/>
        <v>-</v>
      </c>
      <c r="CH234" s="70">
        <f t="shared" si="2195"/>
        <v>66</v>
      </c>
      <c r="CI234" s="71" t="str">
        <f t="shared" si="2196"/>
        <v>-</v>
      </c>
      <c r="CJ234" s="72">
        <f t="shared" si="2197"/>
        <v>100</v>
      </c>
      <c r="CK234" s="72">
        <f t="shared" si="2198"/>
        <v>104</v>
      </c>
      <c r="CL234" s="72">
        <f t="shared" si="2199"/>
        <v>140</v>
      </c>
      <c r="CM234" s="72" t="str">
        <f t="shared" si="2200"/>
        <v>-</v>
      </c>
      <c r="CN234" s="72">
        <f t="shared" si="2201"/>
        <v>175</v>
      </c>
      <c r="CO234" s="72">
        <f t="shared" si="2202"/>
        <v>188</v>
      </c>
      <c r="CP234" s="72">
        <f t="shared" si="2203"/>
        <v>227</v>
      </c>
      <c r="CQ234" s="72">
        <f t="shared" si="2204"/>
        <v>268</v>
      </c>
      <c r="CR234" s="72">
        <f t="shared" si="2205"/>
        <v>300</v>
      </c>
      <c r="CS234" s="72" t="str">
        <f t="shared" si="2206"/>
        <v>-</v>
      </c>
      <c r="CT234" s="23" t="e">
        <f t="shared" si="2207"/>
        <v>#VALUE!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>CONCATENATE(B235,"_",C235)</f>
        <v>drd2_human__wt</v>
      </c>
      <c r="B235" s="3" t="s">
        <v>191</v>
      </c>
      <c r="C235" s="3" t="s">
        <v>100</v>
      </c>
      <c r="D235" s="3" t="str">
        <f>IFERROR(MID(VLOOKUP($B235,Seqs!$A:$B,2,0),E235,1),"")</f>
        <v>R</v>
      </c>
      <c r="E235" s="3">
        <v>31</v>
      </c>
      <c r="F235" s="3" t="str">
        <f>IFERROR(MID(VLOOKUP($B235,Seqs!$A:$B,2,0),G235,1),"")</f>
        <v>E</v>
      </c>
      <c r="G235" s="3">
        <v>62</v>
      </c>
      <c r="H235" s="3" t="str">
        <f>IFERROR(MID(VLOOKUP($B235,Seqs!$A:$B,2,0),I235,1),"")</f>
        <v>K</v>
      </c>
      <c r="I235" s="23">
        <v>63</v>
      </c>
      <c r="J235" s="3" t="str">
        <f>IFERROR(MID(VLOOKUP($B235,Seqs!$A:$B,2,0),K235,1),"")</f>
        <v>Q</v>
      </c>
      <c r="K235" s="23">
        <v>66</v>
      </c>
      <c r="L235" s="3" t="str">
        <f>IFERROR(MID(VLOOKUP($B235,Seqs!$A:$B,2,0),M235,1),"")</f>
        <v>T</v>
      </c>
      <c r="M235" s="3">
        <v>67</v>
      </c>
      <c r="N235" s="3" t="str">
        <f>IFERROR(MID(VLOOKUP($B235,Seqs!$A:$B,2,0),O235,1),"")</f>
        <v>G</v>
      </c>
      <c r="O235" s="3">
        <v>98</v>
      </c>
      <c r="P235" s="3" t="str">
        <f>IFERROR(MID(VLOOKUP($B235,Seqs!$A:$B,2,0),Q235,1),"")</f>
        <v>E</v>
      </c>
      <c r="Q235" s="3">
        <v>99</v>
      </c>
      <c r="R235" s="3" t="str">
        <f>IFERROR(MID(VLOOKUP($B235,Seqs!$A:$B,2,0),S235,1),"")</f>
        <v>F</v>
      </c>
      <c r="S235" s="3">
        <v>102</v>
      </c>
      <c r="T235" s="3" t="str">
        <f>IFERROR(MID(VLOOKUP($B235,Seqs!$A:$B,2,0),U235,1),"")</f>
        <v>S</v>
      </c>
      <c r="U235" s="3">
        <v>103</v>
      </c>
      <c r="V235" s="3" t="str">
        <f>IFERROR(MID(VLOOKUP($B235,Seqs!$A:$B,2,0),W235,1),"")</f>
        <v>M</v>
      </c>
      <c r="W235" s="3">
        <v>138</v>
      </c>
      <c r="X235" s="3" t="str">
        <f>IFERROR(MID(VLOOKUP($B235,Seqs!$A:$B,2,0),Y235,1),"")</f>
        <v>P</v>
      </c>
      <c r="Y235" s="3">
        <v>139</v>
      </c>
      <c r="Z235" s="3" t="str">
        <f>IFERROR(MID(VLOOKUP($B235,Seqs!$A:$B,2,0),AA235,1),"")</f>
        <v>S</v>
      </c>
      <c r="AA235" s="3">
        <v>147</v>
      </c>
      <c r="AB235" s="3" t="str">
        <f>IFERROR(MID(VLOOKUP($B235,Seqs!$A:$B,2,0),AC235,1),"")</f>
        <v>S</v>
      </c>
      <c r="AC235" s="3">
        <v>148</v>
      </c>
      <c r="AD235" s="3" t="str">
        <f>IFERROR(MID(VLOOKUP($B235,Seqs!$A:$B,2,0),AE235,1),"")</f>
        <v>F</v>
      </c>
      <c r="AE235" s="3">
        <v>172</v>
      </c>
      <c r="AF235" s="3" t="str">
        <f>IFERROR(MID(VLOOKUP($B235,Seqs!$A:$B,2,0),AG235,1),"")</f>
        <v>C</v>
      </c>
      <c r="AG235" s="3">
        <v>182</v>
      </c>
      <c r="AH235" s="3" t="str">
        <f>IFERROR(MID(VLOOKUP($B235,Seqs!$A:$B,2,0),AI235,1),"")</f>
        <v>I</v>
      </c>
      <c r="AI235" s="3">
        <v>184</v>
      </c>
      <c r="AJ235" s="3" t="str">
        <f>IFERROR(MID(VLOOKUP($B235,Seqs!$A:$B,2,0),AK235,1),"")</f>
        <v>N</v>
      </c>
      <c r="AK235" s="3">
        <v>186</v>
      </c>
      <c r="AL235" s="3" t="str">
        <f>IFERROR(MID(VLOOKUP($B235,Seqs!$A:$B,2,0),AM235,1),"")</f>
        <v>K</v>
      </c>
      <c r="AM235" s="3">
        <v>226</v>
      </c>
      <c r="AN235" s="3" t="str">
        <f>IFERROR(MID(VLOOKUP($B235,Seqs!$A:$B,2,0),AO235,1),"")</f>
        <v>K</v>
      </c>
      <c r="AO235" s="3">
        <v>362</v>
      </c>
      <c r="AP235" s="3" t="str">
        <f>IFERROR(MID(VLOOKUP($B235,Seqs!$A:$B,2,0),AQ235,1),"")</f>
        <v>C</v>
      </c>
      <c r="AQ235" s="3">
        <v>399</v>
      </c>
      <c r="AR235" s="3" t="str">
        <f>IFERROR(MID(VLOOKUP($B235,Seqs!$A:$B,2,0),AS235,1),"")</f>
        <v>P</v>
      </c>
      <c r="AS235" s="3">
        <v>404</v>
      </c>
      <c r="AT235" s="3" t="str">
        <f>IFERROR(MID(VLOOKUP($B235,Seqs!$A:$B,2,0),AU235,1),"")</f>
        <v>F</v>
      </c>
      <c r="AU235" s="3">
        <v>429</v>
      </c>
      <c r="AV235" s="3" t="str">
        <f>IFERROR(MID(VLOOKUP($B235,Seqs!$A:$B,2,0),AW235,1),"")</f>
        <v>N</v>
      </c>
      <c r="AW235" s="3">
        <v>430</v>
      </c>
      <c r="AX235" s="3" t="str">
        <f>IFERROR(MID(VLOOKUP($B235,Seqs!$A:$B,2,0),AY235,1),"")</f>
        <v>H</v>
      </c>
      <c r="AY235" s="3">
        <v>442</v>
      </c>
      <c r="AZ235" s="77" t="str">
        <f>VLOOKUP(B235,Classification!A:D,2,0)</f>
        <v>A</v>
      </c>
      <c r="BA235" s="94" t="str">
        <f>VLOOKUP(B235,Classification!A:D,4,0)</f>
        <v>Dopamine</v>
      </c>
      <c r="BB235" s="27" t="b">
        <f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23">
        <f>_xlfn.AGGREGATE(9,6,CH235:CS235)-_xlfn.AGGREGATE(9,6,BV235:CG235)+12</f>
        <v>263</v>
      </c>
      <c r="BD235" s="56" t="s">
        <v>23</v>
      </c>
      <c r="BE235" s="3" t="s">
        <v>23</v>
      </c>
      <c r="BF235" s="118" t="s">
        <v>23</v>
      </c>
      <c r="BG235" s="49" t="s">
        <v>1366</v>
      </c>
      <c r="BH235" s="49" t="s">
        <v>1371</v>
      </c>
      <c r="BI235" s="1"/>
      <c r="BJ235" s="70" t="s">
        <v>1281</v>
      </c>
      <c r="BK235" s="57" t="s">
        <v>1281</v>
      </c>
      <c r="BL235" s="57" t="s">
        <v>1281</v>
      </c>
      <c r="BM235" s="57" t="s">
        <v>1281</v>
      </c>
      <c r="BN235" s="57" t="s">
        <v>1281</v>
      </c>
      <c r="BO235" s="57" t="s">
        <v>1281</v>
      </c>
      <c r="BP235" s="57" t="s">
        <v>1281</v>
      </c>
      <c r="BQ235" s="57" t="s">
        <v>1281</v>
      </c>
      <c r="BR235" s="57" t="s">
        <v>1281</v>
      </c>
      <c r="BS235" s="57" t="s">
        <v>1281</v>
      </c>
      <c r="BT235" s="57" t="s">
        <v>1281</v>
      </c>
      <c r="BU235" s="57" t="s">
        <v>1281</v>
      </c>
      <c r="BV235" s="70">
        <f>E235</f>
        <v>31</v>
      </c>
      <c r="BW235" s="71">
        <f>I235</f>
        <v>63</v>
      </c>
      <c r="BX235" s="72">
        <f>M235</f>
        <v>67</v>
      </c>
      <c r="BY235" s="71">
        <f>Q235</f>
        <v>99</v>
      </c>
      <c r="BZ235" s="72">
        <f>U235</f>
        <v>103</v>
      </c>
      <c r="CA235" s="71">
        <f>Y235</f>
        <v>139</v>
      </c>
      <c r="CB235" s="72">
        <f>AC235</f>
        <v>148</v>
      </c>
      <c r="CC235" s="71">
        <f>AG235</f>
        <v>182</v>
      </c>
      <c r="CD235" s="72">
        <f>AK235</f>
        <v>186</v>
      </c>
      <c r="CE235" s="71">
        <f>AO235</f>
        <v>362</v>
      </c>
      <c r="CF235" s="72">
        <f>AS235</f>
        <v>404</v>
      </c>
      <c r="CG235" s="71">
        <f>AW235</f>
        <v>430</v>
      </c>
      <c r="CH235" s="70">
        <f>G235</f>
        <v>62</v>
      </c>
      <c r="CI235" s="71">
        <f>K235</f>
        <v>66</v>
      </c>
      <c r="CJ235" s="72">
        <f>O235</f>
        <v>98</v>
      </c>
      <c r="CK235" s="72">
        <f>S235</f>
        <v>102</v>
      </c>
      <c r="CL235" s="72">
        <f>W235</f>
        <v>138</v>
      </c>
      <c r="CM235" s="72">
        <f>AA235</f>
        <v>147</v>
      </c>
      <c r="CN235" s="72">
        <f>AE235</f>
        <v>172</v>
      </c>
      <c r="CO235" s="72">
        <f>AI235</f>
        <v>184</v>
      </c>
      <c r="CP235" s="72">
        <f>AM235</f>
        <v>226</v>
      </c>
      <c r="CQ235" s="72">
        <f>AQ235</f>
        <v>399</v>
      </c>
      <c r="CR235" s="72">
        <f>AU235</f>
        <v>429</v>
      </c>
      <c r="CS235" s="72">
        <f>AY235</f>
        <v>442</v>
      </c>
      <c r="CT235" s="23">
        <f>M235-K235</f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>CONCATENATE(B236,"_",C236)</f>
        <v>drd2_human_6CM4</v>
      </c>
      <c r="B236" s="3" t="s">
        <v>191</v>
      </c>
      <c r="C236" s="3" t="s">
        <v>1470</v>
      </c>
      <c r="D236" s="3" t="str">
        <f>IFERROR(MID(VLOOKUP($B236,Seqs!$A:$B,2,0),E236,1),"")</f>
        <v>N</v>
      </c>
      <c r="E236" s="3">
        <v>35</v>
      </c>
      <c r="F236" s="3" t="str">
        <f>IFERROR(MID(VLOOKUP($B236,Seqs!$A:$B,2,0),G236,1),"")</f>
        <v>E</v>
      </c>
      <c r="G236" s="3">
        <v>62</v>
      </c>
      <c r="H236" s="3" t="str">
        <f>IFERROR(MID(VLOOKUP($B236,Seqs!$A:$B,2,0),I236,1),"")</f>
        <v>K</v>
      </c>
      <c r="I236" s="23">
        <v>63</v>
      </c>
      <c r="J236" s="3" t="str">
        <f>IFERROR(MID(VLOOKUP($B236,Seqs!$A:$B,2,0),K236,1),"")</f>
        <v>Q</v>
      </c>
      <c r="K236" s="23">
        <v>66</v>
      </c>
      <c r="L236" s="3" t="str">
        <f>IFERROR(MID(VLOOKUP($B236,Seqs!$A:$B,2,0),M236,1),"")</f>
        <v>T</v>
      </c>
      <c r="M236" s="3">
        <v>67</v>
      </c>
      <c r="N236" s="3" t="str">
        <f>IFERROR(MID(VLOOKUP($B236,Seqs!$A:$B,2,0),O236,1),"")</f>
        <v>G</v>
      </c>
      <c r="O236" s="3">
        <v>98</v>
      </c>
      <c r="P236" s="3" t="str">
        <f>IFERROR(MID(VLOOKUP($B236,Seqs!$A:$B,2,0),Q236,1),"")</f>
        <v>E</v>
      </c>
      <c r="Q236" s="3">
        <v>99</v>
      </c>
      <c r="R236" s="3" t="str">
        <f>IFERROR(MID(VLOOKUP($B236,Seqs!$A:$B,2,0),S236,1),"")</f>
        <v>F</v>
      </c>
      <c r="S236" s="3">
        <v>102</v>
      </c>
      <c r="T236" s="3" t="str">
        <f>IFERROR(MID(VLOOKUP($B236,Seqs!$A:$B,2,0),U236,1),"")</f>
        <v>S</v>
      </c>
      <c r="U236" s="3">
        <v>103</v>
      </c>
      <c r="V236" s="3" t="str">
        <f>IFERROR(MID(VLOOKUP($B236,Seqs!$A:$B,2,0),W236,1),"")</f>
        <v>M</v>
      </c>
      <c r="W236" s="3">
        <v>138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Y</v>
      </c>
      <c r="AC236" s="3">
        <v>146</v>
      </c>
      <c r="AD236" s="3" t="str">
        <f>IFERROR(MID(VLOOKUP($B236,Seqs!$A:$B,2,0),AE236,1),"")</f>
        <v>F</v>
      </c>
      <c r="AE236" s="3">
        <v>172</v>
      </c>
      <c r="AF236" s="3" t="str">
        <f>IFERROR(MID(VLOOKUP($B236,Seqs!$A:$B,2,0),AG236,1),"")</f>
        <v>C</v>
      </c>
      <c r="AG236" s="3">
        <v>182</v>
      </c>
      <c r="AH236" s="3" t="str">
        <f>IFERROR(MID(VLOOKUP($B236,Seqs!$A:$B,2,0),AI236,1),"")</f>
        <v>I</v>
      </c>
      <c r="AI236" s="3">
        <v>184</v>
      </c>
      <c r="AJ236" s="3" t="str">
        <f>IFERROR(MID(VLOOKUP($B236,Seqs!$A:$B,2,0),AK236,1),"")</f>
        <v>A</v>
      </c>
      <c r="AK236" s="3">
        <v>188</v>
      </c>
      <c r="AL236" s="3" t="str">
        <f>IFERROR(MID(VLOOKUP($B236,Seqs!$A:$B,2,0),AM236,1),"")</f>
        <v>R</v>
      </c>
      <c r="AM236" s="3">
        <v>222</v>
      </c>
      <c r="AN236" s="3" t="str">
        <f>IFERROR(MID(VLOOKUP($B236,Seqs!$A:$B,2,0),AO236,1),"")</f>
        <v>E</v>
      </c>
      <c r="AO236" s="3">
        <v>368</v>
      </c>
      <c r="AP236" s="3" t="str">
        <f>IFERROR(MID(VLOOKUP($B236,Seqs!$A:$B,2,0),AQ236,1),"")</f>
        <v>C</v>
      </c>
      <c r="AQ236" s="3">
        <v>399</v>
      </c>
      <c r="AR236" s="3" t="str">
        <f>IFERROR(MID(VLOOKUP($B236,Seqs!$A:$B,2,0),AS236,1),"")</f>
        <v>P</v>
      </c>
      <c r="AS236" s="3">
        <v>404</v>
      </c>
      <c r="AT236" s="3" t="str">
        <f>IFERROR(MID(VLOOKUP($B236,Seqs!$A:$B,2,0),AU236,1),"")</f>
        <v>F</v>
      </c>
      <c r="AU236" s="3">
        <v>429</v>
      </c>
      <c r="AV236" s="3" t="str">
        <f>IFERROR(MID(VLOOKUP($B236,Seqs!$A:$B,2,0),AW236,1),"")</f>
        <v>N</v>
      </c>
      <c r="AW236" s="3">
        <v>430</v>
      </c>
      <c r="AX236" s="3" t="str">
        <f>IFERROR(MID(VLOOKUP($B236,Seqs!$A:$B,2,0),AY236,1),"")</f>
        <v>H</v>
      </c>
      <c r="AY236" s="3">
        <v>442</v>
      </c>
      <c r="AZ236" s="77" t="str">
        <f>VLOOKUP(B236,Classification!A:D,2,0)</f>
        <v>A</v>
      </c>
      <c r="BA236" s="94" t="str">
        <f>VLOOKUP(B236,Classification!A:D,4,0)</f>
        <v>Dopamine</v>
      </c>
      <c r="BB236" s="27" t="b">
        <f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>_xlfn.AGGREGATE(9,6,CH236:CS236)-_xlfn.AGGREGATE(9,6,BV236:CG236)+12</f>
        <v>241</v>
      </c>
      <c r="BD236" s="56" t="s">
        <v>1370</v>
      </c>
      <c r="BE236" s="3" t="s">
        <v>1368</v>
      </c>
      <c r="BF236" s="118">
        <v>2.87</v>
      </c>
      <c r="BG236" s="49" t="s">
        <v>1</v>
      </c>
      <c r="BH236" s="49" t="s">
        <v>1</v>
      </c>
      <c r="BI236" s="1"/>
      <c r="BJ236" s="70" t="s">
        <v>1281</v>
      </c>
      <c r="BK236" s="57" t="s">
        <v>1281</v>
      </c>
      <c r="BL236" s="57" t="s">
        <v>1281</v>
      </c>
      <c r="BM236" s="57" t="s">
        <v>1281</v>
      </c>
      <c r="BN236" s="57" t="s">
        <v>1281</v>
      </c>
      <c r="BO236" s="57" t="s">
        <v>1281</v>
      </c>
      <c r="BP236" s="57" t="s">
        <v>1281</v>
      </c>
      <c r="BQ236" s="57" t="s">
        <v>1281</v>
      </c>
      <c r="BR236" s="57" t="s">
        <v>1281</v>
      </c>
      <c r="BS236" s="57" t="s">
        <v>1281</v>
      </c>
      <c r="BT236" s="57" t="s">
        <v>1281</v>
      </c>
      <c r="BU236" s="57" t="s">
        <v>1281</v>
      </c>
      <c r="BV236" s="70">
        <f>E236</f>
        <v>35</v>
      </c>
      <c r="BW236" s="71">
        <f>I236</f>
        <v>63</v>
      </c>
      <c r="BX236" s="72">
        <f>M236</f>
        <v>67</v>
      </c>
      <c r="BY236" s="71">
        <f>Q236</f>
        <v>99</v>
      </c>
      <c r="BZ236" s="72">
        <f>U236</f>
        <v>103</v>
      </c>
      <c r="CA236" s="71" t="str">
        <f>Y236</f>
        <v>-</v>
      </c>
      <c r="CB236" s="72">
        <f>AC236</f>
        <v>146</v>
      </c>
      <c r="CC236" s="71">
        <f>AG236</f>
        <v>182</v>
      </c>
      <c r="CD236" s="72">
        <f>AK236</f>
        <v>188</v>
      </c>
      <c r="CE236" s="71">
        <f>AO236</f>
        <v>368</v>
      </c>
      <c r="CF236" s="72">
        <f>AS236</f>
        <v>404</v>
      </c>
      <c r="CG236" s="71">
        <f>AW236</f>
        <v>430</v>
      </c>
      <c r="CH236" s="70">
        <f>G236</f>
        <v>62</v>
      </c>
      <c r="CI236" s="71">
        <f>K236</f>
        <v>66</v>
      </c>
      <c r="CJ236" s="72">
        <f>O236</f>
        <v>98</v>
      </c>
      <c r="CK236" s="72">
        <f>S236</f>
        <v>102</v>
      </c>
      <c r="CL236" s="72">
        <f>W236</f>
        <v>138</v>
      </c>
      <c r="CM236" s="72" t="str">
        <f>AA236</f>
        <v>-</v>
      </c>
      <c r="CN236" s="72">
        <f>AE236</f>
        <v>172</v>
      </c>
      <c r="CO236" s="72">
        <f>AI236</f>
        <v>184</v>
      </c>
      <c r="CP236" s="72">
        <f>AM236</f>
        <v>222</v>
      </c>
      <c r="CQ236" s="72">
        <f>AQ236</f>
        <v>399</v>
      </c>
      <c r="CR236" s="72">
        <f>AU236</f>
        <v>429</v>
      </c>
      <c r="CS236" s="72">
        <f>AY236</f>
        <v>442</v>
      </c>
      <c r="CT236" s="23">
        <f>M236-K236</f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>CONCATENATE(B237,"_",C237)</f>
        <v>drd2_human_6LUQ</v>
      </c>
      <c r="B237" s="3" t="s">
        <v>191</v>
      </c>
      <c r="C237" s="3" t="s">
        <v>1650</v>
      </c>
      <c r="D237" s="3" t="str">
        <f>IFERROR(MID(VLOOKUP($B237,Seqs!$A:$B,2,0),E237,1),"")</f>
        <v>Y</v>
      </c>
      <c r="E237" s="3">
        <v>36</v>
      </c>
      <c r="F237" s="3" t="str">
        <f>IFERROR(MID(VLOOKUP($B237,Seqs!$A:$B,2,0),G237,1),"")</f>
        <v>E</v>
      </c>
      <c r="G237" s="3">
        <v>62</v>
      </c>
      <c r="H237" s="3" t="str">
        <f>IFERROR(MID(VLOOKUP($B237,Seqs!$A:$B,2,0),I237,1),"")</f>
        <v>K</v>
      </c>
      <c r="I237" s="23">
        <v>63</v>
      </c>
      <c r="J237" s="3" t="str">
        <f>IFERROR(MID(VLOOKUP($B237,Seqs!$A:$B,2,0),K237,1),"")</f>
        <v>Q</v>
      </c>
      <c r="K237" s="23">
        <v>66</v>
      </c>
      <c r="L237" s="3" t="str">
        <f>IFERROR(MID(VLOOKUP($B237,Seqs!$A:$B,2,0),M237,1),"")</f>
        <v>T</v>
      </c>
      <c r="M237" s="3">
        <v>67</v>
      </c>
      <c r="N237" s="3" t="str">
        <f>IFERROR(MID(VLOOKUP($B237,Seqs!$A:$B,2,0),O237,1),"")</f>
        <v>G</v>
      </c>
      <c r="O237" s="3">
        <v>98</v>
      </c>
      <c r="P237" s="3" t="str">
        <f>IFERROR(MID(VLOOKUP($B237,Seqs!$A:$B,2,0),Q237,1),"")</f>
        <v>E</v>
      </c>
      <c r="Q237" s="3">
        <v>99</v>
      </c>
      <c r="R237" s="3" t="str">
        <f>IFERROR(MID(VLOOKUP($B237,Seqs!$A:$B,2,0),S237,1),"")</f>
        <v>F</v>
      </c>
      <c r="S237" s="3">
        <v>102</v>
      </c>
      <c r="T237" s="3" t="str">
        <f>IFERROR(MID(VLOOKUP($B237,Seqs!$A:$B,2,0),U237,1),"")</f>
        <v>S</v>
      </c>
      <c r="U237" s="3">
        <v>103</v>
      </c>
      <c r="V237" s="3" t="str">
        <f>IFERROR(MID(VLOOKUP($B237,Seqs!$A:$B,2,0),W237,1),"")</f>
        <v>M</v>
      </c>
      <c r="W237" s="3">
        <v>138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R</v>
      </c>
      <c r="AC237" s="3">
        <v>145</v>
      </c>
      <c r="AD237" s="3" t="str">
        <f>IFERROR(MID(VLOOKUP($B237,Seqs!$A:$B,2,0),AE237,1),"")</f>
        <v>G</v>
      </c>
      <c r="AE237" s="3">
        <v>173</v>
      </c>
      <c r="AF237" s="3" t="str">
        <f>IFERROR(MID(VLOOKUP($B237,Seqs!$A:$B,2,0),AG237,1),"")</f>
        <v>C</v>
      </c>
      <c r="AG237" s="3">
        <v>182</v>
      </c>
      <c r="AH237" s="3" t="str">
        <f>IFERROR(MID(VLOOKUP($B237,Seqs!$A:$B,2,0),AI237,1),"")</f>
        <v>I</v>
      </c>
      <c r="AI237" s="3">
        <v>184</v>
      </c>
      <c r="AJ237" s="3" t="str">
        <f>IFERROR(MID(VLOOKUP($B237,Seqs!$A:$B,2,0),AK237,1),"")</f>
        <v>A</v>
      </c>
      <c r="AK237" s="3">
        <v>188</v>
      </c>
      <c r="AL237" s="3" t="str">
        <f>IFERROR(MID(VLOOKUP($B237,Seqs!$A:$B,2,0),AM237,1),"")</f>
        <v>R</v>
      </c>
      <c r="AM237" s="3">
        <v>222</v>
      </c>
      <c r="AN237" s="3" t="str">
        <f>IFERROR(MID(VLOOKUP($B237,Seqs!$A:$B,2,0),AO237,1),"")</f>
        <v>L</v>
      </c>
      <c r="AO237" s="3">
        <v>387</v>
      </c>
      <c r="AP237" s="3" t="str">
        <f>IFERROR(MID(VLOOKUP($B237,Seqs!$A:$B,2,0),AQ237,1),"")</f>
        <v>A</v>
      </c>
      <c r="AQ237" s="3">
        <v>420</v>
      </c>
      <c r="AR237" s="3" t="str">
        <f>IFERROR(MID(VLOOKUP($B237,Seqs!$A:$B,2,0),AS237,1),"")</f>
        <v>I</v>
      </c>
      <c r="AS237" s="3">
        <v>425</v>
      </c>
      <c r="AT237" s="3" t="str">
        <f>IFERROR(MID(VLOOKUP($B237,Seqs!$A:$B,2,0),AU237,1),"")</f>
        <v/>
      </c>
      <c r="AU237" s="3">
        <v>450</v>
      </c>
      <c r="AV237" s="3" t="str">
        <f>IFERROR(MID(VLOOKUP($B237,Seqs!$A:$B,2,0),AW237,1),"")</f>
        <v/>
      </c>
      <c r="AW237" s="3">
        <v>451</v>
      </c>
      <c r="AX237" s="3" t="str">
        <f>IFERROR(MID(VLOOKUP($B237,Seqs!$A:$B,2,0),AY237,1),"")</f>
        <v/>
      </c>
      <c r="AY237" s="3">
        <v>463</v>
      </c>
      <c r="AZ237" s="77" t="str">
        <f>VLOOKUP(B237,Classification!A:D,2,0)</f>
        <v>A</v>
      </c>
      <c r="BA237" s="94" t="str">
        <f>VLOOKUP(B237,Classification!A:D,4,0)</f>
        <v>Dopamine</v>
      </c>
      <c r="BB237" s="27" t="b">
        <f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23">
        <f>_xlfn.AGGREGATE(9,6,CH237:CS237)-_xlfn.AGGREGATE(9,6,BV237:CG237)+12</f>
        <v>244</v>
      </c>
      <c r="BD237" s="56" t="s">
        <v>23</v>
      </c>
      <c r="BE237" s="3" t="s">
        <v>1368</v>
      </c>
      <c r="BF237" s="118">
        <v>3.1</v>
      </c>
      <c r="BG237" s="49" t="s">
        <v>1</v>
      </c>
      <c r="BH237" s="49" t="s">
        <v>1</v>
      </c>
      <c r="BI237" s="1"/>
      <c r="BJ237" s="70" t="s">
        <v>1281</v>
      </c>
      <c r="BK237" s="57" t="s">
        <v>1281</v>
      </c>
      <c r="BL237" s="57" t="s">
        <v>1281</v>
      </c>
      <c r="BM237" s="57" t="s">
        <v>1281</v>
      </c>
      <c r="BN237" s="57" t="s">
        <v>1281</v>
      </c>
      <c r="BO237" s="57" t="s">
        <v>1281</v>
      </c>
      <c r="BP237" s="57" t="s">
        <v>1281</v>
      </c>
      <c r="BQ237" s="57" t="s">
        <v>1281</v>
      </c>
      <c r="BR237" s="57" t="s">
        <v>1281</v>
      </c>
      <c r="BS237" s="57" t="s">
        <v>1281</v>
      </c>
      <c r="BT237" s="57" t="s">
        <v>1281</v>
      </c>
      <c r="BU237" s="57" t="s">
        <v>1281</v>
      </c>
      <c r="BV237" s="70">
        <f>E237</f>
        <v>36</v>
      </c>
      <c r="BW237" s="71">
        <f>I237</f>
        <v>63</v>
      </c>
      <c r="BX237" s="72">
        <f>M237</f>
        <v>67</v>
      </c>
      <c r="BY237" s="71">
        <f>Q237</f>
        <v>99</v>
      </c>
      <c r="BZ237" s="72">
        <f>U237</f>
        <v>103</v>
      </c>
      <c r="CA237" s="71" t="str">
        <f>Y237</f>
        <v>-</v>
      </c>
      <c r="CB237" s="72">
        <f>AC237</f>
        <v>145</v>
      </c>
      <c r="CC237" s="71">
        <f>AG237</f>
        <v>182</v>
      </c>
      <c r="CD237" s="72">
        <f>AK237</f>
        <v>188</v>
      </c>
      <c r="CE237" s="71">
        <f>AO237</f>
        <v>387</v>
      </c>
      <c r="CF237" s="72">
        <f>AS237</f>
        <v>425</v>
      </c>
      <c r="CG237" s="71">
        <f>AW237</f>
        <v>451</v>
      </c>
      <c r="CH237" s="70">
        <f>G237</f>
        <v>62</v>
      </c>
      <c r="CI237" s="71">
        <f>K237</f>
        <v>66</v>
      </c>
      <c r="CJ237" s="72">
        <f>O237</f>
        <v>98</v>
      </c>
      <c r="CK237" s="72">
        <f>S237</f>
        <v>102</v>
      </c>
      <c r="CL237" s="72">
        <f>W237</f>
        <v>138</v>
      </c>
      <c r="CM237" s="72" t="str">
        <f>AA237</f>
        <v>-</v>
      </c>
      <c r="CN237" s="72">
        <f>AE237</f>
        <v>173</v>
      </c>
      <c r="CO237" s="72">
        <f>AI237</f>
        <v>184</v>
      </c>
      <c r="CP237" s="72">
        <f>AM237</f>
        <v>222</v>
      </c>
      <c r="CQ237" s="72">
        <f>AQ237</f>
        <v>420</v>
      </c>
      <c r="CR237" s="72">
        <f>AU237</f>
        <v>450</v>
      </c>
      <c r="CS237" s="72">
        <f>AY237</f>
        <v>463</v>
      </c>
      <c r="CT237" s="23">
        <f>M237-K237</f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s="12" customFormat="1" x14ac:dyDescent="0.2">
      <c r="A238" s="9" t="str">
        <f>CONCATENATE(B238,"_",C238)</f>
        <v>drd2_human_6VMS</v>
      </c>
      <c r="B238" s="9" t="s">
        <v>191</v>
      </c>
      <c r="C238" s="9" t="s">
        <v>1679</v>
      </c>
      <c r="D238" s="9" t="str">
        <f>IFERROR(MID(VLOOKUP($B238,Seqs!$A:$B,2,0),E238,1),"")</f>
        <v>L</v>
      </c>
      <c r="E238" s="9">
        <v>41</v>
      </c>
      <c r="F238" s="9" t="str">
        <f>IFERROR(MID(VLOOKUP($B238,Seqs!$A:$B,2,0),G238,1),"")</f>
        <v>E</v>
      </c>
      <c r="G238" s="9">
        <v>62</v>
      </c>
      <c r="H238" s="9" t="str">
        <f>IFERROR(MID(VLOOKUP($B238,Seqs!$A:$B,2,0),I238,1),"")</f>
        <v/>
      </c>
      <c r="I238" s="109" t="s">
        <v>23</v>
      </c>
      <c r="J238" s="9" t="str">
        <f>IFERROR(MID(VLOOKUP($B238,Seqs!$A:$B,2,0),K238,1),"")</f>
        <v/>
      </c>
      <c r="K238" s="109" t="s">
        <v>23</v>
      </c>
      <c r="L238" s="9" t="str">
        <f>IFERROR(MID(VLOOKUP($B238,Seqs!$A:$B,2,0),M238,1),"")</f>
        <v>T</v>
      </c>
      <c r="M238" s="9">
        <v>67</v>
      </c>
      <c r="N238" s="9" t="str">
        <f>IFERROR(MID(VLOOKUP($B238,Seqs!$A:$B,2,0),O238,1),"")</f>
        <v>V</v>
      </c>
      <c r="O238" s="9">
        <v>97</v>
      </c>
      <c r="P238" s="9" t="str">
        <f>IFERROR(MID(VLOOKUP($B238,Seqs!$A:$B,2,0),Q238,1),"")</f>
        <v>E</v>
      </c>
      <c r="Q238" s="9">
        <v>99</v>
      </c>
      <c r="R238" s="9" t="str">
        <f>IFERROR(MID(VLOOKUP($B238,Seqs!$A:$B,2,0),S238,1),"")</f>
        <v>F</v>
      </c>
      <c r="S238" s="9">
        <v>102</v>
      </c>
      <c r="T238" s="9" t="str">
        <f>IFERROR(MID(VLOOKUP($B238,Seqs!$A:$B,2,0),U238,1),"")</f>
        <v>I</v>
      </c>
      <c r="U238" s="9">
        <v>105</v>
      </c>
      <c r="V238" s="9" t="str">
        <f>IFERROR(MID(VLOOKUP($B238,Seqs!$A:$B,2,0),W238,1),"")</f>
        <v>M</v>
      </c>
      <c r="W238" s="9">
        <v>138</v>
      </c>
      <c r="X238" s="9" t="str">
        <f>IFERROR(MID(VLOOKUP($B238,Seqs!$A:$B,2,0),Y238,1),"")</f>
        <v/>
      </c>
      <c r="Y238" s="9" t="s">
        <v>23</v>
      </c>
      <c r="Z238" s="9" t="str">
        <f>IFERROR(MID(VLOOKUP($B238,Seqs!$A:$B,2,0),AA238,1),"")</f>
        <v/>
      </c>
      <c r="AA238" s="9" t="s">
        <v>23</v>
      </c>
      <c r="AB238" s="9" t="str">
        <f>IFERROR(MID(VLOOKUP($B238,Seqs!$A:$B,2,0),AC238,1),"")</f>
        <v>T</v>
      </c>
      <c r="AC238" s="9">
        <v>144</v>
      </c>
      <c r="AD238" s="9" t="str">
        <f>IFERROR(MID(VLOOKUP($B238,Seqs!$A:$B,2,0),AE238,1),"")</f>
        <v>L</v>
      </c>
      <c r="AE238" s="9">
        <v>171</v>
      </c>
      <c r="AF238" s="9" t="str">
        <f>IFERROR(MID(VLOOKUP($B238,Seqs!$A:$B,2,0),AG238,1),"")</f>
        <v>C</v>
      </c>
      <c r="AG238" s="9">
        <v>182</v>
      </c>
      <c r="AH238" s="9" t="str">
        <f>IFERROR(MID(VLOOKUP($B238,Seqs!$A:$B,2,0),AI238,1),"")</f>
        <v>I</v>
      </c>
      <c r="AI238" s="9">
        <v>184</v>
      </c>
      <c r="AJ238" s="9" t="str">
        <f>IFERROR(MID(VLOOKUP($B238,Seqs!$A:$B,2,0),AK238,1),"")</f>
        <v>N</v>
      </c>
      <c r="AK238" s="9">
        <v>186</v>
      </c>
      <c r="AL238" s="9" t="str">
        <f>IFERROR(MID(VLOOKUP($B238,Seqs!$A:$B,2,0),AM238,1),"")</f>
        <v>V</v>
      </c>
      <c r="AM238" s="9">
        <v>223</v>
      </c>
      <c r="AN238" s="9" t="str">
        <f>IFERROR(MID(VLOOKUP($B238,Seqs!$A:$B,2,0),AO238,1),"")</f>
        <v>R</v>
      </c>
      <c r="AO238" s="9">
        <v>361</v>
      </c>
      <c r="AP238" s="9" t="str">
        <f>IFERROR(MID(VLOOKUP($B238,Seqs!$A:$B,2,0),AQ238,1),"")</f>
        <v>C</v>
      </c>
      <c r="AQ238" s="9">
        <v>399</v>
      </c>
      <c r="AR238" s="9" t="str">
        <f>IFERROR(MID(VLOOKUP($B238,Seqs!$A:$B,2,0),AS238,1),"")</f>
        <v>P</v>
      </c>
      <c r="AS238" s="9">
        <v>404</v>
      </c>
      <c r="AT238" s="9" t="str">
        <f>IFERROR(MID(VLOOKUP($B238,Seqs!$A:$B,2,0),AU238,1),"")</f>
        <v>F</v>
      </c>
      <c r="AU238" s="9">
        <v>429</v>
      </c>
      <c r="AV238" s="9" t="str">
        <f>IFERROR(MID(VLOOKUP($B238,Seqs!$A:$B,2,0),AW238,1),"")</f>
        <v>N</v>
      </c>
      <c r="AW238" s="9">
        <v>430</v>
      </c>
      <c r="AX238" s="9" t="str">
        <f>IFERROR(MID(VLOOKUP($B238,Seqs!$A:$B,2,0),AY238,1),"")</f>
        <v>H</v>
      </c>
      <c r="AY238" s="9">
        <v>442</v>
      </c>
      <c r="AZ238" s="110" t="str">
        <f>VLOOKUP(B238,Classification!A:D,2,0)</f>
        <v>A</v>
      </c>
      <c r="BA238" s="98" t="str">
        <f>VLOOKUP(B238,Classification!A:D,4,0)</f>
        <v>Dopamine</v>
      </c>
      <c r="BB238" s="36" t="b">
        <f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109">
        <f>_xlfn.AGGREGATE(9,6,CH238:CS238)-_xlfn.AGGREGATE(9,6,BV238:CG238)+12</f>
        <v>240</v>
      </c>
      <c r="BD238" s="127" t="s">
        <v>1369</v>
      </c>
      <c r="BE238" s="9" t="s">
        <v>1285</v>
      </c>
      <c r="BF238" s="119">
        <v>3.8</v>
      </c>
      <c r="BG238" s="51" t="s">
        <v>1416</v>
      </c>
      <c r="BH238" s="51" t="s">
        <v>1416</v>
      </c>
      <c r="BJ238" s="111" t="s">
        <v>1281</v>
      </c>
      <c r="BK238" s="112" t="s">
        <v>1281</v>
      </c>
      <c r="BL238" s="112" t="s">
        <v>1281</v>
      </c>
      <c r="BM238" s="112" t="s">
        <v>1281</v>
      </c>
      <c r="BN238" s="112" t="s">
        <v>1281</v>
      </c>
      <c r="BO238" s="112" t="s">
        <v>1281</v>
      </c>
      <c r="BP238" s="112" t="s">
        <v>1281</v>
      </c>
      <c r="BQ238" s="112" t="s">
        <v>1281</v>
      </c>
      <c r="BR238" s="112" t="s">
        <v>1281</v>
      </c>
      <c r="BS238" s="112" t="s">
        <v>1281</v>
      </c>
      <c r="BT238" s="112" t="s">
        <v>1281</v>
      </c>
      <c r="BU238" s="112" t="s">
        <v>1281</v>
      </c>
      <c r="BV238" s="111">
        <f>E238</f>
        <v>41</v>
      </c>
      <c r="BW238" s="113" t="str">
        <f>I238</f>
        <v>-</v>
      </c>
      <c r="BX238" s="114">
        <f>M238</f>
        <v>67</v>
      </c>
      <c r="BY238" s="113">
        <f>Q238</f>
        <v>99</v>
      </c>
      <c r="BZ238" s="114">
        <f>U238</f>
        <v>105</v>
      </c>
      <c r="CA238" s="113" t="str">
        <f>Y238</f>
        <v>-</v>
      </c>
      <c r="CB238" s="114">
        <f>AC238</f>
        <v>144</v>
      </c>
      <c r="CC238" s="113">
        <f>AG238</f>
        <v>182</v>
      </c>
      <c r="CD238" s="114">
        <f>AK238</f>
        <v>186</v>
      </c>
      <c r="CE238" s="113">
        <f>AO238</f>
        <v>361</v>
      </c>
      <c r="CF238" s="114">
        <f>AS238</f>
        <v>404</v>
      </c>
      <c r="CG238" s="113">
        <f>AW238</f>
        <v>430</v>
      </c>
      <c r="CH238" s="111">
        <f>G238</f>
        <v>62</v>
      </c>
      <c r="CI238" s="113" t="str">
        <f>K238</f>
        <v>-</v>
      </c>
      <c r="CJ238" s="114">
        <f>O238</f>
        <v>97</v>
      </c>
      <c r="CK238" s="114">
        <f>S238</f>
        <v>102</v>
      </c>
      <c r="CL238" s="114">
        <f>W238</f>
        <v>138</v>
      </c>
      <c r="CM238" s="114" t="str">
        <f>AA238</f>
        <v>-</v>
      </c>
      <c r="CN238" s="114">
        <f>AE238</f>
        <v>171</v>
      </c>
      <c r="CO238" s="114">
        <f>AI238</f>
        <v>184</v>
      </c>
      <c r="CP238" s="114">
        <f>AM238</f>
        <v>223</v>
      </c>
      <c r="CQ238" s="114">
        <f>AQ238</f>
        <v>399</v>
      </c>
      <c r="CR238" s="114">
        <f>AU238</f>
        <v>429</v>
      </c>
      <c r="CS238" s="114">
        <f>AY238</f>
        <v>442</v>
      </c>
      <c r="CT238" s="109" t="e">
        <f>M238-K238</f>
        <v>#VALUE!</v>
      </c>
    </row>
    <row r="239" spans="1:1029" x14ac:dyDescent="0.2">
      <c r="A239" s="3" t="str">
        <f t="shared" si="1371"/>
        <v>drd3_human__wt</v>
      </c>
      <c r="B239" s="3" t="s">
        <v>192</v>
      </c>
      <c r="C239" s="3" t="s">
        <v>100</v>
      </c>
      <c r="D239" s="3" t="str">
        <f>IFERROR(MID(VLOOKUP($B239,Seqs!$A:$B,2,0),E239,1),"")</f>
        <v>A</v>
      </c>
      <c r="E239" s="3">
        <v>26</v>
      </c>
      <c r="F239" s="3" t="str">
        <f>IFERROR(MID(VLOOKUP($B239,Seqs!$A:$B,2,0),G239,1),"")</f>
        <v>E</v>
      </c>
      <c r="G239" s="3">
        <v>57</v>
      </c>
      <c r="H239" s="3" t="str">
        <f>IFERROR(MID(VLOOKUP($B239,Seqs!$A:$B,2,0),I239,1),"")</f>
        <v>R</v>
      </c>
      <c r="I239" s="23">
        <v>58</v>
      </c>
      <c r="J239" s="3" t="str">
        <f>IFERROR(MID(VLOOKUP($B239,Seqs!$A:$B,2,0),K239,1),"")</f>
        <v>Q</v>
      </c>
      <c r="K239" s="23">
        <v>61</v>
      </c>
      <c r="L239" s="3" t="str">
        <f>IFERROR(MID(VLOOKUP($B239,Seqs!$A:$B,2,0),M239,1),"")</f>
        <v>T</v>
      </c>
      <c r="M239" s="3">
        <v>62</v>
      </c>
      <c r="N239" s="3" t="str">
        <f>IFERROR(MID(VLOOKUP($B239,Seqs!$A:$B,2,0),O239,1),"")</f>
        <v>T</v>
      </c>
      <c r="O239" s="3">
        <v>92</v>
      </c>
      <c r="P239" s="3" t="str">
        <f>IFERROR(MID(VLOOKUP($B239,Seqs!$A:$B,2,0),Q239,1),"")</f>
        <v>V</v>
      </c>
      <c r="Q239" s="3">
        <v>95</v>
      </c>
      <c r="R239" s="3" t="str">
        <f>IFERROR(MID(VLOOKUP($B239,Seqs!$A:$B,2,0),S239,1),"")</f>
        <v>F</v>
      </c>
      <c r="S239" s="3">
        <v>98</v>
      </c>
      <c r="T239" s="3" t="str">
        <f>IFERROR(MID(VLOOKUP($B239,Seqs!$A:$B,2,0),U239,1),"")</f>
        <v>S</v>
      </c>
      <c r="U239" s="3">
        <v>99</v>
      </c>
      <c r="V239" s="3" t="str">
        <f>IFERROR(MID(VLOOKUP($B239,Seqs!$A:$B,2,0),W239,1),"")</f>
        <v>M</v>
      </c>
      <c r="W239" s="3">
        <v>134</v>
      </c>
      <c r="X239" s="3" t="str">
        <f>IFERROR(MID(VLOOKUP($B239,Seqs!$A:$B,2,0),Y239,1),"")</f>
        <v>P</v>
      </c>
      <c r="Y239" s="3">
        <v>135</v>
      </c>
      <c r="Z239" s="3" t="str">
        <f>IFERROR(MID(VLOOKUP($B239,Seqs!$A:$B,2,0),AA239,1),"")</f>
        <v>G</v>
      </c>
      <c r="AA239" s="3">
        <v>143</v>
      </c>
      <c r="AB239" s="3" t="str">
        <f>IFERROR(MID(VLOOKUP($B239,Seqs!$A:$B,2,0),AC239,1),"")</f>
        <v>S</v>
      </c>
      <c r="AC239" s="3">
        <v>146</v>
      </c>
      <c r="AD239" s="3" t="str">
        <f>IFERROR(MID(VLOOKUP($B239,Seqs!$A:$B,2,0),AE239,1),"")</f>
        <v>G</v>
      </c>
      <c r="AE239" s="3">
        <v>171</v>
      </c>
      <c r="AF239" s="3" t="str">
        <f>IFERROR(MID(VLOOKUP($B239,Seqs!$A:$B,2,0),AG239,1),"")</f>
        <v>C</v>
      </c>
      <c r="AG239" s="3">
        <v>181</v>
      </c>
      <c r="AH239" s="3" t="str">
        <f>IFERROR(MID(VLOOKUP($B239,Seqs!$A:$B,2,0),AI239,1),"")</f>
        <v>I</v>
      </c>
      <c r="AI239" s="3">
        <v>183</v>
      </c>
      <c r="AJ239" s="3" t="str">
        <f>IFERROR(MID(VLOOKUP($B239,Seqs!$A:$B,2,0),AK239,1),"")</f>
        <v>N</v>
      </c>
      <c r="AK239" s="3">
        <v>185</v>
      </c>
      <c r="AL239" s="3" t="str">
        <f>IFERROR(MID(VLOOKUP($B239,Seqs!$A:$B,2,0),AM239,1),"")</f>
        <v>R</v>
      </c>
      <c r="AM239" s="3">
        <v>226</v>
      </c>
      <c r="AN239" s="3" t="str">
        <f>IFERROR(MID(VLOOKUP($B239,Seqs!$A:$B,2,0),AO239,1),"")</f>
        <v>R</v>
      </c>
      <c r="AO239" s="3">
        <v>318</v>
      </c>
      <c r="AP239" s="3" t="str">
        <f>IFERROR(MID(VLOOKUP($B239,Seqs!$A:$B,2,0),AQ239,1),"")</f>
        <v>H</v>
      </c>
      <c r="AQ239" s="3">
        <v>354</v>
      </c>
      <c r="AR239" s="3" t="str">
        <f>IFERROR(MID(VLOOKUP($B239,Seqs!$A:$B,2,0),AS239,1),"")</f>
        <v>S</v>
      </c>
      <c r="AS239" s="3">
        <v>361</v>
      </c>
      <c r="AT239" s="3" t="str">
        <f>IFERROR(MID(VLOOKUP($B239,Seqs!$A:$B,2,0),AU239,1),"")</f>
        <v>F</v>
      </c>
      <c r="AU239" s="3">
        <v>386</v>
      </c>
      <c r="AV239" s="3" t="str">
        <f>IFERROR(MID(VLOOKUP($B239,Seqs!$A:$B,2,0),AW239,1),"")</f>
        <v>N</v>
      </c>
      <c r="AW239" s="3">
        <v>387</v>
      </c>
      <c r="AX239" s="3" t="str">
        <f>IFERROR(MID(VLOOKUP($B239,Seqs!$A:$B,2,0),AY239,1),"")</f>
        <v>S</v>
      </c>
      <c r="AY239" s="3">
        <v>399</v>
      </c>
      <c r="AZ239" s="77" t="str">
        <f>VLOOKUP(B239,Classification!A:D,2,0)</f>
        <v>A</v>
      </c>
      <c r="BA239" s="94" t="str">
        <f>VLOOKUP(B239,Classification!A:D,4,0)</f>
        <v>Dopamine</v>
      </c>
      <c r="BB239" s="27" t="b">
        <f t="shared" si="1372"/>
        <v>1</v>
      </c>
      <c r="BC239" s="23">
        <f t="shared" si="2182"/>
        <v>263</v>
      </c>
      <c r="BD239" s="56" t="s">
        <v>23</v>
      </c>
      <c r="BE239" s="3" t="s">
        <v>23</v>
      </c>
      <c r="BF239" s="118" t="s">
        <v>23</v>
      </c>
      <c r="BG239" s="49" t="s">
        <v>1366</v>
      </c>
      <c r="BH239" s="49" t="s">
        <v>1371</v>
      </c>
      <c r="BI239" s="1"/>
      <c r="BJ239" s="70" t="s">
        <v>1281</v>
      </c>
      <c r="BK239" s="57" t="s">
        <v>1281</v>
      </c>
      <c r="BL239" s="57" t="s">
        <v>1281</v>
      </c>
      <c r="BM239" s="57" t="s">
        <v>1281</v>
      </c>
      <c r="BN239" s="57" t="s">
        <v>1281</v>
      </c>
      <c r="BO239" s="57" t="s">
        <v>1281</v>
      </c>
      <c r="BP239" s="57" t="s">
        <v>1281</v>
      </c>
      <c r="BQ239" s="57" t="s">
        <v>1281</v>
      </c>
      <c r="BR239" s="57" t="s">
        <v>1281</v>
      </c>
      <c r="BS239" s="57" t="s">
        <v>1281</v>
      </c>
      <c r="BT239" s="57" t="s">
        <v>1281</v>
      </c>
      <c r="BU239" s="57" t="s">
        <v>1281</v>
      </c>
      <c r="BV239" s="70">
        <f t="shared" si="2183"/>
        <v>26</v>
      </c>
      <c r="BW239" s="71">
        <f t="shared" si="2184"/>
        <v>58</v>
      </c>
      <c r="BX239" s="72">
        <f t="shared" si="2185"/>
        <v>62</v>
      </c>
      <c r="BY239" s="71">
        <f t="shared" si="2186"/>
        <v>95</v>
      </c>
      <c r="BZ239" s="72">
        <f t="shared" si="2187"/>
        <v>99</v>
      </c>
      <c r="CA239" s="71">
        <f t="shared" si="2188"/>
        <v>135</v>
      </c>
      <c r="CB239" s="72">
        <f t="shared" si="2189"/>
        <v>146</v>
      </c>
      <c r="CC239" s="71">
        <f t="shared" si="2190"/>
        <v>181</v>
      </c>
      <c r="CD239" s="72">
        <f t="shared" si="2191"/>
        <v>185</v>
      </c>
      <c r="CE239" s="71">
        <f t="shared" si="2192"/>
        <v>318</v>
      </c>
      <c r="CF239" s="72">
        <f t="shared" si="2193"/>
        <v>361</v>
      </c>
      <c r="CG239" s="71">
        <f t="shared" si="2194"/>
        <v>387</v>
      </c>
      <c r="CH239" s="70">
        <f t="shared" si="2195"/>
        <v>57</v>
      </c>
      <c r="CI239" s="71">
        <f t="shared" si="2196"/>
        <v>61</v>
      </c>
      <c r="CJ239" s="72">
        <f t="shared" si="2197"/>
        <v>92</v>
      </c>
      <c r="CK239" s="72">
        <f t="shared" si="2198"/>
        <v>98</v>
      </c>
      <c r="CL239" s="72">
        <f t="shared" si="2199"/>
        <v>134</v>
      </c>
      <c r="CM239" s="72">
        <f t="shared" si="2200"/>
        <v>143</v>
      </c>
      <c r="CN239" s="72">
        <f t="shared" si="2201"/>
        <v>171</v>
      </c>
      <c r="CO239" s="72">
        <f t="shared" si="2202"/>
        <v>183</v>
      </c>
      <c r="CP239" s="72">
        <f t="shared" si="2203"/>
        <v>226</v>
      </c>
      <c r="CQ239" s="72">
        <f t="shared" si="2204"/>
        <v>354</v>
      </c>
      <c r="CR239" s="72">
        <f t="shared" si="2205"/>
        <v>386</v>
      </c>
      <c r="CS239" s="72">
        <f t="shared" si="2206"/>
        <v>399</v>
      </c>
      <c r="CT239" s="23">
        <f t="shared" si="2207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si="1371"/>
        <v>drd3_human_3PBL</v>
      </c>
      <c r="B240" s="3" t="s">
        <v>192</v>
      </c>
      <c r="C240" s="3" t="s">
        <v>72</v>
      </c>
      <c r="D240" s="3" t="str">
        <f>IFERROR(MID(VLOOKUP($B240,Seqs!$A:$B,2,0),E240,1),"")</f>
        <v>Y</v>
      </c>
      <c r="E240" s="3">
        <v>32</v>
      </c>
      <c r="F240" s="3" t="str">
        <f>IFERROR(MID(VLOOKUP($B240,Seqs!$A:$B,2,0),G240,1),"")</f>
        <v>E</v>
      </c>
      <c r="G240" s="3">
        <v>57</v>
      </c>
      <c r="H240" s="3" t="str">
        <f>IFERROR(MID(VLOOKUP($B240,Seqs!$A:$B,2,0),I240,1),"")</f>
        <v>R</v>
      </c>
      <c r="I240" s="23">
        <v>58</v>
      </c>
      <c r="J240" s="3" t="str">
        <f>IFERROR(MID(VLOOKUP($B240,Seqs!$A:$B,2,0),K240,1),"")</f>
        <v>Q</v>
      </c>
      <c r="K240" s="23">
        <v>61</v>
      </c>
      <c r="L240" s="3" t="str">
        <f>IFERROR(MID(VLOOKUP($B240,Seqs!$A:$B,2,0),M240,1),"")</f>
        <v>T</v>
      </c>
      <c r="M240" s="3">
        <v>62</v>
      </c>
      <c r="N240" s="3" t="str">
        <f>IFERROR(MID(VLOOKUP($B240,Seqs!$A:$B,2,0),O240,1),"")</f>
        <v>T</v>
      </c>
      <c r="O240" s="3">
        <v>92</v>
      </c>
      <c r="P240" s="3" t="str">
        <f>IFERROR(MID(VLOOKUP($B240,Seqs!$A:$B,2,0),Q240,1),"")</f>
        <v>V</v>
      </c>
      <c r="Q240" s="3">
        <v>95</v>
      </c>
      <c r="R240" s="3" t="str">
        <f>IFERROR(MID(VLOOKUP($B240,Seqs!$A:$B,2,0),S240,1),"")</f>
        <v>F</v>
      </c>
      <c r="S240" s="3">
        <v>98</v>
      </c>
      <c r="T240" s="3" t="str">
        <f>IFERROR(MID(VLOOKUP($B240,Seqs!$A:$B,2,0),U240,1),"")</f>
        <v>S</v>
      </c>
      <c r="U240" s="3">
        <v>99</v>
      </c>
      <c r="V240" s="3" t="str">
        <f>IFERROR(MID(VLOOKUP($B240,Seqs!$A:$B,2,0),W240,1),"")</f>
        <v>M</v>
      </c>
      <c r="W240" s="3">
        <v>134</v>
      </c>
      <c r="X240" s="3" t="str">
        <f>IFERROR(MID(VLOOKUP($B240,Seqs!$A:$B,2,0),Y240,1),"")</f>
        <v>P</v>
      </c>
      <c r="Y240" s="3">
        <v>135</v>
      </c>
      <c r="Z240" s="3" t="str">
        <f>IFERROR(MID(VLOOKUP($B240,Seqs!$A:$B,2,0),AA240,1),"")</f>
        <v>G</v>
      </c>
      <c r="AA240" s="3">
        <v>143</v>
      </c>
      <c r="AB240" s="3" t="str">
        <f>IFERROR(MID(VLOOKUP($B240,Seqs!$A:$B,2,0),AC240,1),"")</f>
        <v>S</v>
      </c>
      <c r="AC240" s="3">
        <v>146</v>
      </c>
      <c r="AD240" s="3" t="str">
        <f>IFERROR(MID(VLOOKUP($B240,Seqs!$A:$B,2,0),AE240,1),"")</f>
        <v>G</v>
      </c>
      <c r="AE240" s="3">
        <v>171</v>
      </c>
      <c r="AF240" s="3" t="str">
        <f>IFERROR(MID(VLOOKUP($B240,Seqs!$A:$B,2,0),AG240,1),"")</f>
        <v>C</v>
      </c>
      <c r="AG240" s="3">
        <v>181</v>
      </c>
      <c r="AH240" s="3" t="str">
        <f>IFERROR(MID(VLOOKUP($B240,Seqs!$A:$B,2,0),AI240,1),"")</f>
        <v>I</v>
      </c>
      <c r="AI240" s="3">
        <v>183</v>
      </c>
      <c r="AJ240" s="3" t="str">
        <f>IFERROR(MID(VLOOKUP($B240,Seqs!$A:$B,2,0),AK240,1),"")</f>
        <v>N</v>
      </c>
      <c r="AK240" s="3">
        <v>185</v>
      </c>
      <c r="AL240" s="3" t="str">
        <f>IFERROR(MID(VLOOKUP($B240,Seqs!$A:$B,2,0),AM240,1),"")</f>
        <v>K</v>
      </c>
      <c r="AM240" s="3">
        <v>216</v>
      </c>
      <c r="AN240" s="3" t="str">
        <f>IFERROR(MID(VLOOKUP($B240,Seqs!$A:$B,2,0),AO240,1),"")</f>
        <v>R</v>
      </c>
      <c r="AO240" s="3">
        <v>323</v>
      </c>
      <c r="AP240" s="3" t="str">
        <f>IFERROR(MID(VLOOKUP($B240,Seqs!$A:$B,2,0),AQ240,1),"")</f>
        <v>H</v>
      </c>
      <c r="AQ240" s="3">
        <v>354</v>
      </c>
      <c r="AR240" s="3" t="str">
        <f>IFERROR(MID(VLOOKUP($B240,Seqs!$A:$B,2,0),AS240,1),"")</f>
        <v>S</v>
      </c>
      <c r="AS240" s="3">
        <v>361</v>
      </c>
      <c r="AT240" s="3" t="str">
        <f>IFERROR(MID(VLOOKUP($B240,Seqs!$A:$B,2,0),AU240,1),"")</f>
        <v>F</v>
      </c>
      <c r="AU240" s="3">
        <v>386</v>
      </c>
      <c r="AV240" s="3" t="str">
        <f>IFERROR(MID(VLOOKUP($B240,Seqs!$A:$B,2,0),AW240,1),"")</f>
        <v>N</v>
      </c>
      <c r="AW240" s="3">
        <v>387</v>
      </c>
      <c r="AX240" s="3" t="str">
        <f>IFERROR(MID(VLOOKUP($B240,Seqs!$A:$B,2,0),AY240,1),"")</f>
        <v>S</v>
      </c>
      <c r="AY240" s="3">
        <v>399</v>
      </c>
      <c r="AZ240" s="77" t="str">
        <f>VLOOKUP(B240,Classification!A:D,2,0)</f>
        <v>A</v>
      </c>
      <c r="BA240" s="94" t="str">
        <f>VLOOKUP(B240,Classification!A:D,4,0)</f>
        <v>Dopamine</v>
      </c>
      <c r="BB240" s="27" t="b">
        <f t="shared" si="1372"/>
        <v>1</v>
      </c>
      <c r="BC240" s="23">
        <f t="shared" si="2182"/>
        <v>242</v>
      </c>
      <c r="BD240" s="2" t="s">
        <v>1370</v>
      </c>
      <c r="BE240" s="3" t="s">
        <v>1368</v>
      </c>
      <c r="BF240" s="118">
        <v>2.89</v>
      </c>
      <c r="BG240" s="49" t="s">
        <v>1371</v>
      </c>
      <c r="BH240" s="49" t="s">
        <v>1371</v>
      </c>
      <c r="BI240" s="1"/>
      <c r="BJ240" s="70" t="s">
        <v>1281</v>
      </c>
      <c r="BK240" s="57" t="s">
        <v>1281</v>
      </c>
      <c r="BL240" s="57" t="s">
        <v>1281</v>
      </c>
      <c r="BM240" s="57" t="s">
        <v>1281</v>
      </c>
      <c r="BN240" s="57" t="s">
        <v>1281</v>
      </c>
      <c r="BO240" s="57" t="s">
        <v>1281</v>
      </c>
      <c r="BP240" s="57" t="s">
        <v>1281</v>
      </c>
      <c r="BQ240" s="57" t="s">
        <v>1281</v>
      </c>
      <c r="BR240" s="57" t="s">
        <v>1281</v>
      </c>
      <c r="BS240" s="57" t="s">
        <v>1281</v>
      </c>
      <c r="BT240" s="57" t="s">
        <v>1281</v>
      </c>
      <c r="BU240" s="57" t="s">
        <v>1281</v>
      </c>
      <c r="BV240" s="70">
        <f t="shared" si="2183"/>
        <v>32</v>
      </c>
      <c r="BW240" s="71">
        <f t="shared" si="2184"/>
        <v>58</v>
      </c>
      <c r="BX240" s="72">
        <f t="shared" si="2185"/>
        <v>62</v>
      </c>
      <c r="BY240" s="71">
        <f t="shared" si="2186"/>
        <v>95</v>
      </c>
      <c r="BZ240" s="72">
        <f t="shared" si="2187"/>
        <v>99</v>
      </c>
      <c r="CA240" s="71">
        <f t="shared" si="2188"/>
        <v>135</v>
      </c>
      <c r="CB240" s="72">
        <f t="shared" si="2189"/>
        <v>146</v>
      </c>
      <c r="CC240" s="71">
        <f t="shared" si="2190"/>
        <v>181</v>
      </c>
      <c r="CD240" s="72">
        <f t="shared" si="2191"/>
        <v>185</v>
      </c>
      <c r="CE240" s="71">
        <f t="shared" si="2192"/>
        <v>323</v>
      </c>
      <c r="CF240" s="72">
        <f t="shared" si="2193"/>
        <v>361</v>
      </c>
      <c r="CG240" s="71">
        <f t="shared" si="2194"/>
        <v>387</v>
      </c>
      <c r="CH240" s="70">
        <f t="shared" si="2195"/>
        <v>57</v>
      </c>
      <c r="CI240" s="71">
        <f t="shared" si="2196"/>
        <v>61</v>
      </c>
      <c r="CJ240" s="72">
        <f t="shared" si="2197"/>
        <v>92</v>
      </c>
      <c r="CK240" s="72">
        <f t="shared" si="2198"/>
        <v>98</v>
      </c>
      <c r="CL240" s="72">
        <f t="shared" si="2199"/>
        <v>134</v>
      </c>
      <c r="CM240" s="72">
        <f t="shared" si="2200"/>
        <v>143</v>
      </c>
      <c r="CN240" s="72">
        <f t="shared" si="2201"/>
        <v>171</v>
      </c>
      <c r="CO240" s="72">
        <f t="shared" si="2202"/>
        <v>183</v>
      </c>
      <c r="CP240" s="72">
        <f t="shared" si="2203"/>
        <v>216</v>
      </c>
      <c r="CQ240" s="72">
        <f t="shared" si="2204"/>
        <v>354</v>
      </c>
      <c r="CR240" s="72">
        <f t="shared" si="2205"/>
        <v>386</v>
      </c>
      <c r="CS240" s="72">
        <f t="shared" si="2206"/>
        <v>399</v>
      </c>
      <c r="CT240" s="23">
        <f t="shared" si="2207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>CONCATENATE(B241,"_",C241)</f>
        <v>drd4_human__wt</v>
      </c>
      <c r="B241" s="3" t="s">
        <v>193</v>
      </c>
      <c r="C241" s="3" t="s">
        <v>100</v>
      </c>
      <c r="D241" s="3" t="str">
        <f>IFERROR(MID(VLOOKUP($B241,Seqs!$A:$B,2,0),E241,1),"")</f>
        <v>A</v>
      </c>
      <c r="E241" s="3">
        <v>31</v>
      </c>
      <c r="F241" s="3" t="str">
        <f>IFERROR(MID(VLOOKUP($B241,Seqs!$A:$B,2,0),G241,1),"")</f>
        <v>E</v>
      </c>
      <c r="G241" s="3">
        <v>62</v>
      </c>
      <c r="H241" s="3" t="str">
        <f>IFERROR(MID(VLOOKUP($B241,Seqs!$A:$B,2,0),I241,1),"")</f>
        <v>R</v>
      </c>
      <c r="I241" s="23">
        <v>63</v>
      </c>
      <c r="J241" s="3" t="str">
        <f>IFERROR(MID(VLOOKUP($B241,Seqs!$A:$B,2,0),K241,1),"")</f>
        <v>Q</v>
      </c>
      <c r="K241" s="23">
        <v>66</v>
      </c>
      <c r="L241" s="3" t="str">
        <f>IFERROR(MID(VLOOKUP($B241,Seqs!$A:$B,2,0),M241,1),"")</f>
        <v>T</v>
      </c>
      <c r="M241" s="3">
        <v>67</v>
      </c>
      <c r="N241" s="3" t="str">
        <f>IFERROR(MID(VLOOKUP($B241,Seqs!$A:$B,2,0),O241,1),"")</f>
        <v>G</v>
      </c>
      <c r="O241" s="105">
        <v>98</v>
      </c>
      <c r="P241" s="3" t="str">
        <f>IFERROR(MID(VLOOKUP($B241,Seqs!$A:$B,2,0),Q241,1),"")</f>
        <v>A</v>
      </c>
      <c r="Q241" s="3">
        <v>100</v>
      </c>
      <c r="R241" s="3" t="str">
        <f>IFERROR(MID(VLOOKUP($B241,Seqs!$A:$B,2,0),S241,1),"")</f>
        <v>L</v>
      </c>
      <c r="S241" s="3">
        <v>103</v>
      </c>
      <c r="T241" s="3" t="str">
        <f>IFERROR(MID(VLOOKUP($B241,Seqs!$A:$B,2,0),U241,1),"")</f>
        <v>S</v>
      </c>
      <c r="U241" s="3">
        <v>104</v>
      </c>
      <c r="V241" s="3" t="str">
        <f>IFERROR(MID(VLOOKUP($B241,Seqs!$A:$B,2,0),W241,1),"")</f>
        <v>V</v>
      </c>
      <c r="W241" s="3">
        <v>139</v>
      </c>
      <c r="X241" s="3" t="str">
        <f>IFERROR(MID(VLOOKUP($B241,Seqs!$A:$B,2,0),Y241,1),"")</f>
        <v>P</v>
      </c>
      <c r="Y241" s="3">
        <v>140</v>
      </c>
      <c r="Z241" s="3" t="str">
        <f>IFERROR(MID(VLOOKUP($B241,Seqs!$A:$B,2,0),AA241,1),"")</f>
        <v>G</v>
      </c>
      <c r="AA241" s="3">
        <v>147</v>
      </c>
      <c r="AB241" s="3" t="str">
        <f>IFERROR(MID(VLOOKUP($B241,Seqs!$A:$B,2,0),AC241,1),"")</f>
        <v>G</v>
      </c>
      <c r="AC241" s="3">
        <v>148</v>
      </c>
      <c r="AD241" s="3" t="str">
        <f>IFERROR(MID(VLOOKUP($B241,Seqs!$A:$B,2,0),AE241,1),"")</f>
        <v>G</v>
      </c>
      <c r="AE241" s="3">
        <v>173</v>
      </c>
      <c r="AF241" s="3" t="str">
        <f>IFERROR(MID(VLOOKUP($B241,Seqs!$A:$B,2,0),AG241,1),"")</f>
        <v>C</v>
      </c>
      <c r="AG241" s="3">
        <v>185</v>
      </c>
      <c r="AH241" s="3" t="str">
        <f>IFERROR(MID(VLOOKUP($B241,Seqs!$A:$B,2,0),AI241,1),"")</f>
        <v>L</v>
      </c>
      <c r="AI241" s="3">
        <v>187</v>
      </c>
      <c r="AJ241" s="3" t="str">
        <f>IFERROR(MID(VLOOKUP($B241,Seqs!$A:$B,2,0),AK241,1),"")</f>
        <v>D</v>
      </c>
      <c r="AK241" s="3">
        <v>189</v>
      </c>
      <c r="AL241" s="3" t="str">
        <f>IFERROR(MID(VLOOKUP($B241,Seqs!$A:$B,2,0),AM241,1),"")</f>
        <v>K</v>
      </c>
      <c r="AM241" s="3">
        <v>229</v>
      </c>
      <c r="AN241" s="3" t="str">
        <f>IFERROR(MID(VLOOKUP($B241,Seqs!$A:$B,2,0),AO241,1),"")</f>
        <v>A</v>
      </c>
      <c r="AO241" s="3">
        <v>383</v>
      </c>
      <c r="AP241" s="3" t="str">
        <f>IFERROR(MID(VLOOKUP($B241,Seqs!$A:$B,2,0),AQ241,1),"")</f>
        <v>C</v>
      </c>
      <c r="AQ241" s="3">
        <v>420</v>
      </c>
      <c r="AR241" s="3" t="str">
        <f>IFERROR(MID(VLOOKUP($B241,Seqs!$A:$B,2,0),AS241,1),"")</f>
        <v>P</v>
      </c>
      <c r="AS241" s="3">
        <v>426</v>
      </c>
      <c r="AT241" s="3" t="str">
        <f>IFERROR(MID(VLOOKUP($B241,Seqs!$A:$B,2,0),AU241,1),"")</f>
        <v>F</v>
      </c>
      <c r="AU241" s="3">
        <v>451</v>
      </c>
      <c r="AV241" s="3" t="str">
        <f>IFERROR(MID(VLOOKUP($B241,Seqs!$A:$B,2,0),AW241,1),"")</f>
        <v>N</v>
      </c>
      <c r="AW241" s="3">
        <v>452</v>
      </c>
      <c r="AX241" s="3" t="str">
        <f>IFERROR(MID(VLOOKUP($B241,Seqs!$A:$B,2,0),AY241,1),"")</f>
        <v>R</v>
      </c>
      <c r="AY241" s="3">
        <v>464</v>
      </c>
      <c r="AZ241" s="77" t="str">
        <f>VLOOKUP(B241,Classification!A:D,2,0)</f>
        <v>A</v>
      </c>
      <c r="BA241" s="94" t="str">
        <f>VLOOKUP(B241,Classification!A:D,4,0)</f>
        <v>Dopamine</v>
      </c>
      <c r="BB241" s="27" t="b">
        <f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>_xlfn.AGGREGATE(9,6,CH241:CS241)-_xlfn.AGGREGATE(9,6,BV241:CG241)+12</f>
        <v>263</v>
      </c>
      <c r="BD241" s="2" t="s">
        <v>23</v>
      </c>
      <c r="BE241" s="3" t="s">
        <v>1368</v>
      </c>
      <c r="BF241" s="118" t="s">
        <v>23</v>
      </c>
      <c r="BG241" s="49" t="s">
        <v>1371</v>
      </c>
      <c r="BH241" s="49" t="s">
        <v>1371</v>
      </c>
      <c r="BI241" s="1"/>
      <c r="BJ241" s="70" t="s">
        <v>1281</v>
      </c>
      <c r="BK241" s="57" t="s">
        <v>1281</v>
      </c>
      <c r="BL241" s="57" t="s">
        <v>1281</v>
      </c>
      <c r="BM241" s="57" t="s">
        <v>1281</v>
      </c>
      <c r="BN241" s="57" t="s">
        <v>1281</v>
      </c>
      <c r="BO241" s="57" t="s">
        <v>1281</v>
      </c>
      <c r="BP241" s="57" t="s">
        <v>1281</v>
      </c>
      <c r="BQ241" s="57" t="s">
        <v>1281</v>
      </c>
      <c r="BR241" s="57" t="s">
        <v>1281</v>
      </c>
      <c r="BS241" s="57" t="s">
        <v>1281</v>
      </c>
      <c r="BT241" s="57" t="s">
        <v>1281</v>
      </c>
      <c r="BU241" s="57" t="s">
        <v>1281</v>
      </c>
      <c r="BV241" s="70">
        <f>E241</f>
        <v>31</v>
      </c>
      <c r="BW241" s="71">
        <f>I241</f>
        <v>63</v>
      </c>
      <c r="BX241" s="72">
        <f>M241</f>
        <v>67</v>
      </c>
      <c r="BY241" s="71">
        <f>Q241</f>
        <v>100</v>
      </c>
      <c r="BZ241" s="72">
        <f>U241</f>
        <v>104</v>
      </c>
      <c r="CA241" s="71">
        <f>Y241</f>
        <v>140</v>
      </c>
      <c r="CB241" s="72">
        <f>AC241</f>
        <v>148</v>
      </c>
      <c r="CC241" s="71">
        <f>AG241</f>
        <v>185</v>
      </c>
      <c r="CD241" s="72">
        <f>AK241</f>
        <v>189</v>
      </c>
      <c r="CE241" s="71">
        <f>AO241</f>
        <v>383</v>
      </c>
      <c r="CF241" s="72">
        <f>AS241</f>
        <v>426</v>
      </c>
      <c r="CG241" s="71">
        <f>AW241</f>
        <v>452</v>
      </c>
      <c r="CH241" s="70">
        <f>G241</f>
        <v>62</v>
      </c>
      <c r="CI241" s="71">
        <f>K241</f>
        <v>66</v>
      </c>
      <c r="CJ241" s="72">
        <f>O241</f>
        <v>98</v>
      </c>
      <c r="CK241" s="72">
        <f>S241</f>
        <v>103</v>
      </c>
      <c r="CL241" s="72">
        <f>W241</f>
        <v>139</v>
      </c>
      <c r="CM241" s="72">
        <f>AA241</f>
        <v>147</v>
      </c>
      <c r="CN241" s="72">
        <f>AE241</f>
        <v>173</v>
      </c>
      <c r="CO241" s="72">
        <f>AI241</f>
        <v>187</v>
      </c>
      <c r="CP241" s="72">
        <f>AM241</f>
        <v>229</v>
      </c>
      <c r="CQ241" s="72">
        <f>AQ241</f>
        <v>420</v>
      </c>
      <c r="CR241" s="72">
        <f>AU241</f>
        <v>451</v>
      </c>
      <c r="CS241" s="72">
        <f>AY241</f>
        <v>464</v>
      </c>
      <c r="CT241" s="23">
        <f>M241-K241</f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>CONCATENATE(B242,"_",C242)</f>
        <v>drd4_human_5WIU</v>
      </c>
      <c r="B242" s="3" t="s">
        <v>193</v>
      </c>
      <c r="C242" s="3" t="s">
        <v>1438</v>
      </c>
      <c r="D242" s="3" t="str">
        <f>IFERROR(MID(VLOOKUP($B242,Seqs!$A:$B,2,0),E242,1),"")</f>
        <v>G</v>
      </c>
      <c r="E242" s="3">
        <v>34</v>
      </c>
      <c r="F242" s="3" t="str">
        <f>IFERROR(MID(VLOOKUP($B242,Seqs!$A:$B,2,0),G242,1),"")</f>
        <v>E</v>
      </c>
      <c r="G242" s="3">
        <v>62</v>
      </c>
      <c r="H242" s="3" t="str">
        <f>IFERROR(MID(VLOOKUP($B242,Seqs!$A:$B,2,0),I242,1),"")</f>
        <v>R</v>
      </c>
      <c r="I242" s="23">
        <v>63</v>
      </c>
      <c r="J242" s="3" t="str">
        <f>IFERROR(MID(VLOOKUP($B242,Seqs!$A:$B,2,0),K242,1),"")</f>
        <v>Q</v>
      </c>
      <c r="K242" s="23">
        <v>66</v>
      </c>
      <c r="L242" s="3" t="str">
        <f>IFERROR(MID(VLOOKUP($B242,Seqs!$A:$B,2,0),M242,1),"")</f>
        <v>T</v>
      </c>
      <c r="M242" s="3">
        <v>67</v>
      </c>
      <c r="N242" s="3" t="str">
        <f>IFERROR(MID(VLOOKUP($B242,Seqs!$A:$B,2,0),O242,1),"")</f>
        <v>G</v>
      </c>
      <c r="O242" s="3">
        <v>98</v>
      </c>
      <c r="P242" s="3" t="str">
        <f>IFERROR(MID(VLOOKUP($B242,Seqs!$A:$B,2,0),Q242,1),"")</f>
        <v>A</v>
      </c>
      <c r="Q242" s="3">
        <v>100</v>
      </c>
      <c r="R242" s="3" t="str">
        <f>IFERROR(MID(VLOOKUP($B242,Seqs!$A:$B,2,0),S242,1),"")</f>
        <v>L</v>
      </c>
      <c r="S242" s="3">
        <v>103</v>
      </c>
      <c r="T242" s="3" t="str">
        <f>IFERROR(MID(VLOOKUP($B242,Seqs!$A:$B,2,0),U242,1),"")</f>
        <v>S</v>
      </c>
      <c r="U242" s="3">
        <v>104</v>
      </c>
      <c r="V242" s="3" t="str">
        <f>IFERROR(MID(VLOOKUP($B242,Seqs!$A:$B,2,0),W242,1),"")</f>
        <v>V</v>
      </c>
      <c r="W242" s="3">
        <v>139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R</v>
      </c>
      <c r="AC242" s="3">
        <v>150</v>
      </c>
      <c r="AD242" s="3" t="str">
        <f>IFERROR(MID(VLOOKUP($B242,Seqs!$A:$B,2,0),AE242,1),"")</f>
        <v>G</v>
      </c>
      <c r="AE242" s="3">
        <v>173</v>
      </c>
      <c r="AF242" s="3" t="str">
        <f>IFERROR(MID(VLOOKUP($B242,Seqs!$A:$B,2,0),AG242,1),"")</f>
        <v>C</v>
      </c>
      <c r="AG242" s="3">
        <v>185</v>
      </c>
      <c r="AH242" s="3" t="str">
        <f>IFERROR(MID(VLOOKUP($B242,Seqs!$A:$B,2,0),AI242,1),"")</f>
        <v>L</v>
      </c>
      <c r="AI242" s="3">
        <v>187</v>
      </c>
      <c r="AJ242" s="3" t="str">
        <f>IFERROR(MID(VLOOKUP($B242,Seqs!$A:$B,2,0),AK242,1),"")</f>
        <v>D</v>
      </c>
      <c r="AK242" s="3">
        <v>189</v>
      </c>
      <c r="AL242" s="3" t="str">
        <f>IFERROR(MID(VLOOKUP($B242,Seqs!$A:$B,2,0),AM242,1),"")</f>
        <v>W</v>
      </c>
      <c r="AM242" s="3">
        <v>222</v>
      </c>
      <c r="AN242" s="3" t="str">
        <f>IFERROR(MID(VLOOKUP($B242,Seqs!$A:$B,2,0),AO242,1),"")</f>
        <v>V</v>
      </c>
      <c r="AO242" s="3">
        <v>395</v>
      </c>
      <c r="AP242" s="3" t="str">
        <f>IFERROR(MID(VLOOKUP($B242,Seqs!$A:$B,2,0),AQ242,1),"")</f>
        <v>C</v>
      </c>
      <c r="AQ242" s="3">
        <v>420</v>
      </c>
      <c r="AR242" s="3" t="str">
        <f>IFERROR(MID(VLOOKUP($B242,Seqs!$A:$B,2,0),AS242,1),"")</f>
        <v>P</v>
      </c>
      <c r="AS242" s="3">
        <v>426</v>
      </c>
      <c r="AT242" s="3" t="str">
        <f>IFERROR(MID(VLOOKUP($B242,Seqs!$A:$B,2,0),AU242,1),"")</f>
        <v>F</v>
      </c>
      <c r="AU242" s="3">
        <v>451</v>
      </c>
      <c r="AV242" s="3" t="str">
        <f>IFERROR(MID(VLOOKUP($B242,Seqs!$A:$B,2,0),AW242,1),"")</f>
        <v>N</v>
      </c>
      <c r="AW242" s="3">
        <v>452</v>
      </c>
      <c r="AX242" s="3" t="str">
        <f>IFERROR(MID(VLOOKUP($B242,Seqs!$A:$B,2,0),AY242,1),"")</f>
        <v>R</v>
      </c>
      <c r="AY242" s="3">
        <v>460</v>
      </c>
      <c r="AZ242" s="77" t="str">
        <f>VLOOKUP(B242,Classification!A:D,2,0)</f>
        <v>A</v>
      </c>
      <c r="BA242" s="94" t="str">
        <f>VLOOKUP(B242,Classification!A:D,4,0)</f>
        <v>Dopamine</v>
      </c>
      <c r="BB242" s="27" t="b">
        <f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>_xlfn.AGGREGATE(9,6,CH242:CS242)-_xlfn.AGGREGATE(9,6,BV242:CG242)+12</f>
        <v>228</v>
      </c>
      <c r="BD242" s="2" t="s">
        <v>23</v>
      </c>
      <c r="BE242" s="3" t="s">
        <v>1368</v>
      </c>
      <c r="BF242" s="118">
        <v>1.96</v>
      </c>
      <c r="BG242" s="49" t="s">
        <v>1</v>
      </c>
      <c r="BH242" s="49" t="s">
        <v>1371</v>
      </c>
      <c r="BI242" s="1"/>
      <c r="BJ242" s="70" t="s">
        <v>1281</v>
      </c>
      <c r="BK242" s="57" t="s">
        <v>1281</v>
      </c>
      <c r="BL242" s="57" t="s">
        <v>1281</v>
      </c>
      <c r="BM242" s="57" t="s">
        <v>1281</v>
      </c>
      <c r="BN242" s="57" t="s">
        <v>1281</v>
      </c>
      <c r="BO242" s="57" t="s">
        <v>1281</v>
      </c>
      <c r="BP242" s="57" t="s">
        <v>1281</v>
      </c>
      <c r="BQ242" s="57" t="s">
        <v>1281</v>
      </c>
      <c r="BR242" s="57" t="s">
        <v>1281</v>
      </c>
      <c r="BS242" s="57" t="s">
        <v>1281</v>
      </c>
      <c r="BT242" s="57" t="s">
        <v>1281</v>
      </c>
      <c r="BU242" s="57" t="s">
        <v>1281</v>
      </c>
      <c r="BV242" s="70">
        <f>E242</f>
        <v>34</v>
      </c>
      <c r="BW242" s="71">
        <f>I242</f>
        <v>63</v>
      </c>
      <c r="BX242" s="72">
        <f>M242</f>
        <v>67</v>
      </c>
      <c r="BY242" s="71">
        <f>Q242</f>
        <v>100</v>
      </c>
      <c r="BZ242" s="72">
        <f>U242</f>
        <v>104</v>
      </c>
      <c r="CA242" s="71" t="str">
        <f>Y242</f>
        <v>-</v>
      </c>
      <c r="CB242" s="72">
        <f>AC242</f>
        <v>150</v>
      </c>
      <c r="CC242" s="71">
        <f>AG242</f>
        <v>185</v>
      </c>
      <c r="CD242" s="72">
        <f>AK242</f>
        <v>189</v>
      </c>
      <c r="CE242" s="71">
        <f>AO242</f>
        <v>395</v>
      </c>
      <c r="CF242" s="72">
        <f>AS242</f>
        <v>426</v>
      </c>
      <c r="CG242" s="71">
        <f>AW242</f>
        <v>452</v>
      </c>
      <c r="CH242" s="70">
        <f>G242</f>
        <v>62</v>
      </c>
      <c r="CI242" s="71">
        <f>K242</f>
        <v>66</v>
      </c>
      <c r="CJ242" s="72">
        <f>O242</f>
        <v>98</v>
      </c>
      <c r="CK242" s="72">
        <f>S242</f>
        <v>103</v>
      </c>
      <c r="CL242" s="72">
        <f>W242</f>
        <v>139</v>
      </c>
      <c r="CM242" s="72" t="str">
        <f>AA242</f>
        <v>-</v>
      </c>
      <c r="CN242" s="72">
        <f>AE242</f>
        <v>173</v>
      </c>
      <c r="CO242" s="72">
        <f>AI242</f>
        <v>187</v>
      </c>
      <c r="CP242" s="72">
        <f>AM242</f>
        <v>222</v>
      </c>
      <c r="CQ242" s="72">
        <f>AQ242</f>
        <v>420</v>
      </c>
      <c r="CR242" s="72">
        <f>AU242</f>
        <v>451</v>
      </c>
      <c r="CS242" s="72">
        <f>AY242</f>
        <v>460</v>
      </c>
      <c r="CT242" s="23">
        <f>M242-K242</f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>CONCATENATE(B243,"_",C243)</f>
        <v>drd4_human_5WIV</v>
      </c>
      <c r="B243" s="3" t="s">
        <v>193</v>
      </c>
      <c r="C243" s="3" t="s">
        <v>1440</v>
      </c>
      <c r="D243" s="3" t="str">
        <f>IFERROR(MID(VLOOKUP($B243,Seqs!$A:$B,2,0),E243,1),"")</f>
        <v>G</v>
      </c>
      <c r="E243" s="3">
        <v>32</v>
      </c>
      <c r="F243" s="3" t="str">
        <f>IFERROR(MID(VLOOKUP($B243,Seqs!$A:$B,2,0),G243,1),"")</f>
        <v>E</v>
      </c>
      <c r="G243" s="3">
        <v>62</v>
      </c>
      <c r="H243" s="3" t="str">
        <f>IFERROR(MID(VLOOKUP($B243,Seqs!$A:$B,2,0),I243,1),"")</f>
        <v>R</v>
      </c>
      <c r="I243" s="23">
        <v>63</v>
      </c>
      <c r="J243" s="3" t="str">
        <f>IFERROR(MID(VLOOKUP($B243,Seqs!$A:$B,2,0),K243,1),"")</f>
        <v>Q</v>
      </c>
      <c r="K243" s="23">
        <v>66</v>
      </c>
      <c r="L243" s="3" t="str">
        <f>IFERROR(MID(VLOOKUP($B243,Seqs!$A:$B,2,0),M243,1),"")</f>
        <v>T</v>
      </c>
      <c r="M243" s="3">
        <v>67</v>
      </c>
      <c r="N243" s="3" t="str">
        <f>IFERROR(MID(VLOOKUP($B243,Seqs!$A:$B,2,0),O243,1),"")</f>
        <v>G</v>
      </c>
      <c r="O243" s="3">
        <v>98</v>
      </c>
      <c r="P243" s="3" t="str">
        <f>IFERROR(MID(VLOOKUP($B243,Seqs!$A:$B,2,0),Q243,1),"")</f>
        <v>A</v>
      </c>
      <c r="Q243" s="3">
        <v>100</v>
      </c>
      <c r="R243" s="3" t="str">
        <f>IFERROR(MID(VLOOKUP($B243,Seqs!$A:$B,2,0),S243,1),"")</f>
        <v>L</v>
      </c>
      <c r="S243" s="3">
        <v>103</v>
      </c>
      <c r="T243" s="3" t="str">
        <f>IFERROR(MID(VLOOKUP($B243,Seqs!$A:$B,2,0),U243,1),"")</f>
        <v>S</v>
      </c>
      <c r="U243" s="3">
        <v>104</v>
      </c>
      <c r="V243" s="3" t="str">
        <f>IFERROR(MID(VLOOKUP($B243,Seqs!$A:$B,2,0),W243,1),"")</f>
        <v>V</v>
      </c>
      <c r="W243" s="3">
        <v>139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R</v>
      </c>
      <c r="AC243" s="3">
        <v>150</v>
      </c>
      <c r="AD243" s="3" t="str">
        <f>IFERROR(MID(VLOOKUP($B243,Seqs!$A:$B,2,0),AE243,1),"")</f>
        <v>G</v>
      </c>
      <c r="AE243" s="3">
        <v>173</v>
      </c>
      <c r="AF243" s="3" t="str">
        <f>IFERROR(MID(VLOOKUP($B243,Seqs!$A:$B,2,0),AG243,1),"")</f>
        <v>C</v>
      </c>
      <c r="AG243" s="3">
        <v>185</v>
      </c>
      <c r="AH243" s="3" t="str">
        <f>IFERROR(MID(VLOOKUP($B243,Seqs!$A:$B,2,0),AI243,1),"")</f>
        <v>L</v>
      </c>
      <c r="AI243" s="3">
        <v>187</v>
      </c>
      <c r="AJ243" s="3" t="str">
        <f>IFERROR(MID(VLOOKUP($B243,Seqs!$A:$B,2,0),AK243,1),"")</f>
        <v>D</v>
      </c>
      <c r="AK243" s="3">
        <v>189</v>
      </c>
      <c r="AL243" s="3" t="str">
        <f>IFERROR(MID(VLOOKUP($B243,Seqs!$A:$B,2,0),AM243,1),"")</f>
        <v>W</v>
      </c>
      <c r="AM243" s="3">
        <v>222</v>
      </c>
      <c r="AN243" s="3" t="str">
        <f>IFERROR(MID(VLOOKUP($B243,Seqs!$A:$B,2,0),AO243,1),"")</f>
        <v>V</v>
      </c>
      <c r="AO243" s="3">
        <v>395</v>
      </c>
      <c r="AP243" s="3" t="str">
        <f>IFERROR(MID(VLOOKUP($B243,Seqs!$A:$B,2,0),AQ243,1),"")</f>
        <v>C</v>
      </c>
      <c r="AQ243" s="3">
        <v>420</v>
      </c>
      <c r="AR243" s="3" t="str">
        <f>IFERROR(MID(VLOOKUP($B243,Seqs!$A:$B,2,0),AS243,1),"")</f>
        <v>P</v>
      </c>
      <c r="AS243" s="3">
        <v>426</v>
      </c>
      <c r="AT243" s="3" t="str">
        <f>IFERROR(MID(VLOOKUP($B243,Seqs!$A:$B,2,0),AU243,1),"")</f>
        <v>F</v>
      </c>
      <c r="AU243" s="3">
        <v>451</v>
      </c>
      <c r="AV243" s="3" t="str">
        <f>IFERROR(MID(VLOOKUP($B243,Seqs!$A:$B,2,0),AW243,1),"")</f>
        <v>N</v>
      </c>
      <c r="AW243" s="3">
        <v>452</v>
      </c>
      <c r="AX243" s="3" t="str">
        <f>IFERROR(MID(VLOOKUP($B243,Seqs!$A:$B,2,0),AY243,1),"")</f>
        <v>A</v>
      </c>
      <c r="AY243" s="3">
        <v>462</v>
      </c>
      <c r="AZ243" s="77" t="str">
        <f>VLOOKUP(B243,Classification!A:D,2,0)</f>
        <v>A</v>
      </c>
      <c r="BA243" s="94" t="str">
        <f>VLOOKUP(B243,Classification!A:D,4,0)</f>
        <v>Dopamine</v>
      </c>
      <c r="BB243" s="27" t="b">
        <f>AND(E243&lt;G243,OR(G243&lt;I243,I243="-"),OR(I243&lt;K243,I243="-"),OR(K243&lt;M243,K243="-"),M243&lt;O243,OR(O243&lt;Q243,Q243="-"),OR(Q243&lt;S243,Q243="-"),OR(S243&lt;U243,S243="-"),U243&lt;W243,OR(W243&lt;Y243,Y243="-"),OR(Y243&lt;AA243,Y243="-"),OR(AA243&lt;AC243,AA243="-"),AC243&lt;AE243,OR(AE243&lt;AG243,AG243="-"),OR(AG243&lt;AI243,AG243="-"),OR(AI243&lt;AK243,AI243="-"),AK243&lt;AM243,AM243&lt;AO243,AO243&lt;AQ243,AQ243&lt;AS243,AS243&lt;AU243,OR(AU243&lt;AW243,AW243="-"),OR(AW243&lt;AY243,AW243="-"))</f>
        <v>1</v>
      </c>
      <c r="BC243" s="23">
        <f>_xlfn.AGGREGATE(9,6,CH243:CS243)-_xlfn.AGGREGATE(9,6,BV243:CG243)+12</f>
        <v>232</v>
      </c>
      <c r="BD243" s="2" t="s">
        <v>1370</v>
      </c>
      <c r="BE243" s="3" t="s">
        <v>1368</v>
      </c>
      <c r="BF243" s="118">
        <v>2.14</v>
      </c>
      <c r="BG243" s="49" t="s">
        <v>1</v>
      </c>
      <c r="BH243" s="49" t="s">
        <v>1371</v>
      </c>
      <c r="BI243" s="1"/>
      <c r="BJ243" s="70" t="s">
        <v>1281</v>
      </c>
      <c r="BK243" s="57" t="s">
        <v>1281</v>
      </c>
      <c r="BL243" s="57" t="s">
        <v>1281</v>
      </c>
      <c r="BM243" s="57" t="s">
        <v>1281</v>
      </c>
      <c r="BN243" s="57" t="s">
        <v>1281</v>
      </c>
      <c r="BO243" s="57" t="s">
        <v>1281</v>
      </c>
      <c r="BP243" s="57" t="s">
        <v>1281</v>
      </c>
      <c r="BQ243" s="57" t="s">
        <v>1281</v>
      </c>
      <c r="BR243" s="57" t="s">
        <v>1281</v>
      </c>
      <c r="BS243" s="57" t="s">
        <v>1281</v>
      </c>
      <c r="BT243" s="57" t="s">
        <v>1281</v>
      </c>
      <c r="BU243" s="57" t="s">
        <v>1281</v>
      </c>
      <c r="BV243" s="70">
        <f>E243</f>
        <v>32</v>
      </c>
      <c r="BW243" s="71">
        <f>I243</f>
        <v>63</v>
      </c>
      <c r="BX243" s="72">
        <f>M243</f>
        <v>67</v>
      </c>
      <c r="BY243" s="71">
        <f>Q243</f>
        <v>100</v>
      </c>
      <c r="BZ243" s="72">
        <f>U243</f>
        <v>104</v>
      </c>
      <c r="CA243" s="71" t="str">
        <f>Y243</f>
        <v>-</v>
      </c>
      <c r="CB243" s="72">
        <f>AC243</f>
        <v>150</v>
      </c>
      <c r="CC243" s="71">
        <f>AG243</f>
        <v>185</v>
      </c>
      <c r="CD243" s="72">
        <f>AK243</f>
        <v>189</v>
      </c>
      <c r="CE243" s="71">
        <f>AO243</f>
        <v>395</v>
      </c>
      <c r="CF243" s="72">
        <f>AS243</f>
        <v>426</v>
      </c>
      <c r="CG243" s="71">
        <f>AW243</f>
        <v>452</v>
      </c>
      <c r="CH243" s="70">
        <f>G243</f>
        <v>62</v>
      </c>
      <c r="CI243" s="71">
        <f>K243</f>
        <v>66</v>
      </c>
      <c r="CJ243" s="72">
        <f>O243</f>
        <v>98</v>
      </c>
      <c r="CK243" s="72">
        <f>S243</f>
        <v>103</v>
      </c>
      <c r="CL243" s="72">
        <f>W243</f>
        <v>139</v>
      </c>
      <c r="CM243" s="72" t="str">
        <f>AA243</f>
        <v>-</v>
      </c>
      <c r="CN243" s="72">
        <f>AE243</f>
        <v>173</v>
      </c>
      <c r="CO243" s="72">
        <f>AI243</f>
        <v>187</v>
      </c>
      <c r="CP243" s="72">
        <f>AM243</f>
        <v>222</v>
      </c>
      <c r="CQ243" s="72">
        <f>AQ243</f>
        <v>420</v>
      </c>
      <c r="CR243" s="72">
        <f>AU243</f>
        <v>451</v>
      </c>
      <c r="CS243" s="72">
        <f>AY243</f>
        <v>462</v>
      </c>
      <c r="CT243" s="23">
        <f>M243-K243</f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s="12" customFormat="1" x14ac:dyDescent="0.2">
      <c r="A244" s="9" t="str">
        <f>CONCATENATE(B244,"_",C244)</f>
        <v>drd4_mouse__wt</v>
      </c>
      <c r="B244" s="9" t="s">
        <v>1688</v>
      </c>
      <c r="C244" s="9" t="s">
        <v>100</v>
      </c>
      <c r="D244" s="9" t="str">
        <f>IFERROR(MID(VLOOKUP($B244,Seqs!$A:$B,2,0),E244,1),"")</f>
        <v>G</v>
      </c>
      <c r="E244" s="9">
        <v>28</v>
      </c>
      <c r="F244" s="9" t="str">
        <f>IFERROR(MID(VLOOKUP($B244,Seqs!$A:$B,2,0),G244,1),"")</f>
        <v>E</v>
      </c>
      <c r="G244" s="9">
        <v>59</v>
      </c>
      <c r="H244" s="9" t="str">
        <f>IFERROR(MID(VLOOKUP($B244,Seqs!$A:$B,2,0),I244,1),"")</f>
        <v>R</v>
      </c>
      <c r="I244" s="109">
        <v>60</v>
      </c>
      <c r="J244" s="9" t="str">
        <f>IFERROR(MID(VLOOKUP($B244,Seqs!$A:$B,2,0),K244,1),"")</f>
        <v>Q</v>
      </c>
      <c r="K244" s="109">
        <v>63</v>
      </c>
      <c r="L244" s="9" t="str">
        <f>IFERROR(MID(VLOOKUP($B244,Seqs!$A:$B,2,0),M244,1),"")</f>
        <v>T</v>
      </c>
      <c r="M244" s="9">
        <v>64</v>
      </c>
      <c r="N244" s="9" t="str">
        <f>IFERROR(MID(VLOOKUP($B244,Seqs!$A:$B,2,0),O244,1),"")</f>
        <v>G</v>
      </c>
      <c r="O244" s="9">
        <v>95</v>
      </c>
      <c r="P244" s="9" t="str">
        <f>IFERROR(MID(VLOOKUP($B244,Seqs!$A:$B,2,0),Q244,1),"")</f>
        <v>V</v>
      </c>
      <c r="Q244" s="9">
        <v>97</v>
      </c>
      <c r="R244" s="9" t="str">
        <f>IFERROR(MID(VLOOKUP($B244,Seqs!$A:$B,2,0),S244,1),"")</f>
        <v>L</v>
      </c>
      <c r="S244" s="9">
        <v>100</v>
      </c>
      <c r="T244" s="9" t="str">
        <f>IFERROR(MID(VLOOKUP($B244,Seqs!$A:$B,2,0),U244,1),"")</f>
        <v>S</v>
      </c>
      <c r="U244" s="9">
        <v>101</v>
      </c>
      <c r="V244" s="9" t="str">
        <f>IFERROR(MID(VLOOKUP($B244,Seqs!$A:$B,2,0),W244,1),"")</f>
        <v>V</v>
      </c>
      <c r="W244" s="9">
        <v>136</v>
      </c>
      <c r="X244" s="9" t="str">
        <f>IFERROR(MID(VLOOKUP($B244,Seqs!$A:$B,2,0),Y244,1),"")</f>
        <v>P</v>
      </c>
      <c r="Y244" s="9">
        <v>137</v>
      </c>
      <c r="Z244" s="9" t="str">
        <f>IFERROR(MID(VLOOKUP($B244,Seqs!$A:$B,2,0),AA244,1),"")</f>
        <v>Y</v>
      </c>
      <c r="AA244" s="9">
        <v>140</v>
      </c>
      <c r="AB244" s="9" t="str">
        <f>IFERROR(MID(VLOOKUP($B244,Seqs!$A:$B,2,0),AC244,1),"")</f>
        <v>N</v>
      </c>
      <c r="AC244" s="9">
        <v>141</v>
      </c>
      <c r="AD244" s="9" t="str">
        <f>IFERROR(MID(VLOOKUP($B244,Seqs!$A:$B,2,0),AE244,1),"")</f>
        <v>G</v>
      </c>
      <c r="AE244" s="9">
        <v>168</v>
      </c>
      <c r="AF244" s="9" t="str">
        <f>IFERROR(MID(VLOOKUP($B244,Seqs!$A:$B,2,0),AG244,1),"")</f>
        <v>C</v>
      </c>
      <c r="AG244" s="9">
        <v>180</v>
      </c>
      <c r="AH244" s="9" t="str">
        <f>IFERROR(MID(VLOOKUP($B244,Seqs!$A:$B,2,0),AI244,1),"")</f>
        <v>L</v>
      </c>
      <c r="AI244" s="9">
        <v>182</v>
      </c>
      <c r="AJ244" s="9" t="str">
        <f>IFERROR(MID(VLOOKUP($B244,Seqs!$A:$B,2,0),AK244,1),"")</f>
        <v>N</v>
      </c>
      <c r="AK244" s="9">
        <v>184</v>
      </c>
      <c r="AL244" s="9" t="str">
        <f>IFERROR(MID(VLOOKUP($B244,Seqs!$A:$B,2,0),AM244,1),"")</f>
        <v>L</v>
      </c>
      <c r="AM244" s="9">
        <v>225</v>
      </c>
      <c r="AN244" s="9" t="str">
        <f>IFERROR(MID(VLOOKUP($B244,Seqs!$A:$B,2,0),AO244,1),"")</f>
        <v>A</v>
      </c>
      <c r="AO244" s="9">
        <v>303</v>
      </c>
      <c r="AP244" s="9" t="str">
        <f>IFERROR(MID(VLOOKUP($B244,Seqs!$A:$B,2,0),AQ244,1),"")</f>
        <v>C</v>
      </c>
      <c r="AQ244" s="9">
        <v>340</v>
      </c>
      <c r="AR244" s="9" t="str">
        <f>IFERROR(MID(VLOOKUP($B244,Seqs!$A:$B,2,0),AS244,1),"")</f>
        <v>S</v>
      </c>
      <c r="AS244" s="9">
        <v>346</v>
      </c>
      <c r="AT244" s="9" t="str">
        <f>IFERROR(MID(VLOOKUP($B244,Seqs!$A:$B,2,0),AU244,1),"")</f>
        <v>F</v>
      </c>
      <c r="AU244" s="9">
        <v>371</v>
      </c>
      <c r="AV244" s="9" t="str">
        <f>IFERROR(MID(VLOOKUP($B244,Seqs!$A:$B,2,0),AW244,1),"")</f>
        <v>N</v>
      </c>
      <c r="AW244" s="9">
        <v>372</v>
      </c>
      <c r="AX244" s="9" t="str">
        <f>IFERROR(MID(VLOOKUP($B244,Seqs!$A:$B,2,0),AY244,1),"")</f>
        <v>R</v>
      </c>
      <c r="AY244" s="9">
        <v>384</v>
      </c>
      <c r="AZ244" s="110" t="str">
        <f>VLOOKUP(B244,Classification!A:D,2,0)</f>
        <v>A</v>
      </c>
      <c r="BA244" s="98" t="str">
        <f>VLOOKUP(B244,Classification!A:D,4,0)</f>
        <v>Dopamine</v>
      </c>
      <c r="BB244" s="36" t="b">
        <f>AND(E244&lt;G244,OR(G244&lt;I244,I244="-"),OR(I244&lt;K244,I244="-"),OR(K244&lt;M244,K244="-"),M244&lt;O244,OR(O244&lt;Q244,Q244="-"),OR(Q244&lt;S244,Q244="-"),OR(S244&lt;U244,S244="-"),U244&lt;W244,OR(W244&lt;Y244,Y244="-"),OR(Y244&lt;AA244,Y244="-"),OR(AA244&lt;AC244,AA244="-"),AC244&lt;AE244,OR(AE244&lt;AG244,AG244="-"),OR(AG244&lt;AI244,AG244="-"),OR(AI244&lt;AK244,AI244="-"),AK244&lt;AM244,AM244&lt;AO244,AO244&lt;AQ244,AQ244&lt;AS244,AS244&lt;AU244,OR(AU244&lt;AW244,AW244="-"),OR(AW244&lt;AY244,AW244="-"))</f>
        <v>1</v>
      </c>
      <c r="BC244" s="109">
        <f>_xlfn.AGGREGATE(9,6,CH244:CS244)-_xlfn.AGGREGATE(9,6,BV244:CG244)+12</f>
        <v>262</v>
      </c>
      <c r="BD244" s="40" t="s">
        <v>23</v>
      </c>
      <c r="BE244" s="9" t="s">
        <v>23</v>
      </c>
      <c r="BF244" s="119" t="s">
        <v>23</v>
      </c>
      <c r="BG244" s="51" t="s">
        <v>23</v>
      </c>
      <c r="BH244" s="51" t="s">
        <v>23</v>
      </c>
      <c r="BJ244" s="111" t="s">
        <v>1281</v>
      </c>
      <c r="BK244" s="112" t="s">
        <v>1281</v>
      </c>
      <c r="BL244" s="112" t="s">
        <v>1281</v>
      </c>
      <c r="BM244" s="112" t="s">
        <v>1281</v>
      </c>
      <c r="BN244" s="112" t="s">
        <v>1281</v>
      </c>
      <c r="BO244" s="112" t="s">
        <v>1281</v>
      </c>
      <c r="BP244" s="112" t="s">
        <v>1281</v>
      </c>
      <c r="BQ244" s="112" t="s">
        <v>1281</v>
      </c>
      <c r="BR244" s="112" t="s">
        <v>1281</v>
      </c>
      <c r="BS244" s="112" t="s">
        <v>1281</v>
      </c>
      <c r="BT244" s="112" t="s">
        <v>1281</v>
      </c>
      <c r="BU244" s="112" t="s">
        <v>1281</v>
      </c>
      <c r="BV244" s="111">
        <f>E244</f>
        <v>28</v>
      </c>
      <c r="BW244" s="113">
        <f>I244</f>
        <v>60</v>
      </c>
      <c r="BX244" s="114">
        <f>M244</f>
        <v>64</v>
      </c>
      <c r="BY244" s="113">
        <f>Q244</f>
        <v>97</v>
      </c>
      <c r="BZ244" s="114">
        <f>U244</f>
        <v>101</v>
      </c>
      <c r="CA244" s="113">
        <f>Y244</f>
        <v>137</v>
      </c>
      <c r="CB244" s="114">
        <f>AC244</f>
        <v>141</v>
      </c>
      <c r="CC244" s="113">
        <f>AG244</f>
        <v>180</v>
      </c>
      <c r="CD244" s="114">
        <f>AK244</f>
        <v>184</v>
      </c>
      <c r="CE244" s="113">
        <f>AO244</f>
        <v>303</v>
      </c>
      <c r="CF244" s="114">
        <f>AS244</f>
        <v>346</v>
      </c>
      <c r="CG244" s="113">
        <f>AW244</f>
        <v>372</v>
      </c>
      <c r="CH244" s="111">
        <f>G244</f>
        <v>59</v>
      </c>
      <c r="CI244" s="113">
        <f>K244</f>
        <v>63</v>
      </c>
      <c r="CJ244" s="114">
        <f>O244</f>
        <v>95</v>
      </c>
      <c r="CK244" s="114">
        <f>S244</f>
        <v>100</v>
      </c>
      <c r="CL244" s="114">
        <f>W244</f>
        <v>136</v>
      </c>
      <c r="CM244" s="114">
        <f>AA244</f>
        <v>140</v>
      </c>
      <c r="CN244" s="114">
        <f>AE244</f>
        <v>168</v>
      </c>
      <c r="CO244" s="114">
        <f>AI244</f>
        <v>182</v>
      </c>
      <c r="CP244" s="114">
        <f>AM244</f>
        <v>225</v>
      </c>
      <c r="CQ244" s="114">
        <f>AQ244</f>
        <v>340</v>
      </c>
      <c r="CR244" s="114">
        <f>AU244</f>
        <v>371</v>
      </c>
      <c r="CS244" s="114">
        <f>AY244</f>
        <v>384</v>
      </c>
      <c r="CT244" s="109">
        <f>M244-K244</f>
        <v>1</v>
      </c>
    </row>
    <row r="245" spans="1:1029" s="12" customFormat="1" x14ac:dyDescent="0.2">
      <c r="A245" s="9" t="str">
        <f>CONCATENATE(B245,"_",C245)</f>
        <v>drd4_mouse_6IQL</v>
      </c>
      <c r="B245" s="9" t="s">
        <v>1688</v>
      </c>
      <c r="C245" s="9" t="s">
        <v>1680</v>
      </c>
      <c r="D245" s="9" t="str">
        <f>IFERROR(MID(VLOOKUP($B245,Seqs!$A:$B,2,0),E245,1),"")</f>
        <v>A</v>
      </c>
      <c r="E245" s="9">
        <v>32</v>
      </c>
      <c r="F245" s="9" t="str">
        <f>IFERROR(MID(VLOOKUP($B245,Seqs!$A:$B,2,0),G245,1),"")</f>
        <v>E</v>
      </c>
      <c r="G245" s="9">
        <v>59</v>
      </c>
      <c r="H245" s="9" t="str">
        <f>IFERROR(MID(VLOOKUP($B245,Seqs!$A:$B,2,0),I245,1),"")</f>
        <v/>
      </c>
      <c r="I245" s="109" t="s">
        <v>23</v>
      </c>
      <c r="J245" s="9" t="str">
        <f>IFERROR(MID(VLOOKUP($B245,Seqs!$A:$B,2,0),K245,1),"")</f>
        <v/>
      </c>
      <c r="K245" s="109" t="s">
        <v>23</v>
      </c>
      <c r="L245" s="9" t="str">
        <f>IFERROR(MID(VLOOKUP($B245,Seqs!$A:$B,2,0),M245,1),"")</f>
        <v>T</v>
      </c>
      <c r="M245" s="9">
        <v>64</v>
      </c>
      <c r="N245" s="9" t="str">
        <f>IFERROR(MID(VLOOKUP($B245,Seqs!$A:$B,2,0),O245,1),"")</f>
        <v>Q</v>
      </c>
      <c r="O245" s="9">
        <v>94</v>
      </c>
      <c r="P245" s="9" t="str">
        <f>IFERROR(MID(VLOOKUP($B245,Seqs!$A:$B,2,0),Q245,1),"")</f>
        <v>V</v>
      </c>
      <c r="Q245" s="9">
        <v>97</v>
      </c>
      <c r="R245" s="9" t="str">
        <f>IFERROR(MID(VLOOKUP($B245,Seqs!$A:$B,2,0),S245,1),"")</f>
        <v>L</v>
      </c>
      <c r="S245" s="9">
        <v>100</v>
      </c>
      <c r="T245" s="9" t="str">
        <f>IFERROR(MID(VLOOKUP($B245,Seqs!$A:$B,2,0),U245,1),"")</f>
        <v>P</v>
      </c>
      <c r="U245" s="9">
        <v>102</v>
      </c>
      <c r="V245" s="9" t="str">
        <f>IFERROR(MID(VLOOKUP($B245,Seqs!$A:$B,2,0),W245,1),"")</f>
        <v>R</v>
      </c>
      <c r="W245" s="9">
        <v>130</v>
      </c>
      <c r="X245" s="9" t="str">
        <f>IFERROR(MID(VLOOKUP($B245,Seqs!$A:$B,2,0),Y245,1),"")</f>
        <v/>
      </c>
      <c r="Y245" s="9" t="s">
        <v>23</v>
      </c>
      <c r="Z245" s="9" t="str">
        <f>IFERROR(MID(VLOOKUP($B245,Seqs!$A:$B,2,0),AA245,1),"")</f>
        <v/>
      </c>
      <c r="AA245" s="9" t="s">
        <v>23</v>
      </c>
      <c r="AB245" s="9" t="str">
        <f>IFERROR(MID(VLOOKUP($B245,Seqs!$A:$B,2,0),AC245,1),"")</f>
        <v>Q</v>
      </c>
      <c r="AC245" s="9">
        <v>147</v>
      </c>
      <c r="AD245" s="9" t="str">
        <f>IFERROR(MID(VLOOKUP($B245,Seqs!$A:$B,2,0),AE245,1),"")</f>
        <v>S</v>
      </c>
      <c r="AE245" s="9">
        <v>163</v>
      </c>
      <c r="AF245" s="9" t="str">
        <f>IFERROR(MID(VLOOKUP($B245,Seqs!$A:$B,2,0),AG245,1),"")</f>
        <v/>
      </c>
      <c r="AG245" s="9" t="s">
        <v>23</v>
      </c>
      <c r="AH245" s="9" t="str">
        <f>IFERROR(MID(VLOOKUP($B245,Seqs!$A:$B,2,0),AI245,1),"")</f>
        <v/>
      </c>
      <c r="AI245" s="9" t="s">
        <v>23</v>
      </c>
      <c r="AJ245" s="9" t="str">
        <f>IFERROR(MID(VLOOKUP($B245,Seqs!$A:$B,2,0),AK245,1),"")</f>
        <v>Y</v>
      </c>
      <c r="AK245" s="9">
        <v>187</v>
      </c>
      <c r="AL245" s="9" t="str">
        <f>IFERROR(MID(VLOOKUP($B245,Seqs!$A:$B,2,0),AM245,1),"")</f>
        <v>E</v>
      </c>
      <c r="AM245" s="9">
        <v>218</v>
      </c>
      <c r="AN245" s="9" t="str">
        <f>IFERROR(MID(VLOOKUP($B245,Seqs!$A:$B,2,0),AO245,1),"")</f>
        <v>K</v>
      </c>
      <c r="AO245" s="9">
        <v>304</v>
      </c>
      <c r="AP245" s="9" t="str">
        <f>IFERROR(MID(VLOOKUP($B245,Seqs!$A:$B,2,0),AQ245,1),"")</f>
        <v>C</v>
      </c>
      <c r="AQ245" s="9">
        <v>340</v>
      </c>
      <c r="AR245" s="9" t="str">
        <f>IFERROR(MID(VLOOKUP($B245,Seqs!$A:$B,2,0),AS245,1),"")</f>
        <v>S</v>
      </c>
      <c r="AS245" s="9">
        <v>346</v>
      </c>
      <c r="AT245" s="9" t="str">
        <f>IFERROR(MID(VLOOKUP($B245,Seqs!$A:$B,2,0),AU245,1),"")</f>
        <v>T</v>
      </c>
      <c r="AU245" s="9">
        <v>369</v>
      </c>
      <c r="AV245" s="9" t="str">
        <f>IFERROR(MID(VLOOKUP($B245,Seqs!$A:$B,2,0),AW245,1),"")</f>
        <v/>
      </c>
      <c r="AW245" s="9" t="s">
        <v>23</v>
      </c>
      <c r="AX245" s="9" t="str">
        <f>IFERROR(MID(VLOOKUP($B245,Seqs!$A:$B,2,0),AY245,1),"")</f>
        <v/>
      </c>
      <c r="AY245" s="9" t="s">
        <v>23</v>
      </c>
      <c r="AZ245" s="110" t="str">
        <f>VLOOKUP(B245,Classification!A:D,2,0)</f>
        <v>A</v>
      </c>
      <c r="BA245" s="98" t="str">
        <f>VLOOKUP(B245,Classification!A:D,4,0)</f>
        <v>Dopamine</v>
      </c>
      <c r="BB245" s="36" t="b">
        <f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109">
        <f>_xlfn.AGGREGATE(9,6,CH245:CS245)-_xlfn.AGGREGATE(9,6,BV245:CG245)+12</f>
        <v>206</v>
      </c>
      <c r="BD245" s="40" t="s">
        <v>23</v>
      </c>
      <c r="BE245" s="9" t="s">
        <v>1368</v>
      </c>
      <c r="BF245" s="119">
        <v>3.5</v>
      </c>
      <c r="BG245" s="51" t="s">
        <v>1</v>
      </c>
      <c r="BH245" s="51" t="s">
        <v>1</v>
      </c>
      <c r="BJ245" s="111" t="s">
        <v>1281</v>
      </c>
      <c r="BK245" s="112" t="s">
        <v>1281</v>
      </c>
      <c r="BL245" s="112" t="s">
        <v>1281</v>
      </c>
      <c r="BM245" s="112" t="s">
        <v>1281</v>
      </c>
      <c r="BN245" s="112" t="s">
        <v>1281</v>
      </c>
      <c r="BO245" s="112" t="s">
        <v>1281</v>
      </c>
      <c r="BP245" s="112" t="s">
        <v>1281</v>
      </c>
      <c r="BQ245" s="112" t="s">
        <v>1281</v>
      </c>
      <c r="BR245" s="112" t="s">
        <v>1281</v>
      </c>
      <c r="BS245" s="112" t="s">
        <v>1281</v>
      </c>
      <c r="BT245" s="112" t="s">
        <v>1281</v>
      </c>
      <c r="BU245" s="112" t="s">
        <v>1281</v>
      </c>
      <c r="BV245" s="111">
        <f>E245</f>
        <v>32</v>
      </c>
      <c r="BW245" s="113" t="str">
        <f>I245</f>
        <v>-</v>
      </c>
      <c r="BX245" s="114">
        <f>M245</f>
        <v>64</v>
      </c>
      <c r="BY245" s="113">
        <f>Q245</f>
        <v>97</v>
      </c>
      <c r="BZ245" s="114">
        <f>U245</f>
        <v>102</v>
      </c>
      <c r="CA245" s="113" t="str">
        <f>Y245</f>
        <v>-</v>
      </c>
      <c r="CB245" s="114">
        <f>AC245</f>
        <v>147</v>
      </c>
      <c r="CC245" s="113" t="str">
        <f>AG245</f>
        <v>-</v>
      </c>
      <c r="CD245" s="114">
        <f>AK245</f>
        <v>187</v>
      </c>
      <c r="CE245" s="113">
        <f>AO245</f>
        <v>304</v>
      </c>
      <c r="CF245" s="114">
        <f>AS245</f>
        <v>346</v>
      </c>
      <c r="CG245" s="113" t="str">
        <f>AW245</f>
        <v>-</v>
      </c>
      <c r="CH245" s="111">
        <f>G245</f>
        <v>59</v>
      </c>
      <c r="CI245" s="113" t="str">
        <f>K245</f>
        <v>-</v>
      </c>
      <c r="CJ245" s="114">
        <f>O245</f>
        <v>94</v>
      </c>
      <c r="CK245" s="114">
        <f>S245</f>
        <v>100</v>
      </c>
      <c r="CL245" s="114">
        <f>W245</f>
        <v>130</v>
      </c>
      <c r="CM245" s="114" t="str">
        <f>AA245</f>
        <v>-</v>
      </c>
      <c r="CN245" s="114">
        <f>AE245</f>
        <v>163</v>
      </c>
      <c r="CO245" s="114" t="str">
        <f>AI245</f>
        <v>-</v>
      </c>
      <c r="CP245" s="114">
        <f>AM245</f>
        <v>218</v>
      </c>
      <c r="CQ245" s="114">
        <f>AQ245</f>
        <v>340</v>
      </c>
      <c r="CR245" s="114">
        <f>AU245</f>
        <v>369</v>
      </c>
      <c r="CS245" s="114" t="str">
        <f>AY245</f>
        <v>-</v>
      </c>
      <c r="CT245" s="109" t="e">
        <f>M245-K245</f>
        <v>#VALUE!</v>
      </c>
    </row>
    <row r="246" spans="1:1029" x14ac:dyDescent="0.2">
      <c r="A246" s="3" t="str">
        <f t="shared" si="1371"/>
        <v>ednrb_human__wt</v>
      </c>
      <c r="B246" s="2" t="s">
        <v>196</v>
      </c>
      <c r="C246" s="2" t="s">
        <v>100</v>
      </c>
      <c r="D246" s="3" t="str">
        <f>IFERROR(MID(VLOOKUP($B246,Seqs!$A:$B,2,0),E246,1),"")</f>
        <v>Q</v>
      </c>
      <c r="E246" s="2">
        <v>91</v>
      </c>
      <c r="F246" s="3" t="str">
        <f>IFERROR(MID(VLOOKUP($B246,Seqs!$A:$B,2,0),G246,1),"")</f>
        <v>N</v>
      </c>
      <c r="G246" s="2">
        <v>129</v>
      </c>
      <c r="H246" s="3" t="str">
        <f>IFERROR(MID(VLOOKUP($B246,Seqs!$A:$B,2,0),I246,1),"")</f>
        <v>K</v>
      </c>
      <c r="I246" s="56">
        <v>130</v>
      </c>
      <c r="J246" s="3" t="str">
        <f>IFERROR(MID(VLOOKUP($B246,Seqs!$A:$B,2,0),K246,1),"")</f>
        <v>N</v>
      </c>
      <c r="K246" s="56">
        <v>134</v>
      </c>
      <c r="L246" s="3" t="str">
        <f>IFERROR(MID(VLOOKUP($B246,Seqs!$A:$B,2,0),M246,1),"")</f>
        <v>G</v>
      </c>
      <c r="M246" s="2">
        <v>135</v>
      </c>
      <c r="N246" s="3" t="str">
        <f>IFERROR(MID(VLOOKUP($B246,Seqs!$A:$B,2,0),O246,1),"")</f>
        <v>A</v>
      </c>
      <c r="O246" s="2">
        <v>164</v>
      </c>
      <c r="P246" s="3" t="str">
        <f>IFERROR(MID(VLOOKUP($B246,Seqs!$A:$B,2,0),Q246,1),"")</f>
        <v>D</v>
      </c>
      <c r="Q246" s="2">
        <v>166</v>
      </c>
      <c r="R246" s="3" t="str">
        <f>IFERROR(MID(VLOOKUP($B246,Seqs!$A:$B,2,0),S246,1),"")</f>
        <v>F</v>
      </c>
      <c r="S246" s="2">
        <v>169</v>
      </c>
      <c r="T246" s="3" t="str">
        <f>IFERROR(MID(VLOOKUP($B246,Seqs!$A:$B,2,0),U246,1),"")</f>
        <v>G</v>
      </c>
      <c r="U246" s="4">
        <v>170</v>
      </c>
      <c r="V246" s="3" t="str">
        <f>IFERROR(MID(VLOOKUP($B246,Seqs!$A:$B,2,0),W246,1),"")</f>
        <v>S</v>
      </c>
      <c r="W246" s="2">
        <v>205</v>
      </c>
      <c r="X246" s="3" t="str">
        <f>IFERROR(MID(VLOOKUP($B246,Seqs!$A:$B,2,0),Y246,1),"")</f>
        <v>W</v>
      </c>
      <c r="Y246" s="2">
        <v>206</v>
      </c>
      <c r="Z246" s="3" t="str">
        <f>IFERROR(MID(VLOOKUP($B246,Seqs!$A:$B,2,0),AA246,1),"")</f>
        <v>G</v>
      </c>
      <c r="AA246" s="2">
        <v>213</v>
      </c>
      <c r="AB246" s="3" t="str">
        <f>IFERROR(MID(VLOOKUP($B246,Seqs!$A:$B,2,0),AC246,1),"")</f>
        <v>V</v>
      </c>
      <c r="AC246" s="40">
        <v>214</v>
      </c>
      <c r="AD246" s="3" t="str">
        <f>IFERROR(MID(VLOOKUP($B246,Seqs!$A:$B,2,0),AE246,1),"")</f>
        <v>F</v>
      </c>
      <c r="AE246" s="2">
        <v>240</v>
      </c>
      <c r="AF246" s="3" t="str">
        <f>IFERROR(MID(VLOOKUP($B246,Seqs!$A:$B,2,0),AG246,1),"")</f>
        <v>C</v>
      </c>
      <c r="AG246" s="2">
        <v>255</v>
      </c>
      <c r="AH246" s="3" t="str">
        <f>IFERROR(MID(VLOOKUP($B246,Seqs!$A:$B,2,0),AI246,1),"")</f>
        <v>L</v>
      </c>
      <c r="AI246" s="2">
        <v>257</v>
      </c>
      <c r="AJ246" s="3" t="str">
        <f>IFERROR(MID(VLOOKUP($B246,Seqs!$A:$B,2,0),AK246,1),"")</f>
        <v>T</v>
      </c>
      <c r="AK246" s="2">
        <v>263</v>
      </c>
      <c r="AL246" s="3" t="str">
        <f>IFERROR(MID(VLOOKUP($B246,Seqs!$A:$B,2,0),AM246,1),"")</f>
        <v>M</v>
      </c>
      <c r="AM246" s="2">
        <v>307</v>
      </c>
      <c r="AN246" s="3" t="str">
        <f>IFERROR(MID(VLOOKUP($B246,Seqs!$A:$B,2,0),AO246,1),"")</f>
        <v>N</v>
      </c>
      <c r="AO246" s="2">
        <v>312</v>
      </c>
      <c r="AP246" s="3" t="str">
        <f>IFERROR(MID(VLOOKUP($B246,Seqs!$A:$B,2,0),AQ246,1),"")</f>
        <v>Y</v>
      </c>
      <c r="AQ246" s="2">
        <v>350</v>
      </c>
      <c r="AR246" s="3" t="str">
        <f>IFERROR(MID(VLOOKUP($B246,Seqs!$A:$B,2,0),AS246,1),"")</f>
        <v>R</v>
      </c>
      <c r="AS246" s="2">
        <v>357</v>
      </c>
      <c r="AT246" s="3" t="str">
        <f>IFERROR(MID(VLOOKUP($B246,Seqs!$A:$B,2,0),AU246,1),"")</f>
        <v>V</v>
      </c>
      <c r="AU246" s="2">
        <v>389</v>
      </c>
      <c r="AV246" s="3" t="str">
        <f>IFERROR(MID(VLOOKUP($B246,Seqs!$A:$B,2,0),AW246,1),"")</f>
        <v>S</v>
      </c>
      <c r="AW246" s="2">
        <v>390</v>
      </c>
      <c r="AX246" s="3" t="str">
        <f>IFERROR(MID(VLOOKUP($B246,Seqs!$A:$B,2,0),AY246,1),"")</f>
        <v>C</v>
      </c>
      <c r="AY246" s="2">
        <v>403</v>
      </c>
      <c r="AZ246" s="77" t="str">
        <f>VLOOKUP(B246,Classification!A:D,2,0)</f>
        <v>A</v>
      </c>
      <c r="BA246" s="94" t="str">
        <f>VLOOKUP(B246,Classification!A:D,4,0)</f>
        <v>Endothelin</v>
      </c>
      <c r="BB246" s="27" t="b">
        <f t="shared" si="1372"/>
        <v>1</v>
      </c>
      <c r="BC246" s="2"/>
      <c r="BD246" s="34" t="s">
        <v>23</v>
      </c>
      <c r="BE246" s="3" t="s">
        <v>23</v>
      </c>
      <c r="BF246" s="118" t="s">
        <v>23</v>
      </c>
      <c r="BG246" s="49" t="s">
        <v>1366</v>
      </c>
      <c r="BH246" s="49" t="s">
        <v>1371</v>
      </c>
      <c r="BI246" s="2"/>
      <c r="BJ246" s="70"/>
      <c r="BU246" s="57"/>
      <c r="BV246" s="70"/>
      <c r="BW246" s="57"/>
      <c r="BX246" s="57"/>
      <c r="BY246" s="57"/>
      <c r="BZ246" s="57"/>
      <c r="CA246" s="57"/>
      <c r="CB246" s="57"/>
      <c r="CC246" s="57"/>
      <c r="CD246" s="57"/>
      <c r="CE246" s="57"/>
      <c r="CF246" s="57"/>
      <c r="CG246" s="57"/>
      <c r="CH246" s="70"/>
      <c r="CI246" s="57"/>
      <c r="CJ246" s="57"/>
      <c r="CK246" s="57"/>
      <c r="CL246" s="57"/>
      <c r="CM246" s="57"/>
      <c r="CN246" s="57"/>
      <c r="CO246" s="57"/>
      <c r="CP246" s="57"/>
      <c r="CQ246" s="57"/>
      <c r="CR246" s="57"/>
      <c r="CS246" s="57"/>
      <c r="CT246" s="2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29" x14ac:dyDescent="0.2">
      <c r="A247" s="3" t="str">
        <f t="shared" si="1371"/>
        <v>ednrb_human_5GLH</v>
      </c>
      <c r="B247" s="2" t="s">
        <v>196</v>
      </c>
      <c r="C247" s="2" t="s">
        <v>1322</v>
      </c>
      <c r="D247" s="3" t="str">
        <f>IFERROR(MID(VLOOKUP($B247,Seqs!$A:$B,2,0),E247,1),"")</f>
        <v>K</v>
      </c>
      <c r="E247" s="2">
        <v>97</v>
      </c>
      <c r="F247" s="3" t="str">
        <f>IFERROR(MID(VLOOKUP($B247,Seqs!$A:$B,2,0),G247,1),"")</f>
        <v>N</v>
      </c>
      <c r="G247" s="2">
        <v>129</v>
      </c>
      <c r="H247" s="3" t="str">
        <f>IFERROR(MID(VLOOKUP($B247,Seqs!$A:$B,2,0),I247,1),"")</f>
        <v/>
      </c>
      <c r="I247" s="56" t="s">
        <v>23</v>
      </c>
      <c r="J247" s="3" t="str">
        <f>IFERROR(MID(VLOOKUP($B247,Seqs!$A:$B,2,0),K247,1),"")</f>
        <v/>
      </c>
      <c r="K247" s="56" t="s">
        <v>23</v>
      </c>
      <c r="L247" s="3" t="str">
        <f>IFERROR(MID(VLOOKUP($B247,Seqs!$A:$B,2,0),M247,1),"")</f>
        <v>P</v>
      </c>
      <c r="M247" s="2">
        <v>136</v>
      </c>
      <c r="N247" s="3" t="str">
        <f>IFERROR(MID(VLOOKUP($B247,Seqs!$A:$B,2,0),O247,1),"")</f>
        <v>A</v>
      </c>
      <c r="O247" s="2">
        <v>164</v>
      </c>
      <c r="P247" s="3" t="str">
        <f>IFERROR(MID(VLOOKUP($B247,Seqs!$A:$B,2,0),Q247,1),"")</f>
        <v>D</v>
      </c>
      <c r="Q247" s="2">
        <v>166</v>
      </c>
      <c r="R247" s="3" t="str">
        <f>IFERROR(MID(VLOOKUP($B247,Seqs!$A:$B,2,0),S247,1),"")</f>
        <v>F</v>
      </c>
      <c r="S247" s="2">
        <v>169</v>
      </c>
      <c r="T247" s="3" t="str">
        <f>IFERROR(MID(VLOOKUP($B247,Seqs!$A:$B,2,0),U247,1),"")</f>
        <v>G</v>
      </c>
      <c r="U247" s="4">
        <v>170</v>
      </c>
      <c r="V247" s="3" t="str">
        <f>IFERROR(MID(VLOOKUP($B247,Seqs!$A:$B,2,0),W247,1),"")</f>
        <v>S</v>
      </c>
      <c r="W247" s="2">
        <v>205</v>
      </c>
      <c r="X247" s="3" t="str">
        <f>IFERROR(MID(VLOOKUP($B247,Seqs!$A:$B,2,0),Y247,1),"")</f>
        <v/>
      </c>
      <c r="Y247" s="2" t="s">
        <v>23</v>
      </c>
      <c r="Z247" s="3" t="str">
        <f>IFERROR(MID(VLOOKUP($B247,Seqs!$A:$B,2,0),AA247,1),"")</f>
        <v/>
      </c>
      <c r="AA247" s="2" t="s">
        <v>23</v>
      </c>
      <c r="AB247" s="3" t="str">
        <f>IFERROR(MID(VLOOKUP($B247,Seqs!$A:$B,2,0),AC247,1),"")</f>
        <v>T</v>
      </c>
      <c r="AC247" s="40">
        <v>218</v>
      </c>
      <c r="AD247" s="3" t="str">
        <f>IFERROR(MID(VLOOKUP($B247,Seqs!$A:$B,2,0),AE247,1),"")</f>
        <v>F</v>
      </c>
      <c r="AE247" s="2">
        <v>240</v>
      </c>
      <c r="AF247" s="3" t="str">
        <f>IFERROR(MID(VLOOKUP($B247,Seqs!$A:$B,2,0),AG247,1),"")</f>
        <v>C</v>
      </c>
      <c r="AG247" s="2">
        <v>255</v>
      </c>
      <c r="AH247" s="3" t="str">
        <f>IFERROR(MID(VLOOKUP($B247,Seqs!$A:$B,2,0),AI247,1),"")</f>
        <v>L</v>
      </c>
      <c r="AI247" s="2">
        <v>257</v>
      </c>
      <c r="AJ247" s="3" t="str">
        <f>IFERROR(MID(VLOOKUP($B247,Seqs!$A:$B,2,0),AK247,1),"")</f>
        <v>T</v>
      </c>
      <c r="AK247" s="2">
        <v>263</v>
      </c>
      <c r="AL247" s="3" t="str">
        <f>IFERROR(MID(VLOOKUP($B247,Seqs!$A:$B,2,0),AM247,1),"")</f>
        <v>K</v>
      </c>
      <c r="AM247" s="2">
        <v>303</v>
      </c>
      <c r="AN247" s="3" t="str">
        <f>IFERROR(MID(VLOOKUP($B247,Seqs!$A:$B,2,0),AO247,1),"")</f>
        <v>N</v>
      </c>
      <c r="AO247" s="2">
        <v>312</v>
      </c>
      <c r="AP247" s="3" t="str">
        <f>IFERROR(MID(VLOOKUP($B247,Seqs!$A:$B,2,0),AQ247,1),"")</f>
        <v>Y</v>
      </c>
      <c r="AQ247" s="2">
        <v>350</v>
      </c>
      <c r="AR247" s="3" t="str">
        <f>IFERROR(MID(VLOOKUP($B247,Seqs!$A:$B,2,0),AS247,1),"")</f>
        <v>R</v>
      </c>
      <c r="AS247" s="2">
        <v>357</v>
      </c>
      <c r="AT247" s="3" t="str">
        <f>IFERROR(MID(VLOOKUP($B247,Seqs!$A:$B,2,0),AU247,1),"")</f>
        <v>V</v>
      </c>
      <c r="AU247" s="2">
        <v>389</v>
      </c>
      <c r="AV247" s="3" t="str">
        <f>IFERROR(MID(VLOOKUP($B247,Seqs!$A:$B,2,0),AW247,1),"")</f>
        <v>S</v>
      </c>
      <c r="AW247" s="2">
        <v>390</v>
      </c>
      <c r="AX247" s="3" t="str">
        <f>IFERROR(MID(VLOOKUP($B247,Seqs!$A:$B,2,0),AY247,1),"")</f>
        <v>L</v>
      </c>
      <c r="AY247" s="2">
        <v>401</v>
      </c>
      <c r="AZ247" s="77" t="str">
        <f>VLOOKUP(B247,Classification!A:D,2,0)</f>
        <v>A</v>
      </c>
      <c r="BA247" s="94" t="str">
        <f>VLOOKUP(B247,Classification!A:D,4,0)</f>
        <v>Endothelin</v>
      </c>
      <c r="BB247" s="27" t="b">
        <f t="shared" si="1372"/>
        <v>1</v>
      </c>
      <c r="BC247" s="23">
        <f t="shared" ref="BC247:BC336" si="2208">_xlfn.AGGREGATE(9,6,CH247:CS247)-_xlfn.AGGREGATE(9,6,BV247:CG247)+12</f>
        <v>255</v>
      </c>
      <c r="BD247" s="2" t="s">
        <v>23</v>
      </c>
      <c r="BE247" s="3" t="s">
        <v>1368</v>
      </c>
      <c r="BF247" s="118">
        <v>2.8</v>
      </c>
      <c r="BG247" s="49" t="s">
        <v>1371</v>
      </c>
      <c r="BH247" s="49" t="s">
        <v>1371</v>
      </c>
      <c r="BI247" s="2"/>
      <c r="BJ247" s="70" t="s">
        <v>1281</v>
      </c>
      <c r="BK247" s="57" t="s">
        <v>1281</v>
      </c>
      <c r="BL247" s="57" t="s">
        <v>1281</v>
      </c>
      <c r="BM247" s="57" t="s">
        <v>1281</v>
      </c>
      <c r="BN247" s="57" t="s">
        <v>1281</v>
      </c>
      <c r="BO247" s="57" t="s">
        <v>1281</v>
      </c>
      <c r="BP247" s="57" t="s">
        <v>1281</v>
      </c>
      <c r="BQ247" s="57" t="s">
        <v>1281</v>
      </c>
      <c r="BR247" s="57" t="s">
        <v>1281</v>
      </c>
      <c r="BS247" s="57" t="s">
        <v>1281</v>
      </c>
      <c r="BT247" s="57" t="s">
        <v>1281</v>
      </c>
      <c r="BU247" s="57" t="s">
        <v>1281</v>
      </c>
      <c r="BV247" s="70">
        <f t="shared" ref="BV247:BV336" si="2209">E247</f>
        <v>97</v>
      </c>
      <c r="BW247" s="71" t="str">
        <f t="shared" ref="BW247:BW336" si="2210">I247</f>
        <v>-</v>
      </c>
      <c r="BX247" s="72">
        <f t="shared" ref="BX247:BX336" si="2211">M247</f>
        <v>136</v>
      </c>
      <c r="BY247" s="71">
        <f t="shared" ref="BY247:BY336" si="2212">Q247</f>
        <v>166</v>
      </c>
      <c r="BZ247" s="72">
        <f t="shared" ref="BZ247:BZ336" si="2213">U247</f>
        <v>170</v>
      </c>
      <c r="CA247" s="71" t="str">
        <f t="shared" ref="CA247:CA336" si="2214">Y247</f>
        <v>-</v>
      </c>
      <c r="CB247" s="72">
        <f t="shared" ref="CB247:CB336" si="2215">AC247</f>
        <v>218</v>
      </c>
      <c r="CC247" s="71">
        <f t="shared" ref="CC247:CC336" si="2216">AG247</f>
        <v>255</v>
      </c>
      <c r="CD247" s="72">
        <f t="shared" ref="CD247:CD336" si="2217">AK247</f>
        <v>263</v>
      </c>
      <c r="CE247" s="71">
        <f t="shared" ref="CE247:CE336" si="2218">AO247</f>
        <v>312</v>
      </c>
      <c r="CF247" s="72">
        <f t="shared" ref="CF247:CF336" si="2219">AS247</f>
        <v>357</v>
      </c>
      <c r="CG247" s="71">
        <f t="shared" ref="CG247:CG336" si="2220">AW247</f>
        <v>390</v>
      </c>
      <c r="CH247" s="70">
        <f t="shared" ref="CH247:CH336" si="2221">G247</f>
        <v>129</v>
      </c>
      <c r="CI247" s="71" t="str">
        <f t="shared" ref="CI247:CI336" si="2222">K247</f>
        <v>-</v>
      </c>
      <c r="CJ247" s="72">
        <f t="shared" ref="CJ247:CJ336" si="2223">O247</f>
        <v>164</v>
      </c>
      <c r="CK247" s="72">
        <f t="shared" ref="CK247:CK336" si="2224">S247</f>
        <v>169</v>
      </c>
      <c r="CL247" s="72">
        <f t="shared" ref="CL247:CL336" si="2225">W247</f>
        <v>205</v>
      </c>
      <c r="CM247" s="72" t="str">
        <f t="shared" ref="CM247:CM336" si="2226">AA247</f>
        <v>-</v>
      </c>
      <c r="CN247" s="72">
        <f t="shared" ref="CN247:CN336" si="2227">AE247</f>
        <v>240</v>
      </c>
      <c r="CO247" s="72">
        <f t="shared" ref="CO247:CO336" si="2228">AI247</f>
        <v>257</v>
      </c>
      <c r="CP247" s="72">
        <f t="shared" ref="CP247:CP336" si="2229">AM247</f>
        <v>303</v>
      </c>
      <c r="CQ247" s="72">
        <f t="shared" ref="CQ247:CQ336" si="2230">AQ247</f>
        <v>350</v>
      </c>
      <c r="CR247" s="72">
        <f t="shared" ref="CR247:CR336" si="2231">AU247</f>
        <v>389</v>
      </c>
      <c r="CS247" s="72">
        <f t="shared" ref="CS247:CS336" si="2232">AY247</f>
        <v>401</v>
      </c>
      <c r="CT247" s="23" t="e">
        <f t="shared" ref="CT247:CT336" si="2233">M247-K247</f>
        <v>#VALUE!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29" x14ac:dyDescent="0.2">
      <c r="A248" s="3" t="str">
        <f t="shared" si="1371"/>
        <v>ednrb_human_5GLI</v>
      </c>
      <c r="B248" s="2" t="s">
        <v>196</v>
      </c>
      <c r="C248" s="2" t="s">
        <v>1321</v>
      </c>
      <c r="D248" s="3" t="str">
        <f>IFERROR(MID(VLOOKUP($B248,Seqs!$A:$B,2,0),E248,1),"")</f>
        <v>Q</v>
      </c>
      <c r="E248" s="2">
        <v>91</v>
      </c>
      <c r="F248" s="3" t="str">
        <f>IFERROR(MID(VLOOKUP($B248,Seqs!$A:$B,2,0),G248,1),"")</f>
        <v>N</v>
      </c>
      <c r="G248" s="2">
        <v>129</v>
      </c>
      <c r="H248" s="3" t="str">
        <f>IFERROR(MID(VLOOKUP($B248,Seqs!$A:$B,2,0),I248,1),"")</f>
        <v>K</v>
      </c>
      <c r="I248" s="56">
        <v>130</v>
      </c>
      <c r="J248" s="3" t="str">
        <f>IFERROR(MID(VLOOKUP($B248,Seqs!$A:$B,2,0),K248,1),"")</f>
        <v>N</v>
      </c>
      <c r="K248" s="56">
        <v>134</v>
      </c>
      <c r="L248" s="3" t="str">
        <f>IFERROR(MID(VLOOKUP($B248,Seqs!$A:$B,2,0),M248,1),"")</f>
        <v>G</v>
      </c>
      <c r="M248" s="2">
        <v>135</v>
      </c>
      <c r="N248" s="3" t="str">
        <f>IFERROR(MID(VLOOKUP($B248,Seqs!$A:$B,2,0),O248,1),"")</f>
        <v>A</v>
      </c>
      <c r="O248" s="2">
        <v>164</v>
      </c>
      <c r="P248" s="3" t="str">
        <f>IFERROR(MID(VLOOKUP($B248,Seqs!$A:$B,2,0),Q248,1),"")</f>
        <v>D</v>
      </c>
      <c r="Q248" s="2">
        <v>166</v>
      </c>
      <c r="R248" s="3" t="str">
        <f>IFERROR(MID(VLOOKUP($B248,Seqs!$A:$B,2,0),S248,1),"")</f>
        <v>F</v>
      </c>
      <c r="S248" s="2">
        <v>169</v>
      </c>
      <c r="T248" s="3" t="str">
        <f>IFERROR(MID(VLOOKUP($B248,Seqs!$A:$B,2,0),U248,1),"")</f>
        <v>G</v>
      </c>
      <c r="U248" s="4">
        <v>170</v>
      </c>
      <c r="V248" s="3" t="str">
        <f>IFERROR(MID(VLOOKUP($B248,Seqs!$A:$B,2,0),W248,1),"")</f>
        <v>S</v>
      </c>
      <c r="W248" s="2">
        <v>205</v>
      </c>
      <c r="X248" s="3" t="str">
        <f>IFERROR(MID(VLOOKUP($B248,Seqs!$A:$B,2,0),Y248,1),"")</f>
        <v/>
      </c>
      <c r="Y248" s="2" t="s">
        <v>23</v>
      </c>
      <c r="Z248" s="3" t="str">
        <f>IFERROR(MID(VLOOKUP($B248,Seqs!$A:$B,2,0),AA248,1),"")</f>
        <v/>
      </c>
      <c r="AA248" s="2" t="s">
        <v>23</v>
      </c>
      <c r="AB248" s="3" t="str">
        <f>IFERROR(MID(VLOOKUP($B248,Seqs!$A:$B,2,0),AC248,1),"")</f>
        <v>K</v>
      </c>
      <c r="AC248" s="40">
        <v>216</v>
      </c>
      <c r="AD248" s="3" t="str">
        <f>IFERROR(MID(VLOOKUP($B248,Seqs!$A:$B,2,0),AE248,1),"")</f>
        <v>F</v>
      </c>
      <c r="AE248" s="2">
        <v>240</v>
      </c>
      <c r="AF248" s="3" t="str">
        <f>IFERROR(MID(VLOOKUP($B248,Seqs!$A:$B,2,0),AG248,1),"")</f>
        <v>C</v>
      </c>
      <c r="AG248" s="2">
        <v>255</v>
      </c>
      <c r="AH248" s="3" t="str">
        <f>IFERROR(MID(VLOOKUP($B248,Seqs!$A:$B,2,0),AI248,1),"")</f>
        <v>L</v>
      </c>
      <c r="AI248" s="2">
        <v>257</v>
      </c>
      <c r="AJ248" s="3" t="str">
        <f>IFERROR(MID(VLOOKUP($B248,Seqs!$A:$B,2,0),AK248,1),"")</f>
        <v>T</v>
      </c>
      <c r="AK248" s="2">
        <v>263</v>
      </c>
      <c r="AL248" s="3" t="str">
        <f>IFERROR(MID(VLOOKUP($B248,Seqs!$A:$B,2,0),AM248,1),"")</f>
        <v>K</v>
      </c>
      <c r="AM248" s="2">
        <v>303</v>
      </c>
      <c r="AN248" s="3" t="str">
        <f>IFERROR(MID(VLOOKUP($B248,Seqs!$A:$B,2,0),AO248,1),"")</f>
        <v>N</v>
      </c>
      <c r="AO248" s="2">
        <v>312</v>
      </c>
      <c r="AP248" s="3" t="str">
        <f>IFERROR(MID(VLOOKUP($B248,Seqs!$A:$B,2,0),AQ248,1),"")</f>
        <v>Y</v>
      </c>
      <c r="AQ248" s="2">
        <v>350</v>
      </c>
      <c r="AR248" s="3" t="str">
        <f>IFERROR(MID(VLOOKUP($B248,Seqs!$A:$B,2,0),AS248,1),"")</f>
        <v>R</v>
      </c>
      <c r="AS248" s="2">
        <v>357</v>
      </c>
      <c r="AT248" s="3" t="str">
        <f>IFERROR(MID(VLOOKUP($B248,Seqs!$A:$B,2,0),AU248,1),"")</f>
        <v>V</v>
      </c>
      <c r="AU248" s="2">
        <v>389</v>
      </c>
      <c r="AV248" s="3" t="str">
        <f>IFERROR(MID(VLOOKUP($B248,Seqs!$A:$B,2,0),AW248,1),"")</f>
        <v>S</v>
      </c>
      <c r="AW248" s="2">
        <v>390</v>
      </c>
      <c r="AX248" s="3" t="str">
        <f>IFERROR(MID(VLOOKUP($B248,Seqs!$A:$B,2,0),AY248,1),"")</f>
        <v>C</v>
      </c>
      <c r="AY248" s="2">
        <v>403</v>
      </c>
      <c r="AZ248" s="77" t="str">
        <f>VLOOKUP(B248,Classification!A:D,2,0)</f>
        <v>A</v>
      </c>
      <c r="BA248" s="94" t="str">
        <f>VLOOKUP(B248,Classification!A:D,4,0)</f>
        <v>Endothelin</v>
      </c>
      <c r="BB248" s="27" t="b">
        <f t="shared" si="1372"/>
        <v>1</v>
      </c>
      <c r="BC248" s="23">
        <f t="shared" si="2208"/>
        <v>270</v>
      </c>
      <c r="BD248" s="2" t="s">
        <v>23</v>
      </c>
      <c r="BE248" s="3" t="s">
        <v>1368</v>
      </c>
      <c r="BF248" s="118">
        <v>2.5</v>
      </c>
      <c r="BG248" s="49" t="s">
        <v>1371</v>
      </c>
      <c r="BH248" s="49" t="s">
        <v>1371</v>
      </c>
      <c r="BI248" s="2"/>
      <c r="BJ248" s="70" t="s">
        <v>1281</v>
      </c>
      <c r="BK248" s="57" t="s">
        <v>1281</v>
      </c>
      <c r="BL248" s="57" t="s">
        <v>1281</v>
      </c>
      <c r="BM248" s="57" t="s">
        <v>1281</v>
      </c>
      <c r="BN248" s="57" t="s">
        <v>1281</v>
      </c>
      <c r="BO248" s="57" t="s">
        <v>1281</v>
      </c>
      <c r="BP248" s="57" t="s">
        <v>1281</v>
      </c>
      <c r="BQ248" s="57" t="s">
        <v>1281</v>
      </c>
      <c r="BR248" s="57" t="s">
        <v>1281</v>
      </c>
      <c r="BS248" s="57" t="s">
        <v>1281</v>
      </c>
      <c r="BT248" s="57" t="s">
        <v>1281</v>
      </c>
      <c r="BU248" s="57" t="s">
        <v>1281</v>
      </c>
      <c r="BV248" s="70">
        <f t="shared" si="2209"/>
        <v>91</v>
      </c>
      <c r="BW248" s="71">
        <f t="shared" si="2210"/>
        <v>130</v>
      </c>
      <c r="BX248" s="72">
        <f t="shared" si="2211"/>
        <v>135</v>
      </c>
      <c r="BY248" s="71">
        <f t="shared" si="2212"/>
        <v>166</v>
      </c>
      <c r="BZ248" s="72">
        <f t="shared" si="2213"/>
        <v>170</v>
      </c>
      <c r="CA248" s="71" t="str">
        <f t="shared" si="2214"/>
        <v>-</v>
      </c>
      <c r="CB248" s="72">
        <f t="shared" si="2215"/>
        <v>216</v>
      </c>
      <c r="CC248" s="71">
        <f t="shared" si="2216"/>
        <v>255</v>
      </c>
      <c r="CD248" s="72">
        <f t="shared" si="2217"/>
        <v>263</v>
      </c>
      <c r="CE248" s="71">
        <f t="shared" si="2218"/>
        <v>312</v>
      </c>
      <c r="CF248" s="72">
        <f t="shared" si="2219"/>
        <v>357</v>
      </c>
      <c r="CG248" s="71">
        <f t="shared" si="2220"/>
        <v>390</v>
      </c>
      <c r="CH248" s="70">
        <f t="shared" si="2221"/>
        <v>129</v>
      </c>
      <c r="CI248" s="71">
        <f t="shared" si="2222"/>
        <v>134</v>
      </c>
      <c r="CJ248" s="72">
        <f t="shared" si="2223"/>
        <v>164</v>
      </c>
      <c r="CK248" s="72">
        <f t="shared" si="2224"/>
        <v>169</v>
      </c>
      <c r="CL248" s="72">
        <f t="shared" si="2225"/>
        <v>205</v>
      </c>
      <c r="CM248" s="72" t="str">
        <f t="shared" si="2226"/>
        <v>-</v>
      </c>
      <c r="CN248" s="72">
        <f t="shared" si="2227"/>
        <v>240</v>
      </c>
      <c r="CO248" s="72">
        <f t="shared" si="2228"/>
        <v>257</v>
      </c>
      <c r="CP248" s="72">
        <f t="shared" si="2229"/>
        <v>303</v>
      </c>
      <c r="CQ248" s="72">
        <f t="shared" si="2230"/>
        <v>350</v>
      </c>
      <c r="CR248" s="72">
        <f t="shared" si="2231"/>
        <v>389</v>
      </c>
      <c r="CS248" s="72">
        <f t="shared" si="2232"/>
        <v>403</v>
      </c>
      <c r="CT248" s="23">
        <f t="shared" si="2233"/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29" x14ac:dyDescent="0.2">
      <c r="A249" s="3" t="str">
        <f t="shared" ref="A249:A254" si="2234">CONCATENATE(B249,"_",C249)</f>
        <v>ednrb_human_5X93</v>
      </c>
      <c r="B249" s="2" t="s">
        <v>196</v>
      </c>
      <c r="C249" s="2" t="s">
        <v>1432</v>
      </c>
      <c r="D249" s="3" t="str">
        <f>IFERROR(MID(VLOOKUP($B249,Seqs!$A:$B,2,0),E249,1),"")</f>
        <v>Q</v>
      </c>
      <c r="E249" s="2">
        <v>91</v>
      </c>
      <c r="F249" s="3" t="str">
        <f>IFERROR(MID(VLOOKUP($B249,Seqs!$A:$B,2,0),G249,1),"")</f>
        <v>N</v>
      </c>
      <c r="G249" s="2">
        <v>129</v>
      </c>
      <c r="H249" s="3" t="str">
        <f>IFERROR(MID(VLOOKUP($B249,Seqs!$A:$B,2,0),I249,1),"")</f>
        <v>K</v>
      </c>
      <c r="I249" s="56">
        <v>130</v>
      </c>
      <c r="J249" s="3" t="str">
        <f>IFERROR(MID(VLOOKUP($B249,Seqs!$A:$B,2,0),K249,1),"")</f>
        <v>N</v>
      </c>
      <c r="K249" s="56">
        <v>134</v>
      </c>
      <c r="L249" s="3" t="str">
        <f>IFERROR(MID(VLOOKUP($B249,Seqs!$A:$B,2,0),M249,1),"")</f>
        <v>G</v>
      </c>
      <c r="M249" s="2">
        <v>135</v>
      </c>
      <c r="N249" s="3" t="str">
        <f>IFERROR(MID(VLOOKUP($B249,Seqs!$A:$B,2,0),O249,1),"")</f>
        <v>A</v>
      </c>
      <c r="O249" s="2">
        <v>164</v>
      </c>
      <c r="P249" s="3" t="str">
        <f>IFERROR(MID(VLOOKUP($B249,Seqs!$A:$B,2,0),Q249,1),"")</f>
        <v>D</v>
      </c>
      <c r="Q249" s="2">
        <v>166</v>
      </c>
      <c r="R249" s="3" t="str">
        <f>IFERROR(MID(VLOOKUP($B249,Seqs!$A:$B,2,0),S249,1),"")</f>
        <v>F</v>
      </c>
      <c r="S249" s="2">
        <v>169</v>
      </c>
      <c r="T249" s="3" t="str">
        <f>IFERROR(MID(VLOOKUP($B249,Seqs!$A:$B,2,0),U249,1),"")</f>
        <v>G</v>
      </c>
      <c r="U249" s="4">
        <v>170</v>
      </c>
      <c r="V249" s="3" t="str">
        <f>IFERROR(MID(VLOOKUP($B249,Seqs!$A:$B,2,0),W249,1),"")</f>
        <v>S</v>
      </c>
      <c r="W249" s="2">
        <v>205</v>
      </c>
      <c r="X249" s="3" t="str">
        <f>IFERROR(MID(VLOOKUP($B249,Seqs!$A:$B,2,0),Y249,1),"")</f>
        <v/>
      </c>
      <c r="Y249" s="2" t="s">
        <v>23</v>
      </c>
      <c r="Z249" s="3" t="str">
        <f>IFERROR(MID(VLOOKUP($B249,Seqs!$A:$B,2,0),AA249,1),"")</f>
        <v/>
      </c>
      <c r="AA249" s="2" t="s">
        <v>23</v>
      </c>
      <c r="AB249" s="3" t="str">
        <f>IFERROR(MID(VLOOKUP($B249,Seqs!$A:$B,2,0),AC249,1),"")</f>
        <v>K</v>
      </c>
      <c r="AC249" s="2">
        <v>216</v>
      </c>
      <c r="AD249" s="3" t="str">
        <f>IFERROR(MID(VLOOKUP($B249,Seqs!$A:$B,2,0),AE249,1),"")</f>
        <v>F</v>
      </c>
      <c r="AE249" s="2">
        <v>240</v>
      </c>
      <c r="AF249" s="3" t="str">
        <f>IFERROR(MID(VLOOKUP($B249,Seqs!$A:$B,2,0),AG249,1),"")</f>
        <v>C</v>
      </c>
      <c r="AG249" s="2">
        <v>255</v>
      </c>
      <c r="AH249" s="3" t="str">
        <f>IFERROR(MID(VLOOKUP($B249,Seqs!$A:$B,2,0),AI249,1),"")</f>
        <v>L</v>
      </c>
      <c r="AI249" s="2">
        <v>257</v>
      </c>
      <c r="AJ249" s="3" t="str">
        <f>IFERROR(MID(VLOOKUP($B249,Seqs!$A:$B,2,0),AK249,1),"")</f>
        <v>T</v>
      </c>
      <c r="AK249" s="2">
        <v>263</v>
      </c>
      <c r="AL249" s="3" t="str">
        <f>IFERROR(MID(VLOOKUP($B249,Seqs!$A:$B,2,0),AM249,1),"")</f>
        <v>K</v>
      </c>
      <c r="AM249" s="2">
        <v>303</v>
      </c>
      <c r="AN249" s="3" t="str">
        <f>IFERROR(MID(VLOOKUP($B249,Seqs!$A:$B,2,0),AO249,1),"")</f>
        <v>N</v>
      </c>
      <c r="AO249" s="2">
        <v>312</v>
      </c>
      <c r="AP249" s="3" t="str">
        <f>IFERROR(MID(VLOOKUP($B249,Seqs!$A:$B,2,0),AQ249,1),"")</f>
        <v>Y</v>
      </c>
      <c r="AQ249" s="2">
        <v>350</v>
      </c>
      <c r="AR249" s="3" t="str">
        <f>IFERROR(MID(VLOOKUP($B249,Seqs!$A:$B,2,0),AS249,1),"")</f>
        <v>R</v>
      </c>
      <c r="AS249" s="2">
        <v>357</v>
      </c>
      <c r="AT249" s="3" t="str">
        <f>IFERROR(MID(VLOOKUP($B249,Seqs!$A:$B,2,0),AU249,1),"")</f>
        <v>V</v>
      </c>
      <c r="AU249" s="2">
        <v>389</v>
      </c>
      <c r="AV249" s="3" t="str">
        <f>IFERROR(MID(VLOOKUP($B249,Seqs!$A:$B,2,0),AW249,1),"")</f>
        <v>S</v>
      </c>
      <c r="AW249" s="2">
        <v>390</v>
      </c>
      <c r="AX249" s="3" t="str">
        <f>IFERROR(MID(VLOOKUP($B249,Seqs!$A:$B,2,0),AY249,1),"")</f>
        <v>C</v>
      </c>
      <c r="AY249" s="2">
        <v>403</v>
      </c>
      <c r="AZ249" s="77" t="str">
        <f>VLOOKUP(B249,Classification!A:D,2,0)</f>
        <v>A</v>
      </c>
      <c r="BA249" s="94" t="str">
        <f>VLOOKUP(B249,Classification!A:D,4,0)</f>
        <v>Endothelin</v>
      </c>
      <c r="BB249" s="27" t="b">
        <f t="shared" ref="BB249:BB254" si="2235"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 t="shared" ref="BC249:BC254" si="2236">_xlfn.AGGREGATE(9,6,CH249:CS249)-_xlfn.AGGREGATE(9,6,BV249:CG249)+12</f>
        <v>270</v>
      </c>
      <c r="BD249" s="2" t="s">
        <v>1370</v>
      </c>
      <c r="BE249" s="3" t="s">
        <v>1368</v>
      </c>
      <c r="BF249" s="118">
        <v>2.2000000000000002</v>
      </c>
      <c r="BG249" s="49" t="s">
        <v>1</v>
      </c>
      <c r="BH249" s="49" t="s">
        <v>1</v>
      </c>
      <c r="BI249" s="2"/>
      <c r="BJ249" s="70" t="s">
        <v>1281</v>
      </c>
      <c r="BK249" s="57" t="s">
        <v>1281</v>
      </c>
      <c r="BL249" s="57" t="s">
        <v>1281</v>
      </c>
      <c r="BM249" s="57" t="s">
        <v>1281</v>
      </c>
      <c r="BN249" s="57" t="s">
        <v>1281</v>
      </c>
      <c r="BO249" s="57" t="s">
        <v>1281</v>
      </c>
      <c r="BP249" s="57" t="s">
        <v>1281</v>
      </c>
      <c r="BQ249" s="57" t="s">
        <v>1281</v>
      </c>
      <c r="BR249" s="57" t="s">
        <v>1281</v>
      </c>
      <c r="BS249" s="57" t="s">
        <v>1281</v>
      </c>
      <c r="BT249" s="57" t="s">
        <v>1281</v>
      </c>
      <c r="BU249" s="57" t="s">
        <v>1281</v>
      </c>
      <c r="BV249" s="70">
        <f t="shared" ref="BV249:BV254" si="2237">E249</f>
        <v>91</v>
      </c>
      <c r="BW249" s="71">
        <f t="shared" ref="BW249:BW254" si="2238">I249</f>
        <v>130</v>
      </c>
      <c r="BX249" s="72">
        <f t="shared" ref="BX249:BX254" si="2239">M249</f>
        <v>135</v>
      </c>
      <c r="BY249" s="71">
        <f t="shared" ref="BY249:BY254" si="2240">Q249</f>
        <v>166</v>
      </c>
      <c r="BZ249" s="72">
        <f t="shared" ref="BZ249:BZ254" si="2241">U249</f>
        <v>170</v>
      </c>
      <c r="CA249" s="71" t="str">
        <f t="shared" ref="CA249:CA254" si="2242">Y249</f>
        <v>-</v>
      </c>
      <c r="CB249" s="72">
        <f t="shared" ref="CB249:CB254" si="2243">AC249</f>
        <v>216</v>
      </c>
      <c r="CC249" s="71">
        <f t="shared" ref="CC249:CC254" si="2244">AG249</f>
        <v>255</v>
      </c>
      <c r="CD249" s="72">
        <f t="shared" ref="CD249:CD254" si="2245">AK249</f>
        <v>263</v>
      </c>
      <c r="CE249" s="71">
        <f t="shared" ref="CE249:CE254" si="2246">AO249</f>
        <v>312</v>
      </c>
      <c r="CF249" s="72">
        <f t="shared" ref="CF249:CF254" si="2247">AS249</f>
        <v>357</v>
      </c>
      <c r="CG249" s="71">
        <f t="shared" ref="CG249:CG254" si="2248">AW249</f>
        <v>390</v>
      </c>
      <c r="CH249" s="70">
        <f t="shared" ref="CH249:CH254" si="2249">G249</f>
        <v>129</v>
      </c>
      <c r="CI249" s="71">
        <f t="shared" ref="CI249:CI254" si="2250">K249</f>
        <v>134</v>
      </c>
      <c r="CJ249" s="72">
        <f t="shared" ref="CJ249:CJ254" si="2251">O249</f>
        <v>164</v>
      </c>
      <c r="CK249" s="72">
        <f t="shared" ref="CK249:CK254" si="2252">S249</f>
        <v>169</v>
      </c>
      <c r="CL249" s="72">
        <f t="shared" ref="CL249:CL254" si="2253">W249</f>
        <v>205</v>
      </c>
      <c r="CM249" s="72" t="str">
        <f t="shared" ref="CM249:CM254" si="2254">AA249</f>
        <v>-</v>
      </c>
      <c r="CN249" s="72">
        <f t="shared" ref="CN249:CN254" si="2255">AE249</f>
        <v>240</v>
      </c>
      <c r="CO249" s="72">
        <f t="shared" ref="CO249:CO254" si="2256">AI249</f>
        <v>257</v>
      </c>
      <c r="CP249" s="72">
        <f t="shared" ref="CP249:CP254" si="2257">AM249</f>
        <v>303</v>
      </c>
      <c r="CQ249" s="72">
        <f t="shared" ref="CQ249:CQ254" si="2258">AQ249</f>
        <v>350</v>
      </c>
      <c r="CR249" s="72">
        <f t="shared" ref="CR249:CR254" si="2259">AU249</f>
        <v>389</v>
      </c>
      <c r="CS249" s="72">
        <f t="shared" ref="CS249:CS254" si="2260">AY249</f>
        <v>403</v>
      </c>
      <c r="CT249" s="23">
        <f t="shared" ref="CT249:CT254" si="2261">M249-K249</f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29" x14ac:dyDescent="0.2">
      <c r="A250" s="3" t="str">
        <f t="shared" si="2234"/>
        <v>ednrb_human_5XPR</v>
      </c>
      <c r="B250" s="2" t="s">
        <v>196</v>
      </c>
      <c r="C250" s="2" t="s">
        <v>1433</v>
      </c>
      <c r="D250" s="3" t="str">
        <f>IFERROR(MID(VLOOKUP($B250,Seqs!$A:$B,2,0),E250,1),"")</f>
        <v>G</v>
      </c>
      <c r="E250" s="2">
        <v>92</v>
      </c>
      <c r="F250" s="3" t="str">
        <f>IFERROR(MID(VLOOKUP($B250,Seqs!$A:$B,2,0),G250,1),"")</f>
        <v>N</v>
      </c>
      <c r="G250" s="2">
        <v>129</v>
      </c>
      <c r="H250" s="3" t="str">
        <f>IFERROR(MID(VLOOKUP($B250,Seqs!$A:$B,2,0),I250,1),"")</f>
        <v>K</v>
      </c>
      <c r="I250" s="56">
        <v>130</v>
      </c>
      <c r="J250" s="3" t="str">
        <f>IFERROR(MID(VLOOKUP($B250,Seqs!$A:$B,2,0),K250,1),"")</f>
        <v>N</v>
      </c>
      <c r="K250" s="56">
        <v>134</v>
      </c>
      <c r="L250" s="3" t="str">
        <f>IFERROR(MID(VLOOKUP($B250,Seqs!$A:$B,2,0),M250,1),"")</f>
        <v>G</v>
      </c>
      <c r="M250" s="2">
        <v>135</v>
      </c>
      <c r="N250" s="3" t="str">
        <f>IFERROR(MID(VLOOKUP($B250,Seqs!$A:$B,2,0),O250,1),"")</f>
        <v>A</v>
      </c>
      <c r="O250" s="2">
        <v>164</v>
      </c>
      <c r="P250" s="3" t="str">
        <f>IFERROR(MID(VLOOKUP($B250,Seqs!$A:$B,2,0),Q250,1),"")</f>
        <v>D</v>
      </c>
      <c r="Q250" s="2">
        <v>166</v>
      </c>
      <c r="R250" s="3" t="str">
        <f>IFERROR(MID(VLOOKUP($B250,Seqs!$A:$B,2,0),S250,1),"")</f>
        <v>F</v>
      </c>
      <c r="S250" s="2">
        <v>169</v>
      </c>
      <c r="T250" s="3" t="str">
        <f>IFERROR(MID(VLOOKUP($B250,Seqs!$A:$B,2,0),U250,1),"")</f>
        <v>A</v>
      </c>
      <c r="U250" s="4">
        <v>171</v>
      </c>
      <c r="V250" s="3" t="str">
        <f>IFERROR(MID(VLOOKUP($B250,Seqs!$A:$B,2,0),W250,1),"")</f>
        <v>A</v>
      </c>
      <c r="W250" s="2">
        <v>202</v>
      </c>
      <c r="X250" s="3" t="str">
        <f>IFERROR(MID(VLOOKUP($B250,Seqs!$A:$B,2,0),Y250,1),"")</f>
        <v/>
      </c>
      <c r="Y250" s="2" t="s">
        <v>23</v>
      </c>
      <c r="Z250" s="3" t="str">
        <f>IFERROR(MID(VLOOKUP($B250,Seqs!$A:$B,2,0),AA250,1),"")</f>
        <v/>
      </c>
      <c r="AA250" s="2" t="s">
        <v>23</v>
      </c>
      <c r="AB250" s="3" t="str">
        <f>IFERROR(MID(VLOOKUP($B250,Seqs!$A:$B,2,0),AC250,1),"")</f>
        <v>K</v>
      </c>
      <c r="AC250" s="2">
        <v>216</v>
      </c>
      <c r="AD250" s="3" t="str">
        <f>IFERROR(MID(VLOOKUP($B250,Seqs!$A:$B,2,0),AE250,1),"")</f>
        <v>F</v>
      </c>
      <c r="AE250" s="2">
        <v>240</v>
      </c>
      <c r="AF250" s="3" t="str">
        <f>IFERROR(MID(VLOOKUP($B250,Seqs!$A:$B,2,0),AG250,1),"")</f>
        <v>C</v>
      </c>
      <c r="AG250" s="2">
        <v>255</v>
      </c>
      <c r="AH250" s="3" t="str">
        <f>IFERROR(MID(VLOOKUP($B250,Seqs!$A:$B,2,0),AI250,1),"")</f>
        <v>L</v>
      </c>
      <c r="AI250" s="2">
        <v>257</v>
      </c>
      <c r="AJ250" s="3" t="str">
        <f>IFERROR(MID(VLOOKUP($B250,Seqs!$A:$B,2,0),AK250,1),"")</f>
        <v>T</v>
      </c>
      <c r="AK250" s="2">
        <v>263</v>
      </c>
      <c r="AL250" s="3" t="str">
        <f>IFERROR(MID(VLOOKUP($B250,Seqs!$A:$B,2,0),AM250,1),"")</f>
        <v>K</v>
      </c>
      <c r="AM250" s="2">
        <v>303</v>
      </c>
      <c r="AN250" s="3" t="str">
        <f>IFERROR(MID(VLOOKUP($B250,Seqs!$A:$B,2,0),AO250,1),"")</f>
        <v>N</v>
      </c>
      <c r="AO250" s="2">
        <v>312</v>
      </c>
      <c r="AP250" s="3" t="str">
        <f>IFERROR(MID(VLOOKUP($B250,Seqs!$A:$B,2,0),AQ250,1),"")</f>
        <v>L</v>
      </c>
      <c r="AQ250" s="2">
        <v>349</v>
      </c>
      <c r="AR250" s="3" t="str">
        <f>IFERROR(MID(VLOOKUP($B250,Seqs!$A:$B,2,0),AS250,1),"")</f>
        <v>N</v>
      </c>
      <c r="AS250" s="2">
        <v>356</v>
      </c>
      <c r="AT250" s="3" t="str">
        <f>IFERROR(MID(VLOOKUP($B250,Seqs!$A:$B,2,0),AU250,1),"")</f>
        <v>V</v>
      </c>
      <c r="AU250" s="2">
        <v>389</v>
      </c>
      <c r="AV250" s="3" t="str">
        <f>IFERROR(MID(VLOOKUP($B250,Seqs!$A:$B,2,0),AW250,1),"")</f>
        <v>S</v>
      </c>
      <c r="AW250" s="2">
        <v>390</v>
      </c>
      <c r="AX250" s="3" t="str">
        <f>IFERROR(MID(VLOOKUP($B250,Seqs!$A:$B,2,0),AY250,1),"")</f>
        <v>C</v>
      </c>
      <c r="AY250" s="2">
        <v>402</v>
      </c>
      <c r="AZ250" s="77" t="str">
        <f>VLOOKUP(B250,Classification!A:D,2,0)</f>
        <v>A</v>
      </c>
      <c r="BA250" s="94" t="str">
        <f>VLOOKUP(B250,Classification!A:D,4,0)</f>
        <v>Endothelin</v>
      </c>
      <c r="BB250" s="27" t="b">
        <f t="shared" si="2235"/>
        <v>1</v>
      </c>
      <c r="BC250" s="23">
        <f t="shared" si="2236"/>
        <v>264</v>
      </c>
      <c r="BD250" s="2" t="s">
        <v>23</v>
      </c>
      <c r="BE250" s="3" t="s">
        <v>1368</v>
      </c>
      <c r="BF250" s="118">
        <v>3.6</v>
      </c>
      <c r="BG250" s="49" t="s">
        <v>1</v>
      </c>
      <c r="BH250" s="49" t="s">
        <v>1</v>
      </c>
      <c r="BI250" s="2"/>
      <c r="BJ250" s="70" t="s">
        <v>1281</v>
      </c>
      <c r="BK250" s="57" t="s">
        <v>1281</v>
      </c>
      <c r="BL250" s="57" t="s">
        <v>1281</v>
      </c>
      <c r="BM250" s="57" t="s">
        <v>1281</v>
      </c>
      <c r="BN250" s="57" t="s">
        <v>1281</v>
      </c>
      <c r="BO250" s="57" t="s">
        <v>1281</v>
      </c>
      <c r="BP250" s="57" t="s">
        <v>1281</v>
      </c>
      <c r="BQ250" s="57" t="s">
        <v>1281</v>
      </c>
      <c r="BR250" s="57" t="s">
        <v>1281</v>
      </c>
      <c r="BS250" s="57" t="s">
        <v>1281</v>
      </c>
      <c r="BT250" s="57" t="s">
        <v>1281</v>
      </c>
      <c r="BU250" s="57" t="s">
        <v>1281</v>
      </c>
      <c r="BV250" s="70">
        <f t="shared" si="2237"/>
        <v>92</v>
      </c>
      <c r="BW250" s="71">
        <f t="shared" si="2238"/>
        <v>130</v>
      </c>
      <c r="BX250" s="72">
        <f t="shared" si="2239"/>
        <v>135</v>
      </c>
      <c r="BY250" s="71">
        <f t="shared" si="2240"/>
        <v>166</v>
      </c>
      <c r="BZ250" s="72">
        <f t="shared" si="2241"/>
        <v>171</v>
      </c>
      <c r="CA250" s="71" t="str">
        <f t="shared" si="2242"/>
        <v>-</v>
      </c>
      <c r="CB250" s="72">
        <f t="shared" si="2243"/>
        <v>216</v>
      </c>
      <c r="CC250" s="71">
        <f t="shared" si="2244"/>
        <v>255</v>
      </c>
      <c r="CD250" s="72">
        <f t="shared" si="2245"/>
        <v>263</v>
      </c>
      <c r="CE250" s="71">
        <f t="shared" si="2246"/>
        <v>312</v>
      </c>
      <c r="CF250" s="72">
        <f t="shared" si="2247"/>
        <v>356</v>
      </c>
      <c r="CG250" s="71">
        <f t="shared" si="2248"/>
        <v>390</v>
      </c>
      <c r="CH250" s="70">
        <f t="shared" si="2249"/>
        <v>129</v>
      </c>
      <c r="CI250" s="71">
        <f t="shared" si="2250"/>
        <v>134</v>
      </c>
      <c r="CJ250" s="72">
        <f t="shared" si="2251"/>
        <v>164</v>
      </c>
      <c r="CK250" s="72">
        <f t="shared" si="2252"/>
        <v>169</v>
      </c>
      <c r="CL250" s="72">
        <f t="shared" si="2253"/>
        <v>202</v>
      </c>
      <c r="CM250" s="72" t="str">
        <f t="shared" si="2254"/>
        <v>-</v>
      </c>
      <c r="CN250" s="72">
        <f t="shared" si="2255"/>
        <v>240</v>
      </c>
      <c r="CO250" s="72">
        <f t="shared" si="2256"/>
        <v>257</v>
      </c>
      <c r="CP250" s="72">
        <f t="shared" si="2257"/>
        <v>303</v>
      </c>
      <c r="CQ250" s="72">
        <f t="shared" si="2258"/>
        <v>349</v>
      </c>
      <c r="CR250" s="72">
        <f t="shared" si="2259"/>
        <v>389</v>
      </c>
      <c r="CS250" s="72">
        <f t="shared" si="2260"/>
        <v>402</v>
      </c>
      <c r="CT250" s="23">
        <f t="shared" si="2261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29" x14ac:dyDescent="0.2">
      <c r="A251" s="3" t="str">
        <f t="shared" si="2234"/>
        <v>ednrb_human_6IGL</v>
      </c>
      <c r="B251" s="2" t="s">
        <v>196</v>
      </c>
      <c r="C251" s="2" t="s">
        <v>1522</v>
      </c>
      <c r="D251" s="3" t="str">
        <f>IFERROR(MID(VLOOKUP($B251,Seqs!$A:$B,2,0),E251,1),"")</f>
        <v>K</v>
      </c>
      <c r="E251" s="2">
        <v>97</v>
      </c>
      <c r="F251" s="3" t="str">
        <f>IFERROR(MID(VLOOKUP($B251,Seqs!$A:$B,2,0),G251,1),"")</f>
        <v>N</v>
      </c>
      <c r="G251" s="2">
        <v>129</v>
      </c>
      <c r="H251" s="3" t="str">
        <f>IFERROR(MID(VLOOKUP($B251,Seqs!$A:$B,2,0),I251,1),"")</f>
        <v/>
      </c>
      <c r="I251" s="56" t="s">
        <v>23</v>
      </c>
      <c r="J251" s="3" t="str">
        <f>IFERROR(MID(VLOOKUP($B251,Seqs!$A:$B,2,0),K251,1),"")</f>
        <v/>
      </c>
      <c r="K251" s="56" t="s">
        <v>23</v>
      </c>
      <c r="L251" s="3" t="str">
        <f>IFERROR(MID(VLOOKUP($B251,Seqs!$A:$B,2,0),M251,1),"")</f>
        <v>N</v>
      </c>
      <c r="M251" s="2">
        <v>134</v>
      </c>
      <c r="N251" s="3" t="str">
        <f>IFERROR(MID(VLOOKUP($B251,Seqs!$A:$B,2,0),O251,1),"")</f>
        <v>E</v>
      </c>
      <c r="O251" s="2">
        <v>165</v>
      </c>
      <c r="P251" s="3" t="str">
        <f>IFERROR(MID(VLOOKUP($B251,Seqs!$A:$B,2,0),Q251,1),"")</f>
        <v>D</v>
      </c>
      <c r="Q251" s="2">
        <v>166</v>
      </c>
      <c r="R251" s="3" t="str">
        <f>IFERROR(MID(VLOOKUP($B251,Seqs!$A:$B,2,0),S251,1),"")</f>
        <v>F</v>
      </c>
      <c r="S251" s="2">
        <v>169</v>
      </c>
      <c r="T251" s="3" t="str">
        <f>IFERROR(MID(VLOOKUP($B251,Seqs!$A:$B,2,0),U251,1),"")</f>
        <v>G</v>
      </c>
      <c r="U251" s="4">
        <v>170</v>
      </c>
      <c r="V251" s="3" t="str">
        <f>IFERROR(MID(VLOOKUP($B251,Seqs!$A:$B,2,0),W251,1),"")</f>
        <v>V</v>
      </c>
      <c r="W251" s="2">
        <v>203</v>
      </c>
      <c r="X251" s="3" t="str">
        <f>IFERROR(MID(VLOOKUP($B251,Seqs!$A:$B,2,0),Y251,1),"")</f>
        <v/>
      </c>
      <c r="Y251" s="2" t="s">
        <v>23</v>
      </c>
      <c r="Z251" s="3" t="str">
        <f>IFERROR(MID(VLOOKUP($B251,Seqs!$A:$B,2,0),AA251,1),"")</f>
        <v/>
      </c>
      <c r="AA251" s="2" t="s">
        <v>23</v>
      </c>
      <c r="AB251" s="3" t="str">
        <f>IFERROR(MID(VLOOKUP($B251,Seqs!$A:$B,2,0),AC251,1),"")</f>
        <v>W</v>
      </c>
      <c r="AC251" s="2">
        <v>217</v>
      </c>
      <c r="AD251" s="3" t="str">
        <f>IFERROR(MID(VLOOKUP($B251,Seqs!$A:$B,2,0),AE251,1),"")</f>
        <v>F</v>
      </c>
      <c r="AE251" s="2">
        <v>240</v>
      </c>
      <c r="AF251" s="3" t="str">
        <f>IFERROR(MID(VLOOKUP($B251,Seqs!$A:$B,2,0),AG251,1),"")</f>
        <v>C</v>
      </c>
      <c r="AG251" s="2">
        <v>255</v>
      </c>
      <c r="AH251" s="3" t="str">
        <f>IFERROR(MID(VLOOKUP($B251,Seqs!$A:$B,2,0),AI251,1),"")</f>
        <v>L</v>
      </c>
      <c r="AI251" s="2">
        <v>257</v>
      </c>
      <c r="AJ251" s="3" t="str">
        <f>IFERROR(MID(VLOOKUP($B251,Seqs!$A:$B,2,0),AK251,1),"")</f>
        <v>T</v>
      </c>
      <c r="AK251" s="2">
        <v>263</v>
      </c>
      <c r="AL251" s="3" t="str">
        <f>IFERROR(MID(VLOOKUP($B251,Seqs!$A:$B,2,0),AM251,1),"")</f>
        <v>K</v>
      </c>
      <c r="AM251" s="2">
        <v>303</v>
      </c>
      <c r="AN251" s="3" t="str">
        <f>IFERROR(MID(VLOOKUP($B251,Seqs!$A:$B,2,0),AO251,1),"")</f>
        <v>N</v>
      </c>
      <c r="AO251" s="2">
        <v>312</v>
      </c>
      <c r="AP251" s="3" t="str">
        <f>IFERROR(MID(VLOOKUP($B251,Seqs!$A:$B,2,0),AQ251,1),"")</f>
        <v>Y</v>
      </c>
      <c r="AQ251" s="2">
        <v>350</v>
      </c>
      <c r="AR251" s="3" t="str">
        <f>IFERROR(MID(VLOOKUP($B251,Seqs!$A:$B,2,0),AS251,1),"")</f>
        <v>R</v>
      </c>
      <c r="AS251" s="2">
        <v>357</v>
      </c>
      <c r="AT251" s="3" t="str">
        <f>IFERROR(MID(VLOOKUP($B251,Seqs!$A:$B,2,0),AU251,1),"")</f>
        <v>V</v>
      </c>
      <c r="AU251" s="2">
        <v>389</v>
      </c>
      <c r="AV251" s="3" t="str">
        <f>IFERROR(MID(VLOOKUP($B251,Seqs!$A:$B,2,0),AW251,1),"")</f>
        <v>S</v>
      </c>
      <c r="AW251" s="2">
        <v>390</v>
      </c>
      <c r="AX251" s="3" t="str">
        <f>IFERROR(MID(VLOOKUP($B251,Seqs!$A:$B,2,0),AY251,1),"")</f>
        <v>L</v>
      </c>
      <c r="AY251" s="2">
        <v>401</v>
      </c>
      <c r="AZ251" s="77" t="str">
        <f>VLOOKUP(B251,Classification!A:D,2,0)</f>
        <v>A</v>
      </c>
      <c r="BA251" s="94" t="str">
        <f>VLOOKUP(B251,Classification!A:D,4,0)</f>
        <v>Endothelin</v>
      </c>
      <c r="BB251" s="27" t="b">
        <f t="shared" si="2235"/>
        <v>1</v>
      </c>
      <c r="BC251" s="23">
        <f t="shared" si="2236"/>
        <v>257</v>
      </c>
      <c r="BD251" s="2" t="s">
        <v>23</v>
      </c>
      <c r="BE251" s="3" t="s">
        <v>1368</v>
      </c>
      <c r="BF251" s="118">
        <v>2.7</v>
      </c>
      <c r="BG251" s="49" t="s">
        <v>1</v>
      </c>
      <c r="BH251" s="49" t="s">
        <v>1</v>
      </c>
      <c r="BI251" s="2"/>
      <c r="BJ251" s="70" t="s">
        <v>1281</v>
      </c>
      <c r="BK251" s="57" t="s">
        <v>1281</v>
      </c>
      <c r="BL251" s="57" t="s">
        <v>1281</v>
      </c>
      <c r="BM251" s="57" t="s">
        <v>1281</v>
      </c>
      <c r="BN251" s="57" t="s">
        <v>1281</v>
      </c>
      <c r="BO251" s="57" t="s">
        <v>1281</v>
      </c>
      <c r="BP251" s="57" t="s">
        <v>1281</v>
      </c>
      <c r="BQ251" s="57" t="s">
        <v>1281</v>
      </c>
      <c r="BR251" s="57" t="s">
        <v>1281</v>
      </c>
      <c r="BS251" s="57" t="s">
        <v>1281</v>
      </c>
      <c r="BT251" s="57" t="s">
        <v>1281</v>
      </c>
      <c r="BU251" s="57" t="s">
        <v>1281</v>
      </c>
      <c r="BV251" s="70">
        <f t="shared" si="2237"/>
        <v>97</v>
      </c>
      <c r="BW251" s="71" t="str">
        <f t="shared" si="2238"/>
        <v>-</v>
      </c>
      <c r="BX251" s="72">
        <f t="shared" si="2239"/>
        <v>134</v>
      </c>
      <c r="BY251" s="71">
        <f t="shared" si="2240"/>
        <v>166</v>
      </c>
      <c r="BZ251" s="72">
        <f t="shared" si="2241"/>
        <v>170</v>
      </c>
      <c r="CA251" s="71" t="str">
        <f t="shared" si="2242"/>
        <v>-</v>
      </c>
      <c r="CB251" s="72">
        <f t="shared" si="2243"/>
        <v>217</v>
      </c>
      <c r="CC251" s="71">
        <f t="shared" si="2244"/>
        <v>255</v>
      </c>
      <c r="CD251" s="72">
        <f t="shared" si="2245"/>
        <v>263</v>
      </c>
      <c r="CE251" s="71">
        <f t="shared" si="2246"/>
        <v>312</v>
      </c>
      <c r="CF251" s="72">
        <f t="shared" si="2247"/>
        <v>357</v>
      </c>
      <c r="CG251" s="71">
        <f t="shared" si="2248"/>
        <v>390</v>
      </c>
      <c r="CH251" s="70">
        <f t="shared" si="2249"/>
        <v>129</v>
      </c>
      <c r="CI251" s="71" t="str">
        <f t="shared" si="2250"/>
        <v>-</v>
      </c>
      <c r="CJ251" s="72">
        <f t="shared" si="2251"/>
        <v>165</v>
      </c>
      <c r="CK251" s="72">
        <f t="shared" si="2252"/>
        <v>169</v>
      </c>
      <c r="CL251" s="72">
        <f t="shared" si="2253"/>
        <v>203</v>
      </c>
      <c r="CM251" s="72" t="str">
        <f t="shared" si="2254"/>
        <v>-</v>
      </c>
      <c r="CN251" s="72">
        <f t="shared" si="2255"/>
        <v>240</v>
      </c>
      <c r="CO251" s="72">
        <f t="shared" si="2256"/>
        <v>257</v>
      </c>
      <c r="CP251" s="72">
        <f t="shared" si="2257"/>
        <v>303</v>
      </c>
      <c r="CQ251" s="72">
        <f t="shared" si="2258"/>
        <v>350</v>
      </c>
      <c r="CR251" s="72">
        <f t="shared" si="2259"/>
        <v>389</v>
      </c>
      <c r="CS251" s="72">
        <f t="shared" si="2260"/>
        <v>401</v>
      </c>
      <c r="CT251" s="23" t="e">
        <f t="shared" si="2261"/>
        <v>#VALUE!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29" x14ac:dyDescent="0.2">
      <c r="A252" s="3" t="str">
        <f t="shared" si="2234"/>
        <v>ednrb_human_6IGK</v>
      </c>
      <c r="B252" s="2" t="s">
        <v>196</v>
      </c>
      <c r="C252" s="2" t="s">
        <v>1523</v>
      </c>
      <c r="D252" s="3" t="str">
        <f>IFERROR(MID(VLOOKUP($B252,Seqs!$A:$B,2,0),E252,1),"")</f>
        <v>K</v>
      </c>
      <c r="E252" s="2">
        <v>97</v>
      </c>
      <c r="F252" s="3" t="str">
        <f>IFERROR(MID(VLOOKUP($B252,Seqs!$A:$B,2,0),G252,1),"")</f>
        <v>N</v>
      </c>
      <c r="G252" s="2">
        <v>129</v>
      </c>
      <c r="H252" s="3" t="str">
        <f>IFERROR(MID(VLOOKUP($B252,Seqs!$A:$B,2,0),I252,1),"")</f>
        <v/>
      </c>
      <c r="I252" s="56" t="s">
        <v>23</v>
      </c>
      <c r="J252" s="3" t="str">
        <f>IFERROR(MID(VLOOKUP($B252,Seqs!$A:$B,2,0),K252,1),"")</f>
        <v/>
      </c>
      <c r="K252" s="56" t="s">
        <v>23</v>
      </c>
      <c r="L252" s="3" t="str">
        <f>IFERROR(MID(VLOOKUP($B252,Seqs!$A:$B,2,0),M252,1),"")</f>
        <v>N</v>
      </c>
      <c r="M252" s="2">
        <v>134</v>
      </c>
      <c r="N252" s="3" t="str">
        <f>IFERROR(MID(VLOOKUP($B252,Seqs!$A:$B,2,0),O252,1),"")</f>
        <v>E</v>
      </c>
      <c r="O252" s="2">
        <v>165</v>
      </c>
      <c r="P252" s="3" t="str">
        <f>IFERROR(MID(VLOOKUP($B252,Seqs!$A:$B,2,0),Q252,1),"")</f>
        <v>D</v>
      </c>
      <c r="Q252" s="2">
        <v>166</v>
      </c>
      <c r="R252" s="3" t="str">
        <f>IFERROR(MID(VLOOKUP($B252,Seqs!$A:$B,2,0),S252,1),"")</f>
        <v>F</v>
      </c>
      <c r="S252" s="2">
        <v>169</v>
      </c>
      <c r="T252" s="3" t="str">
        <f>IFERROR(MID(VLOOKUP($B252,Seqs!$A:$B,2,0),U252,1),"")</f>
        <v>G</v>
      </c>
      <c r="U252" s="4">
        <v>170</v>
      </c>
      <c r="V252" s="3" t="str">
        <f>IFERROR(MID(VLOOKUP($B252,Seqs!$A:$B,2,0),W252,1),"")</f>
        <v>S</v>
      </c>
      <c r="W252" s="2">
        <v>205</v>
      </c>
      <c r="X252" s="3" t="str">
        <f>IFERROR(MID(VLOOKUP($B252,Seqs!$A:$B,2,0),Y252,1),"")</f>
        <v/>
      </c>
      <c r="Y252" s="2" t="s">
        <v>23</v>
      </c>
      <c r="Z252" s="3" t="str">
        <f>IFERROR(MID(VLOOKUP($B252,Seqs!$A:$B,2,0),AA252,1),"")</f>
        <v/>
      </c>
      <c r="AA252" s="2" t="s">
        <v>23</v>
      </c>
      <c r="AB252" s="3" t="str">
        <f>IFERROR(MID(VLOOKUP($B252,Seqs!$A:$B,2,0),AC252,1),"")</f>
        <v>P</v>
      </c>
      <c r="AC252" s="2">
        <v>215</v>
      </c>
      <c r="AD252" s="3" t="str">
        <f>IFERROR(MID(VLOOKUP($B252,Seqs!$A:$B,2,0),AE252,1),"")</f>
        <v>F</v>
      </c>
      <c r="AE252" s="2">
        <v>240</v>
      </c>
      <c r="AF252" s="3" t="str">
        <f>IFERROR(MID(VLOOKUP($B252,Seqs!$A:$B,2,0),AG252,1),"")</f>
        <v>C</v>
      </c>
      <c r="AG252" s="2">
        <v>255</v>
      </c>
      <c r="AH252" s="3" t="str">
        <f>IFERROR(MID(VLOOKUP($B252,Seqs!$A:$B,2,0),AI252,1),"")</f>
        <v>L</v>
      </c>
      <c r="AI252" s="2">
        <v>257</v>
      </c>
      <c r="AJ252" s="3" t="str">
        <f>IFERROR(MID(VLOOKUP($B252,Seqs!$A:$B,2,0),AK252,1),"")</f>
        <v>T</v>
      </c>
      <c r="AK252" s="2">
        <v>263</v>
      </c>
      <c r="AL252" s="3" t="str">
        <f>IFERROR(MID(VLOOKUP($B252,Seqs!$A:$B,2,0),AM252,1),"")</f>
        <v>K</v>
      </c>
      <c r="AM252" s="2">
        <v>303</v>
      </c>
      <c r="AN252" s="3" t="str">
        <f>IFERROR(MID(VLOOKUP($B252,Seqs!$A:$B,2,0),AO252,1),"")</f>
        <v>N</v>
      </c>
      <c r="AO252" s="2">
        <v>312</v>
      </c>
      <c r="AP252" s="3" t="str">
        <f>IFERROR(MID(VLOOKUP($B252,Seqs!$A:$B,2,0),AQ252,1),"")</f>
        <v>Y</v>
      </c>
      <c r="AQ252" s="2">
        <v>350</v>
      </c>
      <c r="AR252" s="3" t="str">
        <f>IFERROR(MID(VLOOKUP($B252,Seqs!$A:$B,2,0),AS252,1),"")</f>
        <v>N</v>
      </c>
      <c r="AS252" s="2">
        <v>356</v>
      </c>
      <c r="AT252" s="3" t="str">
        <f>IFERROR(MID(VLOOKUP($B252,Seqs!$A:$B,2,0),AU252,1),"")</f>
        <v>V</v>
      </c>
      <c r="AU252" s="2">
        <v>389</v>
      </c>
      <c r="AV252" s="3" t="str">
        <f>IFERROR(MID(VLOOKUP($B252,Seqs!$A:$B,2,0),AW252,1),"")</f>
        <v>S</v>
      </c>
      <c r="AW252" s="2">
        <v>390</v>
      </c>
      <c r="AX252" s="3" t="str">
        <f>IFERROR(MID(VLOOKUP($B252,Seqs!$A:$B,2,0),AY252,1),"")</f>
        <v>C</v>
      </c>
      <c r="AY252" s="2">
        <v>402</v>
      </c>
      <c r="AZ252" s="77" t="str">
        <f>VLOOKUP(B252,Classification!A:D,2,0)</f>
        <v>A</v>
      </c>
      <c r="BA252" s="94" t="str">
        <f>VLOOKUP(B252,Classification!A:D,4,0)</f>
        <v>Endothelin</v>
      </c>
      <c r="BB252" s="27" t="b">
        <f t="shared" si="2235"/>
        <v>1</v>
      </c>
      <c r="BC252" s="23">
        <f t="shared" si="2236"/>
        <v>263</v>
      </c>
      <c r="BD252" s="2" t="s">
        <v>23</v>
      </c>
      <c r="BE252" s="3" t="s">
        <v>1368</v>
      </c>
      <c r="BF252" s="118">
        <v>2</v>
      </c>
      <c r="BG252" s="49" t="s">
        <v>1</v>
      </c>
      <c r="BH252" s="49" t="s">
        <v>1</v>
      </c>
      <c r="BI252" s="2"/>
      <c r="BJ252" s="70" t="s">
        <v>1281</v>
      </c>
      <c r="BK252" s="57" t="s">
        <v>1281</v>
      </c>
      <c r="BL252" s="57" t="s">
        <v>1281</v>
      </c>
      <c r="BM252" s="57" t="s">
        <v>1281</v>
      </c>
      <c r="BN252" s="57" t="s">
        <v>1281</v>
      </c>
      <c r="BO252" s="57" t="s">
        <v>1281</v>
      </c>
      <c r="BP252" s="57" t="s">
        <v>1281</v>
      </c>
      <c r="BQ252" s="57" t="s">
        <v>1281</v>
      </c>
      <c r="BR252" s="57" t="s">
        <v>1281</v>
      </c>
      <c r="BS252" s="57" t="s">
        <v>1281</v>
      </c>
      <c r="BT252" s="57" t="s">
        <v>1281</v>
      </c>
      <c r="BU252" s="57" t="s">
        <v>1281</v>
      </c>
      <c r="BV252" s="70">
        <f t="shared" si="2237"/>
        <v>97</v>
      </c>
      <c r="BW252" s="71" t="str">
        <f t="shared" si="2238"/>
        <v>-</v>
      </c>
      <c r="BX252" s="72">
        <f t="shared" si="2239"/>
        <v>134</v>
      </c>
      <c r="BY252" s="71">
        <f t="shared" si="2240"/>
        <v>166</v>
      </c>
      <c r="BZ252" s="72">
        <f t="shared" si="2241"/>
        <v>170</v>
      </c>
      <c r="CA252" s="71" t="str">
        <f t="shared" si="2242"/>
        <v>-</v>
      </c>
      <c r="CB252" s="72">
        <f t="shared" si="2243"/>
        <v>215</v>
      </c>
      <c r="CC252" s="71">
        <f t="shared" si="2244"/>
        <v>255</v>
      </c>
      <c r="CD252" s="72">
        <f t="shared" si="2245"/>
        <v>263</v>
      </c>
      <c r="CE252" s="71">
        <f t="shared" si="2246"/>
        <v>312</v>
      </c>
      <c r="CF252" s="72">
        <f t="shared" si="2247"/>
        <v>356</v>
      </c>
      <c r="CG252" s="71">
        <f t="shared" si="2248"/>
        <v>390</v>
      </c>
      <c r="CH252" s="70">
        <f t="shared" si="2249"/>
        <v>129</v>
      </c>
      <c r="CI252" s="71" t="str">
        <f t="shared" si="2250"/>
        <v>-</v>
      </c>
      <c r="CJ252" s="72">
        <f t="shared" si="2251"/>
        <v>165</v>
      </c>
      <c r="CK252" s="72">
        <f t="shared" si="2252"/>
        <v>169</v>
      </c>
      <c r="CL252" s="72">
        <f t="shared" si="2253"/>
        <v>205</v>
      </c>
      <c r="CM252" s="72" t="str">
        <f t="shared" si="2254"/>
        <v>-</v>
      </c>
      <c r="CN252" s="72">
        <f t="shared" si="2255"/>
        <v>240</v>
      </c>
      <c r="CO252" s="72">
        <f t="shared" si="2256"/>
        <v>257</v>
      </c>
      <c r="CP252" s="72">
        <f t="shared" si="2257"/>
        <v>303</v>
      </c>
      <c r="CQ252" s="72">
        <f t="shared" si="2258"/>
        <v>350</v>
      </c>
      <c r="CR252" s="72">
        <f t="shared" si="2259"/>
        <v>389</v>
      </c>
      <c r="CS252" s="72">
        <f t="shared" si="2260"/>
        <v>402</v>
      </c>
      <c r="CT252" s="23" t="e">
        <f t="shared" si="2261"/>
        <v>#VALUE!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29" x14ac:dyDescent="0.2">
      <c r="A253" s="3" t="str">
        <f t="shared" si="2234"/>
        <v>ednrb_human_6K1Q</v>
      </c>
      <c r="B253" s="2" t="s">
        <v>196</v>
      </c>
      <c r="C253" s="2" t="s">
        <v>1580</v>
      </c>
      <c r="D253" s="3" t="str">
        <f>IFERROR(MID(VLOOKUP($B253,Seqs!$A:$B,2,0),E253,1),"")</f>
        <v>Q</v>
      </c>
      <c r="E253" s="2">
        <v>91</v>
      </c>
      <c r="F253" s="3" t="str">
        <f>IFERROR(MID(VLOOKUP($B253,Seqs!$A:$B,2,0),G253,1),"")</f>
        <v>N</v>
      </c>
      <c r="G253" s="2">
        <v>129</v>
      </c>
      <c r="H253" s="3" t="str">
        <f>IFERROR(MID(VLOOKUP($B253,Seqs!$A:$B,2,0),I253,1),"")</f>
        <v/>
      </c>
      <c r="I253" s="56" t="s">
        <v>23</v>
      </c>
      <c r="J253" s="3" t="str">
        <f>IFERROR(MID(VLOOKUP($B253,Seqs!$A:$B,2,0),K253,1),"")</f>
        <v/>
      </c>
      <c r="K253" s="56" t="s">
        <v>23</v>
      </c>
      <c r="L253" s="3" t="str">
        <f>IFERROR(MID(VLOOKUP($B253,Seqs!$A:$B,2,0),M253,1),"")</f>
        <v>N</v>
      </c>
      <c r="M253" s="2">
        <v>134</v>
      </c>
      <c r="N253" s="3" t="str">
        <f>IFERROR(MID(VLOOKUP($B253,Seqs!$A:$B,2,0),O253,1),"")</f>
        <v>A</v>
      </c>
      <c r="O253" s="2">
        <v>164</v>
      </c>
      <c r="P253" s="3" t="str">
        <f>IFERROR(MID(VLOOKUP($B253,Seqs!$A:$B,2,0),Q253,1),"")</f>
        <v>D</v>
      </c>
      <c r="Q253" s="2">
        <v>166</v>
      </c>
      <c r="R253" s="3" t="str">
        <f>IFERROR(MID(VLOOKUP($B253,Seqs!$A:$B,2,0),S253,1),"")</f>
        <v>F</v>
      </c>
      <c r="S253" s="2">
        <v>169</v>
      </c>
      <c r="T253" s="3" t="str">
        <f>IFERROR(MID(VLOOKUP($B253,Seqs!$A:$B,2,0),U253,1),"")</f>
        <v>G</v>
      </c>
      <c r="U253" s="4">
        <v>170</v>
      </c>
      <c r="V253" s="3" t="str">
        <f>IFERROR(MID(VLOOKUP($B253,Seqs!$A:$B,2,0),W253,1),"")</f>
        <v>V</v>
      </c>
      <c r="W253" s="2">
        <v>203</v>
      </c>
      <c r="X253" s="3" t="str">
        <f>IFERROR(MID(VLOOKUP($B253,Seqs!$A:$B,2,0),Y253,1),"")</f>
        <v/>
      </c>
      <c r="Y253" s="2" t="s">
        <v>23</v>
      </c>
      <c r="Z253" s="3" t="str">
        <f>IFERROR(MID(VLOOKUP($B253,Seqs!$A:$B,2,0),AA253,1),"")</f>
        <v/>
      </c>
      <c r="AA253" s="2" t="s">
        <v>23</v>
      </c>
      <c r="AB253" s="3" t="str">
        <f>IFERROR(MID(VLOOKUP($B253,Seqs!$A:$B,2,0),AC253,1),"")</f>
        <v>K</v>
      </c>
      <c r="AC253" s="2">
        <v>216</v>
      </c>
      <c r="AD253" s="3" t="str">
        <f>IFERROR(MID(VLOOKUP($B253,Seqs!$A:$B,2,0),AE253,1),"")</f>
        <v>F</v>
      </c>
      <c r="AE253" s="2">
        <v>240</v>
      </c>
      <c r="AF253" s="3" t="str">
        <f>IFERROR(MID(VLOOKUP($B253,Seqs!$A:$B,2,0),AG253,1),"")</f>
        <v>C</v>
      </c>
      <c r="AG253" s="2">
        <v>255</v>
      </c>
      <c r="AH253" s="3" t="str">
        <f>IFERROR(MID(VLOOKUP($B253,Seqs!$A:$B,2,0),AI253,1),"")</f>
        <v>L</v>
      </c>
      <c r="AI253" s="2">
        <v>257</v>
      </c>
      <c r="AJ253" s="3" t="str">
        <f>IFERROR(MID(VLOOKUP($B253,Seqs!$A:$B,2,0),AK253,1),"")</f>
        <v>T</v>
      </c>
      <c r="AK253" s="2">
        <v>263</v>
      </c>
      <c r="AL253" s="3" t="str">
        <f>IFERROR(MID(VLOOKUP($B253,Seqs!$A:$B,2,0),AM253,1),"")</f>
        <v>K</v>
      </c>
      <c r="AM253" s="2">
        <v>303</v>
      </c>
      <c r="AN253" s="3" t="str">
        <f>IFERROR(MID(VLOOKUP($B253,Seqs!$A:$B,2,0),AO253,1),"")</f>
        <v>N</v>
      </c>
      <c r="AO253" s="2">
        <v>312</v>
      </c>
      <c r="AP253" s="3" t="str">
        <f>IFERROR(MID(VLOOKUP($B253,Seqs!$A:$B,2,0),AQ253,1),"")</f>
        <v>L</v>
      </c>
      <c r="AQ253" s="2">
        <v>349</v>
      </c>
      <c r="AR253" s="3" t="str">
        <f>IFERROR(MID(VLOOKUP($B253,Seqs!$A:$B,2,0),AS253,1),"")</f>
        <v>N</v>
      </c>
      <c r="AS253" s="2">
        <v>356</v>
      </c>
      <c r="AT253" s="3" t="str">
        <f>IFERROR(MID(VLOOKUP($B253,Seqs!$A:$B,2,0),AU253,1),"")</f>
        <v>V</v>
      </c>
      <c r="AU253" s="2">
        <v>389</v>
      </c>
      <c r="AV253" s="3" t="str">
        <f>IFERROR(MID(VLOOKUP($B253,Seqs!$A:$B,2,0),AW253,1),"")</f>
        <v>S</v>
      </c>
      <c r="AW253" s="2">
        <v>390</v>
      </c>
      <c r="AX253" s="3" t="str">
        <f>IFERROR(MID(VLOOKUP($B253,Seqs!$A:$B,2,0),AY253,1),"")</f>
        <v>C</v>
      </c>
      <c r="AY253" s="2">
        <v>403</v>
      </c>
      <c r="AZ253" s="77" t="str">
        <f>VLOOKUP(B253,Classification!A:D,2,0)</f>
        <v>A</v>
      </c>
      <c r="BA253" s="94" t="str">
        <f>VLOOKUP(B253,Classification!A:D,4,0)</f>
        <v>Endothelin</v>
      </c>
      <c r="BB253" s="27" t="b">
        <f t="shared" si="2235"/>
        <v>1</v>
      </c>
      <c r="BC253" s="23">
        <f t="shared" si="2236"/>
        <v>265</v>
      </c>
      <c r="BD253" s="2" t="s">
        <v>23</v>
      </c>
      <c r="BE253" s="3" t="s">
        <v>1368</v>
      </c>
      <c r="BF253" s="118">
        <v>2.7</v>
      </c>
      <c r="BG253" s="49" t="s">
        <v>1</v>
      </c>
      <c r="BH253" s="49" t="s">
        <v>1</v>
      </c>
      <c r="BI253" s="2"/>
      <c r="BJ253" s="70" t="s">
        <v>1281</v>
      </c>
      <c r="BK253" s="57" t="s">
        <v>1281</v>
      </c>
      <c r="BL253" s="57" t="s">
        <v>1281</v>
      </c>
      <c r="BM253" s="57" t="s">
        <v>1281</v>
      </c>
      <c r="BN253" s="57" t="s">
        <v>1281</v>
      </c>
      <c r="BO253" s="57" t="s">
        <v>1281</v>
      </c>
      <c r="BP253" s="57" t="s">
        <v>1281</v>
      </c>
      <c r="BQ253" s="57" t="s">
        <v>1281</v>
      </c>
      <c r="BR253" s="57" t="s">
        <v>1281</v>
      </c>
      <c r="BS253" s="57" t="s">
        <v>1281</v>
      </c>
      <c r="BT253" s="57" t="s">
        <v>1281</v>
      </c>
      <c r="BU253" s="57" t="s">
        <v>1281</v>
      </c>
      <c r="BV253" s="70">
        <f t="shared" si="2237"/>
        <v>91</v>
      </c>
      <c r="BW253" s="71" t="str">
        <f t="shared" si="2238"/>
        <v>-</v>
      </c>
      <c r="BX253" s="72">
        <f t="shared" si="2239"/>
        <v>134</v>
      </c>
      <c r="BY253" s="71">
        <f t="shared" si="2240"/>
        <v>166</v>
      </c>
      <c r="BZ253" s="72">
        <f t="shared" si="2241"/>
        <v>170</v>
      </c>
      <c r="CA253" s="71" t="str">
        <f t="shared" si="2242"/>
        <v>-</v>
      </c>
      <c r="CB253" s="72">
        <f t="shared" si="2243"/>
        <v>216</v>
      </c>
      <c r="CC253" s="71">
        <f t="shared" si="2244"/>
        <v>255</v>
      </c>
      <c r="CD253" s="72">
        <f t="shared" si="2245"/>
        <v>263</v>
      </c>
      <c r="CE253" s="71">
        <f t="shared" si="2246"/>
        <v>312</v>
      </c>
      <c r="CF253" s="72">
        <f t="shared" si="2247"/>
        <v>356</v>
      </c>
      <c r="CG253" s="71">
        <f t="shared" si="2248"/>
        <v>390</v>
      </c>
      <c r="CH253" s="70">
        <f t="shared" si="2249"/>
        <v>129</v>
      </c>
      <c r="CI253" s="71" t="str">
        <f t="shared" si="2250"/>
        <v>-</v>
      </c>
      <c r="CJ253" s="72">
        <f t="shared" si="2251"/>
        <v>164</v>
      </c>
      <c r="CK253" s="72">
        <f t="shared" si="2252"/>
        <v>169</v>
      </c>
      <c r="CL253" s="72">
        <f t="shared" si="2253"/>
        <v>203</v>
      </c>
      <c r="CM253" s="72" t="str">
        <f t="shared" si="2254"/>
        <v>-</v>
      </c>
      <c r="CN253" s="72">
        <f t="shared" si="2255"/>
        <v>240</v>
      </c>
      <c r="CO253" s="72">
        <f t="shared" si="2256"/>
        <v>257</v>
      </c>
      <c r="CP253" s="72">
        <f t="shared" si="2257"/>
        <v>303</v>
      </c>
      <c r="CQ253" s="72">
        <f t="shared" si="2258"/>
        <v>349</v>
      </c>
      <c r="CR253" s="72">
        <f t="shared" si="2259"/>
        <v>389</v>
      </c>
      <c r="CS253" s="72">
        <f t="shared" si="2260"/>
        <v>403</v>
      </c>
      <c r="CT253" s="23" t="e">
        <f t="shared" si="2261"/>
        <v>#VALUE!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29" x14ac:dyDescent="0.2">
      <c r="A254" s="3" t="str">
        <f t="shared" si="2234"/>
        <v>ednrb_human_6LRY</v>
      </c>
      <c r="B254" s="2" t="s">
        <v>196</v>
      </c>
      <c r="C254" s="2" t="s">
        <v>1642</v>
      </c>
      <c r="D254" s="3" t="str">
        <f>IFERROR(MID(VLOOKUP($B254,Seqs!$A:$B,2,0),E254,1),"")</f>
        <v>K</v>
      </c>
      <c r="E254" s="2">
        <v>97</v>
      </c>
      <c r="F254" s="3" t="str">
        <f>IFERROR(MID(VLOOKUP($B254,Seqs!$A:$B,2,0),G254,1),"")</f>
        <v>N</v>
      </c>
      <c r="G254" s="2">
        <v>129</v>
      </c>
      <c r="H254" s="3" t="str">
        <f>IFERROR(MID(VLOOKUP($B254,Seqs!$A:$B,2,0),I254,1),"")</f>
        <v/>
      </c>
      <c r="I254" s="56" t="s">
        <v>23</v>
      </c>
      <c r="J254" s="3" t="str">
        <f>IFERROR(MID(VLOOKUP($B254,Seqs!$A:$B,2,0),K254,1),"")</f>
        <v/>
      </c>
      <c r="K254" s="56" t="s">
        <v>23</v>
      </c>
      <c r="L254" s="3" t="str">
        <f>IFERROR(MID(VLOOKUP($B254,Seqs!$A:$B,2,0),M254,1),"")</f>
        <v>G</v>
      </c>
      <c r="M254" s="2">
        <v>135</v>
      </c>
      <c r="N254" s="3" t="str">
        <f>IFERROR(MID(VLOOKUP($B254,Seqs!$A:$B,2,0),O254,1),"")</f>
        <v>A</v>
      </c>
      <c r="O254" s="2">
        <v>164</v>
      </c>
      <c r="P254" s="3" t="str">
        <f>IFERROR(MID(VLOOKUP($B254,Seqs!$A:$B,2,0),Q254,1),"")</f>
        <v>D</v>
      </c>
      <c r="Q254" s="2">
        <v>166</v>
      </c>
      <c r="R254" s="3" t="str">
        <f>IFERROR(MID(VLOOKUP($B254,Seqs!$A:$B,2,0),S254,1),"")</f>
        <v>F</v>
      </c>
      <c r="S254" s="2">
        <v>169</v>
      </c>
      <c r="T254" s="3" t="str">
        <f>IFERROR(MID(VLOOKUP($B254,Seqs!$A:$B,2,0),U254,1),"")</f>
        <v>G</v>
      </c>
      <c r="U254" s="4">
        <v>170</v>
      </c>
      <c r="V254" s="3" t="str">
        <f>IFERROR(MID(VLOOKUP($B254,Seqs!$A:$B,2,0),W254,1),"")</f>
        <v>A</v>
      </c>
      <c r="W254" s="2">
        <v>204</v>
      </c>
      <c r="X254" s="3" t="str">
        <f>IFERROR(MID(VLOOKUP($B254,Seqs!$A:$B,2,0),Y254,1),"")</f>
        <v/>
      </c>
      <c r="Y254" s="2" t="s">
        <v>23</v>
      </c>
      <c r="Z254" s="3" t="str">
        <f>IFERROR(MID(VLOOKUP($B254,Seqs!$A:$B,2,0),AA254,1),"")</f>
        <v/>
      </c>
      <c r="AA254" s="2" t="s">
        <v>23</v>
      </c>
      <c r="AB254" s="3" t="str">
        <f>IFERROR(MID(VLOOKUP($B254,Seqs!$A:$B,2,0),AC254,1),"")</f>
        <v>K</v>
      </c>
      <c r="AC254" s="2">
        <v>216</v>
      </c>
      <c r="AD254" s="3" t="str">
        <f>IFERROR(MID(VLOOKUP($B254,Seqs!$A:$B,2,0),AE254,1),"")</f>
        <v>F</v>
      </c>
      <c r="AE254" s="2">
        <v>240</v>
      </c>
      <c r="AF254" s="3" t="str">
        <f>IFERROR(MID(VLOOKUP($B254,Seqs!$A:$B,2,0),AG254,1),"")</f>
        <v>C</v>
      </c>
      <c r="AG254" s="2">
        <v>255</v>
      </c>
      <c r="AH254" s="3" t="str">
        <f>IFERROR(MID(VLOOKUP($B254,Seqs!$A:$B,2,0),AI254,1),"")</f>
        <v>L</v>
      </c>
      <c r="AI254" s="2">
        <v>257</v>
      </c>
      <c r="AJ254" s="3" t="str">
        <f>IFERROR(MID(VLOOKUP($B254,Seqs!$A:$B,2,0),AK254,1),"")</f>
        <v>T</v>
      </c>
      <c r="AK254" s="2">
        <v>263</v>
      </c>
      <c r="AL254" s="3" t="str">
        <f>IFERROR(MID(VLOOKUP($B254,Seqs!$A:$B,2,0),AM254,1),"")</f>
        <v>K</v>
      </c>
      <c r="AM254" s="2">
        <v>303</v>
      </c>
      <c r="AN254" s="3" t="str">
        <f>IFERROR(MID(VLOOKUP($B254,Seqs!$A:$B,2,0),AO254,1),"")</f>
        <v>N</v>
      </c>
      <c r="AO254" s="2">
        <v>312</v>
      </c>
      <c r="AP254" s="3" t="str">
        <f>IFERROR(MID(VLOOKUP($B254,Seqs!$A:$B,2,0),AQ254,1),"")</f>
        <v>Y</v>
      </c>
      <c r="AQ254" s="2">
        <v>350</v>
      </c>
      <c r="AR254" s="3" t="str">
        <f>IFERROR(MID(VLOOKUP($B254,Seqs!$A:$B,2,0),AS254,1),"")</f>
        <v>R</v>
      </c>
      <c r="AS254" s="2">
        <v>357</v>
      </c>
      <c r="AT254" s="3" t="str">
        <f>IFERROR(MID(VLOOKUP($B254,Seqs!$A:$B,2,0),AU254,1),"")</f>
        <v>V</v>
      </c>
      <c r="AU254" s="2">
        <v>389</v>
      </c>
      <c r="AV254" s="3" t="str">
        <f>IFERROR(MID(VLOOKUP($B254,Seqs!$A:$B,2,0),AW254,1),"")</f>
        <v>S</v>
      </c>
      <c r="AW254" s="2">
        <v>390</v>
      </c>
      <c r="AX254" s="3" t="str">
        <f>IFERROR(MID(VLOOKUP($B254,Seqs!$A:$B,2,0),AY254,1),"")</f>
        <v>C</v>
      </c>
      <c r="AY254" s="2">
        <v>400</v>
      </c>
      <c r="AZ254" s="77" t="str">
        <f>VLOOKUP(B254,Classification!A:D,2,0)</f>
        <v>A</v>
      </c>
      <c r="BA254" s="94" t="str">
        <f>VLOOKUP(B254,Classification!A:D,4,0)</f>
        <v>Endothelin</v>
      </c>
      <c r="BB254" s="27" t="b">
        <f t="shared" si="2235"/>
        <v>1</v>
      </c>
      <c r="BC254" s="23">
        <f t="shared" si="2236"/>
        <v>256</v>
      </c>
      <c r="BD254" s="2" t="s">
        <v>1423</v>
      </c>
      <c r="BE254" s="3" t="s">
        <v>1465</v>
      </c>
      <c r="BF254" s="118">
        <v>3</v>
      </c>
      <c r="BG254" s="49" t="s">
        <v>1</v>
      </c>
      <c r="BH254" s="49" t="s">
        <v>1</v>
      </c>
      <c r="BI254" s="2"/>
      <c r="BJ254" s="70" t="s">
        <v>1281</v>
      </c>
      <c r="BK254" s="57" t="s">
        <v>1281</v>
      </c>
      <c r="BL254" s="57" t="s">
        <v>1281</v>
      </c>
      <c r="BM254" s="57" t="s">
        <v>1281</v>
      </c>
      <c r="BN254" s="57" t="s">
        <v>1281</v>
      </c>
      <c r="BO254" s="57" t="s">
        <v>1281</v>
      </c>
      <c r="BP254" s="57" t="s">
        <v>1281</v>
      </c>
      <c r="BQ254" s="57" t="s">
        <v>1281</v>
      </c>
      <c r="BR254" s="57" t="s">
        <v>1281</v>
      </c>
      <c r="BS254" s="57" t="s">
        <v>1281</v>
      </c>
      <c r="BT254" s="57" t="s">
        <v>1281</v>
      </c>
      <c r="BU254" s="57" t="s">
        <v>1281</v>
      </c>
      <c r="BV254" s="70">
        <f t="shared" si="2237"/>
        <v>97</v>
      </c>
      <c r="BW254" s="71" t="str">
        <f t="shared" si="2238"/>
        <v>-</v>
      </c>
      <c r="BX254" s="72">
        <f t="shared" si="2239"/>
        <v>135</v>
      </c>
      <c r="BY254" s="71">
        <f t="shared" si="2240"/>
        <v>166</v>
      </c>
      <c r="BZ254" s="72">
        <f t="shared" si="2241"/>
        <v>170</v>
      </c>
      <c r="CA254" s="71" t="str">
        <f t="shared" si="2242"/>
        <v>-</v>
      </c>
      <c r="CB254" s="72">
        <f t="shared" si="2243"/>
        <v>216</v>
      </c>
      <c r="CC254" s="71">
        <f t="shared" si="2244"/>
        <v>255</v>
      </c>
      <c r="CD254" s="72">
        <f t="shared" si="2245"/>
        <v>263</v>
      </c>
      <c r="CE254" s="71">
        <f t="shared" si="2246"/>
        <v>312</v>
      </c>
      <c r="CF254" s="72">
        <f t="shared" si="2247"/>
        <v>357</v>
      </c>
      <c r="CG254" s="71">
        <f t="shared" si="2248"/>
        <v>390</v>
      </c>
      <c r="CH254" s="70">
        <f t="shared" si="2249"/>
        <v>129</v>
      </c>
      <c r="CI254" s="71" t="str">
        <f t="shared" si="2250"/>
        <v>-</v>
      </c>
      <c r="CJ254" s="72">
        <f t="shared" si="2251"/>
        <v>164</v>
      </c>
      <c r="CK254" s="72">
        <f t="shared" si="2252"/>
        <v>169</v>
      </c>
      <c r="CL254" s="72">
        <f t="shared" si="2253"/>
        <v>204</v>
      </c>
      <c r="CM254" s="72" t="str">
        <f t="shared" si="2254"/>
        <v>-</v>
      </c>
      <c r="CN254" s="72">
        <f t="shared" si="2255"/>
        <v>240</v>
      </c>
      <c r="CO254" s="72">
        <f t="shared" si="2256"/>
        <v>257</v>
      </c>
      <c r="CP254" s="72">
        <f t="shared" si="2257"/>
        <v>303</v>
      </c>
      <c r="CQ254" s="72">
        <f t="shared" si="2258"/>
        <v>350</v>
      </c>
      <c r="CR254" s="72">
        <f t="shared" si="2259"/>
        <v>389</v>
      </c>
      <c r="CS254" s="72">
        <f t="shared" si="2260"/>
        <v>400</v>
      </c>
      <c r="CT254" s="23" t="e">
        <f t="shared" si="2261"/>
        <v>#VALUE!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29" x14ac:dyDescent="0.2">
      <c r="A255" s="3" t="str">
        <f t="shared" si="1371"/>
        <v>ffar1_human__wt</v>
      </c>
      <c r="B255" s="3" t="s">
        <v>1166</v>
      </c>
      <c r="C255" s="3" t="s">
        <v>100</v>
      </c>
      <c r="D255" s="3" t="str">
        <f>IFERROR(MID(VLOOKUP($B255,Seqs!$A:$B,2,0),E255,1),"")</f>
        <v>P</v>
      </c>
      <c r="E255" s="3">
        <v>4</v>
      </c>
      <c r="F255" s="3" t="str">
        <f>IFERROR(MID(VLOOKUP($B255,Seqs!$A:$B,2,0),G255,1),"")</f>
        <v>R</v>
      </c>
      <c r="G255" s="3">
        <v>37</v>
      </c>
      <c r="H255" s="3" t="str">
        <f>IFERROR(MID(VLOOKUP($B255,Seqs!$A:$B,2,0),I255,1),"")</f>
        <v/>
      </c>
      <c r="I255" s="23" t="s">
        <v>23</v>
      </c>
      <c r="J255" s="3" t="str">
        <f>IFERROR(MID(VLOOKUP($B255,Seqs!$A:$B,2,0),K255,1),"")</f>
        <v/>
      </c>
      <c r="K255" s="23" t="s">
        <v>23</v>
      </c>
      <c r="L255" s="3" t="str">
        <f>IFERROR(MID(VLOOKUP($B255,Seqs!$A:$B,2,0),M255,1),"")</f>
        <v>T</v>
      </c>
      <c r="M255" s="3">
        <v>39</v>
      </c>
      <c r="N255" s="3" t="str">
        <f>IFERROR(MID(VLOOKUP($B255,Seqs!$A:$B,2,0),O255,1),"")</f>
        <v>S</v>
      </c>
      <c r="O255" s="3">
        <v>69</v>
      </c>
      <c r="P255" s="3" t="str">
        <f>IFERROR(MID(VLOOKUP($B255,Seqs!$A:$B,2,0),Q255,1),"")</f>
        <v>A</v>
      </c>
      <c r="Q255" s="3">
        <v>71</v>
      </c>
      <c r="R255" s="3" t="str">
        <f>IFERROR(MID(VLOOKUP($B255,Seqs!$A:$B,2,0),S255,1),"")</f>
        <v>L</v>
      </c>
      <c r="S255" s="3">
        <v>74</v>
      </c>
      <c r="T255" s="3" t="str">
        <f>IFERROR(MID(VLOOKUP($B255,Seqs!$A:$B,2,0),U255,1),"")</f>
        <v>P</v>
      </c>
      <c r="U255" s="3">
        <v>75</v>
      </c>
      <c r="V255" s="3" t="str">
        <f>IFERROR(MID(VLOOKUP($B255,Seqs!$A:$B,2,0),W255,1),"")</f>
        <v>F</v>
      </c>
      <c r="W255" s="3">
        <v>110</v>
      </c>
      <c r="X255" s="3" t="str">
        <f>IFERROR(MID(VLOOKUP($B255,Seqs!$A:$B,2,0),Y255,1),"")</f>
        <v>P</v>
      </c>
      <c r="Y255" s="3">
        <v>111</v>
      </c>
      <c r="Z255" s="3" t="str">
        <f>IFERROR(MID(VLOOKUP($B255,Seqs!$A:$B,2,0),AA255,1),"")</f>
        <v>R</v>
      </c>
      <c r="AA255" s="3">
        <v>118</v>
      </c>
      <c r="AB255" s="3" t="str">
        <f>IFERROR(MID(VLOOKUP($B255,Seqs!$A:$B,2,0),AC255,1),"")</f>
        <v>R</v>
      </c>
      <c r="AC255" s="3">
        <v>119</v>
      </c>
      <c r="AD255" s="3" t="str">
        <f>IFERROR(MID(VLOOKUP($B255,Seqs!$A:$B,2,0),AE255,1),"")</f>
        <v>A</v>
      </c>
      <c r="AE255" s="3">
        <v>146</v>
      </c>
      <c r="AF255" s="3" t="str">
        <f>IFERROR(MID(VLOOKUP($B255,Seqs!$A:$B,2,0),AG255,1),"")</f>
        <v>C</v>
      </c>
      <c r="AG255" s="3">
        <v>170</v>
      </c>
      <c r="AH255" s="3" t="str">
        <f>IFERROR(MID(VLOOKUP($B255,Seqs!$A:$B,2,0),AI255,1),"")</f>
        <v>E</v>
      </c>
      <c r="AI255" s="3">
        <v>172</v>
      </c>
      <c r="AJ255" s="3" t="str">
        <f>IFERROR(MID(VLOOKUP($B255,Seqs!$A:$B,2,0),AK255,1),"")</f>
        <v>D</v>
      </c>
      <c r="AK255" s="3">
        <v>175</v>
      </c>
      <c r="AL255" s="3" t="str">
        <f>IFERROR(MID(VLOOKUP($B255,Seqs!$A:$B,2,0),AM255,1),"")</f>
        <v>R</v>
      </c>
      <c r="AM255" s="3">
        <v>211</v>
      </c>
      <c r="AN255" s="3" t="str">
        <f>IFERROR(MID(VLOOKUP($B255,Seqs!$A:$B,2,0),AO255,1),"")</f>
        <v>R</v>
      </c>
      <c r="AO255" s="3">
        <v>217</v>
      </c>
      <c r="AP255" s="3" t="str">
        <f>IFERROR(MID(VLOOKUP($B255,Seqs!$A:$B,2,0),AQ255,1),"")</f>
        <v>Y</v>
      </c>
      <c r="AQ255" s="3">
        <v>250</v>
      </c>
      <c r="AR255" s="3" t="str">
        <f>IFERROR(MID(VLOOKUP($B255,Seqs!$A:$B,2,0),AS255,1),"")</f>
        <v>G</v>
      </c>
      <c r="AS255" s="3">
        <v>255</v>
      </c>
      <c r="AT255" s="3" t="str">
        <f>IFERROR(MID(VLOOKUP($B255,Seqs!$A:$B,2,0),AU255,1),"")</f>
        <v>L</v>
      </c>
      <c r="AU255" s="3">
        <v>279</v>
      </c>
      <c r="AV255" s="3" t="str">
        <f>IFERROR(MID(VLOOKUP($B255,Seqs!$A:$B,2,0),AW255,1),"")</f>
        <v>G</v>
      </c>
      <c r="AW255" s="3">
        <v>280</v>
      </c>
      <c r="AX255" s="3" t="str">
        <f>IFERROR(MID(VLOOKUP($B255,Seqs!$A:$B,2,0),AY255,1),"")</f>
        <v>Q</v>
      </c>
      <c r="AY255" s="3">
        <v>294</v>
      </c>
      <c r="AZ255" s="77" t="str">
        <f>VLOOKUP(B255,Classification!A:D,2,0)</f>
        <v>A</v>
      </c>
      <c r="BA255" s="94" t="str">
        <f>VLOOKUP(B255,Classification!A:D,4,0)</f>
        <v>Freefattyacid</v>
      </c>
      <c r="BB255" s="27" t="b">
        <f t="shared" si="1372"/>
        <v>1</v>
      </c>
      <c r="BC255" s="23">
        <f t="shared" si="2208"/>
        <v>256</v>
      </c>
      <c r="BD255" s="34" t="s">
        <v>23</v>
      </c>
      <c r="BE255" s="3" t="s">
        <v>23</v>
      </c>
      <c r="BF255" s="118" t="s">
        <v>23</v>
      </c>
      <c r="BG255" s="49" t="s">
        <v>1366</v>
      </c>
      <c r="BH255" s="49" t="s">
        <v>1371</v>
      </c>
      <c r="BI255" s="1"/>
      <c r="BJ255" s="70" t="s">
        <v>1281</v>
      </c>
      <c r="BK255" s="57" t="s">
        <v>1281</v>
      </c>
      <c r="BL255" s="57" t="s">
        <v>1281</v>
      </c>
      <c r="BM255" s="57" t="s">
        <v>1281</v>
      </c>
      <c r="BN255" s="57" t="s">
        <v>1281</v>
      </c>
      <c r="BO255" s="57" t="s">
        <v>1281</v>
      </c>
      <c r="BP255" s="57" t="s">
        <v>1281</v>
      </c>
      <c r="BQ255" s="57" t="s">
        <v>1281</v>
      </c>
      <c r="BR255" s="57" t="s">
        <v>1281</v>
      </c>
      <c r="BS255" s="57" t="s">
        <v>1281</v>
      </c>
      <c r="BT255" s="57" t="s">
        <v>1281</v>
      </c>
      <c r="BU255" s="57" t="s">
        <v>1281</v>
      </c>
      <c r="BV255" s="70">
        <f t="shared" si="2209"/>
        <v>4</v>
      </c>
      <c r="BW255" s="71" t="str">
        <f t="shared" si="2210"/>
        <v>-</v>
      </c>
      <c r="BX255" s="72">
        <f t="shared" si="2211"/>
        <v>39</v>
      </c>
      <c r="BY255" s="71">
        <f t="shared" si="2212"/>
        <v>71</v>
      </c>
      <c r="BZ255" s="72">
        <f t="shared" si="2213"/>
        <v>75</v>
      </c>
      <c r="CA255" s="71">
        <f t="shared" si="2214"/>
        <v>111</v>
      </c>
      <c r="CB255" s="72">
        <f t="shared" si="2215"/>
        <v>119</v>
      </c>
      <c r="CC255" s="71">
        <f t="shared" si="2216"/>
        <v>170</v>
      </c>
      <c r="CD255" s="72">
        <f t="shared" si="2217"/>
        <v>175</v>
      </c>
      <c r="CE255" s="71">
        <f t="shared" si="2218"/>
        <v>217</v>
      </c>
      <c r="CF255" s="72">
        <f t="shared" si="2219"/>
        <v>255</v>
      </c>
      <c r="CG255" s="71">
        <f t="shared" si="2220"/>
        <v>280</v>
      </c>
      <c r="CH255" s="70">
        <f t="shared" si="2221"/>
        <v>37</v>
      </c>
      <c r="CI255" s="71" t="str">
        <f t="shared" si="2222"/>
        <v>-</v>
      </c>
      <c r="CJ255" s="72">
        <f t="shared" si="2223"/>
        <v>69</v>
      </c>
      <c r="CK255" s="72">
        <f t="shared" si="2224"/>
        <v>74</v>
      </c>
      <c r="CL255" s="72">
        <f t="shared" si="2225"/>
        <v>110</v>
      </c>
      <c r="CM255" s="72">
        <f t="shared" si="2226"/>
        <v>118</v>
      </c>
      <c r="CN255" s="72">
        <f t="shared" si="2227"/>
        <v>146</v>
      </c>
      <c r="CO255" s="72">
        <f t="shared" si="2228"/>
        <v>172</v>
      </c>
      <c r="CP255" s="72">
        <f t="shared" si="2229"/>
        <v>211</v>
      </c>
      <c r="CQ255" s="72">
        <f t="shared" si="2230"/>
        <v>250</v>
      </c>
      <c r="CR255" s="72">
        <f t="shared" si="2231"/>
        <v>279</v>
      </c>
      <c r="CS255" s="72">
        <f t="shared" si="2232"/>
        <v>294</v>
      </c>
      <c r="CT255" s="23" t="e">
        <f t="shared" si="2233"/>
        <v>#VALUE!</v>
      </c>
    </row>
    <row r="256" spans="1:1029" x14ac:dyDescent="0.2">
      <c r="A256" s="3" t="str">
        <f t="shared" si="1371"/>
        <v>ffar1_human_4PHU</v>
      </c>
      <c r="B256" s="3" t="s">
        <v>1166</v>
      </c>
      <c r="C256" s="3" t="s">
        <v>52</v>
      </c>
      <c r="D256" s="3" t="str">
        <f>IFERROR(MID(VLOOKUP($B256,Seqs!$A:$B,2,0),E256,1),"")</f>
        <v>P</v>
      </c>
      <c r="E256" s="3">
        <v>4</v>
      </c>
      <c r="F256" s="3" t="str">
        <f>IFERROR(MID(VLOOKUP($B256,Seqs!$A:$B,2,0),G256,1),"")</f>
        <v>R</v>
      </c>
      <c r="G256" s="3">
        <v>37</v>
      </c>
      <c r="H256" s="3" t="str">
        <f>IFERROR(MID(VLOOKUP($B256,Seqs!$A:$B,2,0),I256,1),"")</f>
        <v/>
      </c>
      <c r="I256" s="23" t="s">
        <v>23</v>
      </c>
      <c r="J256" s="3" t="str">
        <f>IFERROR(MID(VLOOKUP($B256,Seqs!$A:$B,2,0),K256,1),"")</f>
        <v/>
      </c>
      <c r="K256" s="23" t="s">
        <v>23</v>
      </c>
      <c r="L256" s="3" t="str">
        <f>IFERROR(MID(VLOOKUP($B256,Seqs!$A:$B,2,0),M256,1),"")</f>
        <v>T</v>
      </c>
      <c r="M256" s="3">
        <v>39</v>
      </c>
      <c r="N256" s="3" t="str">
        <f>IFERROR(MID(VLOOKUP($B256,Seqs!$A:$B,2,0),O256,1),"")</f>
        <v>S</v>
      </c>
      <c r="O256" s="3">
        <v>69</v>
      </c>
      <c r="P256" s="3" t="str">
        <f>IFERROR(MID(VLOOKUP($B256,Seqs!$A:$B,2,0),Q256,1),"")</f>
        <v>A</v>
      </c>
      <c r="Q256" s="3">
        <v>71</v>
      </c>
      <c r="R256" s="3" t="str">
        <f>IFERROR(MID(VLOOKUP($B256,Seqs!$A:$B,2,0),S256,1),"")</f>
        <v>L</v>
      </c>
      <c r="S256" s="3">
        <v>74</v>
      </c>
      <c r="T256" s="3" t="str">
        <f>IFERROR(MID(VLOOKUP($B256,Seqs!$A:$B,2,0),U256,1),"")</f>
        <v>P</v>
      </c>
      <c r="U256" s="3">
        <v>75</v>
      </c>
      <c r="V256" s="3" t="str">
        <f>IFERROR(MID(VLOOKUP($B256,Seqs!$A:$B,2,0),W256,1),"")</f>
        <v>F</v>
      </c>
      <c r="W256" s="3">
        <v>110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C</v>
      </c>
      <c r="AC256" s="3">
        <v>121</v>
      </c>
      <c r="AD256" s="3" t="str">
        <f>IFERROR(MID(VLOOKUP($B256,Seqs!$A:$B,2,0),AE256,1),"")</f>
        <v>A</v>
      </c>
      <c r="AE256" s="3">
        <v>146</v>
      </c>
      <c r="AF256" s="3" t="str">
        <f>IFERROR(MID(VLOOKUP($B256,Seqs!$A:$B,2,0),AG256,1),"")</f>
        <v>C</v>
      </c>
      <c r="AG256" s="3">
        <v>170</v>
      </c>
      <c r="AH256" s="3" t="str">
        <f>IFERROR(MID(VLOOKUP($B256,Seqs!$A:$B,2,0),AI256,1),"")</f>
        <v>E</v>
      </c>
      <c r="AI256" s="3">
        <v>172</v>
      </c>
      <c r="AJ256" s="3" t="str">
        <f>IFERROR(MID(VLOOKUP($B256,Seqs!$A:$B,2,0),AK256,1),"")</f>
        <v>D</v>
      </c>
      <c r="AK256" s="3">
        <v>175</v>
      </c>
      <c r="AL256" s="3" t="str">
        <f>IFERROR(MID(VLOOKUP($B256,Seqs!$A:$B,2,0),AM256,1),"")</f>
        <v>R</v>
      </c>
      <c r="AM256" s="3">
        <v>211</v>
      </c>
      <c r="AN256" s="3" t="str">
        <f>IFERROR(MID(VLOOKUP($B256,Seqs!$A:$B,2,0),AO256,1),"")</f>
        <v/>
      </c>
      <c r="AO256" s="3">
        <v>2214</v>
      </c>
      <c r="AP256" s="3" t="str">
        <f>IFERROR(MID(VLOOKUP($B256,Seqs!$A:$B,2,0),AQ256,1),"")</f>
        <v/>
      </c>
      <c r="AQ256" s="3">
        <v>2250</v>
      </c>
      <c r="AR256" s="3" t="str">
        <f>IFERROR(MID(VLOOKUP($B256,Seqs!$A:$B,2,0),AS256,1),"")</f>
        <v/>
      </c>
      <c r="AS256" s="3">
        <v>2255</v>
      </c>
      <c r="AT256" s="3" t="str">
        <f>IFERROR(MID(VLOOKUP($B256,Seqs!$A:$B,2,0),AU256,1),"")</f>
        <v/>
      </c>
      <c r="AU256" s="3">
        <v>2276</v>
      </c>
      <c r="AV256" s="3" t="str">
        <f>IFERROR(MID(VLOOKUP($B256,Seqs!$A:$B,2,0),AW256,1),"")</f>
        <v/>
      </c>
      <c r="AW256" s="3" t="s">
        <v>23</v>
      </c>
      <c r="AX256" s="3" t="str">
        <f>IFERROR(MID(VLOOKUP($B256,Seqs!$A:$B,2,0),AY256,1),"")</f>
        <v/>
      </c>
      <c r="AY256" s="3" t="s">
        <v>23</v>
      </c>
      <c r="AZ256" s="77" t="str">
        <f>VLOOKUP(B256,Classification!A:D,2,0)</f>
        <v>A</v>
      </c>
      <c r="BA256" s="94" t="str">
        <f>VLOOKUP(B256,Classification!A:D,4,0)</f>
        <v>Freefattyacid</v>
      </c>
      <c r="BB256" s="27" t="b">
        <f t="shared" si="1372"/>
        <v>1</v>
      </c>
      <c r="BC256" s="23">
        <f t="shared" si="2208"/>
        <v>233</v>
      </c>
      <c r="BD256" s="16" t="s">
        <v>23</v>
      </c>
      <c r="BE256" s="3" t="s">
        <v>1422</v>
      </c>
      <c r="BF256" s="118">
        <v>2.33</v>
      </c>
      <c r="BG256" s="49" t="s">
        <v>1371</v>
      </c>
      <c r="BH256" s="49" t="s">
        <v>1371</v>
      </c>
      <c r="BI256" s="1"/>
      <c r="BJ256" s="70" t="s">
        <v>1281</v>
      </c>
      <c r="BK256" s="57" t="s">
        <v>1281</v>
      </c>
      <c r="BL256" s="57" t="s">
        <v>1281</v>
      </c>
      <c r="BM256" s="57" t="s">
        <v>1281</v>
      </c>
      <c r="BN256" s="57" t="s">
        <v>1281</v>
      </c>
      <c r="BO256" s="57" t="s">
        <v>1281</v>
      </c>
      <c r="BP256" s="57" t="s">
        <v>1281</v>
      </c>
      <c r="BQ256" s="57" t="s">
        <v>1281</v>
      </c>
      <c r="BR256" s="57" t="s">
        <v>1281</v>
      </c>
      <c r="BS256" s="57" t="s">
        <v>1281</v>
      </c>
      <c r="BT256" s="57" t="s">
        <v>1281</v>
      </c>
      <c r="BU256" s="57" t="s">
        <v>1281</v>
      </c>
      <c r="BV256" s="70">
        <f t="shared" si="2209"/>
        <v>4</v>
      </c>
      <c r="BW256" s="71" t="str">
        <f t="shared" si="2210"/>
        <v>-</v>
      </c>
      <c r="BX256" s="72">
        <f t="shared" si="2211"/>
        <v>39</v>
      </c>
      <c r="BY256" s="71">
        <f t="shared" si="2212"/>
        <v>71</v>
      </c>
      <c r="BZ256" s="72">
        <f t="shared" si="2213"/>
        <v>75</v>
      </c>
      <c r="CA256" s="71" t="str">
        <f t="shared" si="2214"/>
        <v>-</v>
      </c>
      <c r="CB256" s="72">
        <f t="shared" si="2215"/>
        <v>121</v>
      </c>
      <c r="CC256" s="71">
        <f t="shared" si="2216"/>
        <v>170</v>
      </c>
      <c r="CD256" s="72">
        <f t="shared" si="2217"/>
        <v>175</v>
      </c>
      <c r="CE256" s="71">
        <f t="shared" si="2218"/>
        <v>2214</v>
      </c>
      <c r="CF256" s="72">
        <f t="shared" si="2219"/>
        <v>2255</v>
      </c>
      <c r="CG256" s="71" t="str">
        <f t="shared" si="2220"/>
        <v>-</v>
      </c>
      <c r="CH256" s="70">
        <f t="shared" si="2221"/>
        <v>37</v>
      </c>
      <c r="CI256" s="71" t="str">
        <f t="shared" si="2222"/>
        <v>-</v>
      </c>
      <c r="CJ256" s="72">
        <f t="shared" si="2223"/>
        <v>69</v>
      </c>
      <c r="CK256" s="72">
        <f t="shared" si="2224"/>
        <v>74</v>
      </c>
      <c r="CL256" s="72">
        <f t="shared" si="2225"/>
        <v>110</v>
      </c>
      <c r="CM256" s="72" t="str">
        <f t="shared" si="2226"/>
        <v>-</v>
      </c>
      <c r="CN256" s="72">
        <f t="shared" si="2227"/>
        <v>146</v>
      </c>
      <c r="CO256" s="72">
        <f t="shared" si="2228"/>
        <v>172</v>
      </c>
      <c r="CP256" s="72">
        <f t="shared" si="2229"/>
        <v>211</v>
      </c>
      <c r="CQ256" s="72">
        <f t="shared" si="2230"/>
        <v>2250</v>
      </c>
      <c r="CR256" s="72">
        <f t="shared" si="2231"/>
        <v>2276</v>
      </c>
      <c r="CS256" s="72" t="str">
        <f t="shared" si="2232"/>
        <v>-</v>
      </c>
      <c r="CT256" s="23" t="e">
        <f t="shared" si="2233"/>
        <v>#VALUE!</v>
      </c>
    </row>
    <row r="257" spans="1:1029" x14ac:dyDescent="0.2">
      <c r="A257" s="3" t="str">
        <f>CONCATENATE(B257,"_",C257)</f>
        <v>ffar1_human_5KW2</v>
      </c>
      <c r="B257" s="3" t="s">
        <v>1166</v>
      </c>
      <c r="C257" s="3" t="s">
        <v>1485</v>
      </c>
      <c r="D257" s="3" t="str">
        <f>IFERROR(MID(VLOOKUP($B257,Seqs!$A:$B,2,0),E257,1),"")</f>
        <v>P</v>
      </c>
      <c r="E257" s="3">
        <v>4</v>
      </c>
      <c r="F257" s="3" t="str">
        <f>IFERROR(MID(VLOOKUP($B257,Seqs!$A:$B,2,0),G257,1),"")</f>
        <v>A</v>
      </c>
      <c r="G257" s="3">
        <v>32</v>
      </c>
      <c r="H257" s="3" t="str">
        <f>IFERROR(MID(VLOOKUP($B257,Seqs!$A:$B,2,0),I257,1),"")</f>
        <v/>
      </c>
      <c r="I257" s="23" t="s">
        <v>23</v>
      </c>
      <c r="J257" s="3" t="str">
        <f>IFERROR(MID(VLOOKUP($B257,Seqs!$A:$B,2,0),K257,1),"")</f>
        <v/>
      </c>
      <c r="K257" s="23" t="s">
        <v>23</v>
      </c>
      <c r="L257" s="3" t="str">
        <f>IFERROR(MID(VLOOKUP($B257,Seqs!$A:$B,2,0),M257,1),"")</f>
        <v>T</v>
      </c>
      <c r="M257" s="3">
        <v>39</v>
      </c>
      <c r="N257" s="3" t="str">
        <f>IFERROR(MID(VLOOKUP($B257,Seqs!$A:$B,2,0),O257,1),"")</f>
        <v>S</v>
      </c>
      <c r="O257" s="3">
        <v>69</v>
      </c>
      <c r="P257" s="3" t="str">
        <f>IFERROR(MID(VLOOKUP($B257,Seqs!$A:$B,2,0),Q257,1),"")</f>
        <v>A</v>
      </c>
      <c r="Q257" s="3">
        <v>71</v>
      </c>
      <c r="R257" s="3" t="str">
        <f>IFERROR(MID(VLOOKUP($B257,Seqs!$A:$B,2,0),S257,1),"")</f>
        <v>L</v>
      </c>
      <c r="S257" s="3">
        <v>74</v>
      </c>
      <c r="T257" s="3" t="str">
        <f>IFERROR(MID(VLOOKUP($B257,Seqs!$A:$B,2,0),U257,1),"")</f>
        <v>P</v>
      </c>
      <c r="U257" s="3">
        <v>75</v>
      </c>
      <c r="V257" s="3" t="str">
        <f>IFERROR(MID(VLOOKUP($B257,Seqs!$A:$B,2,0),W257,1),"")</f>
        <v>F</v>
      </c>
      <c r="W257" s="3">
        <v>110</v>
      </c>
      <c r="X257" s="3" t="str">
        <f>IFERROR(MID(VLOOKUP($B257,Seqs!$A:$B,2,0),Y257,1),"")</f>
        <v>P</v>
      </c>
      <c r="Y257" s="3">
        <v>111</v>
      </c>
      <c r="Z257" s="3" t="str">
        <f>IFERROR(MID(VLOOKUP($B257,Seqs!$A:$B,2,0),AA257,1),"")</f>
        <v>R</v>
      </c>
      <c r="AA257" s="3">
        <v>118</v>
      </c>
      <c r="AB257" s="3" t="str">
        <f>IFERROR(MID(VLOOKUP($B257,Seqs!$A:$B,2,0),AC257,1),"")</f>
        <v>R</v>
      </c>
      <c r="AC257" s="3">
        <v>119</v>
      </c>
      <c r="AD257" s="3" t="str">
        <f>IFERROR(MID(VLOOKUP($B257,Seqs!$A:$B,2,0),AE257,1),"")</f>
        <v>E</v>
      </c>
      <c r="AE257" s="3">
        <v>145</v>
      </c>
      <c r="AF257" s="3" t="str">
        <f>IFERROR(MID(VLOOKUP($B257,Seqs!$A:$B,2,0),AG257,1),"")</f>
        <v>C</v>
      </c>
      <c r="AG257" s="3">
        <v>170</v>
      </c>
      <c r="AH257" s="3" t="str">
        <f>IFERROR(MID(VLOOKUP($B257,Seqs!$A:$B,2,0),AI257,1),"")</f>
        <v>E</v>
      </c>
      <c r="AI257" s="3">
        <v>172</v>
      </c>
      <c r="AJ257" s="3" t="str">
        <f>IFERROR(MID(VLOOKUP($B257,Seqs!$A:$B,2,0),AK257,1),"")</f>
        <v>G</v>
      </c>
      <c r="AK257" s="3">
        <v>180</v>
      </c>
      <c r="AL257" s="3" t="str">
        <f>IFERROR(MID(VLOOKUP($B257,Seqs!$A:$B,2,0),AM257,1),"")</f>
        <v>R</v>
      </c>
      <c r="AM257" s="3">
        <v>211</v>
      </c>
      <c r="AN257" s="3" t="str">
        <f>IFERROR(MID(VLOOKUP($B257,Seqs!$A:$B,2,0),AO257,1),"")</f>
        <v/>
      </c>
      <c r="AO257" s="3">
        <v>2215</v>
      </c>
      <c r="AP257" s="3" t="str">
        <f>IFERROR(MID(VLOOKUP($B257,Seqs!$A:$B,2,0),AQ257,1),"")</f>
        <v/>
      </c>
      <c r="AQ257" s="3">
        <v>2249</v>
      </c>
      <c r="AR257" s="3" t="str">
        <f>IFERROR(MID(VLOOKUP($B257,Seqs!$A:$B,2,0),AS257,1),"")</f>
        <v/>
      </c>
      <c r="AS257" s="3">
        <v>2254</v>
      </c>
      <c r="AT257" s="3" t="str">
        <f>IFERROR(MID(VLOOKUP($B257,Seqs!$A:$B,2,0),AU257,1),"")</f>
        <v/>
      </c>
      <c r="AU257" s="3">
        <v>2275</v>
      </c>
      <c r="AV257" s="3" t="str">
        <f>IFERROR(MID(VLOOKUP($B257,Seqs!$A:$B,2,0),AW257,1),"")</f>
        <v/>
      </c>
      <c r="AW257" s="3" t="s">
        <v>23</v>
      </c>
      <c r="AX257" s="3" t="str">
        <f>IFERROR(MID(VLOOKUP($B257,Seqs!$A:$B,2,0),AY257,1),"")</f>
        <v/>
      </c>
      <c r="AY257" s="3" t="s">
        <v>23</v>
      </c>
      <c r="AZ257" s="77" t="str">
        <f>VLOOKUP(B257,Classification!A:D,2,0)</f>
        <v>A</v>
      </c>
      <c r="BA257" s="94" t="str">
        <f>VLOOKUP(B257,Classification!A:D,4,0)</f>
        <v>Freefattyacid</v>
      </c>
      <c r="BB257" s="27" t="b">
        <f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>_xlfn.AGGREGATE(9,6,CH257:CS257)-_xlfn.AGGREGATE(9,6,BV257:CG257)+12</f>
        <v>229</v>
      </c>
      <c r="BD257" s="16" t="s">
        <v>23</v>
      </c>
      <c r="BE257" s="3" t="s">
        <v>1422</v>
      </c>
      <c r="BF257" s="118">
        <v>2.76</v>
      </c>
      <c r="BG257" s="49" t="s">
        <v>1</v>
      </c>
      <c r="BH257" s="49" t="s">
        <v>1</v>
      </c>
      <c r="BI257" s="1"/>
      <c r="BJ257" s="70" t="s">
        <v>1281</v>
      </c>
      <c r="BK257" s="57" t="s">
        <v>1281</v>
      </c>
      <c r="BL257" s="57" t="s">
        <v>1281</v>
      </c>
      <c r="BM257" s="57" t="s">
        <v>1281</v>
      </c>
      <c r="BN257" s="57" t="s">
        <v>1281</v>
      </c>
      <c r="BO257" s="57" t="s">
        <v>1281</v>
      </c>
      <c r="BP257" s="57" t="s">
        <v>1281</v>
      </c>
      <c r="BQ257" s="57" t="s">
        <v>1281</v>
      </c>
      <c r="BR257" s="57" t="s">
        <v>1281</v>
      </c>
      <c r="BS257" s="57" t="s">
        <v>1281</v>
      </c>
      <c r="BT257" s="57" t="s">
        <v>1281</v>
      </c>
      <c r="BU257" s="57" t="s">
        <v>1281</v>
      </c>
      <c r="BV257" s="70">
        <f>E257</f>
        <v>4</v>
      </c>
      <c r="BW257" s="71" t="str">
        <f>I257</f>
        <v>-</v>
      </c>
      <c r="BX257" s="72">
        <f>M257</f>
        <v>39</v>
      </c>
      <c r="BY257" s="71">
        <f>Q257</f>
        <v>71</v>
      </c>
      <c r="BZ257" s="72">
        <f>U257</f>
        <v>75</v>
      </c>
      <c r="CA257" s="71">
        <f>Y257</f>
        <v>111</v>
      </c>
      <c r="CB257" s="72">
        <f>AC257</f>
        <v>119</v>
      </c>
      <c r="CC257" s="71">
        <f>AG257</f>
        <v>170</v>
      </c>
      <c r="CD257" s="72">
        <f>AK257</f>
        <v>180</v>
      </c>
      <c r="CE257" s="71">
        <f>AO257</f>
        <v>2215</v>
      </c>
      <c r="CF257" s="72">
        <f>AS257</f>
        <v>2254</v>
      </c>
      <c r="CG257" s="71" t="str">
        <f>AW257</f>
        <v>-</v>
      </c>
      <c r="CH257" s="70">
        <f>G257</f>
        <v>32</v>
      </c>
      <c r="CI257" s="71" t="str">
        <f>K257</f>
        <v>-</v>
      </c>
      <c r="CJ257" s="72">
        <f>O257</f>
        <v>69</v>
      </c>
      <c r="CK257" s="72">
        <f>S257</f>
        <v>74</v>
      </c>
      <c r="CL257" s="72">
        <f>W257</f>
        <v>110</v>
      </c>
      <c r="CM257" s="72">
        <f>AA257</f>
        <v>118</v>
      </c>
      <c r="CN257" s="72">
        <f>AE257</f>
        <v>145</v>
      </c>
      <c r="CO257" s="72">
        <f>AI257</f>
        <v>172</v>
      </c>
      <c r="CP257" s="72">
        <f>AM257</f>
        <v>211</v>
      </c>
      <c r="CQ257" s="72">
        <f>AQ257</f>
        <v>2249</v>
      </c>
      <c r="CR257" s="72">
        <f>AU257</f>
        <v>2275</v>
      </c>
      <c r="CS257" s="72" t="str">
        <f>AY257</f>
        <v>-</v>
      </c>
      <c r="CT257" s="23" t="e">
        <f>M257-K257</f>
        <v>#VALUE!</v>
      </c>
    </row>
    <row r="258" spans="1:1029" x14ac:dyDescent="0.2">
      <c r="A258" s="3" t="str">
        <f>CONCATENATE(B258,"_",C258)</f>
        <v>ffar1_human_5TZR</v>
      </c>
      <c r="B258" s="3" t="s">
        <v>1166</v>
      </c>
      <c r="C258" s="3" t="s">
        <v>1410</v>
      </c>
      <c r="D258" s="3" t="str">
        <f>IFERROR(MID(VLOOKUP($B258,Seqs!$A:$B,2,0),E258,1),"")</f>
        <v>P</v>
      </c>
      <c r="E258" s="3">
        <v>4</v>
      </c>
      <c r="F258" s="3" t="str">
        <f>IFERROR(MID(VLOOKUP($B258,Seqs!$A:$B,2,0),G258,1),"")</f>
        <v>R</v>
      </c>
      <c r="G258" s="3">
        <v>37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T</v>
      </c>
      <c r="M258" s="3">
        <v>39</v>
      </c>
      <c r="N258" s="3" t="str">
        <f>IFERROR(MID(VLOOKUP($B258,Seqs!$A:$B,2,0),O258,1),"")</f>
        <v>S</v>
      </c>
      <c r="O258" s="3">
        <v>69</v>
      </c>
      <c r="P258" s="3" t="str">
        <f>IFERROR(MID(VLOOKUP($B258,Seqs!$A:$B,2,0),Q258,1),"")</f>
        <v>A</v>
      </c>
      <c r="Q258" s="3">
        <v>71</v>
      </c>
      <c r="R258" s="3" t="str">
        <f>IFERROR(MID(VLOOKUP($B258,Seqs!$A:$B,2,0),S258,1),"")</f>
        <v>L</v>
      </c>
      <c r="S258" s="3">
        <v>74</v>
      </c>
      <c r="T258" s="3" t="str">
        <f>IFERROR(MID(VLOOKUP($B258,Seqs!$A:$B,2,0),U258,1),"")</f>
        <v>P</v>
      </c>
      <c r="U258" s="3">
        <v>75</v>
      </c>
      <c r="V258" s="3" t="str">
        <f>IFERROR(MID(VLOOKUP($B258,Seqs!$A:$B,2,0),W258,1),"")</f>
        <v>F</v>
      </c>
      <c r="W258" s="3">
        <v>110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C</v>
      </c>
      <c r="AC258" s="3">
        <v>121</v>
      </c>
      <c r="AD258" s="3" t="str">
        <f>IFERROR(MID(VLOOKUP($B258,Seqs!$A:$B,2,0),AE258,1),"")</f>
        <v>A</v>
      </c>
      <c r="AE258" s="3">
        <v>146</v>
      </c>
      <c r="AF258" s="3" t="str">
        <f>IFERROR(MID(VLOOKUP($B258,Seqs!$A:$B,2,0),AG258,1),"")</f>
        <v>C</v>
      </c>
      <c r="AG258" s="3">
        <v>170</v>
      </c>
      <c r="AH258" s="3" t="str">
        <f>IFERROR(MID(VLOOKUP($B258,Seqs!$A:$B,2,0),AI258,1),"")</f>
        <v>E</v>
      </c>
      <c r="AI258" s="3">
        <v>172</v>
      </c>
      <c r="AJ258" s="3" t="str">
        <f>IFERROR(MID(VLOOKUP($B258,Seqs!$A:$B,2,0),AK258,1),"")</f>
        <v>D</v>
      </c>
      <c r="AK258" s="3">
        <v>175</v>
      </c>
      <c r="AL258" s="3" t="str">
        <f>IFERROR(MID(VLOOKUP($B258,Seqs!$A:$B,2,0),AM258,1),"")</f>
        <v>R</v>
      </c>
      <c r="AM258" s="3">
        <v>211</v>
      </c>
      <c r="AN258" s="3" t="str">
        <f>IFERROR(MID(VLOOKUP($B258,Seqs!$A:$B,2,0),AO258,1),"")</f>
        <v/>
      </c>
      <c r="AO258" s="3">
        <v>2214</v>
      </c>
      <c r="AP258" s="3" t="str">
        <f>IFERROR(MID(VLOOKUP($B258,Seqs!$A:$B,2,0),AQ258,1),"")</f>
        <v/>
      </c>
      <c r="AQ258" s="3">
        <v>2250</v>
      </c>
      <c r="AR258" s="3" t="str">
        <f>IFERROR(MID(VLOOKUP($B258,Seqs!$A:$B,2,0),AS258,1),"")</f>
        <v/>
      </c>
      <c r="AS258" s="3">
        <v>2255</v>
      </c>
      <c r="AT258" s="3" t="str">
        <f>IFERROR(MID(VLOOKUP($B258,Seqs!$A:$B,2,0),AU258,1),"")</f>
        <v/>
      </c>
      <c r="AU258" s="3">
        <v>2276</v>
      </c>
      <c r="AV258" s="3" t="str">
        <f>IFERROR(MID(VLOOKUP($B258,Seqs!$A:$B,2,0),AW258,1),"")</f>
        <v/>
      </c>
      <c r="AW258" s="3" t="s">
        <v>23</v>
      </c>
      <c r="AX258" s="3" t="str">
        <f>IFERROR(MID(VLOOKUP($B258,Seqs!$A:$B,2,0),AY258,1),"")</f>
        <v/>
      </c>
      <c r="AY258" s="3" t="s">
        <v>23</v>
      </c>
      <c r="AZ258" s="77" t="str">
        <f>VLOOKUP(B258,Classification!A:D,2,0)</f>
        <v>A</v>
      </c>
      <c r="BA258" s="94" t="str">
        <f>VLOOKUP(B258,Classification!A:D,4,0)</f>
        <v>Freefattyacid</v>
      </c>
      <c r="BB258" s="27" t="b">
        <f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>_xlfn.AGGREGATE(9,6,CH258:CS258)-_xlfn.AGGREGATE(9,6,BV258:CG258)+12</f>
        <v>233</v>
      </c>
      <c r="BD258" s="16" t="s">
        <v>23</v>
      </c>
      <c r="BE258" s="3" t="s">
        <v>1422</v>
      </c>
      <c r="BF258" s="118">
        <v>2.2000000000000002</v>
      </c>
      <c r="BG258" s="49" t="s">
        <v>1</v>
      </c>
      <c r="BH258" s="49" t="s">
        <v>1</v>
      </c>
      <c r="BI258" s="1"/>
      <c r="BJ258" s="70" t="s">
        <v>1281</v>
      </c>
      <c r="BK258" s="57" t="s">
        <v>1281</v>
      </c>
      <c r="BL258" s="57" t="s">
        <v>1281</v>
      </c>
      <c r="BM258" s="57" t="s">
        <v>1281</v>
      </c>
      <c r="BN258" s="57" t="s">
        <v>1281</v>
      </c>
      <c r="BO258" s="57" t="s">
        <v>1281</v>
      </c>
      <c r="BP258" s="57" t="s">
        <v>1281</v>
      </c>
      <c r="BQ258" s="57" t="s">
        <v>1281</v>
      </c>
      <c r="BR258" s="57" t="s">
        <v>1281</v>
      </c>
      <c r="BS258" s="57" t="s">
        <v>1281</v>
      </c>
      <c r="BT258" s="57" t="s">
        <v>1281</v>
      </c>
      <c r="BU258" s="57" t="s">
        <v>1281</v>
      </c>
      <c r="BV258" s="70">
        <f>E258</f>
        <v>4</v>
      </c>
      <c r="BW258" s="71" t="str">
        <f>I258</f>
        <v>-</v>
      </c>
      <c r="BX258" s="72">
        <f>M258</f>
        <v>39</v>
      </c>
      <c r="BY258" s="71">
        <f>Q258</f>
        <v>71</v>
      </c>
      <c r="BZ258" s="72">
        <f>U258</f>
        <v>75</v>
      </c>
      <c r="CA258" s="71" t="str">
        <f>Y258</f>
        <v>-</v>
      </c>
      <c r="CB258" s="72">
        <f>AC258</f>
        <v>121</v>
      </c>
      <c r="CC258" s="71">
        <f>AG258</f>
        <v>170</v>
      </c>
      <c r="CD258" s="72">
        <f>AK258</f>
        <v>175</v>
      </c>
      <c r="CE258" s="71">
        <f>AO258</f>
        <v>2214</v>
      </c>
      <c r="CF258" s="72">
        <f>AS258</f>
        <v>2255</v>
      </c>
      <c r="CG258" s="71" t="str">
        <f>AW258</f>
        <v>-</v>
      </c>
      <c r="CH258" s="70">
        <f>G258</f>
        <v>37</v>
      </c>
      <c r="CI258" s="71" t="str">
        <f>K258</f>
        <v>-</v>
      </c>
      <c r="CJ258" s="72">
        <f>O258</f>
        <v>69</v>
      </c>
      <c r="CK258" s="72">
        <f>S258</f>
        <v>74</v>
      </c>
      <c r="CL258" s="72">
        <f>W258</f>
        <v>110</v>
      </c>
      <c r="CM258" s="72" t="str">
        <f>AA258</f>
        <v>-</v>
      </c>
      <c r="CN258" s="72">
        <f>AE258</f>
        <v>146</v>
      </c>
      <c r="CO258" s="72">
        <f>AI258</f>
        <v>172</v>
      </c>
      <c r="CP258" s="72">
        <f>AM258</f>
        <v>211</v>
      </c>
      <c r="CQ258" s="72">
        <f>AQ258</f>
        <v>2250</v>
      </c>
      <c r="CR258" s="72">
        <f>AU258</f>
        <v>2276</v>
      </c>
      <c r="CS258" s="72" t="str">
        <f>AY258</f>
        <v>-</v>
      </c>
      <c r="CT258" s="23" t="e">
        <f>M258-K258</f>
        <v>#VALUE!</v>
      </c>
    </row>
    <row r="259" spans="1:1029" x14ac:dyDescent="0.2">
      <c r="A259" s="3" t="str">
        <f>CONCATENATE(B259,"_",C259)</f>
        <v>ffar1_human_5TZY</v>
      </c>
      <c r="B259" s="3" t="s">
        <v>1166</v>
      </c>
      <c r="C259" s="3" t="s">
        <v>1411</v>
      </c>
      <c r="D259" s="3" t="str">
        <f>IFERROR(MID(VLOOKUP($B259,Seqs!$A:$B,2,0),E259,1),"")</f>
        <v>P</v>
      </c>
      <c r="E259" s="3">
        <v>4</v>
      </c>
      <c r="F259" s="3" t="str">
        <f>IFERROR(MID(VLOOKUP($B259,Seqs!$A:$B,2,0),G259,1),"")</f>
        <v>R</v>
      </c>
      <c r="G259" s="3">
        <v>37</v>
      </c>
      <c r="H259" s="3" t="str">
        <f>IFERROR(MID(VLOOKUP($B259,Seqs!$A:$B,2,0),I259,1),"")</f>
        <v/>
      </c>
      <c r="I259" s="23" t="s">
        <v>23</v>
      </c>
      <c r="J259" s="3" t="str">
        <f>IFERROR(MID(VLOOKUP($B259,Seqs!$A:$B,2,0),K259,1),"")</f>
        <v/>
      </c>
      <c r="K259" s="23" t="s">
        <v>23</v>
      </c>
      <c r="L259" s="3" t="str">
        <f>IFERROR(MID(VLOOKUP($B259,Seqs!$A:$B,2,0),M259,1),"")</f>
        <v>T</v>
      </c>
      <c r="M259" s="3">
        <v>39</v>
      </c>
      <c r="N259" s="3" t="str">
        <f>IFERROR(MID(VLOOKUP($B259,Seqs!$A:$B,2,0),O259,1),"")</f>
        <v>A</v>
      </c>
      <c r="O259" s="3">
        <v>68</v>
      </c>
      <c r="P259" s="3" t="str">
        <f>IFERROR(MID(VLOOKUP($B259,Seqs!$A:$B,2,0),Q259,1),"")</f>
        <v>A</v>
      </c>
      <c r="Q259" s="3">
        <v>71</v>
      </c>
      <c r="R259" s="3" t="str">
        <f>IFERROR(MID(VLOOKUP($B259,Seqs!$A:$B,2,0),S259,1),"")</f>
        <v>L</v>
      </c>
      <c r="S259" s="3">
        <v>74</v>
      </c>
      <c r="T259" s="3" t="str">
        <f>IFERROR(MID(VLOOKUP($B259,Seqs!$A:$B,2,0),U259,1),"")</f>
        <v>P</v>
      </c>
      <c r="U259" s="3">
        <v>75</v>
      </c>
      <c r="V259" s="3" t="str">
        <f>IFERROR(MID(VLOOKUP($B259,Seqs!$A:$B,2,0),W259,1),"")</f>
        <v>F</v>
      </c>
      <c r="W259" s="3">
        <v>110</v>
      </c>
      <c r="X259" s="3" t="str">
        <f>IFERROR(MID(VLOOKUP($B259,Seqs!$A:$B,2,0),Y259,1),"")</f>
        <v>P</v>
      </c>
      <c r="Y259" s="3">
        <v>111</v>
      </c>
      <c r="Z259" s="3" t="str">
        <f>IFERROR(MID(VLOOKUP($B259,Seqs!$A:$B,2,0),AA259,1),"")</f>
        <v>R</v>
      </c>
      <c r="AA259" s="3">
        <v>118</v>
      </c>
      <c r="AB259" s="3" t="str">
        <f>IFERROR(MID(VLOOKUP($B259,Seqs!$A:$B,2,0),AC259,1),"")</f>
        <v>R</v>
      </c>
      <c r="AC259" s="3">
        <v>119</v>
      </c>
      <c r="AD259" s="3" t="str">
        <f>IFERROR(MID(VLOOKUP($B259,Seqs!$A:$B,2,0),AE259,1),"")</f>
        <v>A</v>
      </c>
      <c r="AE259" s="3">
        <v>146</v>
      </c>
      <c r="AF259" s="3" t="str">
        <f>IFERROR(MID(VLOOKUP($B259,Seqs!$A:$B,2,0),AG259,1),"")</f>
        <v>C</v>
      </c>
      <c r="AG259" s="3">
        <v>170</v>
      </c>
      <c r="AH259" s="3" t="str">
        <f>IFERROR(MID(VLOOKUP($B259,Seqs!$A:$B,2,0),AI259,1),"")</f>
        <v>E</v>
      </c>
      <c r="AI259" s="3">
        <v>172</v>
      </c>
      <c r="AJ259" s="3" t="str">
        <f>IFERROR(MID(VLOOKUP($B259,Seqs!$A:$B,2,0),AK259,1),"")</f>
        <v>D</v>
      </c>
      <c r="AK259" s="3">
        <v>175</v>
      </c>
      <c r="AL259" s="3" t="str">
        <f>IFERROR(MID(VLOOKUP($B259,Seqs!$A:$B,2,0),AM259,1),"")</f>
        <v>R</v>
      </c>
      <c r="AM259" s="3">
        <v>211</v>
      </c>
      <c r="AN259" s="3" t="str">
        <f>IFERROR(MID(VLOOKUP($B259,Seqs!$A:$B,2,0),AO259,1),"")</f>
        <v/>
      </c>
      <c r="AO259" s="3">
        <v>2215</v>
      </c>
      <c r="AP259" s="3" t="str">
        <f>IFERROR(MID(VLOOKUP($B259,Seqs!$A:$B,2,0),AQ259,1),"")</f>
        <v/>
      </c>
      <c r="AQ259" s="3">
        <v>2250</v>
      </c>
      <c r="AR259" s="3" t="str">
        <f>IFERROR(MID(VLOOKUP($B259,Seqs!$A:$B,2,0),AS259,1),"")</f>
        <v/>
      </c>
      <c r="AS259" s="3">
        <v>2254</v>
      </c>
      <c r="AT259" s="3" t="str">
        <f>IFERROR(MID(VLOOKUP($B259,Seqs!$A:$B,2,0),AU259,1),"")</f>
        <v/>
      </c>
      <c r="AU259" s="3">
        <v>2277</v>
      </c>
      <c r="AV259" s="3" t="str">
        <f>IFERROR(MID(VLOOKUP($B259,Seqs!$A:$B,2,0),AW259,1),"")</f>
        <v/>
      </c>
      <c r="AW259" s="3" t="s">
        <v>23</v>
      </c>
      <c r="AX259" s="3" t="str">
        <f>IFERROR(MID(VLOOKUP($B259,Seqs!$A:$B,2,0),AY259,1),"")</f>
        <v/>
      </c>
      <c r="AY259" s="3" t="s">
        <v>23</v>
      </c>
      <c r="AZ259" s="77" t="str">
        <f>VLOOKUP(B259,Classification!A:D,2,0)</f>
        <v>A</v>
      </c>
      <c r="BA259" s="94" t="str">
        <f>VLOOKUP(B259,Classification!A:D,4,0)</f>
        <v>Freefattyacid</v>
      </c>
      <c r="BB259" s="27" t="b">
        <f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>_xlfn.AGGREGATE(9,6,CH259:CS259)-_xlfn.AGGREGATE(9,6,BV259:CG259)+12</f>
        <v>242</v>
      </c>
      <c r="BD259" s="16" t="s">
        <v>1423</v>
      </c>
      <c r="BE259" s="3" t="s">
        <v>1422</v>
      </c>
      <c r="BF259" s="118">
        <v>3.22</v>
      </c>
      <c r="BG259" s="49" t="s">
        <v>1</v>
      </c>
      <c r="BH259" s="49" t="s">
        <v>1</v>
      </c>
      <c r="BI259" s="1"/>
      <c r="BJ259" s="70" t="s">
        <v>1281</v>
      </c>
      <c r="BK259" s="57" t="s">
        <v>1281</v>
      </c>
      <c r="BL259" s="57" t="s">
        <v>1281</v>
      </c>
      <c r="BM259" s="57" t="s">
        <v>1281</v>
      </c>
      <c r="BN259" s="57" t="s">
        <v>1281</v>
      </c>
      <c r="BO259" s="57" t="s">
        <v>1281</v>
      </c>
      <c r="BP259" s="57" t="s">
        <v>1281</v>
      </c>
      <c r="BQ259" s="57" t="s">
        <v>1281</v>
      </c>
      <c r="BR259" s="57" t="s">
        <v>1281</v>
      </c>
      <c r="BS259" s="57" t="s">
        <v>1281</v>
      </c>
      <c r="BT259" s="57" t="s">
        <v>1281</v>
      </c>
      <c r="BU259" s="57" t="s">
        <v>1281</v>
      </c>
      <c r="BV259" s="70">
        <f>E259</f>
        <v>4</v>
      </c>
      <c r="BW259" s="71" t="str">
        <f>I259</f>
        <v>-</v>
      </c>
      <c r="BX259" s="72">
        <f>M259</f>
        <v>39</v>
      </c>
      <c r="BY259" s="71">
        <f>Q259</f>
        <v>71</v>
      </c>
      <c r="BZ259" s="72">
        <f>U259</f>
        <v>75</v>
      </c>
      <c r="CA259" s="71">
        <f>Y259</f>
        <v>111</v>
      </c>
      <c r="CB259" s="72">
        <f>AC259</f>
        <v>119</v>
      </c>
      <c r="CC259" s="71">
        <f>AG259</f>
        <v>170</v>
      </c>
      <c r="CD259" s="72">
        <f>AK259</f>
        <v>175</v>
      </c>
      <c r="CE259" s="71">
        <f>AO259</f>
        <v>2215</v>
      </c>
      <c r="CF259" s="72">
        <f>AS259</f>
        <v>2254</v>
      </c>
      <c r="CG259" s="71" t="str">
        <f>AW259</f>
        <v>-</v>
      </c>
      <c r="CH259" s="70">
        <f>G259</f>
        <v>37</v>
      </c>
      <c r="CI259" s="71" t="str">
        <f>K259</f>
        <v>-</v>
      </c>
      <c r="CJ259" s="72">
        <f>O259</f>
        <v>68</v>
      </c>
      <c r="CK259" s="72">
        <f>S259</f>
        <v>74</v>
      </c>
      <c r="CL259" s="72">
        <f>W259</f>
        <v>110</v>
      </c>
      <c r="CM259" s="72">
        <f>AA259</f>
        <v>118</v>
      </c>
      <c r="CN259" s="72">
        <f>AE259</f>
        <v>146</v>
      </c>
      <c r="CO259" s="72">
        <f>AI259</f>
        <v>172</v>
      </c>
      <c r="CP259" s="72">
        <f>AM259</f>
        <v>211</v>
      </c>
      <c r="CQ259" s="72">
        <f>AQ259</f>
        <v>2250</v>
      </c>
      <c r="CR259" s="72">
        <f>AU259</f>
        <v>2277</v>
      </c>
      <c r="CS259" s="72" t="str">
        <f>AY259</f>
        <v>-</v>
      </c>
      <c r="CT259" s="23" t="e">
        <f>M259-K259</f>
        <v>#VALUE!</v>
      </c>
    </row>
    <row r="260" spans="1:1029" x14ac:dyDescent="0.2">
      <c r="A260" s="3" t="str">
        <f t="shared" ref="A260:A261" si="2262">CONCATENATE(B260,"_",C260)</f>
        <v>fpr2_human__wt</v>
      </c>
      <c r="B260" s="3" t="s">
        <v>201</v>
      </c>
      <c r="C260" s="3" t="s">
        <v>100</v>
      </c>
      <c r="D260" s="3" t="str">
        <f>IFERROR(MID(VLOOKUP($B260,Seqs!$A:$B,2,0),E260,1),"")</f>
        <v>S</v>
      </c>
      <c r="E260" s="3">
        <v>19</v>
      </c>
      <c r="F260" s="3" t="str">
        <f>IFERROR(MID(VLOOKUP($B260,Seqs!$A:$B,2,0),G260,1),"")</f>
        <v>M</v>
      </c>
      <c r="G260" s="3">
        <v>55</v>
      </c>
      <c r="H260" s="3" t="str">
        <f>IFERROR(MID(VLOOKUP($B260,Seqs!$A:$B,2,0),I260,1),"")</f>
        <v/>
      </c>
      <c r="I260" s="23" t="s">
        <v>23</v>
      </c>
      <c r="J260" s="3" t="str">
        <f>IFERROR(MID(VLOOKUP($B260,Seqs!$A:$B,2,0),K260,1),"")</f>
        <v/>
      </c>
      <c r="K260" s="23" t="s">
        <v>23</v>
      </c>
      <c r="L260" s="3" t="str">
        <f>IFERROR(MID(VLOOKUP($B260,Seqs!$A:$B,2,0),M260,1),"")</f>
        <v>T</v>
      </c>
      <c r="M260" s="3">
        <v>58</v>
      </c>
      <c r="N260" s="3" t="str">
        <f>IFERROR(MID(VLOOKUP($B260,Seqs!$A:$B,2,0),O260,1),"")</f>
        <v>G</v>
      </c>
      <c r="O260" s="3">
        <v>88</v>
      </c>
      <c r="P260" s="3" t="str">
        <f>IFERROR(MID(VLOOKUP($B260,Seqs!$A:$B,2,0),Q260,1),"")</f>
        <v>K</v>
      </c>
      <c r="Q260" s="3">
        <v>90</v>
      </c>
      <c r="R260" s="3" t="str">
        <f>IFERROR(MID(VLOOKUP($B260,Seqs!$A:$B,2,0),S260,1),"")</f>
        <v>F</v>
      </c>
      <c r="S260" s="3">
        <v>93</v>
      </c>
      <c r="T260" s="3" t="str">
        <f>IFERROR(MID(VLOOKUP($B260,Seqs!$A:$B,2,0),U260,1),"")</f>
        <v>G</v>
      </c>
      <c r="U260" s="3">
        <v>94</v>
      </c>
      <c r="V260" s="3" t="str">
        <f>IFERROR(MID(VLOOKUP($B260,Seqs!$A:$B,2,0),W260,1),"")</f>
        <v>H</v>
      </c>
      <c r="W260" s="3">
        <v>129</v>
      </c>
      <c r="X260" s="3" t="str">
        <f>IFERROR(MID(VLOOKUP($B260,Seqs!$A:$B,2,0),Y260,1),"")</f>
        <v>P</v>
      </c>
      <c r="Y260" s="3">
        <v>130</v>
      </c>
      <c r="Z260" s="3" t="str">
        <f>IFERROR(MID(VLOOKUP($B260,Seqs!$A:$B,2,0),AA260,1),"")</f>
        <v>R</v>
      </c>
      <c r="AA260" s="3">
        <v>137</v>
      </c>
      <c r="AB260" s="3" t="str">
        <f>IFERROR(MID(VLOOKUP($B260,Seqs!$A:$B,2,0),AC260,1),"")</f>
        <v>T</v>
      </c>
      <c r="AC260" s="3">
        <v>138</v>
      </c>
      <c r="AD260" s="3" t="str">
        <f>IFERROR(MID(VLOOKUP($B260,Seqs!$A:$B,2,0),AE260,1),"")</f>
        <v>L</v>
      </c>
      <c r="AE260" s="3">
        <v>164</v>
      </c>
      <c r="AF260" s="3" t="str">
        <f>IFERROR(MID(VLOOKUP($B260,Seqs!$A:$B,2,0),AG260,1),"")</f>
        <v>C</v>
      </c>
      <c r="AG260" s="3">
        <v>176</v>
      </c>
      <c r="AH260" s="3" t="str">
        <f>IFERROR(MID(VLOOKUP($B260,Seqs!$A:$B,2,0),AI260,1),"")</f>
        <v>F</v>
      </c>
      <c r="AI260" s="3">
        <v>178</v>
      </c>
      <c r="AJ260" s="3" t="str">
        <f>IFERROR(MID(VLOOKUP($B260,Seqs!$A:$B,2,0),AK260,1),"")</f>
        <v>T</v>
      </c>
      <c r="AK260" s="3">
        <v>186</v>
      </c>
      <c r="AL260" s="3" t="str">
        <f>IFERROR(MID(VLOOKUP($B260,Seqs!$A:$B,2,0),AM260,1),"")</f>
        <v>G</v>
      </c>
      <c r="AM260" s="3">
        <v>232</v>
      </c>
      <c r="AN260" s="3" t="str">
        <f>IFERROR(MID(VLOOKUP($B260,Seqs!$A:$B,2,0),AO260,1),"")</f>
        <v>S</v>
      </c>
      <c r="AO260" s="3">
        <v>237</v>
      </c>
      <c r="AP260" s="3" t="str">
        <f>IFERROR(MID(VLOOKUP($B260,Seqs!$A:$B,2,0),AQ260,1),"")</f>
        <v>W</v>
      </c>
      <c r="AQ260" s="3">
        <v>267</v>
      </c>
      <c r="AR260" s="3" t="str">
        <f>IFERROR(MID(VLOOKUP($B260,Seqs!$A:$B,2,0),AS260,1),"")</f>
        <v>Y</v>
      </c>
      <c r="AS260" s="3">
        <v>277</v>
      </c>
      <c r="AT260" s="3" t="str">
        <f>IFERROR(MID(VLOOKUP($B260,Seqs!$A:$B,2,0),AU260,1),"")</f>
        <v>V</v>
      </c>
      <c r="AU260" s="3">
        <v>305</v>
      </c>
      <c r="AV260" s="3" t="str">
        <f>IFERROR(MID(VLOOKUP($B260,Seqs!$A:$B,2,0),AW260,1),"")</f>
        <v>G</v>
      </c>
      <c r="AW260" s="3">
        <v>306</v>
      </c>
      <c r="AX260" s="3" t="str">
        <f>IFERROR(MID(VLOOKUP($B260,Seqs!$A:$B,2,0),AY260,1),"")</f>
        <v>L</v>
      </c>
      <c r="AY260" s="3">
        <v>317</v>
      </c>
      <c r="AZ260" s="77" t="str">
        <f>VLOOKUP(B260,Classification!A:D,2,0)</f>
        <v>A</v>
      </c>
      <c r="BA260" s="94" t="str">
        <f>VLOOKUP(B260,Classification!A:D,4,0)</f>
        <v>Formylpeptide</v>
      </c>
      <c r="BB260" s="27" t="b">
        <f t="shared" ref="BB260:BB261" si="2263">AND(E260&lt;G260,OR(G260&lt;I260,I260="-"),OR(I260&lt;K260,I260="-"),OR(K260&lt;M260,K260="-"),M260&lt;O260,OR(O260&lt;Q260,Q260="-"),OR(Q260&lt;S260,Q260="-"),OR(S260&lt;U260,S260="-"),U260&lt;W260,OR(W260&lt;Y260,Y260="-"),OR(Y260&lt;AA260,Y260="-"),OR(AA260&lt;AC260,AA260="-"),AC260&lt;AE260,OR(AE260&lt;AG260,AG260="-"),OR(AG260&lt;AI260,AG260="-"),OR(AI260&lt;AK260,AI260="-"),AK260&lt;AM260,AM260&lt;AO260,AO260&lt;AQ260,AQ260&lt;AS260,AS260&lt;AU260,OR(AU260&lt;AW260,AW260="-"),OR(AW260&lt;AY260,AW260="-"))</f>
        <v>1</v>
      </c>
      <c r="BC260" s="23">
        <f t="shared" ref="BC260:BC261" si="2264">_xlfn.AGGREGATE(9,6,CH260:CS260)-_xlfn.AGGREGATE(9,6,BV260:CG260)+12</f>
        <v>266</v>
      </c>
      <c r="BD260" s="16" t="s">
        <v>23</v>
      </c>
      <c r="BE260" s="3" t="s">
        <v>23</v>
      </c>
      <c r="BF260" s="118" t="s">
        <v>23</v>
      </c>
      <c r="BG260" s="49" t="s">
        <v>23</v>
      </c>
      <c r="BH260" s="49" t="s">
        <v>23</v>
      </c>
      <c r="BI260" s="1"/>
      <c r="BJ260" s="70" t="s">
        <v>1281</v>
      </c>
      <c r="BK260" s="57" t="s">
        <v>1281</v>
      </c>
      <c r="BL260" s="57" t="s">
        <v>1281</v>
      </c>
      <c r="BM260" s="57" t="s">
        <v>1281</v>
      </c>
      <c r="BN260" s="57" t="s">
        <v>1281</v>
      </c>
      <c r="BO260" s="57" t="s">
        <v>1281</v>
      </c>
      <c r="BP260" s="57" t="s">
        <v>1281</v>
      </c>
      <c r="BQ260" s="57" t="s">
        <v>1281</v>
      </c>
      <c r="BR260" s="57" t="s">
        <v>1281</v>
      </c>
      <c r="BS260" s="57" t="s">
        <v>1281</v>
      </c>
      <c r="BT260" s="57" t="s">
        <v>1281</v>
      </c>
      <c r="BU260" s="57" t="s">
        <v>1281</v>
      </c>
      <c r="BV260" s="70">
        <f t="shared" ref="BV260:BV261" si="2265">E260</f>
        <v>19</v>
      </c>
      <c r="BW260" s="71" t="str">
        <f t="shared" ref="BW260:BW261" si="2266">I260</f>
        <v>-</v>
      </c>
      <c r="BX260" s="72">
        <f t="shared" ref="BX260:BX261" si="2267">M260</f>
        <v>58</v>
      </c>
      <c r="BY260" s="71">
        <f t="shared" ref="BY260:BY261" si="2268">Q260</f>
        <v>90</v>
      </c>
      <c r="BZ260" s="72">
        <f t="shared" ref="BZ260:BZ261" si="2269">U260</f>
        <v>94</v>
      </c>
      <c r="CA260" s="71">
        <f t="shared" ref="CA260:CA261" si="2270">Y260</f>
        <v>130</v>
      </c>
      <c r="CB260" s="72">
        <f t="shared" ref="CB260:CB261" si="2271">AC260</f>
        <v>138</v>
      </c>
      <c r="CC260" s="71">
        <f t="shared" ref="CC260:CC261" si="2272">AG260</f>
        <v>176</v>
      </c>
      <c r="CD260" s="72">
        <f t="shared" ref="CD260:CD261" si="2273">AK260</f>
        <v>186</v>
      </c>
      <c r="CE260" s="71">
        <f t="shared" ref="CE260:CE261" si="2274">AO260</f>
        <v>237</v>
      </c>
      <c r="CF260" s="72">
        <f t="shared" ref="CF260:CF261" si="2275">AS260</f>
        <v>277</v>
      </c>
      <c r="CG260" s="71">
        <f t="shared" ref="CG260:CG261" si="2276">AW260</f>
        <v>306</v>
      </c>
      <c r="CH260" s="70">
        <f t="shared" ref="CH260:CH261" si="2277">G260</f>
        <v>55</v>
      </c>
      <c r="CI260" s="71" t="str">
        <f t="shared" ref="CI260:CI261" si="2278">K260</f>
        <v>-</v>
      </c>
      <c r="CJ260" s="72">
        <f t="shared" ref="CJ260:CJ261" si="2279">O260</f>
        <v>88</v>
      </c>
      <c r="CK260" s="72">
        <f t="shared" ref="CK260:CK261" si="2280">S260</f>
        <v>93</v>
      </c>
      <c r="CL260" s="72">
        <f t="shared" ref="CL260:CL261" si="2281">W260</f>
        <v>129</v>
      </c>
      <c r="CM260" s="72">
        <f t="shared" ref="CM260:CM261" si="2282">AA260</f>
        <v>137</v>
      </c>
      <c r="CN260" s="72">
        <f t="shared" ref="CN260:CN261" si="2283">AE260</f>
        <v>164</v>
      </c>
      <c r="CO260" s="72">
        <f t="shared" ref="CO260:CO261" si="2284">AI260</f>
        <v>178</v>
      </c>
      <c r="CP260" s="72">
        <f t="shared" ref="CP260:CP261" si="2285">AM260</f>
        <v>232</v>
      </c>
      <c r="CQ260" s="72">
        <f t="shared" ref="CQ260:CQ261" si="2286">AQ260</f>
        <v>267</v>
      </c>
      <c r="CR260" s="72">
        <f t="shared" ref="CR260:CR261" si="2287">AU260</f>
        <v>305</v>
      </c>
      <c r="CS260" s="72">
        <f t="shared" ref="CS260:CS261" si="2288">AY260</f>
        <v>317</v>
      </c>
      <c r="CT260" s="23" t="e">
        <f t="shared" ref="CT260:CT261" si="2289">M260-K260</f>
        <v>#VALUE!</v>
      </c>
    </row>
    <row r="261" spans="1:1029" x14ac:dyDescent="0.2">
      <c r="A261" s="3" t="str">
        <f t="shared" si="2262"/>
        <v>fpr2_human_6LW5</v>
      </c>
      <c r="B261" s="3" t="s">
        <v>201</v>
      </c>
      <c r="C261" s="3" t="s">
        <v>1656</v>
      </c>
      <c r="D261" s="3" t="str">
        <f>IFERROR(MID(VLOOKUP($B261,Seqs!$A:$B,2,0),E261,1),"")</f>
        <v>S</v>
      </c>
      <c r="E261" s="3">
        <v>19</v>
      </c>
      <c r="F261" s="3" t="str">
        <f>IFERROR(MID(VLOOKUP($B261,Seqs!$A:$B,2,0),G261,1),"")</f>
        <v>M</v>
      </c>
      <c r="G261" s="3">
        <v>55</v>
      </c>
      <c r="H261" s="3" t="str">
        <f>IFERROR(MID(VLOOKUP($B261,Seqs!$A:$B,2,0),I261,1),"")</f>
        <v/>
      </c>
      <c r="I261" s="23" t="s">
        <v>23</v>
      </c>
      <c r="J261" s="3" t="str">
        <f>IFERROR(MID(VLOOKUP($B261,Seqs!$A:$B,2,0),K261,1),"")</f>
        <v/>
      </c>
      <c r="K261" s="23" t="s">
        <v>23</v>
      </c>
      <c r="L261" s="3" t="str">
        <f>IFERROR(MID(VLOOKUP($B261,Seqs!$A:$B,2,0),M261,1),"")</f>
        <v>T</v>
      </c>
      <c r="M261" s="3">
        <v>58</v>
      </c>
      <c r="N261" s="3" t="str">
        <f>IFERROR(MID(VLOOKUP($B261,Seqs!$A:$B,2,0),O261,1),"")</f>
        <v>G</v>
      </c>
      <c r="O261" s="3">
        <v>88</v>
      </c>
      <c r="P261" s="3" t="str">
        <f>IFERROR(MID(VLOOKUP($B261,Seqs!$A:$B,2,0),Q261,1),"")</f>
        <v>K</v>
      </c>
      <c r="Q261" s="3">
        <v>90</v>
      </c>
      <c r="R261" s="3" t="str">
        <f>IFERROR(MID(VLOOKUP($B261,Seqs!$A:$B,2,0),S261,1),"")</f>
        <v>F</v>
      </c>
      <c r="S261" s="3">
        <v>93</v>
      </c>
      <c r="T261" s="3" t="str">
        <f>IFERROR(MID(VLOOKUP($B261,Seqs!$A:$B,2,0),U261,1),"")</f>
        <v>G</v>
      </c>
      <c r="U261" s="3">
        <v>94</v>
      </c>
      <c r="V261" s="3" t="str">
        <f>IFERROR(MID(VLOOKUP($B261,Seqs!$A:$B,2,0),W261,1),"")</f>
        <v>H</v>
      </c>
      <c r="W261" s="3">
        <v>129</v>
      </c>
      <c r="X261" s="3" t="str">
        <f>IFERROR(MID(VLOOKUP($B261,Seqs!$A:$B,2,0),Y261,1),"")</f>
        <v>P</v>
      </c>
      <c r="Y261" s="3">
        <v>130</v>
      </c>
      <c r="Z261" s="3" t="str">
        <f>IFERROR(MID(VLOOKUP($B261,Seqs!$A:$B,2,0),AA261,1),"")</f>
        <v>R</v>
      </c>
      <c r="AA261" s="3">
        <v>137</v>
      </c>
      <c r="AB261" s="3" t="str">
        <f>IFERROR(MID(VLOOKUP($B261,Seqs!$A:$B,2,0),AC261,1),"")</f>
        <v>T</v>
      </c>
      <c r="AC261" s="3">
        <v>138</v>
      </c>
      <c r="AD261" s="3" t="str">
        <f>IFERROR(MID(VLOOKUP($B261,Seqs!$A:$B,2,0),AE261,1),"")</f>
        <v>L</v>
      </c>
      <c r="AE261" s="3">
        <v>164</v>
      </c>
      <c r="AF261" s="3" t="str">
        <f>IFERROR(MID(VLOOKUP($B261,Seqs!$A:$B,2,0),AG261,1),"")</f>
        <v>C</v>
      </c>
      <c r="AG261" s="3">
        <v>176</v>
      </c>
      <c r="AH261" s="3" t="str">
        <f>IFERROR(MID(VLOOKUP($B261,Seqs!$A:$B,2,0),AI261,1),"")</f>
        <v>F</v>
      </c>
      <c r="AI261" s="3">
        <v>178</v>
      </c>
      <c r="AJ261" s="3" t="str">
        <f>IFERROR(MID(VLOOKUP($B261,Seqs!$A:$B,2,0),AK261,1),"")</f>
        <v>T</v>
      </c>
      <c r="AK261" s="3">
        <v>186</v>
      </c>
      <c r="AL261" s="3" t="str">
        <f>IFERROR(MID(VLOOKUP($B261,Seqs!$A:$B,2,0),AM261,1),"")</f>
        <v>K</v>
      </c>
      <c r="AM261" s="3">
        <v>231</v>
      </c>
      <c r="AN261" s="3" t="str">
        <f>IFERROR(MID(VLOOKUP($B261,Seqs!$A:$B,2,0),AO261,1),"")</f>
        <v>A</v>
      </c>
      <c r="AO261" s="3">
        <v>245</v>
      </c>
      <c r="AP261" s="3" t="str">
        <f>IFERROR(MID(VLOOKUP($B261,Seqs!$A:$B,2,0),AQ261,1),"")</f>
        <v>W</v>
      </c>
      <c r="AQ261" s="3">
        <v>267</v>
      </c>
      <c r="AR261" s="3" t="str">
        <f>IFERROR(MID(VLOOKUP($B261,Seqs!$A:$B,2,0),AS261,1),"")</f>
        <v>Y</v>
      </c>
      <c r="AS261" s="3">
        <v>277</v>
      </c>
      <c r="AT261" s="3" t="str">
        <f>IFERROR(MID(VLOOKUP($B261,Seqs!$A:$B,2,0),AU261,1),"")</f>
        <v>V</v>
      </c>
      <c r="AU261" s="3">
        <v>303</v>
      </c>
      <c r="AV261" s="3" t="str">
        <f>IFERROR(MID(VLOOKUP($B261,Seqs!$A:$B,2,0),AW261,1),"")</f>
        <v>Q</v>
      </c>
      <c r="AW261" s="3">
        <v>307</v>
      </c>
      <c r="AX261" s="3" t="str">
        <f>IFERROR(MID(VLOOKUP($B261,Seqs!$A:$B,2,0),AY261,1),"")</f>
        <v>L</v>
      </c>
      <c r="AY261" s="3">
        <v>317</v>
      </c>
      <c r="AZ261" s="77" t="str">
        <f>VLOOKUP(B261,Classification!A:D,2,0)</f>
        <v>A</v>
      </c>
      <c r="BA261" s="94" t="str">
        <f>VLOOKUP(B261,Classification!A:D,4,0)</f>
        <v>Formylpeptide</v>
      </c>
      <c r="BB261" s="27" t="b">
        <f t="shared" si="2263"/>
        <v>1</v>
      </c>
      <c r="BC261" s="23">
        <f t="shared" si="2264"/>
        <v>254</v>
      </c>
      <c r="BD261" s="16" t="s">
        <v>23</v>
      </c>
      <c r="BE261" s="3" t="s">
        <v>1285</v>
      </c>
      <c r="BF261" s="118">
        <v>2.8</v>
      </c>
      <c r="BG261" s="49" t="s">
        <v>1</v>
      </c>
      <c r="BH261" s="49" t="s">
        <v>1</v>
      </c>
      <c r="BI261" s="1"/>
      <c r="BJ261" s="70" t="s">
        <v>1281</v>
      </c>
      <c r="BK261" s="57" t="s">
        <v>1281</v>
      </c>
      <c r="BL261" s="57" t="s">
        <v>1281</v>
      </c>
      <c r="BM261" s="57" t="s">
        <v>1281</v>
      </c>
      <c r="BN261" s="57" t="s">
        <v>1281</v>
      </c>
      <c r="BO261" s="57" t="s">
        <v>1281</v>
      </c>
      <c r="BP261" s="57" t="s">
        <v>1281</v>
      </c>
      <c r="BQ261" s="57" t="s">
        <v>1281</v>
      </c>
      <c r="BR261" s="57" t="s">
        <v>1281</v>
      </c>
      <c r="BS261" s="57" t="s">
        <v>1281</v>
      </c>
      <c r="BT261" s="57" t="s">
        <v>1281</v>
      </c>
      <c r="BU261" s="57" t="s">
        <v>1281</v>
      </c>
      <c r="BV261" s="70">
        <f t="shared" si="2265"/>
        <v>19</v>
      </c>
      <c r="BW261" s="71" t="str">
        <f t="shared" si="2266"/>
        <v>-</v>
      </c>
      <c r="BX261" s="72">
        <f t="shared" si="2267"/>
        <v>58</v>
      </c>
      <c r="BY261" s="71">
        <f t="shared" si="2268"/>
        <v>90</v>
      </c>
      <c r="BZ261" s="72">
        <f t="shared" si="2269"/>
        <v>94</v>
      </c>
      <c r="CA261" s="71">
        <f t="shared" si="2270"/>
        <v>130</v>
      </c>
      <c r="CB261" s="72">
        <f t="shared" si="2271"/>
        <v>138</v>
      </c>
      <c r="CC261" s="71">
        <f t="shared" si="2272"/>
        <v>176</v>
      </c>
      <c r="CD261" s="72">
        <f t="shared" si="2273"/>
        <v>186</v>
      </c>
      <c r="CE261" s="71">
        <f t="shared" si="2274"/>
        <v>245</v>
      </c>
      <c r="CF261" s="72">
        <f t="shared" si="2275"/>
        <v>277</v>
      </c>
      <c r="CG261" s="71">
        <f t="shared" si="2276"/>
        <v>307</v>
      </c>
      <c r="CH261" s="70">
        <f t="shared" si="2277"/>
        <v>55</v>
      </c>
      <c r="CI261" s="71" t="str">
        <f t="shared" si="2278"/>
        <v>-</v>
      </c>
      <c r="CJ261" s="72">
        <f t="shared" si="2279"/>
        <v>88</v>
      </c>
      <c r="CK261" s="72">
        <f t="shared" si="2280"/>
        <v>93</v>
      </c>
      <c r="CL261" s="72">
        <f t="shared" si="2281"/>
        <v>129</v>
      </c>
      <c r="CM261" s="72">
        <f t="shared" si="2282"/>
        <v>137</v>
      </c>
      <c r="CN261" s="72">
        <f t="shared" si="2283"/>
        <v>164</v>
      </c>
      <c r="CO261" s="72">
        <f t="shared" si="2284"/>
        <v>178</v>
      </c>
      <c r="CP261" s="72">
        <f t="shared" si="2285"/>
        <v>231</v>
      </c>
      <c r="CQ261" s="72">
        <f t="shared" si="2286"/>
        <v>267</v>
      </c>
      <c r="CR261" s="72">
        <f t="shared" si="2287"/>
        <v>303</v>
      </c>
      <c r="CS261" s="72">
        <f t="shared" si="2288"/>
        <v>317</v>
      </c>
      <c r="CT261" s="23" t="e">
        <f t="shared" si="2289"/>
        <v>#VALUE!</v>
      </c>
    </row>
    <row r="262" spans="1:1029" x14ac:dyDescent="0.2">
      <c r="A262" s="3" t="str">
        <f t="shared" ref="A262" si="2290">CONCATENATE(B262,"_",C262)</f>
        <v>fpr2_human_6OMM</v>
      </c>
      <c r="B262" s="3" t="s">
        <v>201</v>
      </c>
      <c r="C262" s="3" t="s">
        <v>1657</v>
      </c>
      <c r="D262" s="3" t="str">
        <f>IFERROR(MID(VLOOKUP($B262,Seqs!$A:$B,2,0),E262,1),"")</f>
        <v>G</v>
      </c>
      <c r="E262" s="3">
        <v>21</v>
      </c>
      <c r="F262" s="3" t="str">
        <f>IFERROR(MID(VLOOKUP($B262,Seqs!$A:$B,2,0),G262,1),"")</f>
        <v>M</v>
      </c>
      <c r="G262" s="3">
        <v>55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T</v>
      </c>
      <c r="M262" s="3">
        <v>58</v>
      </c>
      <c r="N262" s="3" t="str">
        <f>IFERROR(MID(VLOOKUP($B262,Seqs!$A:$B,2,0),O262,1),"")</f>
        <v>G</v>
      </c>
      <c r="O262" s="3">
        <v>88</v>
      </c>
      <c r="P262" s="3" t="str">
        <f>IFERROR(MID(VLOOKUP($B262,Seqs!$A:$B,2,0),Q262,1),"")</f>
        <v>K</v>
      </c>
      <c r="Q262" s="3">
        <v>90</v>
      </c>
      <c r="R262" s="3" t="str">
        <f>IFERROR(MID(VLOOKUP($B262,Seqs!$A:$B,2,0),S262,1),"")</f>
        <v>F</v>
      </c>
      <c r="S262" s="3">
        <v>93</v>
      </c>
      <c r="T262" s="3" t="str">
        <f>IFERROR(MID(VLOOKUP($B262,Seqs!$A:$B,2,0),U262,1),"")</f>
        <v>G</v>
      </c>
      <c r="U262" s="3">
        <v>94</v>
      </c>
      <c r="V262" s="3" t="str">
        <f>IFERROR(MID(VLOOKUP($B262,Seqs!$A:$B,2,0),W262,1),"")</f>
        <v>H</v>
      </c>
      <c r="W262" s="3">
        <v>129</v>
      </c>
      <c r="X262" s="3" t="str">
        <f>IFERROR(MID(VLOOKUP($B262,Seqs!$A:$B,2,0),Y262,1),"")</f>
        <v>P</v>
      </c>
      <c r="Y262" s="3">
        <v>130</v>
      </c>
      <c r="Z262" s="3" t="str">
        <f>IFERROR(MID(VLOOKUP($B262,Seqs!$A:$B,2,0),AA262,1),"")</f>
        <v>R</v>
      </c>
      <c r="AA262" s="3">
        <v>137</v>
      </c>
      <c r="AB262" s="3" t="str">
        <f>IFERROR(MID(VLOOKUP($B262,Seqs!$A:$B,2,0),AC262,1),"")</f>
        <v>T</v>
      </c>
      <c r="AC262" s="3">
        <v>138</v>
      </c>
      <c r="AD262" s="3" t="str">
        <f>IFERROR(MID(VLOOKUP($B262,Seqs!$A:$B,2,0),AE262,1),"")</f>
        <v>L</v>
      </c>
      <c r="AE262" s="3">
        <v>164</v>
      </c>
      <c r="AF262" s="3" t="str">
        <f>IFERROR(MID(VLOOKUP($B262,Seqs!$A:$B,2,0),AG262,1),"")</f>
        <v>C</v>
      </c>
      <c r="AG262" s="3">
        <v>176</v>
      </c>
      <c r="AH262" s="3" t="str">
        <f>IFERROR(MID(VLOOKUP($B262,Seqs!$A:$B,2,0),AI262,1),"")</f>
        <v>F</v>
      </c>
      <c r="AI262" s="3">
        <v>178</v>
      </c>
      <c r="AJ262" s="3" t="str">
        <f>IFERROR(MID(VLOOKUP($B262,Seqs!$A:$B,2,0),AK262,1),"")</f>
        <v>T</v>
      </c>
      <c r="AK262" s="3">
        <v>186</v>
      </c>
      <c r="AL262" s="3" t="str">
        <f>IFERROR(MID(VLOOKUP($B262,Seqs!$A:$B,2,0),AM262,1),"")</f>
        <v>G</v>
      </c>
      <c r="AM262" s="3">
        <v>232</v>
      </c>
      <c r="AN262" s="3" t="str">
        <f>IFERROR(MID(VLOOKUP($B262,Seqs!$A:$B,2,0),AO262,1),"")</f>
        <v>S</v>
      </c>
      <c r="AO262" s="3">
        <v>237</v>
      </c>
      <c r="AP262" s="3" t="str">
        <f>IFERROR(MID(VLOOKUP($B262,Seqs!$A:$B,2,0),AQ262,1),"")</f>
        <v>W</v>
      </c>
      <c r="AQ262" s="3">
        <v>267</v>
      </c>
      <c r="AR262" s="3" t="str">
        <f>IFERROR(MID(VLOOKUP($B262,Seqs!$A:$B,2,0),AS262,1),"")</f>
        <v>K</v>
      </c>
      <c r="AS262" s="3">
        <v>278</v>
      </c>
      <c r="AT262" s="3" t="str">
        <f>IFERROR(MID(VLOOKUP($B262,Seqs!$A:$B,2,0),AU262,1),"")</f>
        <v>V</v>
      </c>
      <c r="AU262" s="3">
        <v>305</v>
      </c>
      <c r="AV262" s="3" t="str">
        <f>IFERROR(MID(VLOOKUP($B262,Seqs!$A:$B,2,0),AW262,1),"")</f>
        <v>G</v>
      </c>
      <c r="AW262" s="3">
        <v>306</v>
      </c>
      <c r="AX262" s="3" t="str">
        <f>IFERROR(MID(VLOOKUP($B262,Seqs!$A:$B,2,0),AY262,1),"")</f>
        <v>L</v>
      </c>
      <c r="AY262" s="3">
        <v>317</v>
      </c>
      <c r="AZ262" s="77" t="str">
        <f>VLOOKUP(B262,Classification!A:D,2,0)</f>
        <v>A</v>
      </c>
      <c r="BA262" s="94" t="str">
        <f>VLOOKUP(B262,Classification!A:D,4,0)</f>
        <v>Formylpeptide</v>
      </c>
      <c r="BB262" s="27" t="b">
        <f t="shared" ref="BB262" si="2291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23">
        <f t="shared" ref="BC262" si="2292">_xlfn.AGGREGATE(9,6,CH262:CS262)-_xlfn.AGGREGATE(9,6,BV262:CG262)+12</f>
        <v>263</v>
      </c>
      <c r="BD262" s="16" t="s">
        <v>1369</v>
      </c>
      <c r="BE262" s="3" t="s">
        <v>1285</v>
      </c>
      <c r="BF262" s="118">
        <v>3.17</v>
      </c>
      <c r="BG262" s="49" t="s">
        <v>1</v>
      </c>
      <c r="BH262" s="49" t="s">
        <v>1</v>
      </c>
      <c r="BI262" s="1"/>
      <c r="BJ262" s="70" t="s">
        <v>1281</v>
      </c>
      <c r="BK262" s="57" t="s">
        <v>1281</v>
      </c>
      <c r="BL262" s="57" t="s">
        <v>1281</v>
      </c>
      <c r="BM262" s="57" t="s">
        <v>1281</v>
      </c>
      <c r="BN262" s="57" t="s">
        <v>1281</v>
      </c>
      <c r="BO262" s="57" t="s">
        <v>1281</v>
      </c>
      <c r="BP262" s="57" t="s">
        <v>1281</v>
      </c>
      <c r="BQ262" s="57" t="s">
        <v>1281</v>
      </c>
      <c r="BR262" s="57" t="s">
        <v>1281</v>
      </c>
      <c r="BS262" s="57" t="s">
        <v>1281</v>
      </c>
      <c r="BT262" s="57" t="s">
        <v>1281</v>
      </c>
      <c r="BU262" s="57" t="s">
        <v>1281</v>
      </c>
      <c r="BV262" s="70">
        <f t="shared" ref="BV262" si="2293">E262</f>
        <v>21</v>
      </c>
      <c r="BW262" s="71" t="str">
        <f t="shared" ref="BW262" si="2294">I262</f>
        <v>-</v>
      </c>
      <c r="BX262" s="72">
        <f t="shared" ref="BX262" si="2295">M262</f>
        <v>58</v>
      </c>
      <c r="BY262" s="71">
        <f t="shared" ref="BY262" si="2296">Q262</f>
        <v>90</v>
      </c>
      <c r="BZ262" s="72">
        <f t="shared" ref="BZ262" si="2297">U262</f>
        <v>94</v>
      </c>
      <c r="CA262" s="71">
        <f t="shared" ref="CA262" si="2298">Y262</f>
        <v>130</v>
      </c>
      <c r="CB262" s="72">
        <f t="shared" ref="CB262" si="2299">AC262</f>
        <v>138</v>
      </c>
      <c r="CC262" s="71">
        <f t="shared" ref="CC262" si="2300">AG262</f>
        <v>176</v>
      </c>
      <c r="CD262" s="72">
        <f t="shared" ref="CD262" si="2301">AK262</f>
        <v>186</v>
      </c>
      <c r="CE262" s="71">
        <f t="shared" ref="CE262" si="2302">AO262</f>
        <v>237</v>
      </c>
      <c r="CF262" s="72">
        <f t="shared" ref="CF262" si="2303">AS262</f>
        <v>278</v>
      </c>
      <c r="CG262" s="71">
        <f t="shared" ref="CG262" si="2304">AW262</f>
        <v>306</v>
      </c>
      <c r="CH262" s="70">
        <f t="shared" ref="CH262" si="2305">G262</f>
        <v>55</v>
      </c>
      <c r="CI262" s="71" t="str">
        <f t="shared" ref="CI262" si="2306">K262</f>
        <v>-</v>
      </c>
      <c r="CJ262" s="72">
        <f t="shared" ref="CJ262" si="2307">O262</f>
        <v>88</v>
      </c>
      <c r="CK262" s="72">
        <f t="shared" ref="CK262" si="2308">S262</f>
        <v>93</v>
      </c>
      <c r="CL262" s="72">
        <f t="shared" ref="CL262" si="2309">W262</f>
        <v>129</v>
      </c>
      <c r="CM262" s="72">
        <f t="shared" ref="CM262" si="2310">AA262</f>
        <v>137</v>
      </c>
      <c r="CN262" s="72">
        <f t="shared" ref="CN262" si="2311">AE262</f>
        <v>164</v>
      </c>
      <c r="CO262" s="72">
        <f t="shared" ref="CO262" si="2312">AI262</f>
        <v>178</v>
      </c>
      <c r="CP262" s="72">
        <f t="shared" ref="CP262" si="2313">AM262</f>
        <v>232</v>
      </c>
      <c r="CQ262" s="72">
        <f t="shared" ref="CQ262" si="2314">AQ262</f>
        <v>267</v>
      </c>
      <c r="CR262" s="72">
        <f t="shared" ref="CR262" si="2315">AU262</f>
        <v>305</v>
      </c>
      <c r="CS262" s="72">
        <f t="shared" ref="CS262" si="2316">AY262</f>
        <v>317</v>
      </c>
      <c r="CT262" s="23" t="e">
        <f t="shared" ref="CT262" si="2317">M262-K262</f>
        <v>#VALUE!</v>
      </c>
    </row>
    <row r="263" spans="1:1029" s="12" customFormat="1" x14ac:dyDescent="0.2">
      <c r="A263" s="9" t="str">
        <f t="shared" ref="A263:A264" si="2318">CONCATENATE(B263,"_",C263)</f>
        <v>ghsr_human__wt</v>
      </c>
      <c r="B263" s="9" t="s">
        <v>208</v>
      </c>
      <c r="C263" s="9" t="s">
        <v>100</v>
      </c>
      <c r="D263" s="9" t="str">
        <f>IFERROR(MID(VLOOKUP($B263,Seqs!$A:$B,2,0),E263,1),"")</f>
        <v>P</v>
      </c>
      <c r="E263" s="9">
        <v>39</v>
      </c>
      <c r="F263" s="9" t="str">
        <f>IFERROR(MID(VLOOKUP($B263,Seqs!$A:$B,2,0),G263,1),"")</f>
        <v>F</v>
      </c>
      <c r="G263" s="9">
        <v>71</v>
      </c>
      <c r="H263" s="9" t="str">
        <f>IFERROR(MID(VLOOKUP($B263,Seqs!$A:$B,2,0),I263,1),"")</f>
        <v>R</v>
      </c>
      <c r="I263" s="109">
        <v>72</v>
      </c>
      <c r="J263" s="9" t="str">
        <f>IFERROR(MID(VLOOKUP($B263,Seqs!$A:$B,2,0),K263,1),"")</f>
        <v>R</v>
      </c>
      <c r="K263" s="109">
        <v>75</v>
      </c>
      <c r="L263" s="9" t="str">
        <f>IFERROR(MID(VLOOKUP($B263,Seqs!$A:$B,2,0),M263,1),"")</f>
        <v>T</v>
      </c>
      <c r="M263" s="9">
        <v>76</v>
      </c>
      <c r="N263" s="9" t="str">
        <f>IFERROR(MID(VLOOKUP($B263,Seqs!$A:$B,2,0),O263,1),"")</f>
        <v>Y</v>
      </c>
      <c r="O263" s="9">
        <v>106</v>
      </c>
      <c r="P263" s="9" t="str">
        <f>IFERROR(MID(VLOOKUP($B263,Seqs!$A:$B,2,0),Q263,1),"")</f>
        <v>P</v>
      </c>
      <c r="Q263" s="9">
        <v>108</v>
      </c>
      <c r="R263" s="9" t="str">
        <f>IFERROR(MID(VLOOKUP($B263,Seqs!$A:$B,2,0),S263,1),"")</f>
        <v>F</v>
      </c>
      <c r="S263" s="9">
        <v>111</v>
      </c>
      <c r="T263" s="9" t="str">
        <f>IFERROR(MID(VLOOKUP($B263,Seqs!$A:$B,2,0),U263,1),"")</f>
        <v>G</v>
      </c>
      <c r="U263" s="9">
        <v>112</v>
      </c>
      <c r="V263" s="9" t="str">
        <f>IFERROR(MID(VLOOKUP($B263,Seqs!$A:$B,2,0),W263,1),"")</f>
        <v>F</v>
      </c>
      <c r="W263" s="9">
        <v>147</v>
      </c>
      <c r="X263" s="9" t="str">
        <f>IFERROR(MID(VLOOKUP($B263,Seqs!$A:$B,2,0),Y263,1),"")</f>
        <v>P</v>
      </c>
      <c r="Y263" s="9">
        <v>148</v>
      </c>
      <c r="Z263" s="9" t="str">
        <f>IFERROR(MID(VLOOKUP($B263,Seqs!$A:$B,2,0),AA263,1),"")</f>
        <v>V</v>
      </c>
      <c r="AA263" s="9">
        <v>155</v>
      </c>
      <c r="AB263" s="9" t="str">
        <f>IFERROR(MID(VLOOKUP($B263,Seqs!$A:$B,2,0),AC263,1),"")</f>
        <v>T</v>
      </c>
      <c r="AC263" s="9">
        <v>156</v>
      </c>
      <c r="AD263" s="9" t="str">
        <f>IFERROR(MID(VLOOKUP($B263,Seqs!$A:$B,2,0),AE263,1),"")</f>
        <v>V</v>
      </c>
      <c r="AE263" s="9">
        <v>182</v>
      </c>
      <c r="AF263" s="9" t="str">
        <f>IFERROR(MID(VLOOKUP($B263,Seqs!$A:$B,2,0),AG263,1),"")</f>
        <v>C</v>
      </c>
      <c r="AG263" s="9">
        <v>198</v>
      </c>
      <c r="AH263" s="9" t="str">
        <f>IFERROR(MID(VLOOKUP($B263,Seqs!$A:$B,2,0),AI263,1),"")</f>
        <v>P</v>
      </c>
      <c r="AI263" s="9">
        <v>200</v>
      </c>
      <c r="AJ263" s="9" t="str">
        <f>IFERROR(MID(VLOOKUP($B263,Seqs!$A:$B,2,0),AK263,1),"")</f>
        <v>G</v>
      </c>
      <c r="AK263" s="9">
        <v>208</v>
      </c>
      <c r="AL263" s="9" t="str">
        <f>IFERROR(MID(VLOOKUP($B263,Seqs!$A:$B,2,0),AM263,1),"")</f>
        <v>D</v>
      </c>
      <c r="AM263" s="9">
        <v>246</v>
      </c>
      <c r="AN263" s="9" t="str">
        <f>IFERROR(MID(VLOOKUP($B263,Seqs!$A:$B,2,0),AO263,1),"")</f>
        <v>S</v>
      </c>
      <c r="AO263" s="9">
        <v>252</v>
      </c>
      <c r="AP263" s="9" t="str">
        <f>IFERROR(MID(VLOOKUP($B263,Seqs!$A:$B,2,0),AQ263,1),"")</f>
        <v>S</v>
      </c>
      <c r="AQ263" s="9">
        <v>289</v>
      </c>
      <c r="AR263" s="9" t="str">
        <f>IFERROR(MID(VLOOKUP($B263,Seqs!$A:$B,2,0),AS263,1),"")</f>
        <v>A</v>
      </c>
      <c r="AS263" s="9">
        <v>298</v>
      </c>
      <c r="AT263" s="9" t="str">
        <f>IFERROR(MID(VLOOKUP($B263,Seqs!$A:$B,2,0),AU263,1),"")</f>
        <v>M</v>
      </c>
      <c r="AU263" s="9">
        <v>326</v>
      </c>
      <c r="AV263" s="9" t="str">
        <f>IFERROR(MID(VLOOKUP($B263,Seqs!$A:$B,2,0),AW263,1),"")</f>
        <v>S</v>
      </c>
      <c r="AW263" s="9">
        <v>327</v>
      </c>
      <c r="AX263" s="9" t="str">
        <f>IFERROR(MID(VLOOKUP($B263,Seqs!$A:$B,2,0),AY263,1),"")</f>
        <v>P</v>
      </c>
      <c r="AY263" s="9">
        <v>342</v>
      </c>
      <c r="AZ263" s="110" t="str">
        <f>VLOOKUP(B263,Classification!A:D,2,0)</f>
        <v>A</v>
      </c>
      <c r="BA263" s="98" t="str">
        <f>VLOOKUP(B263,Classification!A:D,4,0)</f>
        <v>Ghrelin</v>
      </c>
      <c r="BB263" s="36" t="b">
        <f t="shared" ref="BB263:BB264" si="2319"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109">
        <f t="shared" ref="BC263:BC264" si="2320">_xlfn.AGGREGATE(9,6,CH263:CS263)-_xlfn.AGGREGATE(9,6,BV263:CG263)+12</f>
        <v>268</v>
      </c>
      <c r="BD263" s="125" t="s">
        <v>23</v>
      </c>
      <c r="BE263" s="9" t="s">
        <v>23</v>
      </c>
      <c r="BF263" s="119" t="s">
        <v>23</v>
      </c>
      <c r="BG263" s="51" t="s">
        <v>23</v>
      </c>
      <c r="BH263" s="51" t="s">
        <v>23</v>
      </c>
      <c r="BJ263" s="111" t="s">
        <v>1281</v>
      </c>
      <c r="BK263" s="112" t="s">
        <v>1281</v>
      </c>
      <c r="BL263" s="112" t="s">
        <v>1281</v>
      </c>
      <c r="BM263" s="112" t="s">
        <v>1281</v>
      </c>
      <c r="BN263" s="112" t="s">
        <v>1281</v>
      </c>
      <c r="BO263" s="112" t="s">
        <v>1281</v>
      </c>
      <c r="BP263" s="112" t="s">
        <v>1281</v>
      </c>
      <c r="BQ263" s="112" t="s">
        <v>1281</v>
      </c>
      <c r="BR263" s="112" t="s">
        <v>1281</v>
      </c>
      <c r="BS263" s="112" t="s">
        <v>1281</v>
      </c>
      <c r="BT263" s="112" t="s">
        <v>1281</v>
      </c>
      <c r="BU263" s="112" t="s">
        <v>1281</v>
      </c>
      <c r="BV263" s="111">
        <f t="shared" ref="BV263:BV264" si="2321">E263</f>
        <v>39</v>
      </c>
      <c r="BW263" s="113">
        <f t="shared" ref="BW263:BW264" si="2322">I263</f>
        <v>72</v>
      </c>
      <c r="BX263" s="114">
        <f t="shared" ref="BX263:BX264" si="2323">M263</f>
        <v>76</v>
      </c>
      <c r="BY263" s="113">
        <f t="shared" ref="BY263:BY264" si="2324">Q263</f>
        <v>108</v>
      </c>
      <c r="BZ263" s="114">
        <f t="shared" ref="BZ263:BZ264" si="2325">U263</f>
        <v>112</v>
      </c>
      <c r="CA263" s="113">
        <f t="shared" ref="CA263:CA264" si="2326">Y263</f>
        <v>148</v>
      </c>
      <c r="CB263" s="114">
        <f t="shared" ref="CB263:CB264" si="2327">AC263</f>
        <v>156</v>
      </c>
      <c r="CC263" s="113">
        <f t="shared" ref="CC263:CC264" si="2328">AG263</f>
        <v>198</v>
      </c>
      <c r="CD263" s="114">
        <f t="shared" ref="CD263:CD264" si="2329">AK263</f>
        <v>208</v>
      </c>
      <c r="CE263" s="113">
        <f t="shared" ref="CE263:CE264" si="2330">AO263</f>
        <v>252</v>
      </c>
      <c r="CF263" s="114">
        <f t="shared" ref="CF263:CF264" si="2331">AS263</f>
        <v>298</v>
      </c>
      <c r="CG263" s="113">
        <f t="shared" ref="CG263:CG264" si="2332">AW263</f>
        <v>327</v>
      </c>
      <c r="CH263" s="111">
        <f t="shared" ref="CH263:CH264" si="2333">G263</f>
        <v>71</v>
      </c>
      <c r="CI263" s="113">
        <f t="shared" ref="CI263:CI264" si="2334">K263</f>
        <v>75</v>
      </c>
      <c r="CJ263" s="114">
        <f t="shared" ref="CJ263:CJ264" si="2335">O263</f>
        <v>106</v>
      </c>
      <c r="CK263" s="114">
        <f t="shared" ref="CK263:CK264" si="2336">S263</f>
        <v>111</v>
      </c>
      <c r="CL263" s="114">
        <f t="shared" ref="CL263:CL264" si="2337">W263</f>
        <v>147</v>
      </c>
      <c r="CM263" s="114">
        <f t="shared" ref="CM263:CM264" si="2338">AA263</f>
        <v>155</v>
      </c>
      <c r="CN263" s="114">
        <f t="shared" ref="CN263:CN264" si="2339">AE263</f>
        <v>182</v>
      </c>
      <c r="CO263" s="114">
        <f t="shared" ref="CO263:CO264" si="2340">AI263</f>
        <v>200</v>
      </c>
      <c r="CP263" s="114">
        <f t="shared" ref="CP263:CP264" si="2341">AM263</f>
        <v>246</v>
      </c>
      <c r="CQ263" s="114">
        <f t="shared" ref="CQ263:CQ264" si="2342">AQ263</f>
        <v>289</v>
      </c>
      <c r="CR263" s="114">
        <f t="shared" ref="CR263:CR264" si="2343">AU263</f>
        <v>326</v>
      </c>
      <c r="CS263" s="114">
        <f t="shared" ref="CS263:CS264" si="2344">AY263</f>
        <v>342</v>
      </c>
      <c r="CT263" s="109">
        <f t="shared" ref="CT263:CT264" si="2345">M263-K263</f>
        <v>1</v>
      </c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9"/>
      <c r="JE263" s="9"/>
      <c r="JF263" s="9"/>
      <c r="JG263" s="9"/>
      <c r="JH263" s="9"/>
      <c r="JI263" s="9"/>
      <c r="JJ263" s="9"/>
      <c r="JK263" s="9"/>
      <c r="JL263" s="9"/>
      <c r="JM263" s="9"/>
      <c r="JN263" s="9"/>
      <c r="JO263" s="9"/>
      <c r="JP263" s="9"/>
      <c r="JQ263" s="9"/>
      <c r="JR263" s="9"/>
      <c r="JS263" s="9"/>
      <c r="JT263" s="9"/>
      <c r="JU263" s="9"/>
      <c r="JV263" s="9"/>
      <c r="JW263" s="9"/>
      <c r="JX263" s="9"/>
      <c r="JY263" s="9"/>
      <c r="JZ263" s="9"/>
      <c r="KA263" s="9"/>
      <c r="KB263" s="9"/>
      <c r="KC263" s="9"/>
      <c r="KD263" s="9"/>
      <c r="KE263" s="9"/>
      <c r="KF263" s="9"/>
      <c r="KG263" s="9"/>
      <c r="KH263" s="9"/>
      <c r="KI263" s="9"/>
      <c r="KJ263" s="9"/>
      <c r="KK263" s="9"/>
      <c r="KL263" s="9"/>
      <c r="KM263" s="9"/>
      <c r="KN263" s="9"/>
      <c r="KO263" s="9"/>
      <c r="KP263" s="9"/>
      <c r="KQ263" s="9"/>
      <c r="KR263" s="9"/>
      <c r="KS263" s="9"/>
      <c r="KT263" s="9"/>
      <c r="KU263" s="9"/>
      <c r="KV263" s="9"/>
      <c r="KW263" s="9"/>
      <c r="KX263" s="9"/>
      <c r="KY263" s="9"/>
      <c r="KZ263" s="9"/>
      <c r="LA263" s="9"/>
      <c r="LB263" s="9"/>
      <c r="LC263" s="9"/>
      <c r="LD263" s="9"/>
      <c r="LE263" s="9"/>
      <c r="LF263" s="9"/>
      <c r="LG263" s="9"/>
      <c r="LH263" s="9"/>
      <c r="LI263" s="9"/>
      <c r="LJ263" s="9"/>
      <c r="LK263" s="9"/>
      <c r="LL263" s="9"/>
      <c r="LM263" s="9"/>
      <c r="LN263" s="9"/>
      <c r="LO263" s="9"/>
      <c r="LP263" s="9"/>
      <c r="LQ263" s="9"/>
      <c r="LR263" s="9"/>
      <c r="LS263" s="9"/>
      <c r="LT263" s="9"/>
      <c r="LU263" s="9"/>
      <c r="LV263" s="9"/>
      <c r="LW263" s="9"/>
      <c r="LX263" s="9"/>
      <c r="LY263" s="9"/>
      <c r="LZ263" s="9"/>
      <c r="MA263" s="9"/>
      <c r="MB263" s="9"/>
      <c r="MC263" s="9"/>
      <c r="MD263" s="9"/>
      <c r="ME263" s="9"/>
      <c r="MF263" s="9"/>
      <c r="MG263" s="9"/>
      <c r="MH263" s="9"/>
      <c r="MI263" s="9"/>
      <c r="MJ263" s="9"/>
      <c r="MK263" s="9"/>
      <c r="ML263" s="9"/>
      <c r="MM263" s="9"/>
      <c r="MN263" s="9"/>
      <c r="MO263" s="9"/>
      <c r="MP263" s="9"/>
      <c r="MQ263" s="9"/>
      <c r="MR263" s="9"/>
      <c r="MS263" s="9"/>
      <c r="MT263" s="9"/>
      <c r="MU263" s="9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  <c r="PG263" s="9"/>
      <c r="PH263" s="9"/>
      <c r="PI263" s="9"/>
      <c r="PJ263" s="9"/>
      <c r="PK263" s="9"/>
      <c r="PL263" s="9"/>
      <c r="PM263" s="9"/>
      <c r="PN263" s="9"/>
      <c r="PO263" s="9"/>
      <c r="PP263" s="9"/>
      <c r="PQ263" s="9"/>
      <c r="PR263" s="9"/>
      <c r="PS263" s="9"/>
      <c r="PT263" s="9"/>
      <c r="PU263" s="9"/>
      <c r="PV263" s="9"/>
      <c r="PW263" s="9"/>
      <c r="PX263" s="9"/>
      <c r="PY263" s="9"/>
      <c r="PZ263" s="9"/>
      <c r="QA263" s="9"/>
      <c r="QB263" s="9"/>
      <c r="QC263" s="9"/>
      <c r="QD263" s="9"/>
      <c r="QE263" s="9"/>
      <c r="QF263" s="9"/>
      <c r="QG263" s="9"/>
      <c r="QH263" s="9"/>
      <c r="QI263" s="9"/>
      <c r="QJ263" s="9"/>
      <c r="QK263" s="9"/>
      <c r="QL263" s="9"/>
      <c r="QM263" s="9"/>
      <c r="QN263" s="9"/>
      <c r="QO263" s="9"/>
      <c r="QP263" s="9"/>
      <c r="QQ263" s="9"/>
      <c r="QR263" s="9"/>
      <c r="QS263" s="9"/>
      <c r="QT263" s="9"/>
      <c r="QU263" s="9"/>
      <c r="QV263" s="9"/>
      <c r="QW263" s="9"/>
      <c r="QX263" s="9"/>
      <c r="QY263" s="9"/>
      <c r="QZ263" s="9"/>
      <c r="RA263" s="9"/>
      <c r="RB263" s="9"/>
      <c r="RC263" s="9"/>
      <c r="RD263" s="9"/>
      <c r="RE263" s="9"/>
      <c r="RF263" s="9"/>
      <c r="RG263" s="9"/>
      <c r="RH263" s="9"/>
      <c r="RI263" s="9"/>
      <c r="RJ263" s="9"/>
      <c r="RK263" s="9"/>
      <c r="RL263" s="9"/>
      <c r="RM263" s="9"/>
      <c r="RN263" s="9"/>
      <c r="RO263" s="9"/>
      <c r="RP263" s="9"/>
      <c r="RQ263" s="9"/>
      <c r="RR263" s="9"/>
      <c r="RS263" s="9"/>
      <c r="RT263" s="9"/>
      <c r="RU263" s="9"/>
      <c r="RV263" s="9"/>
      <c r="RW263" s="9"/>
      <c r="RX263" s="9"/>
      <c r="RY263" s="9"/>
      <c r="RZ263" s="9"/>
      <c r="SA263" s="9"/>
      <c r="SB263" s="9"/>
      <c r="SC263" s="9"/>
      <c r="SD263" s="9"/>
      <c r="SE263" s="9"/>
      <c r="SF263" s="9"/>
      <c r="SG263" s="9"/>
      <c r="SH263" s="9"/>
      <c r="SI263" s="9"/>
      <c r="SJ263" s="9"/>
      <c r="SK263" s="9"/>
      <c r="SL263" s="9"/>
      <c r="SM263" s="9"/>
      <c r="SN263" s="9"/>
      <c r="SO263" s="9"/>
      <c r="SP263" s="9"/>
      <c r="SQ263" s="9"/>
      <c r="SR263" s="9"/>
      <c r="SS263" s="9"/>
      <c r="ST263" s="9"/>
      <c r="SU263" s="9"/>
      <c r="SV263" s="9"/>
      <c r="SW263" s="9"/>
      <c r="SX263" s="9"/>
      <c r="SY263" s="9"/>
      <c r="SZ263" s="9"/>
      <c r="TA263" s="9"/>
      <c r="TB263" s="9"/>
      <c r="TC263" s="9"/>
      <c r="TD263" s="9"/>
      <c r="TE263" s="9"/>
      <c r="TF263" s="9"/>
      <c r="TG263" s="9"/>
      <c r="TH263" s="9"/>
      <c r="TI263" s="9"/>
      <c r="TJ263" s="9"/>
      <c r="TK263" s="9"/>
      <c r="TL263" s="9"/>
      <c r="TM263" s="9"/>
      <c r="TN263" s="9"/>
      <c r="TO263" s="9"/>
      <c r="TP263" s="9"/>
      <c r="TQ263" s="9"/>
      <c r="TR263" s="9"/>
      <c r="TS263" s="9"/>
      <c r="TT263" s="9"/>
      <c r="TU263" s="9"/>
      <c r="TV263" s="9"/>
      <c r="TW263" s="9"/>
      <c r="TX263" s="9"/>
      <c r="TY263" s="9"/>
      <c r="TZ263" s="9"/>
      <c r="UA263" s="9"/>
      <c r="UB263" s="9"/>
      <c r="UC263" s="9"/>
      <c r="UD263" s="9"/>
      <c r="UE263" s="9"/>
      <c r="UF263" s="9"/>
      <c r="UG263" s="9"/>
      <c r="UH263" s="9"/>
      <c r="UI263" s="9"/>
      <c r="UJ263" s="9"/>
      <c r="UK263" s="9"/>
      <c r="UL263" s="9"/>
      <c r="UM263" s="9"/>
      <c r="UN263" s="9"/>
      <c r="UO263" s="9"/>
      <c r="UP263" s="9"/>
      <c r="UQ263" s="9"/>
      <c r="UR263" s="9"/>
      <c r="US263" s="9"/>
      <c r="UT263" s="9"/>
      <c r="UU263" s="9"/>
      <c r="UV263" s="9"/>
      <c r="UW263" s="9"/>
      <c r="UX263" s="9"/>
      <c r="UY263" s="9"/>
      <c r="UZ263" s="9"/>
      <c r="VA263" s="9"/>
      <c r="VB263" s="9"/>
      <c r="VC263" s="9"/>
      <c r="VD263" s="9"/>
      <c r="VE263" s="9"/>
      <c r="VF263" s="9"/>
      <c r="VG263" s="9"/>
      <c r="VH263" s="9"/>
      <c r="VI263" s="9"/>
      <c r="VJ263" s="9"/>
      <c r="VK263" s="9"/>
      <c r="VL263" s="9"/>
      <c r="VM263" s="9"/>
      <c r="VN263" s="9"/>
      <c r="VO263" s="9"/>
      <c r="VP263" s="9"/>
      <c r="VQ263" s="9"/>
      <c r="VR263" s="9"/>
      <c r="VS263" s="9"/>
      <c r="VT263" s="9"/>
      <c r="VU263" s="9"/>
      <c r="VV263" s="9"/>
      <c r="VW263" s="9"/>
      <c r="VX263" s="9"/>
      <c r="VY263" s="9"/>
      <c r="VZ263" s="9"/>
      <c r="WA263" s="9"/>
      <c r="WB263" s="9"/>
      <c r="WC263" s="9"/>
      <c r="WD263" s="9"/>
      <c r="WE263" s="9"/>
      <c r="WF263" s="9"/>
      <c r="WG263" s="9"/>
      <c r="WH263" s="9"/>
      <c r="WI263" s="9"/>
      <c r="WJ263" s="9"/>
      <c r="WK263" s="9"/>
      <c r="WL263" s="9"/>
      <c r="WM263" s="9"/>
      <c r="WN263" s="9"/>
      <c r="WO263" s="9"/>
      <c r="WP263" s="9"/>
      <c r="WQ263" s="9"/>
      <c r="WR263" s="9"/>
      <c r="WS263" s="9"/>
      <c r="WT263" s="9"/>
      <c r="WU263" s="9"/>
      <c r="WV263" s="9"/>
      <c r="WW263" s="9"/>
      <c r="WX263" s="9"/>
      <c r="WY263" s="9"/>
      <c r="WZ263" s="9"/>
      <c r="XA263" s="9"/>
      <c r="XB263" s="9"/>
      <c r="XC263" s="9"/>
      <c r="XD263" s="9"/>
      <c r="XE263" s="9"/>
      <c r="XF263" s="9"/>
      <c r="XG263" s="9"/>
      <c r="XH263" s="9"/>
      <c r="XI263" s="9"/>
      <c r="XJ263" s="9"/>
      <c r="XK263" s="9"/>
      <c r="XL263" s="9"/>
      <c r="XM263" s="9"/>
      <c r="XN263" s="9"/>
      <c r="XO263" s="9"/>
      <c r="XP263" s="9"/>
      <c r="XQ263" s="9"/>
      <c r="XR263" s="9"/>
      <c r="XS263" s="9"/>
      <c r="XT263" s="9"/>
      <c r="XU263" s="9"/>
      <c r="XV263" s="9"/>
      <c r="XW263" s="9"/>
      <c r="XX263" s="9"/>
      <c r="XY263" s="9"/>
      <c r="XZ263" s="9"/>
      <c r="YA263" s="9"/>
      <c r="YB263" s="9"/>
      <c r="YC263" s="9"/>
      <c r="YD263" s="9"/>
      <c r="YE263" s="9"/>
      <c r="YF263" s="9"/>
      <c r="YG263" s="9"/>
      <c r="YH263" s="9"/>
      <c r="YI263" s="9"/>
      <c r="YJ263" s="9"/>
      <c r="YK263" s="9"/>
      <c r="YL263" s="9"/>
      <c r="YM263" s="9"/>
      <c r="YN263" s="9"/>
      <c r="YO263" s="9"/>
      <c r="YP263" s="9"/>
      <c r="YQ263" s="9"/>
      <c r="YR263" s="9"/>
      <c r="YS263" s="9"/>
      <c r="YT263" s="9"/>
      <c r="YU263" s="9"/>
      <c r="YV263" s="9"/>
      <c r="YW263" s="9"/>
      <c r="YX263" s="9"/>
      <c r="YY263" s="9"/>
      <c r="YZ263" s="9"/>
      <c r="ZA263" s="9"/>
      <c r="ZB263" s="9"/>
      <c r="ZC263" s="9"/>
      <c r="ZD263" s="9"/>
      <c r="ZE263" s="9"/>
      <c r="ZF263" s="9"/>
      <c r="ZG263" s="9"/>
      <c r="ZH263" s="9"/>
      <c r="ZI263" s="9"/>
      <c r="ZJ263" s="9"/>
      <c r="ZK263" s="9"/>
      <c r="ZL263" s="9"/>
      <c r="ZM263" s="9"/>
      <c r="ZN263" s="9"/>
      <c r="ZO263" s="9"/>
      <c r="ZP263" s="9"/>
      <c r="ZQ263" s="9"/>
      <c r="ZR263" s="9"/>
      <c r="ZS263" s="9"/>
      <c r="ZT263" s="9"/>
      <c r="ZU263" s="9"/>
      <c r="ZV263" s="9"/>
      <c r="ZW263" s="9"/>
      <c r="ZX263" s="9"/>
      <c r="ZY263" s="9"/>
      <c r="ZZ263" s="9"/>
      <c r="AAA263" s="9"/>
      <c r="AAB263" s="9"/>
      <c r="AAC263" s="9"/>
      <c r="AAD263" s="9"/>
      <c r="AAE263" s="9"/>
      <c r="AAF263" s="9"/>
      <c r="AAG263" s="9"/>
      <c r="AAH263" s="9"/>
      <c r="AAI263" s="9"/>
      <c r="AAJ263" s="9"/>
      <c r="AAK263" s="9"/>
      <c r="AAL263" s="9"/>
      <c r="AAM263" s="9"/>
      <c r="AAN263" s="9"/>
      <c r="AAO263" s="9"/>
      <c r="AAP263" s="9"/>
      <c r="AAQ263" s="9"/>
      <c r="AAR263" s="9"/>
      <c r="AAS263" s="9"/>
      <c r="AAT263" s="9"/>
      <c r="AAU263" s="9"/>
      <c r="AAV263" s="9"/>
      <c r="AAW263" s="9"/>
      <c r="AAX263" s="9"/>
      <c r="AAY263" s="9"/>
      <c r="AAZ263" s="9"/>
      <c r="ABA263" s="9"/>
      <c r="ABB263" s="9"/>
      <c r="ABC263" s="9"/>
      <c r="ABD263" s="9"/>
      <c r="ABE263" s="9"/>
      <c r="ABF263" s="9"/>
      <c r="ABG263" s="9"/>
      <c r="ABH263" s="9"/>
      <c r="ABI263" s="9"/>
      <c r="ABJ263" s="9"/>
      <c r="ABK263" s="9"/>
      <c r="ABL263" s="9"/>
      <c r="ABM263" s="9"/>
      <c r="ABN263" s="9"/>
      <c r="ABO263" s="9"/>
      <c r="ABP263" s="9"/>
      <c r="ABQ263" s="9"/>
      <c r="ABR263" s="9"/>
      <c r="ABS263" s="9"/>
      <c r="ABT263" s="9"/>
      <c r="ABU263" s="9"/>
      <c r="ABV263" s="9"/>
      <c r="ABW263" s="9"/>
      <c r="ABX263" s="9"/>
      <c r="ABY263" s="9"/>
      <c r="ABZ263" s="9"/>
      <c r="ACA263" s="9"/>
      <c r="ACB263" s="9"/>
      <c r="ACC263" s="9"/>
      <c r="ACD263" s="9"/>
      <c r="ACE263" s="9"/>
      <c r="ACF263" s="9"/>
      <c r="ACG263" s="9"/>
      <c r="ACH263" s="9"/>
      <c r="ACI263" s="9"/>
      <c r="ACJ263" s="9"/>
      <c r="ACK263" s="9"/>
      <c r="ACL263" s="9"/>
      <c r="ACM263" s="9"/>
      <c r="ACN263" s="9"/>
      <c r="ACO263" s="9"/>
      <c r="ACP263" s="9"/>
      <c r="ACQ263" s="9"/>
      <c r="ACR263" s="9"/>
      <c r="ACS263" s="9"/>
      <c r="ACT263" s="9"/>
      <c r="ACU263" s="9"/>
      <c r="ACV263" s="9"/>
      <c r="ACW263" s="9"/>
      <c r="ACX263" s="9"/>
      <c r="ACY263" s="9"/>
      <c r="ACZ263" s="9"/>
      <c r="ADA263" s="9"/>
      <c r="ADB263" s="9"/>
      <c r="ADC263" s="9"/>
      <c r="ADD263" s="9"/>
      <c r="ADE263" s="9"/>
      <c r="ADF263" s="9"/>
      <c r="ADG263" s="9"/>
      <c r="ADH263" s="9"/>
      <c r="ADI263" s="9"/>
      <c r="ADJ263" s="9"/>
      <c r="ADK263" s="9"/>
      <c r="ADL263" s="9"/>
      <c r="ADM263" s="9"/>
      <c r="ADN263" s="9"/>
      <c r="ADO263" s="9"/>
      <c r="ADP263" s="9"/>
      <c r="ADQ263" s="9"/>
      <c r="ADR263" s="9"/>
      <c r="ADS263" s="9"/>
      <c r="ADT263" s="9"/>
      <c r="ADU263" s="9"/>
      <c r="ADV263" s="9"/>
      <c r="ADW263" s="9"/>
      <c r="ADX263" s="9"/>
      <c r="ADY263" s="9"/>
      <c r="ADZ263" s="9"/>
      <c r="AEA263" s="9"/>
      <c r="AEB263" s="9"/>
      <c r="AEC263" s="9"/>
      <c r="AED263" s="9"/>
      <c r="AEE263" s="9"/>
      <c r="AEF263" s="9"/>
      <c r="AEG263" s="9"/>
      <c r="AEH263" s="9"/>
      <c r="AEI263" s="9"/>
      <c r="AEJ263" s="9"/>
      <c r="AEK263" s="9"/>
      <c r="AEL263" s="9"/>
      <c r="AEM263" s="9"/>
      <c r="AEN263" s="9"/>
      <c r="AEO263" s="9"/>
      <c r="AEP263" s="9"/>
      <c r="AEQ263" s="9"/>
      <c r="AER263" s="9"/>
      <c r="AES263" s="9"/>
      <c r="AET263" s="9"/>
      <c r="AEU263" s="9"/>
      <c r="AEV263" s="9"/>
      <c r="AEW263" s="9"/>
      <c r="AEX263" s="9"/>
      <c r="AEY263" s="9"/>
      <c r="AEZ263" s="9"/>
      <c r="AFA263" s="9"/>
      <c r="AFB263" s="9"/>
      <c r="AFC263" s="9"/>
      <c r="AFD263" s="9"/>
      <c r="AFE263" s="9"/>
      <c r="AFF263" s="9"/>
      <c r="AFG263" s="9"/>
      <c r="AFH263" s="9"/>
      <c r="AFI263" s="9"/>
      <c r="AFJ263" s="9"/>
      <c r="AFK263" s="9"/>
      <c r="AFL263" s="9"/>
      <c r="AFM263" s="9"/>
      <c r="AFN263" s="9"/>
      <c r="AFO263" s="9"/>
      <c r="AFP263" s="9"/>
      <c r="AFQ263" s="9"/>
      <c r="AFR263" s="9"/>
      <c r="AFS263" s="9"/>
      <c r="AFT263" s="9"/>
      <c r="AFU263" s="9"/>
      <c r="AFV263" s="9"/>
      <c r="AFW263" s="9"/>
      <c r="AFX263" s="9"/>
      <c r="AFY263" s="9"/>
      <c r="AFZ263" s="9"/>
      <c r="AGA263" s="9"/>
      <c r="AGB263" s="9"/>
      <c r="AGC263" s="9"/>
      <c r="AGD263" s="9"/>
      <c r="AGE263" s="9"/>
      <c r="AGF263" s="9"/>
      <c r="AGG263" s="9"/>
      <c r="AGH263" s="9"/>
      <c r="AGI263" s="9"/>
      <c r="AGJ263" s="9"/>
      <c r="AGK263" s="9"/>
      <c r="AGL263" s="9"/>
      <c r="AGM263" s="9"/>
      <c r="AGN263" s="9"/>
      <c r="AGO263" s="9"/>
      <c r="AGP263" s="9"/>
      <c r="AGQ263" s="9"/>
      <c r="AGR263" s="9"/>
      <c r="AGS263" s="9"/>
      <c r="AGT263" s="9"/>
      <c r="AGU263" s="9"/>
      <c r="AGV263" s="9"/>
      <c r="AGW263" s="9"/>
      <c r="AGX263" s="9"/>
      <c r="AGY263" s="9"/>
      <c r="AGZ263" s="9"/>
      <c r="AHA263" s="9"/>
      <c r="AHB263" s="9"/>
      <c r="AHC263" s="9"/>
      <c r="AHD263" s="9"/>
      <c r="AHE263" s="9"/>
      <c r="AHF263" s="9"/>
      <c r="AHG263" s="9"/>
      <c r="AHH263" s="9"/>
      <c r="AHI263" s="9"/>
      <c r="AHJ263" s="9"/>
      <c r="AHK263" s="9"/>
      <c r="AHL263" s="9"/>
      <c r="AHM263" s="9"/>
      <c r="AHN263" s="9"/>
      <c r="AHO263" s="9"/>
      <c r="AHP263" s="9"/>
      <c r="AHQ263" s="9"/>
      <c r="AHR263" s="9"/>
      <c r="AHS263" s="9"/>
      <c r="AHT263" s="9"/>
      <c r="AHU263" s="9"/>
      <c r="AHV263" s="9"/>
      <c r="AHW263" s="9"/>
      <c r="AHX263" s="9"/>
      <c r="AHY263" s="9"/>
      <c r="AHZ263" s="9"/>
      <c r="AIA263" s="9"/>
      <c r="AIB263" s="9"/>
      <c r="AIC263" s="9"/>
      <c r="AID263" s="9"/>
      <c r="AIE263" s="9"/>
      <c r="AIF263" s="9"/>
      <c r="AIG263" s="9"/>
      <c r="AIH263" s="9"/>
      <c r="AII263" s="9"/>
      <c r="AIJ263" s="9"/>
      <c r="AIK263" s="9"/>
      <c r="AIL263" s="9"/>
      <c r="AIM263" s="9"/>
      <c r="AIN263" s="9"/>
      <c r="AIO263" s="9"/>
      <c r="AIP263" s="9"/>
      <c r="AIQ263" s="9"/>
      <c r="AIR263" s="9"/>
      <c r="AIS263" s="9"/>
      <c r="AIT263" s="9"/>
      <c r="AIU263" s="9"/>
      <c r="AIV263" s="9"/>
      <c r="AIW263" s="9"/>
      <c r="AIX263" s="9"/>
      <c r="AIY263" s="9"/>
      <c r="AIZ263" s="9"/>
      <c r="AJA263" s="9"/>
      <c r="AJB263" s="9"/>
      <c r="AJC263" s="9"/>
      <c r="AJD263" s="9"/>
      <c r="AJE263" s="9"/>
      <c r="AJF263" s="9"/>
      <c r="AJG263" s="9"/>
      <c r="AJH263" s="9"/>
      <c r="AJI263" s="9"/>
      <c r="AJJ263" s="9"/>
      <c r="AJK263" s="9"/>
      <c r="AJL263" s="9"/>
      <c r="AJM263" s="9"/>
      <c r="AJN263" s="9"/>
      <c r="AJO263" s="9"/>
      <c r="AJP263" s="9"/>
      <c r="AJQ263" s="9"/>
      <c r="AJR263" s="9"/>
      <c r="AJS263" s="9"/>
      <c r="AJT263" s="9"/>
      <c r="AJU263" s="9"/>
      <c r="AJV263" s="9"/>
      <c r="AJW263" s="9"/>
      <c r="AJX263" s="9"/>
      <c r="AJY263" s="9"/>
      <c r="AJZ263" s="9"/>
      <c r="AKA263" s="9"/>
      <c r="AKB263" s="9"/>
      <c r="AKC263" s="9"/>
      <c r="AKD263" s="9"/>
      <c r="AKE263" s="9"/>
      <c r="AKF263" s="9"/>
      <c r="AKG263" s="9"/>
      <c r="AKH263" s="9"/>
      <c r="AKI263" s="9"/>
      <c r="AKJ263" s="9"/>
      <c r="AKK263" s="9"/>
      <c r="AKL263" s="9"/>
      <c r="AKM263" s="9"/>
      <c r="AKN263" s="9"/>
      <c r="AKO263" s="9"/>
      <c r="AKP263" s="9"/>
      <c r="AKQ263" s="9"/>
      <c r="AKR263" s="9"/>
      <c r="AKS263" s="9"/>
      <c r="AKT263" s="9"/>
      <c r="AKU263" s="9"/>
      <c r="AKV263" s="9"/>
      <c r="AKW263" s="9"/>
      <c r="AKX263" s="9"/>
      <c r="AKY263" s="9"/>
      <c r="AKZ263" s="9"/>
      <c r="ALA263" s="9"/>
      <c r="ALB263" s="9"/>
      <c r="ALC263" s="9"/>
      <c r="ALD263" s="9"/>
      <c r="ALE263" s="9"/>
      <c r="ALF263" s="9"/>
      <c r="ALG263" s="9"/>
      <c r="ALH263" s="9"/>
      <c r="ALI263" s="9"/>
      <c r="ALJ263" s="9"/>
      <c r="ALK263" s="9"/>
      <c r="ALL263" s="9"/>
      <c r="ALM263" s="9"/>
      <c r="ALN263" s="9"/>
      <c r="ALO263" s="9"/>
      <c r="ALP263" s="9"/>
      <c r="ALQ263" s="9"/>
      <c r="ALR263" s="9"/>
      <c r="ALS263" s="9"/>
      <c r="ALT263" s="9"/>
      <c r="ALU263" s="9"/>
      <c r="ALV263" s="9"/>
      <c r="ALW263" s="9"/>
      <c r="ALX263" s="9"/>
      <c r="ALY263" s="9"/>
      <c r="ALZ263" s="9"/>
      <c r="AMA263" s="9"/>
      <c r="AMB263" s="9"/>
      <c r="AMC263" s="9"/>
      <c r="AMD263" s="9"/>
      <c r="AME263" s="9"/>
      <c r="AMF263" s="9"/>
      <c r="AMG263" s="9"/>
      <c r="AMH263" s="9"/>
      <c r="AMI263" s="9"/>
      <c r="AMJ263" s="9"/>
      <c r="AMK263" s="9"/>
      <c r="AML263" s="9"/>
      <c r="AMM263" s="9"/>
      <c r="AMN263" s="9"/>
      <c r="AMO263" s="9"/>
    </row>
    <row r="264" spans="1:1029" s="12" customFormat="1" x14ac:dyDescent="0.2">
      <c r="A264" s="9" t="str">
        <f t="shared" si="2318"/>
        <v>ghsr_human_6KO5</v>
      </c>
      <c r="B264" s="9" t="s">
        <v>208</v>
      </c>
      <c r="C264" s="9" t="s">
        <v>1696</v>
      </c>
      <c r="D264" s="9" t="str">
        <f>IFERROR(MID(VLOOKUP($B264,Seqs!$A:$B,2,0),E264,1),"")</f>
        <v>P</v>
      </c>
      <c r="E264" s="9">
        <v>39</v>
      </c>
      <c r="F264" s="9" t="str">
        <f>IFERROR(MID(VLOOKUP($B264,Seqs!$A:$B,2,0),G264,1),"")</f>
        <v>R</v>
      </c>
      <c r="G264" s="9">
        <v>70</v>
      </c>
      <c r="H264" s="9" t="str">
        <f>IFERROR(MID(VLOOKUP($B264,Seqs!$A:$B,2,0),I264,1),"")</f>
        <v>R</v>
      </c>
      <c r="I264" s="109">
        <v>72</v>
      </c>
      <c r="J264" s="9" t="str">
        <f>IFERROR(MID(VLOOKUP($B264,Seqs!$A:$B,2,0),K264,1),"")</f>
        <v>R</v>
      </c>
      <c r="K264" s="109">
        <v>75</v>
      </c>
      <c r="L264" s="9" t="str">
        <f>IFERROR(MID(VLOOKUP($B264,Seqs!$A:$B,2,0),M264,1),"")</f>
        <v>T</v>
      </c>
      <c r="M264" s="9">
        <v>76</v>
      </c>
      <c r="N264" s="9" t="str">
        <f>IFERROR(MID(VLOOKUP($B264,Seqs!$A:$B,2,0),O264,1),"")</f>
        <v>Q</v>
      </c>
      <c r="O264" s="9">
        <v>105</v>
      </c>
      <c r="P264" s="9" t="str">
        <f>IFERROR(MID(VLOOKUP($B264,Seqs!$A:$B,2,0),Q264,1),"")</f>
        <v>P</v>
      </c>
      <c r="Q264" s="9">
        <v>108</v>
      </c>
      <c r="R264" s="9" t="str">
        <f>IFERROR(MID(VLOOKUP($B264,Seqs!$A:$B,2,0),S264,1),"")</f>
        <v>F</v>
      </c>
      <c r="S264" s="9">
        <v>111</v>
      </c>
      <c r="T264" s="9" t="str">
        <f>IFERROR(MID(VLOOKUP($B264,Seqs!$A:$B,2,0),U264,1),"")</f>
        <v>G</v>
      </c>
      <c r="U264" s="9">
        <v>112</v>
      </c>
      <c r="V264" s="9" t="str">
        <f>IFERROR(MID(VLOOKUP($B264,Seqs!$A:$B,2,0),W264,1),"")</f>
        <v>F</v>
      </c>
      <c r="W264" s="9">
        <v>147</v>
      </c>
      <c r="X264" s="9" t="str">
        <f>IFERROR(MID(VLOOKUP($B264,Seqs!$A:$B,2,0),Y264,1),"")</f>
        <v>P</v>
      </c>
      <c r="Y264" s="9">
        <v>148</v>
      </c>
      <c r="Z264" s="9" t="str">
        <f>IFERROR(MID(VLOOKUP($B264,Seqs!$A:$B,2,0),AA264,1),"")</f>
        <v>V</v>
      </c>
      <c r="AA264" s="9">
        <v>155</v>
      </c>
      <c r="AB264" s="9" t="str">
        <f>IFERROR(MID(VLOOKUP($B264,Seqs!$A:$B,2,0),AC264,1),"")</f>
        <v>T</v>
      </c>
      <c r="AC264" s="9">
        <v>156</v>
      </c>
      <c r="AD264" s="9" t="str">
        <f>IFERROR(MID(VLOOKUP($B264,Seqs!$A:$B,2,0),AE264,1),"")</f>
        <v>V</v>
      </c>
      <c r="AE264" s="9">
        <v>182</v>
      </c>
      <c r="AF264" s="9" t="str">
        <f>IFERROR(MID(VLOOKUP($B264,Seqs!$A:$B,2,0),AG264,1),"")</f>
        <v>C</v>
      </c>
      <c r="AG264" s="9">
        <v>198</v>
      </c>
      <c r="AH264" s="9" t="str">
        <f>IFERROR(MID(VLOOKUP($B264,Seqs!$A:$B,2,0),AI264,1),"")</f>
        <v>P</v>
      </c>
      <c r="AI264" s="9">
        <v>200</v>
      </c>
      <c r="AJ264" s="9" t="str">
        <f>IFERROR(MID(VLOOKUP($B264,Seqs!$A:$B,2,0),AK264,1),"")</f>
        <v>G</v>
      </c>
      <c r="AK264" s="9">
        <v>208</v>
      </c>
      <c r="AL264" s="9" t="str">
        <f>IFERROR(MID(VLOOKUP($B264,Seqs!$A:$B,2,0),AM264,1),"")</f>
        <v>W</v>
      </c>
      <c r="AM264" s="9">
        <v>240</v>
      </c>
      <c r="AN264" s="9" t="str">
        <f>IFERROR(MID(VLOOKUP($B264,Seqs!$A:$B,2,0),AO264,1),"")</f>
        <v>R</v>
      </c>
      <c r="AO264" s="9">
        <v>254</v>
      </c>
      <c r="AP264" s="9" t="str">
        <f>IFERROR(MID(VLOOKUP($B264,Seqs!$A:$B,2,0),AQ264,1),"")</f>
        <v>E</v>
      </c>
      <c r="AQ264" s="9">
        <v>291</v>
      </c>
      <c r="AR264" s="9" t="str">
        <f>IFERROR(MID(VLOOKUP($B264,Seqs!$A:$B,2,0),AS264,1),"")</f>
        <v>Q</v>
      </c>
      <c r="AS264" s="9">
        <v>302</v>
      </c>
      <c r="AT264" s="9" t="str">
        <f>IFERROR(MID(VLOOKUP($B264,Seqs!$A:$B,2,0),AU264,1),"")</f>
        <v>M</v>
      </c>
      <c r="AU264" s="9">
        <v>326</v>
      </c>
      <c r="AV264" s="9" t="str">
        <f>IFERROR(MID(VLOOKUP($B264,Seqs!$A:$B,2,0),AW264,1),"")</f>
        <v>S</v>
      </c>
      <c r="AW264" s="9">
        <v>327</v>
      </c>
      <c r="AX264" s="9" t="str">
        <f>IFERROR(MID(VLOOKUP($B264,Seqs!$A:$B,2,0),AY264,1),"")</f>
        <v>G</v>
      </c>
      <c r="AY264" s="9">
        <v>339</v>
      </c>
      <c r="AZ264" s="110" t="str">
        <f>VLOOKUP(B264,Classification!A:D,2,0)</f>
        <v>A</v>
      </c>
      <c r="BA264" s="98" t="str">
        <f>VLOOKUP(B264,Classification!A:D,4,0)</f>
        <v>Ghrelin</v>
      </c>
      <c r="BB264" s="36" t="b">
        <f t="shared" si="2319"/>
        <v>1</v>
      </c>
      <c r="BC264" s="109">
        <f t="shared" si="2320"/>
        <v>253</v>
      </c>
      <c r="BD264" s="125" t="s">
        <v>1370</v>
      </c>
      <c r="BE264" s="9" t="s">
        <v>1368</v>
      </c>
      <c r="BF264" s="119">
        <v>3.3</v>
      </c>
      <c r="BG264" s="51" t="s">
        <v>1</v>
      </c>
      <c r="BH264" s="51" t="s">
        <v>1</v>
      </c>
      <c r="BJ264" s="111" t="s">
        <v>1281</v>
      </c>
      <c r="BK264" s="112" t="s">
        <v>1281</v>
      </c>
      <c r="BL264" s="112" t="s">
        <v>1281</v>
      </c>
      <c r="BM264" s="112" t="s">
        <v>1281</v>
      </c>
      <c r="BN264" s="112" t="s">
        <v>1281</v>
      </c>
      <c r="BO264" s="112" t="s">
        <v>1281</v>
      </c>
      <c r="BP264" s="112" t="s">
        <v>1281</v>
      </c>
      <c r="BQ264" s="112" t="s">
        <v>1281</v>
      </c>
      <c r="BR264" s="112" t="s">
        <v>1281</v>
      </c>
      <c r="BS264" s="112" t="s">
        <v>1281</v>
      </c>
      <c r="BT264" s="112" t="s">
        <v>1281</v>
      </c>
      <c r="BU264" s="112" t="s">
        <v>1281</v>
      </c>
      <c r="BV264" s="111">
        <f t="shared" si="2321"/>
        <v>39</v>
      </c>
      <c r="BW264" s="113">
        <f t="shared" si="2322"/>
        <v>72</v>
      </c>
      <c r="BX264" s="114">
        <f t="shared" si="2323"/>
        <v>76</v>
      </c>
      <c r="BY264" s="113">
        <f t="shared" si="2324"/>
        <v>108</v>
      </c>
      <c r="BZ264" s="114">
        <f t="shared" si="2325"/>
        <v>112</v>
      </c>
      <c r="CA264" s="113">
        <f t="shared" si="2326"/>
        <v>148</v>
      </c>
      <c r="CB264" s="114">
        <f t="shared" si="2327"/>
        <v>156</v>
      </c>
      <c r="CC264" s="113">
        <f t="shared" si="2328"/>
        <v>198</v>
      </c>
      <c r="CD264" s="114">
        <f t="shared" si="2329"/>
        <v>208</v>
      </c>
      <c r="CE264" s="113">
        <f t="shared" si="2330"/>
        <v>254</v>
      </c>
      <c r="CF264" s="114">
        <f t="shared" si="2331"/>
        <v>302</v>
      </c>
      <c r="CG264" s="113">
        <f t="shared" si="2332"/>
        <v>327</v>
      </c>
      <c r="CH264" s="111">
        <f t="shared" si="2333"/>
        <v>70</v>
      </c>
      <c r="CI264" s="113">
        <f t="shared" si="2334"/>
        <v>75</v>
      </c>
      <c r="CJ264" s="114">
        <f t="shared" si="2335"/>
        <v>105</v>
      </c>
      <c r="CK264" s="114">
        <f t="shared" si="2336"/>
        <v>111</v>
      </c>
      <c r="CL264" s="114">
        <f t="shared" si="2337"/>
        <v>147</v>
      </c>
      <c r="CM264" s="114">
        <f t="shared" si="2338"/>
        <v>155</v>
      </c>
      <c r="CN264" s="114">
        <f t="shared" si="2339"/>
        <v>182</v>
      </c>
      <c r="CO264" s="114">
        <f t="shared" si="2340"/>
        <v>200</v>
      </c>
      <c r="CP264" s="114">
        <f t="shared" si="2341"/>
        <v>240</v>
      </c>
      <c r="CQ264" s="114">
        <f t="shared" si="2342"/>
        <v>291</v>
      </c>
      <c r="CR264" s="114">
        <f t="shared" si="2343"/>
        <v>326</v>
      </c>
      <c r="CS264" s="114">
        <f t="shared" si="2344"/>
        <v>339</v>
      </c>
      <c r="CT264" s="109">
        <f t="shared" si="2345"/>
        <v>1</v>
      </c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  <c r="IW264" s="9"/>
      <c r="IX264" s="9"/>
      <c r="IY264" s="9"/>
      <c r="IZ264" s="9"/>
      <c r="JA264" s="9"/>
      <c r="JB264" s="9"/>
      <c r="JC264" s="9"/>
      <c r="JD264" s="9"/>
      <c r="JE264" s="9"/>
      <c r="JF264" s="9"/>
      <c r="JG264" s="9"/>
      <c r="JH264" s="9"/>
      <c r="JI264" s="9"/>
      <c r="JJ264" s="9"/>
      <c r="JK264" s="9"/>
      <c r="JL264" s="9"/>
      <c r="JM264" s="9"/>
      <c r="JN264" s="9"/>
      <c r="JO264" s="9"/>
      <c r="JP264" s="9"/>
      <c r="JQ264" s="9"/>
      <c r="JR264" s="9"/>
      <c r="JS264" s="9"/>
      <c r="JT264" s="9"/>
      <c r="JU264" s="9"/>
      <c r="JV264" s="9"/>
      <c r="JW264" s="9"/>
      <c r="JX264" s="9"/>
      <c r="JY264" s="9"/>
      <c r="JZ264" s="9"/>
      <c r="KA264" s="9"/>
      <c r="KB264" s="9"/>
      <c r="KC264" s="9"/>
      <c r="KD264" s="9"/>
      <c r="KE264" s="9"/>
      <c r="KF264" s="9"/>
      <c r="KG264" s="9"/>
      <c r="KH264" s="9"/>
      <c r="KI264" s="9"/>
      <c r="KJ264" s="9"/>
      <c r="KK264" s="9"/>
      <c r="KL264" s="9"/>
      <c r="KM264" s="9"/>
      <c r="KN264" s="9"/>
      <c r="KO264" s="9"/>
      <c r="KP264" s="9"/>
      <c r="KQ264" s="9"/>
      <c r="KR264" s="9"/>
      <c r="KS264" s="9"/>
      <c r="KT264" s="9"/>
      <c r="KU264" s="9"/>
      <c r="KV264" s="9"/>
      <c r="KW264" s="9"/>
      <c r="KX264" s="9"/>
      <c r="KY264" s="9"/>
      <c r="KZ264" s="9"/>
      <c r="LA264" s="9"/>
      <c r="LB264" s="9"/>
      <c r="LC264" s="9"/>
      <c r="LD264" s="9"/>
      <c r="LE264" s="9"/>
      <c r="LF264" s="9"/>
      <c r="LG264" s="9"/>
      <c r="LH264" s="9"/>
      <c r="LI264" s="9"/>
      <c r="LJ264" s="9"/>
      <c r="LK264" s="9"/>
      <c r="LL264" s="9"/>
      <c r="LM264" s="9"/>
      <c r="LN264" s="9"/>
      <c r="LO264" s="9"/>
      <c r="LP264" s="9"/>
      <c r="LQ264" s="9"/>
      <c r="LR264" s="9"/>
      <c r="LS264" s="9"/>
      <c r="LT264" s="9"/>
      <c r="LU264" s="9"/>
      <c r="LV264" s="9"/>
      <c r="LW264" s="9"/>
      <c r="LX264" s="9"/>
      <c r="LY264" s="9"/>
      <c r="LZ264" s="9"/>
      <c r="MA264" s="9"/>
      <c r="MB264" s="9"/>
      <c r="MC264" s="9"/>
      <c r="MD264" s="9"/>
      <c r="ME264" s="9"/>
      <c r="MF264" s="9"/>
      <c r="MG264" s="9"/>
      <c r="MH264" s="9"/>
      <c r="MI264" s="9"/>
      <c r="MJ264" s="9"/>
      <c r="MK264" s="9"/>
      <c r="ML264" s="9"/>
      <c r="MM264" s="9"/>
      <c r="MN264" s="9"/>
      <c r="MO264" s="9"/>
      <c r="MP264" s="9"/>
      <c r="MQ264" s="9"/>
      <c r="MR264" s="9"/>
      <c r="MS264" s="9"/>
      <c r="MT264" s="9"/>
      <c r="MU264" s="9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  <c r="PG264" s="9"/>
      <c r="PH264" s="9"/>
      <c r="PI264" s="9"/>
      <c r="PJ264" s="9"/>
      <c r="PK264" s="9"/>
      <c r="PL264" s="9"/>
      <c r="PM264" s="9"/>
      <c r="PN264" s="9"/>
      <c r="PO264" s="9"/>
      <c r="PP264" s="9"/>
      <c r="PQ264" s="9"/>
      <c r="PR264" s="9"/>
      <c r="PS264" s="9"/>
      <c r="PT264" s="9"/>
      <c r="PU264" s="9"/>
      <c r="PV264" s="9"/>
      <c r="PW264" s="9"/>
      <c r="PX264" s="9"/>
      <c r="PY264" s="9"/>
      <c r="PZ264" s="9"/>
      <c r="QA264" s="9"/>
      <c r="QB264" s="9"/>
      <c r="QC264" s="9"/>
      <c r="QD264" s="9"/>
      <c r="QE264" s="9"/>
      <c r="QF264" s="9"/>
      <c r="QG264" s="9"/>
      <c r="QH264" s="9"/>
      <c r="QI264" s="9"/>
      <c r="QJ264" s="9"/>
      <c r="QK264" s="9"/>
      <c r="QL264" s="9"/>
      <c r="QM264" s="9"/>
      <c r="QN264" s="9"/>
      <c r="QO264" s="9"/>
      <c r="QP264" s="9"/>
      <c r="QQ264" s="9"/>
      <c r="QR264" s="9"/>
      <c r="QS264" s="9"/>
      <c r="QT264" s="9"/>
      <c r="QU264" s="9"/>
      <c r="QV264" s="9"/>
      <c r="QW264" s="9"/>
      <c r="QX264" s="9"/>
      <c r="QY264" s="9"/>
      <c r="QZ264" s="9"/>
      <c r="RA264" s="9"/>
      <c r="RB264" s="9"/>
      <c r="RC264" s="9"/>
      <c r="RD264" s="9"/>
      <c r="RE264" s="9"/>
      <c r="RF264" s="9"/>
      <c r="RG264" s="9"/>
      <c r="RH264" s="9"/>
      <c r="RI264" s="9"/>
      <c r="RJ264" s="9"/>
      <c r="RK264" s="9"/>
      <c r="RL264" s="9"/>
      <c r="RM264" s="9"/>
      <c r="RN264" s="9"/>
      <c r="RO264" s="9"/>
      <c r="RP264" s="9"/>
      <c r="RQ264" s="9"/>
      <c r="RR264" s="9"/>
      <c r="RS264" s="9"/>
      <c r="RT264" s="9"/>
      <c r="RU264" s="9"/>
      <c r="RV264" s="9"/>
      <c r="RW264" s="9"/>
      <c r="RX264" s="9"/>
      <c r="RY264" s="9"/>
      <c r="RZ264" s="9"/>
      <c r="SA264" s="9"/>
      <c r="SB264" s="9"/>
      <c r="SC264" s="9"/>
      <c r="SD264" s="9"/>
      <c r="SE264" s="9"/>
      <c r="SF264" s="9"/>
      <c r="SG264" s="9"/>
      <c r="SH264" s="9"/>
      <c r="SI264" s="9"/>
      <c r="SJ264" s="9"/>
      <c r="SK264" s="9"/>
      <c r="SL264" s="9"/>
      <c r="SM264" s="9"/>
      <c r="SN264" s="9"/>
      <c r="SO264" s="9"/>
      <c r="SP264" s="9"/>
      <c r="SQ264" s="9"/>
      <c r="SR264" s="9"/>
      <c r="SS264" s="9"/>
      <c r="ST264" s="9"/>
      <c r="SU264" s="9"/>
      <c r="SV264" s="9"/>
      <c r="SW264" s="9"/>
      <c r="SX264" s="9"/>
      <c r="SY264" s="9"/>
      <c r="SZ264" s="9"/>
      <c r="TA264" s="9"/>
      <c r="TB264" s="9"/>
      <c r="TC264" s="9"/>
      <c r="TD264" s="9"/>
      <c r="TE264" s="9"/>
      <c r="TF264" s="9"/>
      <c r="TG264" s="9"/>
      <c r="TH264" s="9"/>
      <c r="TI264" s="9"/>
      <c r="TJ264" s="9"/>
      <c r="TK264" s="9"/>
      <c r="TL264" s="9"/>
      <c r="TM264" s="9"/>
      <c r="TN264" s="9"/>
      <c r="TO264" s="9"/>
      <c r="TP264" s="9"/>
      <c r="TQ264" s="9"/>
      <c r="TR264" s="9"/>
      <c r="TS264" s="9"/>
      <c r="TT264" s="9"/>
      <c r="TU264" s="9"/>
      <c r="TV264" s="9"/>
      <c r="TW264" s="9"/>
      <c r="TX264" s="9"/>
      <c r="TY264" s="9"/>
      <c r="TZ264" s="9"/>
      <c r="UA264" s="9"/>
      <c r="UB264" s="9"/>
      <c r="UC264" s="9"/>
      <c r="UD264" s="9"/>
      <c r="UE264" s="9"/>
      <c r="UF264" s="9"/>
      <c r="UG264" s="9"/>
      <c r="UH264" s="9"/>
      <c r="UI264" s="9"/>
      <c r="UJ264" s="9"/>
      <c r="UK264" s="9"/>
      <c r="UL264" s="9"/>
      <c r="UM264" s="9"/>
      <c r="UN264" s="9"/>
      <c r="UO264" s="9"/>
      <c r="UP264" s="9"/>
      <c r="UQ264" s="9"/>
      <c r="UR264" s="9"/>
      <c r="US264" s="9"/>
      <c r="UT264" s="9"/>
      <c r="UU264" s="9"/>
      <c r="UV264" s="9"/>
      <c r="UW264" s="9"/>
      <c r="UX264" s="9"/>
      <c r="UY264" s="9"/>
      <c r="UZ264" s="9"/>
      <c r="VA264" s="9"/>
      <c r="VB264" s="9"/>
      <c r="VC264" s="9"/>
      <c r="VD264" s="9"/>
      <c r="VE264" s="9"/>
      <c r="VF264" s="9"/>
      <c r="VG264" s="9"/>
      <c r="VH264" s="9"/>
      <c r="VI264" s="9"/>
      <c r="VJ264" s="9"/>
      <c r="VK264" s="9"/>
      <c r="VL264" s="9"/>
      <c r="VM264" s="9"/>
      <c r="VN264" s="9"/>
      <c r="VO264" s="9"/>
      <c r="VP264" s="9"/>
      <c r="VQ264" s="9"/>
      <c r="VR264" s="9"/>
      <c r="VS264" s="9"/>
      <c r="VT264" s="9"/>
      <c r="VU264" s="9"/>
      <c r="VV264" s="9"/>
      <c r="VW264" s="9"/>
      <c r="VX264" s="9"/>
      <c r="VY264" s="9"/>
      <c r="VZ264" s="9"/>
      <c r="WA264" s="9"/>
      <c r="WB264" s="9"/>
      <c r="WC264" s="9"/>
      <c r="WD264" s="9"/>
      <c r="WE264" s="9"/>
      <c r="WF264" s="9"/>
      <c r="WG264" s="9"/>
      <c r="WH264" s="9"/>
      <c r="WI264" s="9"/>
      <c r="WJ264" s="9"/>
      <c r="WK264" s="9"/>
      <c r="WL264" s="9"/>
      <c r="WM264" s="9"/>
      <c r="WN264" s="9"/>
      <c r="WO264" s="9"/>
      <c r="WP264" s="9"/>
      <c r="WQ264" s="9"/>
      <c r="WR264" s="9"/>
      <c r="WS264" s="9"/>
      <c r="WT264" s="9"/>
      <c r="WU264" s="9"/>
      <c r="WV264" s="9"/>
      <c r="WW264" s="9"/>
      <c r="WX264" s="9"/>
      <c r="WY264" s="9"/>
      <c r="WZ264" s="9"/>
      <c r="XA264" s="9"/>
      <c r="XB264" s="9"/>
      <c r="XC264" s="9"/>
      <c r="XD264" s="9"/>
      <c r="XE264" s="9"/>
      <c r="XF264" s="9"/>
      <c r="XG264" s="9"/>
      <c r="XH264" s="9"/>
      <c r="XI264" s="9"/>
      <c r="XJ264" s="9"/>
      <c r="XK264" s="9"/>
      <c r="XL264" s="9"/>
      <c r="XM264" s="9"/>
      <c r="XN264" s="9"/>
      <c r="XO264" s="9"/>
      <c r="XP264" s="9"/>
      <c r="XQ264" s="9"/>
      <c r="XR264" s="9"/>
      <c r="XS264" s="9"/>
      <c r="XT264" s="9"/>
      <c r="XU264" s="9"/>
      <c r="XV264" s="9"/>
      <c r="XW264" s="9"/>
      <c r="XX264" s="9"/>
      <c r="XY264" s="9"/>
      <c r="XZ264" s="9"/>
      <c r="YA264" s="9"/>
      <c r="YB264" s="9"/>
      <c r="YC264" s="9"/>
      <c r="YD264" s="9"/>
      <c r="YE264" s="9"/>
      <c r="YF264" s="9"/>
      <c r="YG264" s="9"/>
      <c r="YH264" s="9"/>
      <c r="YI264" s="9"/>
      <c r="YJ264" s="9"/>
      <c r="YK264" s="9"/>
      <c r="YL264" s="9"/>
      <c r="YM264" s="9"/>
      <c r="YN264" s="9"/>
      <c r="YO264" s="9"/>
      <c r="YP264" s="9"/>
      <c r="YQ264" s="9"/>
      <c r="YR264" s="9"/>
      <c r="YS264" s="9"/>
      <c r="YT264" s="9"/>
      <c r="YU264" s="9"/>
      <c r="YV264" s="9"/>
      <c r="YW264" s="9"/>
      <c r="YX264" s="9"/>
      <c r="YY264" s="9"/>
      <c r="YZ264" s="9"/>
      <c r="ZA264" s="9"/>
      <c r="ZB264" s="9"/>
      <c r="ZC264" s="9"/>
      <c r="ZD264" s="9"/>
      <c r="ZE264" s="9"/>
      <c r="ZF264" s="9"/>
      <c r="ZG264" s="9"/>
      <c r="ZH264" s="9"/>
      <c r="ZI264" s="9"/>
      <c r="ZJ264" s="9"/>
      <c r="ZK264" s="9"/>
      <c r="ZL264" s="9"/>
      <c r="ZM264" s="9"/>
      <c r="ZN264" s="9"/>
      <c r="ZO264" s="9"/>
      <c r="ZP264" s="9"/>
      <c r="ZQ264" s="9"/>
      <c r="ZR264" s="9"/>
      <c r="ZS264" s="9"/>
      <c r="ZT264" s="9"/>
      <c r="ZU264" s="9"/>
      <c r="ZV264" s="9"/>
      <c r="ZW264" s="9"/>
      <c r="ZX264" s="9"/>
      <c r="ZY264" s="9"/>
      <c r="ZZ264" s="9"/>
      <c r="AAA264" s="9"/>
      <c r="AAB264" s="9"/>
      <c r="AAC264" s="9"/>
      <c r="AAD264" s="9"/>
      <c r="AAE264" s="9"/>
      <c r="AAF264" s="9"/>
      <c r="AAG264" s="9"/>
      <c r="AAH264" s="9"/>
      <c r="AAI264" s="9"/>
      <c r="AAJ264" s="9"/>
      <c r="AAK264" s="9"/>
      <c r="AAL264" s="9"/>
      <c r="AAM264" s="9"/>
      <c r="AAN264" s="9"/>
      <c r="AAO264" s="9"/>
      <c r="AAP264" s="9"/>
      <c r="AAQ264" s="9"/>
      <c r="AAR264" s="9"/>
      <c r="AAS264" s="9"/>
      <c r="AAT264" s="9"/>
      <c r="AAU264" s="9"/>
      <c r="AAV264" s="9"/>
      <c r="AAW264" s="9"/>
      <c r="AAX264" s="9"/>
      <c r="AAY264" s="9"/>
      <c r="AAZ264" s="9"/>
      <c r="ABA264" s="9"/>
      <c r="ABB264" s="9"/>
      <c r="ABC264" s="9"/>
      <c r="ABD264" s="9"/>
      <c r="ABE264" s="9"/>
      <c r="ABF264" s="9"/>
      <c r="ABG264" s="9"/>
      <c r="ABH264" s="9"/>
      <c r="ABI264" s="9"/>
      <c r="ABJ264" s="9"/>
      <c r="ABK264" s="9"/>
      <c r="ABL264" s="9"/>
      <c r="ABM264" s="9"/>
      <c r="ABN264" s="9"/>
      <c r="ABO264" s="9"/>
      <c r="ABP264" s="9"/>
      <c r="ABQ264" s="9"/>
      <c r="ABR264" s="9"/>
      <c r="ABS264" s="9"/>
      <c r="ABT264" s="9"/>
      <c r="ABU264" s="9"/>
      <c r="ABV264" s="9"/>
      <c r="ABW264" s="9"/>
      <c r="ABX264" s="9"/>
      <c r="ABY264" s="9"/>
      <c r="ABZ264" s="9"/>
      <c r="ACA264" s="9"/>
      <c r="ACB264" s="9"/>
      <c r="ACC264" s="9"/>
      <c r="ACD264" s="9"/>
      <c r="ACE264" s="9"/>
      <c r="ACF264" s="9"/>
      <c r="ACG264" s="9"/>
      <c r="ACH264" s="9"/>
      <c r="ACI264" s="9"/>
      <c r="ACJ264" s="9"/>
      <c r="ACK264" s="9"/>
      <c r="ACL264" s="9"/>
      <c r="ACM264" s="9"/>
      <c r="ACN264" s="9"/>
      <c r="ACO264" s="9"/>
      <c r="ACP264" s="9"/>
      <c r="ACQ264" s="9"/>
      <c r="ACR264" s="9"/>
      <c r="ACS264" s="9"/>
      <c r="ACT264" s="9"/>
      <c r="ACU264" s="9"/>
      <c r="ACV264" s="9"/>
      <c r="ACW264" s="9"/>
      <c r="ACX264" s="9"/>
      <c r="ACY264" s="9"/>
      <c r="ACZ264" s="9"/>
      <c r="ADA264" s="9"/>
      <c r="ADB264" s="9"/>
      <c r="ADC264" s="9"/>
      <c r="ADD264" s="9"/>
      <c r="ADE264" s="9"/>
      <c r="ADF264" s="9"/>
      <c r="ADG264" s="9"/>
      <c r="ADH264" s="9"/>
      <c r="ADI264" s="9"/>
      <c r="ADJ264" s="9"/>
      <c r="ADK264" s="9"/>
      <c r="ADL264" s="9"/>
      <c r="ADM264" s="9"/>
      <c r="ADN264" s="9"/>
      <c r="ADO264" s="9"/>
      <c r="ADP264" s="9"/>
      <c r="ADQ264" s="9"/>
      <c r="ADR264" s="9"/>
      <c r="ADS264" s="9"/>
      <c r="ADT264" s="9"/>
      <c r="ADU264" s="9"/>
      <c r="ADV264" s="9"/>
      <c r="ADW264" s="9"/>
      <c r="ADX264" s="9"/>
      <c r="ADY264" s="9"/>
      <c r="ADZ264" s="9"/>
      <c r="AEA264" s="9"/>
      <c r="AEB264" s="9"/>
      <c r="AEC264" s="9"/>
      <c r="AED264" s="9"/>
      <c r="AEE264" s="9"/>
      <c r="AEF264" s="9"/>
      <c r="AEG264" s="9"/>
      <c r="AEH264" s="9"/>
      <c r="AEI264" s="9"/>
      <c r="AEJ264" s="9"/>
      <c r="AEK264" s="9"/>
      <c r="AEL264" s="9"/>
      <c r="AEM264" s="9"/>
      <c r="AEN264" s="9"/>
      <c r="AEO264" s="9"/>
      <c r="AEP264" s="9"/>
      <c r="AEQ264" s="9"/>
      <c r="AER264" s="9"/>
      <c r="AES264" s="9"/>
      <c r="AET264" s="9"/>
      <c r="AEU264" s="9"/>
      <c r="AEV264" s="9"/>
      <c r="AEW264" s="9"/>
      <c r="AEX264" s="9"/>
      <c r="AEY264" s="9"/>
      <c r="AEZ264" s="9"/>
      <c r="AFA264" s="9"/>
      <c r="AFB264" s="9"/>
      <c r="AFC264" s="9"/>
      <c r="AFD264" s="9"/>
      <c r="AFE264" s="9"/>
      <c r="AFF264" s="9"/>
      <c r="AFG264" s="9"/>
      <c r="AFH264" s="9"/>
      <c r="AFI264" s="9"/>
      <c r="AFJ264" s="9"/>
      <c r="AFK264" s="9"/>
      <c r="AFL264" s="9"/>
      <c r="AFM264" s="9"/>
      <c r="AFN264" s="9"/>
      <c r="AFO264" s="9"/>
      <c r="AFP264" s="9"/>
      <c r="AFQ264" s="9"/>
      <c r="AFR264" s="9"/>
      <c r="AFS264" s="9"/>
      <c r="AFT264" s="9"/>
      <c r="AFU264" s="9"/>
      <c r="AFV264" s="9"/>
      <c r="AFW264" s="9"/>
      <c r="AFX264" s="9"/>
      <c r="AFY264" s="9"/>
      <c r="AFZ264" s="9"/>
      <c r="AGA264" s="9"/>
      <c r="AGB264" s="9"/>
      <c r="AGC264" s="9"/>
      <c r="AGD264" s="9"/>
      <c r="AGE264" s="9"/>
      <c r="AGF264" s="9"/>
      <c r="AGG264" s="9"/>
      <c r="AGH264" s="9"/>
      <c r="AGI264" s="9"/>
      <c r="AGJ264" s="9"/>
      <c r="AGK264" s="9"/>
      <c r="AGL264" s="9"/>
      <c r="AGM264" s="9"/>
      <c r="AGN264" s="9"/>
      <c r="AGO264" s="9"/>
      <c r="AGP264" s="9"/>
      <c r="AGQ264" s="9"/>
      <c r="AGR264" s="9"/>
      <c r="AGS264" s="9"/>
      <c r="AGT264" s="9"/>
      <c r="AGU264" s="9"/>
      <c r="AGV264" s="9"/>
      <c r="AGW264" s="9"/>
      <c r="AGX264" s="9"/>
      <c r="AGY264" s="9"/>
      <c r="AGZ264" s="9"/>
      <c r="AHA264" s="9"/>
      <c r="AHB264" s="9"/>
      <c r="AHC264" s="9"/>
      <c r="AHD264" s="9"/>
      <c r="AHE264" s="9"/>
      <c r="AHF264" s="9"/>
      <c r="AHG264" s="9"/>
      <c r="AHH264" s="9"/>
      <c r="AHI264" s="9"/>
      <c r="AHJ264" s="9"/>
      <c r="AHK264" s="9"/>
      <c r="AHL264" s="9"/>
      <c r="AHM264" s="9"/>
      <c r="AHN264" s="9"/>
      <c r="AHO264" s="9"/>
      <c r="AHP264" s="9"/>
      <c r="AHQ264" s="9"/>
      <c r="AHR264" s="9"/>
      <c r="AHS264" s="9"/>
      <c r="AHT264" s="9"/>
      <c r="AHU264" s="9"/>
      <c r="AHV264" s="9"/>
      <c r="AHW264" s="9"/>
      <c r="AHX264" s="9"/>
      <c r="AHY264" s="9"/>
      <c r="AHZ264" s="9"/>
      <c r="AIA264" s="9"/>
      <c r="AIB264" s="9"/>
      <c r="AIC264" s="9"/>
      <c r="AID264" s="9"/>
      <c r="AIE264" s="9"/>
      <c r="AIF264" s="9"/>
      <c r="AIG264" s="9"/>
      <c r="AIH264" s="9"/>
      <c r="AII264" s="9"/>
      <c r="AIJ264" s="9"/>
      <c r="AIK264" s="9"/>
      <c r="AIL264" s="9"/>
      <c r="AIM264" s="9"/>
      <c r="AIN264" s="9"/>
      <c r="AIO264" s="9"/>
      <c r="AIP264" s="9"/>
      <c r="AIQ264" s="9"/>
      <c r="AIR264" s="9"/>
      <c r="AIS264" s="9"/>
      <c r="AIT264" s="9"/>
      <c r="AIU264" s="9"/>
      <c r="AIV264" s="9"/>
      <c r="AIW264" s="9"/>
      <c r="AIX264" s="9"/>
      <c r="AIY264" s="9"/>
      <c r="AIZ264" s="9"/>
      <c r="AJA264" s="9"/>
      <c r="AJB264" s="9"/>
      <c r="AJC264" s="9"/>
      <c r="AJD264" s="9"/>
      <c r="AJE264" s="9"/>
      <c r="AJF264" s="9"/>
      <c r="AJG264" s="9"/>
      <c r="AJH264" s="9"/>
      <c r="AJI264" s="9"/>
      <c r="AJJ264" s="9"/>
      <c r="AJK264" s="9"/>
      <c r="AJL264" s="9"/>
      <c r="AJM264" s="9"/>
      <c r="AJN264" s="9"/>
      <c r="AJO264" s="9"/>
      <c r="AJP264" s="9"/>
      <c r="AJQ264" s="9"/>
      <c r="AJR264" s="9"/>
      <c r="AJS264" s="9"/>
      <c r="AJT264" s="9"/>
      <c r="AJU264" s="9"/>
      <c r="AJV264" s="9"/>
      <c r="AJW264" s="9"/>
      <c r="AJX264" s="9"/>
      <c r="AJY264" s="9"/>
      <c r="AJZ264" s="9"/>
      <c r="AKA264" s="9"/>
      <c r="AKB264" s="9"/>
      <c r="AKC264" s="9"/>
      <c r="AKD264" s="9"/>
      <c r="AKE264" s="9"/>
      <c r="AKF264" s="9"/>
      <c r="AKG264" s="9"/>
      <c r="AKH264" s="9"/>
      <c r="AKI264" s="9"/>
      <c r="AKJ264" s="9"/>
      <c r="AKK264" s="9"/>
      <c r="AKL264" s="9"/>
      <c r="AKM264" s="9"/>
      <c r="AKN264" s="9"/>
      <c r="AKO264" s="9"/>
      <c r="AKP264" s="9"/>
      <c r="AKQ264" s="9"/>
      <c r="AKR264" s="9"/>
      <c r="AKS264" s="9"/>
      <c r="AKT264" s="9"/>
      <c r="AKU264" s="9"/>
      <c r="AKV264" s="9"/>
      <c r="AKW264" s="9"/>
      <c r="AKX264" s="9"/>
      <c r="AKY264" s="9"/>
      <c r="AKZ264" s="9"/>
      <c r="ALA264" s="9"/>
      <c r="ALB264" s="9"/>
      <c r="ALC264" s="9"/>
      <c r="ALD264" s="9"/>
      <c r="ALE264" s="9"/>
      <c r="ALF264" s="9"/>
      <c r="ALG264" s="9"/>
      <c r="ALH264" s="9"/>
      <c r="ALI264" s="9"/>
      <c r="ALJ264" s="9"/>
      <c r="ALK264" s="9"/>
      <c r="ALL264" s="9"/>
      <c r="ALM264" s="9"/>
      <c r="ALN264" s="9"/>
      <c r="ALO264" s="9"/>
      <c r="ALP264" s="9"/>
      <c r="ALQ264" s="9"/>
      <c r="ALR264" s="9"/>
      <c r="ALS264" s="9"/>
      <c r="ALT264" s="9"/>
      <c r="ALU264" s="9"/>
      <c r="ALV264" s="9"/>
      <c r="ALW264" s="9"/>
      <c r="ALX264" s="9"/>
      <c r="ALY264" s="9"/>
      <c r="ALZ264" s="9"/>
      <c r="AMA264" s="9"/>
      <c r="AMB264" s="9"/>
      <c r="AMC264" s="9"/>
      <c r="AMD264" s="9"/>
      <c r="AME264" s="9"/>
      <c r="AMF264" s="9"/>
      <c r="AMG264" s="9"/>
      <c r="AMH264" s="9"/>
      <c r="AMI264" s="9"/>
      <c r="AMJ264" s="9"/>
      <c r="AMK264" s="9"/>
      <c r="AML264" s="9"/>
      <c r="AMM264" s="9"/>
      <c r="AMN264" s="9"/>
      <c r="AMO264" s="9"/>
    </row>
    <row r="265" spans="1:1029" s="12" customFormat="1" x14ac:dyDescent="0.2">
      <c r="A265" s="9" t="str">
        <f t="shared" ref="A265:A266" si="2346">CONCATENATE(B265,"_",C265)</f>
        <v>gpbar_human__wt</v>
      </c>
      <c r="B265" s="9" t="s">
        <v>234</v>
      </c>
      <c r="C265" s="9" t="s">
        <v>100</v>
      </c>
      <c r="D265" s="9" t="str">
        <f>IFERROR(MID(VLOOKUP($B265,Seqs!$A:$B,2,0),E265,1),"")</f>
        <v>P</v>
      </c>
      <c r="E265" s="9">
        <v>14</v>
      </c>
      <c r="F265" s="9" t="str">
        <f>IFERROR(MID(VLOOKUP($B265,Seqs!$A:$B,2,0),G265,1),"")</f>
        <v>D</v>
      </c>
      <c r="G265" s="9">
        <v>42</v>
      </c>
      <c r="H265" s="9" t="str">
        <f>IFERROR(MID(VLOOKUP($B265,Seqs!$A:$B,2,0),I265,1),"")</f>
        <v>R</v>
      </c>
      <c r="I265" s="109">
        <v>43</v>
      </c>
      <c r="J265" s="9" t="str">
        <f>IFERROR(MID(VLOOKUP($B265,Seqs!$A:$B,2,0),K265,1),"")</f>
        <v>R</v>
      </c>
      <c r="K265" s="109">
        <v>46</v>
      </c>
      <c r="L265" s="9" t="str">
        <f>IFERROR(MID(VLOOKUP($B265,Seqs!$A:$B,2,0),M265,1),"")</f>
        <v>S</v>
      </c>
      <c r="M265" s="9">
        <v>47</v>
      </c>
      <c r="N265" s="9" t="str">
        <f>IFERROR(MID(VLOOKUP($B265,Seqs!$A:$B,2,0),O265,1),"")</f>
        <v>L</v>
      </c>
      <c r="O265" s="9">
        <v>74</v>
      </c>
      <c r="P265" s="9" t="str">
        <f>IFERROR(MID(VLOOKUP($B265,Seqs!$A:$B,2,0),Q265,1),"")</f>
        <v/>
      </c>
      <c r="Q265" s="9" t="s">
        <v>23</v>
      </c>
      <c r="R265" s="9" t="str">
        <f>IFERROR(MID(VLOOKUP($B265,Seqs!$A:$B,2,0),S265,1),"")</f>
        <v/>
      </c>
      <c r="S265" s="9" t="s">
        <v>23</v>
      </c>
      <c r="T265" s="9" t="str">
        <f>IFERROR(MID(VLOOKUP($B265,Seqs!$A:$B,2,0),U265,1),"")</f>
        <v>G</v>
      </c>
      <c r="U265" s="9">
        <v>81</v>
      </c>
      <c r="V265" s="9" t="str">
        <f>IFERROR(MID(VLOOKUP($B265,Seqs!$A:$B,2,0),W265,1),"")</f>
        <v>R</v>
      </c>
      <c r="W265" s="9">
        <v>116</v>
      </c>
      <c r="X265" s="9" t="str">
        <f>IFERROR(MID(VLOOKUP($B265,Seqs!$A:$B,2,0),Y265,1),"")</f>
        <v/>
      </c>
      <c r="Y265" s="9" t="s">
        <v>23</v>
      </c>
      <c r="Z265" s="9" t="str">
        <f>IFERROR(MID(VLOOKUP($B265,Seqs!$A:$B,2,0),AA265,1),"")</f>
        <v/>
      </c>
      <c r="AA265" s="9" t="s">
        <v>23</v>
      </c>
      <c r="AB265" s="9" t="str">
        <f>IFERROR(MID(VLOOKUP($B265,Seqs!$A:$B,2,0),AC265,1),"")</f>
        <v>S</v>
      </c>
      <c r="AC265" s="9">
        <v>123</v>
      </c>
      <c r="AD265" s="9" t="str">
        <f>IFERROR(MID(VLOOKUP($B265,Seqs!$A:$B,2,0),AE265,1),"")</f>
        <v>G</v>
      </c>
      <c r="AE265" s="9">
        <v>145</v>
      </c>
      <c r="AF265" s="9" t="str">
        <f>IFERROR(MID(VLOOKUP($B265,Seqs!$A:$B,2,0),AG265,1),"")</f>
        <v>C</v>
      </c>
      <c r="AG265" s="9">
        <v>155</v>
      </c>
      <c r="AH265" s="9" t="str">
        <f>IFERROR(MID(VLOOKUP($B265,Seqs!$A:$B,2,0),AI265,1),"")</f>
        <v>S</v>
      </c>
      <c r="AI265" s="9">
        <v>157</v>
      </c>
      <c r="AJ265" s="9" t="str">
        <f>IFERROR(MID(VLOOKUP($B265,Seqs!$A:$B,2,0),AK265,1),"")</f>
        <v>P</v>
      </c>
      <c r="AK265" s="9">
        <v>162</v>
      </c>
      <c r="AL265" s="9" t="str">
        <f>IFERROR(MID(VLOOKUP($B265,Seqs!$A:$B,2,0),AM265,1),"")</f>
        <v>C</v>
      </c>
      <c r="AM265" s="9">
        <v>207</v>
      </c>
      <c r="AN265" s="9" t="str">
        <f>IFERROR(MID(VLOOKUP($B265,Seqs!$A:$B,2,0),AO265,1),"")</f>
        <v>S</v>
      </c>
      <c r="AO265" s="9">
        <v>212</v>
      </c>
      <c r="AP265" s="9" t="str">
        <f>IFERROR(MID(VLOOKUP($B265,Seqs!$A:$B,2,0),AQ265,1),"")</f>
        <v>Q</v>
      </c>
      <c r="AQ265" s="9">
        <v>253</v>
      </c>
      <c r="AR265" s="9" t="str">
        <f>IFERROR(MID(VLOOKUP($B265,Seqs!$A:$B,2,0),AS265,1),"")</f>
        <v>G</v>
      </c>
      <c r="AS265" s="9">
        <v>258</v>
      </c>
      <c r="AT265" s="9" t="str">
        <f>IFERROR(MID(VLOOKUP($B265,Seqs!$A:$B,2,0),AU265,1),"")</f>
        <v>G</v>
      </c>
      <c r="AU265" s="9">
        <v>283</v>
      </c>
      <c r="AV265" s="9" t="str">
        <f>IFERROR(MID(VLOOKUP($B265,Seqs!$A:$B,2,0),AW265,1),"")</f>
        <v>D</v>
      </c>
      <c r="AW265" s="9">
        <v>284</v>
      </c>
      <c r="AX265" s="9" t="str">
        <f>IFERROR(MID(VLOOKUP($B265,Seqs!$A:$B,2,0),AY265,1),"")</f>
        <v>Q</v>
      </c>
      <c r="AY265" s="9">
        <v>296</v>
      </c>
      <c r="AZ265" s="110" t="str">
        <f>VLOOKUP(B265,Classification!A:D,2,0)</f>
        <v>A</v>
      </c>
      <c r="BA265" s="98" t="str">
        <f>VLOOKUP(B265,Classification!A:D,4,0)</f>
        <v>Bileacid</v>
      </c>
      <c r="BB265" s="36" t="b">
        <f t="shared" ref="BB265:BB266" si="2347"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109">
        <f t="shared" ref="BC265:BC266" si="2348">_xlfn.AGGREGATE(9,6,CH265:CS265)-_xlfn.AGGREGATE(9,6,BV265:CG265)+12</f>
        <v>252</v>
      </c>
      <c r="BD265" s="125" t="s">
        <v>23</v>
      </c>
      <c r="BE265" s="9" t="s">
        <v>1368</v>
      </c>
      <c r="BF265" s="119" t="s">
        <v>23</v>
      </c>
      <c r="BG265" s="51" t="s">
        <v>23</v>
      </c>
      <c r="BH265" s="51" t="s">
        <v>23</v>
      </c>
      <c r="BJ265" s="111" t="s">
        <v>1281</v>
      </c>
      <c r="BK265" s="112" t="s">
        <v>1281</v>
      </c>
      <c r="BL265" s="112" t="s">
        <v>1281</v>
      </c>
      <c r="BM265" s="112" t="s">
        <v>1281</v>
      </c>
      <c r="BN265" s="112" t="s">
        <v>1281</v>
      </c>
      <c r="BO265" s="112" t="s">
        <v>1281</v>
      </c>
      <c r="BP265" s="112" t="s">
        <v>1281</v>
      </c>
      <c r="BQ265" s="112" t="s">
        <v>1281</v>
      </c>
      <c r="BR265" s="112" t="s">
        <v>1281</v>
      </c>
      <c r="BS265" s="112" t="s">
        <v>1281</v>
      </c>
      <c r="BT265" s="112" t="s">
        <v>1281</v>
      </c>
      <c r="BU265" s="112" t="s">
        <v>1281</v>
      </c>
      <c r="BV265" s="111">
        <f t="shared" ref="BV265:BV266" si="2349">E265</f>
        <v>14</v>
      </c>
      <c r="BW265" s="113">
        <f t="shared" ref="BW265:BW266" si="2350">I265</f>
        <v>43</v>
      </c>
      <c r="BX265" s="114">
        <f t="shared" ref="BX265:BX266" si="2351">M265</f>
        <v>47</v>
      </c>
      <c r="BY265" s="113" t="str">
        <f t="shared" ref="BY265:BY266" si="2352">Q265</f>
        <v>-</v>
      </c>
      <c r="BZ265" s="114">
        <f t="shared" ref="BZ265:BZ266" si="2353">U265</f>
        <v>81</v>
      </c>
      <c r="CA265" s="113" t="str">
        <f t="shared" ref="CA265:CA266" si="2354">Y265</f>
        <v>-</v>
      </c>
      <c r="CB265" s="114">
        <f t="shared" ref="CB265:CB266" si="2355">AC265</f>
        <v>123</v>
      </c>
      <c r="CC265" s="113">
        <f t="shared" ref="CC265:CC266" si="2356">AG265</f>
        <v>155</v>
      </c>
      <c r="CD265" s="114">
        <f t="shared" ref="CD265:CD266" si="2357">AK265</f>
        <v>162</v>
      </c>
      <c r="CE265" s="113">
        <f t="shared" ref="CE265:CE266" si="2358">AO265</f>
        <v>212</v>
      </c>
      <c r="CF265" s="114">
        <f t="shared" ref="CF265:CF266" si="2359">AS265</f>
        <v>258</v>
      </c>
      <c r="CG265" s="113">
        <f t="shared" ref="CG265:CG266" si="2360">AW265</f>
        <v>284</v>
      </c>
      <c r="CH265" s="111">
        <f t="shared" ref="CH265:CH266" si="2361">G265</f>
        <v>42</v>
      </c>
      <c r="CI265" s="113">
        <f t="shared" ref="CI265:CI266" si="2362">K265</f>
        <v>46</v>
      </c>
      <c r="CJ265" s="114">
        <f t="shared" ref="CJ265:CJ266" si="2363">O265</f>
        <v>74</v>
      </c>
      <c r="CK265" s="114" t="str">
        <f t="shared" ref="CK265:CK266" si="2364">S265</f>
        <v>-</v>
      </c>
      <c r="CL265" s="114">
        <f t="shared" ref="CL265:CL266" si="2365">W265</f>
        <v>116</v>
      </c>
      <c r="CM265" s="114" t="str">
        <f t="shared" ref="CM265:CM266" si="2366">AA265</f>
        <v>-</v>
      </c>
      <c r="CN265" s="114">
        <f t="shared" ref="CN265:CN266" si="2367">AE265</f>
        <v>145</v>
      </c>
      <c r="CO265" s="114">
        <f t="shared" ref="CO265:CO266" si="2368">AI265</f>
        <v>157</v>
      </c>
      <c r="CP265" s="114">
        <f t="shared" ref="CP265:CP266" si="2369">AM265</f>
        <v>207</v>
      </c>
      <c r="CQ265" s="114">
        <f t="shared" ref="CQ265:CQ266" si="2370">AQ265</f>
        <v>253</v>
      </c>
      <c r="CR265" s="114">
        <f t="shared" ref="CR265:CR266" si="2371">AU265</f>
        <v>283</v>
      </c>
      <c r="CS265" s="114">
        <f t="shared" ref="CS265:CS266" si="2372">AY265</f>
        <v>296</v>
      </c>
      <c r="CT265" s="109">
        <f t="shared" ref="CT265:CT266" si="2373">M265-K265</f>
        <v>1</v>
      </c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9"/>
      <c r="JE265" s="9"/>
      <c r="JF265" s="9"/>
      <c r="JG265" s="9"/>
      <c r="JH265" s="9"/>
      <c r="JI265" s="9"/>
      <c r="JJ265" s="9"/>
      <c r="JK265" s="9"/>
      <c r="JL265" s="9"/>
      <c r="JM265" s="9"/>
      <c r="JN265" s="9"/>
      <c r="JO265" s="9"/>
      <c r="JP265" s="9"/>
      <c r="JQ265" s="9"/>
      <c r="JR265" s="9"/>
      <c r="JS265" s="9"/>
      <c r="JT265" s="9"/>
      <c r="JU265" s="9"/>
      <c r="JV265" s="9"/>
      <c r="JW265" s="9"/>
      <c r="JX265" s="9"/>
      <c r="JY265" s="9"/>
      <c r="JZ265" s="9"/>
      <c r="KA265" s="9"/>
      <c r="KB265" s="9"/>
      <c r="KC265" s="9"/>
      <c r="KD265" s="9"/>
      <c r="KE265" s="9"/>
      <c r="KF265" s="9"/>
      <c r="KG265" s="9"/>
      <c r="KH265" s="9"/>
      <c r="KI265" s="9"/>
      <c r="KJ265" s="9"/>
      <c r="KK265" s="9"/>
      <c r="KL265" s="9"/>
      <c r="KM265" s="9"/>
      <c r="KN265" s="9"/>
      <c r="KO265" s="9"/>
      <c r="KP265" s="9"/>
      <c r="KQ265" s="9"/>
      <c r="KR265" s="9"/>
      <c r="KS265" s="9"/>
      <c r="KT265" s="9"/>
      <c r="KU265" s="9"/>
      <c r="KV265" s="9"/>
      <c r="KW265" s="9"/>
      <c r="KX265" s="9"/>
      <c r="KY265" s="9"/>
      <c r="KZ265" s="9"/>
      <c r="LA265" s="9"/>
      <c r="LB265" s="9"/>
      <c r="LC265" s="9"/>
      <c r="LD265" s="9"/>
      <c r="LE265" s="9"/>
      <c r="LF265" s="9"/>
      <c r="LG265" s="9"/>
      <c r="LH265" s="9"/>
      <c r="LI265" s="9"/>
      <c r="LJ265" s="9"/>
      <c r="LK265" s="9"/>
      <c r="LL265" s="9"/>
      <c r="LM265" s="9"/>
      <c r="LN265" s="9"/>
      <c r="LO265" s="9"/>
      <c r="LP265" s="9"/>
      <c r="LQ265" s="9"/>
      <c r="LR265" s="9"/>
      <c r="LS265" s="9"/>
      <c r="LT265" s="9"/>
      <c r="LU265" s="9"/>
      <c r="LV265" s="9"/>
      <c r="LW265" s="9"/>
      <c r="LX265" s="9"/>
      <c r="LY265" s="9"/>
      <c r="LZ265" s="9"/>
      <c r="MA265" s="9"/>
      <c r="MB265" s="9"/>
      <c r="MC265" s="9"/>
      <c r="MD265" s="9"/>
      <c r="ME265" s="9"/>
      <c r="MF265" s="9"/>
      <c r="MG265" s="9"/>
      <c r="MH265" s="9"/>
      <c r="MI265" s="9"/>
      <c r="MJ265" s="9"/>
      <c r="MK265" s="9"/>
      <c r="ML265" s="9"/>
      <c r="MM265" s="9"/>
      <c r="MN265" s="9"/>
      <c r="MO265" s="9"/>
      <c r="MP265" s="9"/>
      <c r="MQ265" s="9"/>
      <c r="MR265" s="9"/>
      <c r="MS265" s="9"/>
      <c r="MT265" s="9"/>
      <c r="MU265" s="9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  <c r="PG265" s="9"/>
      <c r="PH265" s="9"/>
      <c r="PI265" s="9"/>
      <c r="PJ265" s="9"/>
      <c r="PK265" s="9"/>
      <c r="PL265" s="9"/>
      <c r="PM265" s="9"/>
      <c r="PN265" s="9"/>
      <c r="PO265" s="9"/>
      <c r="PP265" s="9"/>
      <c r="PQ265" s="9"/>
      <c r="PR265" s="9"/>
      <c r="PS265" s="9"/>
      <c r="PT265" s="9"/>
      <c r="PU265" s="9"/>
      <c r="PV265" s="9"/>
      <c r="PW265" s="9"/>
      <c r="PX265" s="9"/>
      <c r="PY265" s="9"/>
      <c r="PZ265" s="9"/>
      <c r="QA265" s="9"/>
      <c r="QB265" s="9"/>
      <c r="QC265" s="9"/>
      <c r="QD265" s="9"/>
      <c r="QE265" s="9"/>
      <c r="QF265" s="9"/>
      <c r="QG265" s="9"/>
      <c r="QH265" s="9"/>
      <c r="QI265" s="9"/>
      <c r="QJ265" s="9"/>
      <c r="QK265" s="9"/>
      <c r="QL265" s="9"/>
      <c r="QM265" s="9"/>
      <c r="QN265" s="9"/>
      <c r="QO265" s="9"/>
      <c r="QP265" s="9"/>
      <c r="QQ265" s="9"/>
      <c r="QR265" s="9"/>
      <c r="QS265" s="9"/>
      <c r="QT265" s="9"/>
      <c r="QU265" s="9"/>
      <c r="QV265" s="9"/>
      <c r="QW265" s="9"/>
      <c r="QX265" s="9"/>
      <c r="QY265" s="9"/>
      <c r="QZ265" s="9"/>
      <c r="RA265" s="9"/>
      <c r="RB265" s="9"/>
      <c r="RC265" s="9"/>
      <c r="RD265" s="9"/>
      <c r="RE265" s="9"/>
      <c r="RF265" s="9"/>
      <c r="RG265" s="9"/>
      <c r="RH265" s="9"/>
      <c r="RI265" s="9"/>
      <c r="RJ265" s="9"/>
      <c r="RK265" s="9"/>
      <c r="RL265" s="9"/>
      <c r="RM265" s="9"/>
      <c r="RN265" s="9"/>
      <c r="RO265" s="9"/>
      <c r="RP265" s="9"/>
      <c r="RQ265" s="9"/>
      <c r="RR265" s="9"/>
      <c r="RS265" s="9"/>
      <c r="RT265" s="9"/>
      <c r="RU265" s="9"/>
      <c r="RV265" s="9"/>
      <c r="RW265" s="9"/>
      <c r="RX265" s="9"/>
      <c r="RY265" s="9"/>
      <c r="RZ265" s="9"/>
      <c r="SA265" s="9"/>
      <c r="SB265" s="9"/>
      <c r="SC265" s="9"/>
      <c r="SD265" s="9"/>
      <c r="SE265" s="9"/>
      <c r="SF265" s="9"/>
      <c r="SG265" s="9"/>
      <c r="SH265" s="9"/>
      <c r="SI265" s="9"/>
      <c r="SJ265" s="9"/>
      <c r="SK265" s="9"/>
      <c r="SL265" s="9"/>
      <c r="SM265" s="9"/>
      <c r="SN265" s="9"/>
      <c r="SO265" s="9"/>
      <c r="SP265" s="9"/>
      <c r="SQ265" s="9"/>
      <c r="SR265" s="9"/>
      <c r="SS265" s="9"/>
      <c r="ST265" s="9"/>
      <c r="SU265" s="9"/>
      <c r="SV265" s="9"/>
      <c r="SW265" s="9"/>
      <c r="SX265" s="9"/>
      <c r="SY265" s="9"/>
      <c r="SZ265" s="9"/>
      <c r="TA265" s="9"/>
      <c r="TB265" s="9"/>
      <c r="TC265" s="9"/>
      <c r="TD265" s="9"/>
      <c r="TE265" s="9"/>
      <c r="TF265" s="9"/>
      <c r="TG265" s="9"/>
      <c r="TH265" s="9"/>
      <c r="TI265" s="9"/>
      <c r="TJ265" s="9"/>
      <c r="TK265" s="9"/>
      <c r="TL265" s="9"/>
      <c r="TM265" s="9"/>
      <c r="TN265" s="9"/>
      <c r="TO265" s="9"/>
      <c r="TP265" s="9"/>
      <c r="TQ265" s="9"/>
      <c r="TR265" s="9"/>
      <c r="TS265" s="9"/>
      <c r="TT265" s="9"/>
      <c r="TU265" s="9"/>
      <c r="TV265" s="9"/>
      <c r="TW265" s="9"/>
      <c r="TX265" s="9"/>
      <c r="TY265" s="9"/>
      <c r="TZ265" s="9"/>
      <c r="UA265" s="9"/>
      <c r="UB265" s="9"/>
      <c r="UC265" s="9"/>
      <c r="UD265" s="9"/>
      <c r="UE265" s="9"/>
      <c r="UF265" s="9"/>
      <c r="UG265" s="9"/>
      <c r="UH265" s="9"/>
      <c r="UI265" s="9"/>
      <c r="UJ265" s="9"/>
      <c r="UK265" s="9"/>
      <c r="UL265" s="9"/>
      <c r="UM265" s="9"/>
      <c r="UN265" s="9"/>
      <c r="UO265" s="9"/>
      <c r="UP265" s="9"/>
      <c r="UQ265" s="9"/>
      <c r="UR265" s="9"/>
      <c r="US265" s="9"/>
      <c r="UT265" s="9"/>
      <c r="UU265" s="9"/>
      <c r="UV265" s="9"/>
      <c r="UW265" s="9"/>
      <c r="UX265" s="9"/>
      <c r="UY265" s="9"/>
      <c r="UZ265" s="9"/>
      <c r="VA265" s="9"/>
      <c r="VB265" s="9"/>
      <c r="VC265" s="9"/>
      <c r="VD265" s="9"/>
      <c r="VE265" s="9"/>
      <c r="VF265" s="9"/>
      <c r="VG265" s="9"/>
      <c r="VH265" s="9"/>
      <c r="VI265" s="9"/>
      <c r="VJ265" s="9"/>
      <c r="VK265" s="9"/>
      <c r="VL265" s="9"/>
      <c r="VM265" s="9"/>
      <c r="VN265" s="9"/>
      <c r="VO265" s="9"/>
      <c r="VP265" s="9"/>
      <c r="VQ265" s="9"/>
      <c r="VR265" s="9"/>
      <c r="VS265" s="9"/>
      <c r="VT265" s="9"/>
      <c r="VU265" s="9"/>
      <c r="VV265" s="9"/>
      <c r="VW265" s="9"/>
      <c r="VX265" s="9"/>
      <c r="VY265" s="9"/>
      <c r="VZ265" s="9"/>
      <c r="WA265" s="9"/>
      <c r="WB265" s="9"/>
      <c r="WC265" s="9"/>
      <c r="WD265" s="9"/>
      <c r="WE265" s="9"/>
      <c r="WF265" s="9"/>
      <c r="WG265" s="9"/>
      <c r="WH265" s="9"/>
      <c r="WI265" s="9"/>
      <c r="WJ265" s="9"/>
      <c r="WK265" s="9"/>
      <c r="WL265" s="9"/>
      <c r="WM265" s="9"/>
      <c r="WN265" s="9"/>
      <c r="WO265" s="9"/>
      <c r="WP265" s="9"/>
      <c r="WQ265" s="9"/>
      <c r="WR265" s="9"/>
      <c r="WS265" s="9"/>
      <c r="WT265" s="9"/>
      <c r="WU265" s="9"/>
      <c r="WV265" s="9"/>
      <c r="WW265" s="9"/>
      <c r="WX265" s="9"/>
      <c r="WY265" s="9"/>
      <c r="WZ265" s="9"/>
      <c r="XA265" s="9"/>
      <c r="XB265" s="9"/>
      <c r="XC265" s="9"/>
      <c r="XD265" s="9"/>
      <c r="XE265" s="9"/>
      <c r="XF265" s="9"/>
      <c r="XG265" s="9"/>
      <c r="XH265" s="9"/>
      <c r="XI265" s="9"/>
      <c r="XJ265" s="9"/>
      <c r="XK265" s="9"/>
      <c r="XL265" s="9"/>
      <c r="XM265" s="9"/>
      <c r="XN265" s="9"/>
      <c r="XO265" s="9"/>
      <c r="XP265" s="9"/>
      <c r="XQ265" s="9"/>
      <c r="XR265" s="9"/>
      <c r="XS265" s="9"/>
      <c r="XT265" s="9"/>
      <c r="XU265" s="9"/>
      <c r="XV265" s="9"/>
      <c r="XW265" s="9"/>
      <c r="XX265" s="9"/>
      <c r="XY265" s="9"/>
      <c r="XZ265" s="9"/>
      <c r="YA265" s="9"/>
      <c r="YB265" s="9"/>
      <c r="YC265" s="9"/>
      <c r="YD265" s="9"/>
      <c r="YE265" s="9"/>
      <c r="YF265" s="9"/>
      <c r="YG265" s="9"/>
      <c r="YH265" s="9"/>
      <c r="YI265" s="9"/>
      <c r="YJ265" s="9"/>
      <c r="YK265" s="9"/>
      <c r="YL265" s="9"/>
      <c r="YM265" s="9"/>
      <c r="YN265" s="9"/>
      <c r="YO265" s="9"/>
      <c r="YP265" s="9"/>
      <c r="YQ265" s="9"/>
      <c r="YR265" s="9"/>
      <c r="YS265" s="9"/>
      <c r="YT265" s="9"/>
      <c r="YU265" s="9"/>
      <c r="YV265" s="9"/>
      <c r="YW265" s="9"/>
      <c r="YX265" s="9"/>
      <c r="YY265" s="9"/>
      <c r="YZ265" s="9"/>
      <c r="ZA265" s="9"/>
      <c r="ZB265" s="9"/>
      <c r="ZC265" s="9"/>
      <c r="ZD265" s="9"/>
      <c r="ZE265" s="9"/>
      <c r="ZF265" s="9"/>
      <c r="ZG265" s="9"/>
      <c r="ZH265" s="9"/>
      <c r="ZI265" s="9"/>
      <c r="ZJ265" s="9"/>
      <c r="ZK265" s="9"/>
      <c r="ZL265" s="9"/>
      <c r="ZM265" s="9"/>
      <c r="ZN265" s="9"/>
      <c r="ZO265" s="9"/>
      <c r="ZP265" s="9"/>
      <c r="ZQ265" s="9"/>
      <c r="ZR265" s="9"/>
      <c r="ZS265" s="9"/>
      <c r="ZT265" s="9"/>
      <c r="ZU265" s="9"/>
      <c r="ZV265" s="9"/>
      <c r="ZW265" s="9"/>
      <c r="ZX265" s="9"/>
      <c r="ZY265" s="9"/>
      <c r="ZZ265" s="9"/>
      <c r="AAA265" s="9"/>
      <c r="AAB265" s="9"/>
      <c r="AAC265" s="9"/>
      <c r="AAD265" s="9"/>
      <c r="AAE265" s="9"/>
      <c r="AAF265" s="9"/>
      <c r="AAG265" s="9"/>
      <c r="AAH265" s="9"/>
      <c r="AAI265" s="9"/>
      <c r="AAJ265" s="9"/>
      <c r="AAK265" s="9"/>
      <c r="AAL265" s="9"/>
      <c r="AAM265" s="9"/>
      <c r="AAN265" s="9"/>
      <c r="AAO265" s="9"/>
      <c r="AAP265" s="9"/>
      <c r="AAQ265" s="9"/>
      <c r="AAR265" s="9"/>
      <c r="AAS265" s="9"/>
      <c r="AAT265" s="9"/>
      <c r="AAU265" s="9"/>
      <c r="AAV265" s="9"/>
      <c r="AAW265" s="9"/>
      <c r="AAX265" s="9"/>
      <c r="AAY265" s="9"/>
      <c r="AAZ265" s="9"/>
      <c r="ABA265" s="9"/>
      <c r="ABB265" s="9"/>
      <c r="ABC265" s="9"/>
      <c r="ABD265" s="9"/>
      <c r="ABE265" s="9"/>
      <c r="ABF265" s="9"/>
      <c r="ABG265" s="9"/>
      <c r="ABH265" s="9"/>
      <c r="ABI265" s="9"/>
      <c r="ABJ265" s="9"/>
      <c r="ABK265" s="9"/>
      <c r="ABL265" s="9"/>
      <c r="ABM265" s="9"/>
      <c r="ABN265" s="9"/>
      <c r="ABO265" s="9"/>
      <c r="ABP265" s="9"/>
      <c r="ABQ265" s="9"/>
      <c r="ABR265" s="9"/>
      <c r="ABS265" s="9"/>
      <c r="ABT265" s="9"/>
      <c r="ABU265" s="9"/>
      <c r="ABV265" s="9"/>
      <c r="ABW265" s="9"/>
      <c r="ABX265" s="9"/>
      <c r="ABY265" s="9"/>
      <c r="ABZ265" s="9"/>
      <c r="ACA265" s="9"/>
      <c r="ACB265" s="9"/>
      <c r="ACC265" s="9"/>
      <c r="ACD265" s="9"/>
      <c r="ACE265" s="9"/>
      <c r="ACF265" s="9"/>
      <c r="ACG265" s="9"/>
      <c r="ACH265" s="9"/>
      <c r="ACI265" s="9"/>
      <c r="ACJ265" s="9"/>
      <c r="ACK265" s="9"/>
      <c r="ACL265" s="9"/>
      <c r="ACM265" s="9"/>
      <c r="ACN265" s="9"/>
      <c r="ACO265" s="9"/>
      <c r="ACP265" s="9"/>
      <c r="ACQ265" s="9"/>
      <c r="ACR265" s="9"/>
      <c r="ACS265" s="9"/>
      <c r="ACT265" s="9"/>
      <c r="ACU265" s="9"/>
      <c r="ACV265" s="9"/>
      <c r="ACW265" s="9"/>
      <c r="ACX265" s="9"/>
      <c r="ACY265" s="9"/>
      <c r="ACZ265" s="9"/>
      <c r="ADA265" s="9"/>
      <c r="ADB265" s="9"/>
      <c r="ADC265" s="9"/>
      <c r="ADD265" s="9"/>
      <c r="ADE265" s="9"/>
      <c r="ADF265" s="9"/>
      <c r="ADG265" s="9"/>
      <c r="ADH265" s="9"/>
      <c r="ADI265" s="9"/>
      <c r="ADJ265" s="9"/>
      <c r="ADK265" s="9"/>
      <c r="ADL265" s="9"/>
      <c r="ADM265" s="9"/>
      <c r="ADN265" s="9"/>
      <c r="ADO265" s="9"/>
      <c r="ADP265" s="9"/>
      <c r="ADQ265" s="9"/>
      <c r="ADR265" s="9"/>
      <c r="ADS265" s="9"/>
      <c r="ADT265" s="9"/>
      <c r="ADU265" s="9"/>
      <c r="ADV265" s="9"/>
      <c r="ADW265" s="9"/>
      <c r="ADX265" s="9"/>
      <c r="ADY265" s="9"/>
      <c r="ADZ265" s="9"/>
      <c r="AEA265" s="9"/>
      <c r="AEB265" s="9"/>
      <c r="AEC265" s="9"/>
      <c r="AED265" s="9"/>
      <c r="AEE265" s="9"/>
      <c r="AEF265" s="9"/>
      <c r="AEG265" s="9"/>
      <c r="AEH265" s="9"/>
      <c r="AEI265" s="9"/>
      <c r="AEJ265" s="9"/>
      <c r="AEK265" s="9"/>
      <c r="AEL265" s="9"/>
      <c r="AEM265" s="9"/>
      <c r="AEN265" s="9"/>
      <c r="AEO265" s="9"/>
      <c r="AEP265" s="9"/>
      <c r="AEQ265" s="9"/>
      <c r="AER265" s="9"/>
      <c r="AES265" s="9"/>
      <c r="AET265" s="9"/>
      <c r="AEU265" s="9"/>
      <c r="AEV265" s="9"/>
      <c r="AEW265" s="9"/>
      <c r="AEX265" s="9"/>
      <c r="AEY265" s="9"/>
      <c r="AEZ265" s="9"/>
      <c r="AFA265" s="9"/>
      <c r="AFB265" s="9"/>
      <c r="AFC265" s="9"/>
      <c r="AFD265" s="9"/>
      <c r="AFE265" s="9"/>
      <c r="AFF265" s="9"/>
      <c r="AFG265" s="9"/>
      <c r="AFH265" s="9"/>
      <c r="AFI265" s="9"/>
      <c r="AFJ265" s="9"/>
      <c r="AFK265" s="9"/>
      <c r="AFL265" s="9"/>
      <c r="AFM265" s="9"/>
      <c r="AFN265" s="9"/>
      <c r="AFO265" s="9"/>
      <c r="AFP265" s="9"/>
      <c r="AFQ265" s="9"/>
      <c r="AFR265" s="9"/>
      <c r="AFS265" s="9"/>
      <c r="AFT265" s="9"/>
      <c r="AFU265" s="9"/>
      <c r="AFV265" s="9"/>
      <c r="AFW265" s="9"/>
      <c r="AFX265" s="9"/>
      <c r="AFY265" s="9"/>
      <c r="AFZ265" s="9"/>
      <c r="AGA265" s="9"/>
      <c r="AGB265" s="9"/>
      <c r="AGC265" s="9"/>
      <c r="AGD265" s="9"/>
      <c r="AGE265" s="9"/>
      <c r="AGF265" s="9"/>
      <c r="AGG265" s="9"/>
      <c r="AGH265" s="9"/>
      <c r="AGI265" s="9"/>
      <c r="AGJ265" s="9"/>
      <c r="AGK265" s="9"/>
      <c r="AGL265" s="9"/>
      <c r="AGM265" s="9"/>
      <c r="AGN265" s="9"/>
      <c r="AGO265" s="9"/>
      <c r="AGP265" s="9"/>
      <c r="AGQ265" s="9"/>
      <c r="AGR265" s="9"/>
      <c r="AGS265" s="9"/>
      <c r="AGT265" s="9"/>
      <c r="AGU265" s="9"/>
      <c r="AGV265" s="9"/>
      <c r="AGW265" s="9"/>
      <c r="AGX265" s="9"/>
      <c r="AGY265" s="9"/>
      <c r="AGZ265" s="9"/>
      <c r="AHA265" s="9"/>
      <c r="AHB265" s="9"/>
      <c r="AHC265" s="9"/>
      <c r="AHD265" s="9"/>
      <c r="AHE265" s="9"/>
      <c r="AHF265" s="9"/>
      <c r="AHG265" s="9"/>
      <c r="AHH265" s="9"/>
      <c r="AHI265" s="9"/>
      <c r="AHJ265" s="9"/>
      <c r="AHK265" s="9"/>
      <c r="AHL265" s="9"/>
      <c r="AHM265" s="9"/>
      <c r="AHN265" s="9"/>
      <c r="AHO265" s="9"/>
      <c r="AHP265" s="9"/>
      <c r="AHQ265" s="9"/>
      <c r="AHR265" s="9"/>
      <c r="AHS265" s="9"/>
      <c r="AHT265" s="9"/>
      <c r="AHU265" s="9"/>
      <c r="AHV265" s="9"/>
      <c r="AHW265" s="9"/>
      <c r="AHX265" s="9"/>
      <c r="AHY265" s="9"/>
      <c r="AHZ265" s="9"/>
      <c r="AIA265" s="9"/>
      <c r="AIB265" s="9"/>
      <c r="AIC265" s="9"/>
      <c r="AID265" s="9"/>
      <c r="AIE265" s="9"/>
      <c r="AIF265" s="9"/>
      <c r="AIG265" s="9"/>
      <c r="AIH265" s="9"/>
      <c r="AII265" s="9"/>
      <c r="AIJ265" s="9"/>
      <c r="AIK265" s="9"/>
      <c r="AIL265" s="9"/>
      <c r="AIM265" s="9"/>
      <c r="AIN265" s="9"/>
      <c r="AIO265" s="9"/>
      <c r="AIP265" s="9"/>
      <c r="AIQ265" s="9"/>
      <c r="AIR265" s="9"/>
      <c r="AIS265" s="9"/>
      <c r="AIT265" s="9"/>
      <c r="AIU265" s="9"/>
      <c r="AIV265" s="9"/>
      <c r="AIW265" s="9"/>
      <c r="AIX265" s="9"/>
      <c r="AIY265" s="9"/>
      <c r="AIZ265" s="9"/>
      <c r="AJA265" s="9"/>
      <c r="AJB265" s="9"/>
      <c r="AJC265" s="9"/>
      <c r="AJD265" s="9"/>
      <c r="AJE265" s="9"/>
      <c r="AJF265" s="9"/>
      <c r="AJG265" s="9"/>
      <c r="AJH265" s="9"/>
      <c r="AJI265" s="9"/>
      <c r="AJJ265" s="9"/>
      <c r="AJK265" s="9"/>
      <c r="AJL265" s="9"/>
      <c r="AJM265" s="9"/>
      <c r="AJN265" s="9"/>
      <c r="AJO265" s="9"/>
      <c r="AJP265" s="9"/>
      <c r="AJQ265" s="9"/>
      <c r="AJR265" s="9"/>
      <c r="AJS265" s="9"/>
      <c r="AJT265" s="9"/>
      <c r="AJU265" s="9"/>
      <c r="AJV265" s="9"/>
      <c r="AJW265" s="9"/>
      <c r="AJX265" s="9"/>
      <c r="AJY265" s="9"/>
      <c r="AJZ265" s="9"/>
      <c r="AKA265" s="9"/>
      <c r="AKB265" s="9"/>
      <c r="AKC265" s="9"/>
      <c r="AKD265" s="9"/>
      <c r="AKE265" s="9"/>
      <c r="AKF265" s="9"/>
      <c r="AKG265" s="9"/>
      <c r="AKH265" s="9"/>
      <c r="AKI265" s="9"/>
      <c r="AKJ265" s="9"/>
      <c r="AKK265" s="9"/>
      <c r="AKL265" s="9"/>
      <c r="AKM265" s="9"/>
      <c r="AKN265" s="9"/>
      <c r="AKO265" s="9"/>
      <c r="AKP265" s="9"/>
      <c r="AKQ265" s="9"/>
      <c r="AKR265" s="9"/>
      <c r="AKS265" s="9"/>
      <c r="AKT265" s="9"/>
      <c r="AKU265" s="9"/>
      <c r="AKV265" s="9"/>
      <c r="AKW265" s="9"/>
      <c r="AKX265" s="9"/>
      <c r="AKY265" s="9"/>
      <c r="AKZ265" s="9"/>
      <c r="ALA265" s="9"/>
      <c r="ALB265" s="9"/>
      <c r="ALC265" s="9"/>
      <c r="ALD265" s="9"/>
      <c r="ALE265" s="9"/>
      <c r="ALF265" s="9"/>
      <c r="ALG265" s="9"/>
      <c r="ALH265" s="9"/>
      <c r="ALI265" s="9"/>
      <c r="ALJ265" s="9"/>
      <c r="ALK265" s="9"/>
      <c r="ALL265" s="9"/>
      <c r="ALM265" s="9"/>
      <c r="ALN265" s="9"/>
      <c r="ALO265" s="9"/>
      <c r="ALP265" s="9"/>
      <c r="ALQ265" s="9"/>
      <c r="ALR265" s="9"/>
      <c r="ALS265" s="9"/>
      <c r="ALT265" s="9"/>
      <c r="ALU265" s="9"/>
      <c r="ALV265" s="9"/>
      <c r="ALW265" s="9"/>
      <c r="ALX265" s="9"/>
      <c r="ALY265" s="9"/>
      <c r="ALZ265" s="9"/>
      <c r="AMA265" s="9"/>
      <c r="AMB265" s="9"/>
      <c r="AMC265" s="9"/>
      <c r="AMD265" s="9"/>
      <c r="AME265" s="9"/>
      <c r="AMF265" s="9"/>
      <c r="AMG265" s="9"/>
      <c r="AMH265" s="9"/>
      <c r="AMI265" s="9"/>
      <c r="AMJ265" s="9"/>
      <c r="AMK265" s="9"/>
      <c r="AML265" s="9"/>
      <c r="AMM265" s="9"/>
      <c r="AMN265" s="9"/>
      <c r="AMO265" s="9"/>
    </row>
    <row r="266" spans="1:1029" s="12" customFormat="1" x14ac:dyDescent="0.2">
      <c r="A266" s="9" t="str">
        <f t="shared" si="2346"/>
        <v>gpbar_human_7BW0</v>
      </c>
      <c r="B266" s="9" t="s">
        <v>234</v>
      </c>
      <c r="C266" s="9" t="s">
        <v>1728</v>
      </c>
      <c r="D266" s="9" t="str">
        <f>IFERROR(MID(VLOOKUP($B266,Seqs!$A:$B,2,0),E266,1),"")</f>
        <v>P</v>
      </c>
      <c r="E266" s="9">
        <v>14</v>
      </c>
      <c r="F266" s="9" t="str">
        <f>IFERROR(MID(VLOOKUP($B266,Seqs!$A:$B,2,0),G266,1),"")</f>
        <v>W</v>
      </c>
      <c r="G266" s="9">
        <v>41</v>
      </c>
      <c r="H266" s="9" t="str">
        <f>IFERROR(MID(VLOOKUP($B266,Seqs!$A:$B,2,0),I266,1),"")</f>
        <v>R</v>
      </c>
      <c r="I266" s="109">
        <v>43</v>
      </c>
      <c r="J266" s="9" t="str">
        <f>IFERROR(MID(VLOOKUP($B266,Seqs!$A:$B,2,0),K266,1),"")</f>
        <v>R</v>
      </c>
      <c r="K266" s="109">
        <v>46</v>
      </c>
      <c r="L266" s="9" t="str">
        <f>IFERROR(MID(VLOOKUP($B266,Seqs!$A:$B,2,0),M266,1),"")</f>
        <v>S</v>
      </c>
      <c r="M266" s="9">
        <v>47</v>
      </c>
      <c r="N266" s="9" t="str">
        <f>IFERROR(MID(VLOOKUP($B266,Seqs!$A:$B,2,0),O266,1),"")</f>
        <v>L</v>
      </c>
      <c r="O266" s="9">
        <v>74</v>
      </c>
      <c r="P266" s="9" t="str">
        <f>IFERROR(MID(VLOOKUP($B266,Seqs!$A:$B,2,0),Q266,1),"")</f>
        <v/>
      </c>
      <c r="Q266" s="9" t="s">
        <v>23</v>
      </c>
      <c r="R266" s="9" t="str">
        <f>IFERROR(MID(VLOOKUP($B266,Seqs!$A:$B,2,0),S266,1),"")</f>
        <v/>
      </c>
      <c r="S266" s="9" t="s">
        <v>23</v>
      </c>
      <c r="T266" s="9" t="str">
        <f>IFERROR(MID(VLOOKUP($B266,Seqs!$A:$B,2,0),U266,1),"")</f>
        <v>G</v>
      </c>
      <c r="U266" s="9">
        <v>81</v>
      </c>
      <c r="V266" s="9" t="str">
        <f>IFERROR(MID(VLOOKUP($B266,Seqs!$A:$B,2,0),W266,1),"")</f>
        <v>R</v>
      </c>
      <c r="W266" s="9">
        <v>116</v>
      </c>
      <c r="X266" s="9" t="str">
        <f>IFERROR(MID(VLOOKUP($B266,Seqs!$A:$B,2,0),Y266,1),"")</f>
        <v/>
      </c>
      <c r="Y266" s="9" t="s">
        <v>23</v>
      </c>
      <c r="Z266" s="9" t="str">
        <f>IFERROR(MID(VLOOKUP($B266,Seqs!$A:$B,2,0),AA266,1),"")</f>
        <v/>
      </c>
      <c r="AA266" s="9" t="s">
        <v>23</v>
      </c>
      <c r="AB266" s="9" t="str">
        <f>IFERROR(MID(VLOOKUP($B266,Seqs!$A:$B,2,0),AC266,1),"")</f>
        <v>S</v>
      </c>
      <c r="AC266" s="9">
        <v>123</v>
      </c>
      <c r="AD266" s="9" t="str">
        <f>IFERROR(MID(VLOOKUP($B266,Seqs!$A:$B,2,0),AE266,1),"")</f>
        <v>L</v>
      </c>
      <c r="AE266" s="9">
        <v>144</v>
      </c>
      <c r="AF266" s="9" t="str">
        <f>IFERROR(MID(VLOOKUP($B266,Seqs!$A:$B,2,0),AG266,1),"")</f>
        <v/>
      </c>
      <c r="AG266" s="9" t="s">
        <v>23</v>
      </c>
      <c r="AH266" s="9" t="str">
        <f>IFERROR(MID(VLOOKUP($B266,Seqs!$A:$B,2,0),AI266,1),"")</f>
        <v/>
      </c>
      <c r="AI266" s="9" t="s">
        <v>23</v>
      </c>
      <c r="AJ266" s="9" t="str">
        <f>IFERROR(MID(VLOOKUP($B266,Seqs!$A:$B,2,0),AK266,1),"")</f>
        <v>P</v>
      </c>
      <c r="AK266" s="9">
        <v>164</v>
      </c>
      <c r="AL266" s="9" t="str">
        <f>IFERROR(MID(VLOOKUP($B266,Seqs!$A:$B,2,0),AM266,1),"")</f>
        <v>C</v>
      </c>
      <c r="AM266" s="9">
        <v>207</v>
      </c>
      <c r="AN266" s="9" t="str">
        <f>IFERROR(MID(VLOOKUP($B266,Seqs!$A:$B,2,0),AO266,1),"")</f>
        <v>L</v>
      </c>
      <c r="AO266" s="9">
        <v>214</v>
      </c>
      <c r="AP266" s="9" t="str">
        <f>IFERROR(MID(VLOOKUP($B266,Seqs!$A:$B,2,0),AQ266,1),"")</f>
        <v>A</v>
      </c>
      <c r="AQ266" s="9">
        <v>250</v>
      </c>
      <c r="AR266" s="9" t="str">
        <f>IFERROR(MID(VLOOKUP($B266,Seqs!$A:$B,2,0),AS266,1),"")</f>
        <v>T</v>
      </c>
      <c r="AS266" s="9">
        <v>261</v>
      </c>
      <c r="AT266" s="9" t="str">
        <f>IFERROR(MID(VLOOKUP($B266,Seqs!$A:$B,2,0),AU266,1),"")</f>
        <v>G</v>
      </c>
      <c r="AU266" s="9">
        <v>281</v>
      </c>
      <c r="AV266" s="9" t="str">
        <f>IFERROR(MID(VLOOKUP($B266,Seqs!$A:$B,2,0),AW266,1),"")</f>
        <v/>
      </c>
      <c r="AW266" s="9" t="s">
        <v>23</v>
      </c>
      <c r="AX266" s="9" t="str">
        <f>IFERROR(MID(VLOOKUP($B266,Seqs!$A:$B,2,0),AY266,1),"")</f>
        <v/>
      </c>
      <c r="AY266" s="9" t="s">
        <v>23</v>
      </c>
      <c r="AZ266" s="110" t="str">
        <f>VLOOKUP(B266,Classification!A:D,2,0)</f>
        <v>A</v>
      </c>
      <c r="BA266" s="98" t="str">
        <f>VLOOKUP(B266,Classification!A:D,4,0)</f>
        <v>Bileacid</v>
      </c>
      <c r="BB266" s="36" t="b">
        <f t="shared" si="2347"/>
        <v>1</v>
      </c>
      <c r="BC266" s="109">
        <f t="shared" si="2348"/>
        <v>224</v>
      </c>
      <c r="BD266" s="125" t="s">
        <v>23</v>
      </c>
      <c r="BE266" s="9" t="s">
        <v>1285</v>
      </c>
      <c r="BF266" s="119">
        <v>3.9</v>
      </c>
      <c r="BG266" s="51" t="s">
        <v>1416</v>
      </c>
      <c r="BH266" s="51" t="s">
        <v>1416</v>
      </c>
      <c r="BJ266" s="111" t="s">
        <v>1281</v>
      </c>
      <c r="BK266" s="112" t="s">
        <v>1281</v>
      </c>
      <c r="BL266" s="112" t="s">
        <v>1281</v>
      </c>
      <c r="BM266" s="112" t="s">
        <v>1281</v>
      </c>
      <c r="BN266" s="112" t="s">
        <v>1281</v>
      </c>
      <c r="BO266" s="112" t="s">
        <v>1281</v>
      </c>
      <c r="BP266" s="112" t="s">
        <v>1281</v>
      </c>
      <c r="BQ266" s="112" t="s">
        <v>1281</v>
      </c>
      <c r="BR266" s="112" t="s">
        <v>1281</v>
      </c>
      <c r="BS266" s="112" t="s">
        <v>1281</v>
      </c>
      <c r="BT266" s="112" t="s">
        <v>1281</v>
      </c>
      <c r="BU266" s="112" t="s">
        <v>1281</v>
      </c>
      <c r="BV266" s="111">
        <f t="shared" si="2349"/>
        <v>14</v>
      </c>
      <c r="BW266" s="113">
        <f t="shared" si="2350"/>
        <v>43</v>
      </c>
      <c r="BX266" s="114">
        <f t="shared" si="2351"/>
        <v>47</v>
      </c>
      <c r="BY266" s="113" t="str">
        <f t="shared" si="2352"/>
        <v>-</v>
      </c>
      <c r="BZ266" s="114">
        <f t="shared" si="2353"/>
        <v>81</v>
      </c>
      <c r="CA266" s="113" t="str">
        <f t="shared" si="2354"/>
        <v>-</v>
      </c>
      <c r="CB266" s="114">
        <f t="shared" si="2355"/>
        <v>123</v>
      </c>
      <c r="CC266" s="113" t="str">
        <f t="shared" si="2356"/>
        <v>-</v>
      </c>
      <c r="CD266" s="114">
        <f t="shared" si="2357"/>
        <v>164</v>
      </c>
      <c r="CE266" s="113">
        <f t="shared" si="2358"/>
        <v>214</v>
      </c>
      <c r="CF266" s="114">
        <f t="shared" si="2359"/>
        <v>261</v>
      </c>
      <c r="CG266" s="113" t="str">
        <f t="shared" si="2360"/>
        <v>-</v>
      </c>
      <c r="CH266" s="111">
        <f t="shared" si="2361"/>
        <v>41</v>
      </c>
      <c r="CI266" s="113">
        <f t="shared" si="2362"/>
        <v>46</v>
      </c>
      <c r="CJ266" s="114">
        <f t="shared" si="2363"/>
        <v>74</v>
      </c>
      <c r="CK266" s="114" t="str">
        <f t="shared" si="2364"/>
        <v>-</v>
      </c>
      <c r="CL266" s="114">
        <f t="shared" si="2365"/>
        <v>116</v>
      </c>
      <c r="CM266" s="114" t="str">
        <f t="shared" si="2366"/>
        <v>-</v>
      </c>
      <c r="CN266" s="114">
        <f t="shared" si="2367"/>
        <v>144</v>
      </c>
      <c r="CO266" s="114" t="str">
        <f t="shared" si="2368"/>
        <v>-</v>
      </c>
      <c r="CP266" s="114">
        <f t="shared" si="2369"/>
        <v>207</v>
      </c>
      <c r="CQ266" s="114">
        <f t="shared" si="2370"/>
        <v>250</v>
      </c>
      <c r="CR266" s="114">
        <f t="shared" si="2371"/>
        <v>281</v>
      </c>
      <c r="CS266" s="114" t="str">
        <f t="shared" si="2372"/>
        <v>-</v>
      </c>
      <c r="CT266" s="109">
        <f t="shared" si="2373"/>
        <v>1</v>
      </c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/>
      <c r="II266" s="9"/>
      <c r="IJ266" s="9"/>
      <c r="IK266" s="9"/>
      <c r="IL266" s="9"/>
      <c r="IM266" s="9"/>
      <c r="IN266" s="9"/>
      <c r="IO266" s="9"/>
      <c r="IP266" s="9"/>
      <c r="IQ266" s="9"/>
      <c r="IR266" s="9"/>
      <c r="IS266" s="9"/>
      <c r="IT266" s="9"/>
      <c r="IU266" s="9"/>
      <c r="IV266" s="9"/>
      <c r="IW266" s="9"/>
      <c r="IX266" s="9"/>
      <c r="IY266" s="9"/>
      <c r="IZ266" s="9"/>
      <c r="JA266" s="9"/>
      <c r="JB266" s="9"/>
      <c r="JC266" s="9"/>
      <c r="JD266" s="9"/>
      <c r="JE266" s="9"/>
      <c r="JF266" s="9"/>
      <c r="JG266" s="9"/>
      <c r="JH266" s="9"/>
      <c r="JI266" s="9"/>
      <c r="JJ266" s="9"/>
      <c r="JK266" s="9"/>
      <c r="JL266" s="9"/>
      <c r="JM266" s="9"/>
      <c r="JN266" s="9"/>
      <c r="JO266" s="9"/>
      <c r="JP266" s="9"/>
      <c r="JQ266" s="9"/>
      <c r="JR266" s="9"/>
      <c r="JS266" s="9"/>
      <c r="JT266" s="9"/>
      <c r="JU266" s="9"/>
      <c r="JV266" s="9"/>
      <c r="JW266" s="9"/>
      <c r="JX266" s="9"/>
      <c r="JY266" s="9"/>
      <c r="JZ266" s="9"/>
      <c r="KA266" s="9"/>
      <c r="KB266" s="9"/>
      <c r="KC266" s="9"/>
      <c r="KD266" s="9"/>
      <c r="KE266" s="9"/>
      <c r="KF266" s="9"/>
      <c r="KG266" s="9"/>
      <c r="KH266" s="9"/>
      <c r="KI266" s="9"/>
      <c r="KJ266" s="9"/>
      <c r="KK266" s="9"/>
      <c r="KL266" s="9"/>
      <c r="KM266" s="9"/>
      <c r="KN266" s="9"/>
      <c r="KO266" s="9"/>
      <c r="KP266" s="9"/>
      <c r="KQ266" s="9"/>
      <c r="KR266" s="9"/>
      <c r="KS266" s="9"/>
      <c r="KT266" s="9"/>
      <c r="KU266" s="9"/>
      <c r="KV266" s="9"/>
      <c r="KW266" s="9"/>
      <c r="KX266" s="9"/>
      <c r="KY266" s="9"/>
      <c r="KZ266" s="9"/>
      <c r="LA266" s="9"/>
      <c r="LB266" s="9"/>
      <c r="LC266" s="9"/>
      <c r="LD266" s="9"/>
      <c r="LE266" s="9"/>
      <c r="LF266" s="9"/>
      <c r="LG266" s="9"/>
      <c r="LH266" s="9"/>
      <c r="LI266" s="9"/>
      <c r="LJ266" s="9"/>
      <c r="LK266" s="9"/>
      <c r="LL266" s="9"/>
      <c r="LM266" s="9"/>
      <c r="LN266" s="9"/>
      <c r="LO266" s="9"/>
      <c r="LP266" s="9"/>
      <c r="LQ266" s="9"/>
      <c r="LR266" s="9"/>
      <c r="LS266" s="9"/>
      <c r="LT266" s="9"/>
      <c r="LU266" s="9"/>
      <c r="LV266" s="9"/>
      <c r="LW266" s="9"/>
      <c r="LX266" s="9"/>
      <c r="LY266" s="9"/>
      <c r="LZ266" s="9"/>
      <c r="MA266" s="9"/>
      <c r="MB266" s="9"/>
      <c r="MC266" s="9"/>
      <c r="MD266" s="9"/>
      <c r="ME266" s="9"/>
      <c r="MF266" s="9"/>
      <c r="MG266" s="9"/>
      <c r="MH266" s="9"/>
      <c r="MI266" s="9"/>
      <c r="MJ266" s="9"/>
      <c r="MK266" s="9"/>
      <c r="ML266" s="9"/>
      <c r="MM266" s="9"/>
      <c r="MN266" s="9"/>
      <c r="MO266" s="9"/>
      <c r="MP266" s="9"/>
      <c r="MQ266" s="9"/>
      <c r="MR266" s="9"/>
      <c r="MS266" s="9"/>
      <c r="MT266" s="9"/>
      <c r="MU266" s="9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  <c r="PG266" s="9"/>
      <c r="PH266" s="9"/>
      <c r="PI266" s="9"/>
      <c r="PJ266" s="9"/>
      <c r="PK266" s="9"/>
      <c r="PL266" s="9"/>
      <c r="PM266" s="9"/>
      <c r="PN266" s="9"/>
      <c r="PO266" s="9"/>
      <c r="PP266" s="9"/>
      <c r="PQ266" s="9"/>
      <c r="PR266" s="9"/>
      <c r="PS266" s="9"/>
      <c r="PT266" s="9"/>
      <c r="PU266" s="9"/>
      <c r="PV266" s="9"/>
      <c r="PW266" s="9"/>
      <c r="PX266" s="9"/>
      <c r="PY266" s="9"/>
      <c r="PZ266" s="9"/>
      <c r="QA266" s="9"/>
      <c r="QB266" s="9"/>
      <c r="QC266" s="9"/>
      <c r="QD266" s="9"/>
      <c r="QE266" s="9"/>
      <c r="QF266" s="9"/>
      <c r="QG266" s="9"/>
      <c r="QH266" s="9"/>
      <c r="QI266" s="9"/>
      <c r="QJ266" s="9"/>
      <c r="QK266" s="9"/>
      <c r="QL266" s="9"/>
      <c r="QM266" s="9"/>
      <c r="QN266" s="9"/>
      <c r="QO266" s="9"/>
      <c r="QP266" s="9"/>
      <c r="QQ266" s="9"/>
      <c r="QR266" s="9"/>
      <c r="QS266" s="9"/>
      <c r="QT266" s="9"/>
      <c r="QU266" s="9"/>
      <c r="QV266" s="9"/>
      <c r="QW266" s="9"/>
      <c r="QX266" s="9"/>
      <c r="QY266" s="9"/>
      <c r="QZ266" s="9"/>
      <c r="RA266" s="9"/>
      <c r="RB266" s="9"/>
      <c r="RC266" s="9"/>
      <c r="RD266" s="9"/>
      <c r="RE266" s="9"/>
      <c r="RF266" s="9"/>
      <c r="RG266" s="9"/>
      <c r="RH266" s="9"/>
      <c r="RI266" s="9"/>
      <c r="RJ266" s="9"/>
      <c r="RK266" s="9"/>
      <c r="RL266" s="9"/>
      <c r="RM266" s="9"/>
      <c r="RN266" s="9"/>
      <c r="RO266" s="9"/>
      <c r="RP266" s="9"/>
      <c r="RQ266" s="9"/>
      <c r="RR266" s="9"/>
      <c r="RS266" s="9"/>
      <c r="RT266" s="9"/>
      <c r="RU266" s="9"/>
      <c r="RV266" s="9"/>
      <c r="RW266" s="9"/>
      <c r="RX266" s="9"/>
      <c r="RY266" s="9"/>
      <c r="RZ266" s="9"/>
      <c r="SA266" s="9"/>
      <c r="SB266" s="9"/>
      <c r="SC266" s="9"/>
      <c r="SD266" s="9"/>
      <c r="SE266" s="9"/>
      <c r="SF266" s="9"/>
      <c r="SG266" s="9"/>
      <c r="SH266" s="9"/>
      <c r="SI266" s="9"/>
      <c r="SJ266" s="9"/>
      <c r="SK266" s="9"/>
      <c r="SL266" s="9"/>
      <c r="SM266" s="9"/>
      <c r="SN266" s="9"/>
      <c r="SO266" s="9"/>
      <c r="SP266" s="9"/>
      <c r="SQ266" s="9"/>
      <c r="SR266" s="9"/>
      <c r="SS266" s="9"/>
      <c r="ST266" s="9"/>
      <c r="SU266" s="9"/>
      <c r="SV266" s="9"/>
      <c r="SW266" s="9"/>
      <c r="SX266" s="9"/>
      <c r="SY266" s="9"/>
      <c r="SZ266" s="9"/>
      <c r="TA266" s="9"/>
      <c r="TB266" s="9"/>
      <c r="TC266" s="9"/>
      <c r="TD266" s="9"/>
      <c r="TE266" s="9"/>
      <c r="TF266" s="9"/>
      <c r="TG266" s="9"/>
      <c r="TH266" s="9"/>
      <c r="TI266" s="9"/>
      <c r="TJ266" s="9"/>
      <c r="TK266" s="9"/>
      <c r="TL266" s="9"/>
      <c r="TM266" s="9"/>
      <c r="TN266" s="9"/>
      <c r="TO266" s="9"/>
      <c r="TP266" s="9"/>
      <c r="TQ266" s="9"/>
      <c r="TR266" s="9"/>
      <c r="TS266" s="9"/>
      <c r="TT266" s="9"/>
      <c r="TU266" s="9"/>
      <c r="TV266" s="9"/>
      <c r="TW266" s="9"/>
      <c r="TX266" s="9"/>
      <c r="TY266" s="9"/>
      <c r="TZ266" s="9"/>
      <c r="UA266" s="9"/>
      <c r="UB266" s="9"/>
      <c r="UC266" s="9"/>
      <c r="UD266" s="9"/>
      <c r="UE266" s="9"/>
      <c r="UF266" s="9"/>
      <c r="UG266" s="9"/>
      <c r="UH266" s="9"/>
      <c r="UI266" s="9"/>
      <c r="UJ266" s="9"/>
      <c r="UK266" s="9"/>
      <c r="UL266" s="9"/>
      <c r="UM266" s="9"/>
      <c r="UN266" s="9"/>
      <c r="UO266" s="9"/>
      <c r="UP266" s="9"/>
      <c r="UQ266" s="9"/>
      <c r="UR266" s="9"/>
      <c r="US266" s="9"/>
      <c r="UT266" s="9"/>
      <c r="UU266" s="9"/>
      <c r="UV266" s="9"/>
      <c r="UW266" s="9"/>
      <c r="UX266" s="9"/>
      <c r="UY266" s="9"/>
      <c r="UZ266" s="9"/>
      <c r="VA266" s="9"/>
      <c r="VB266" s="9"/>
      <c r="VC266" s="9"/>
      <c r="VD266" s="9"/>
      <c r="VE266" s="9"/>
      <c r="VF266" s="9"/>
      <c r="VG266" s="9"/>
      <c r="VH266" s="9"/>
      <c r="VI266" s="9"/>
      <c r="VJ266" s="9"/>
      <c r="VK266" s="9"/>
      <c r="VL266" s="9"/>
      <c r="VM266" s="9"/>
      <c r="VN266" s="9"/>
      <c r="VO266" s="9"/>
      <c r="VP266" s="9"/>
      <c r="VQ266" s="9"/>
      <c r="VR266" s="9"/>
      <c r="VS266" s="9"/>
      <c r="VT266" s="9"/>
      <c r="VU266" s="9"/>
      <c r="VV266" s="9"/>
      <c r="VW266" s="9"/>
      <c r="VX266" s="9"/>
      <c r="VY266" s="9"/>
      <c r="VZ266" s="9"/>
      <c r="WA266" s="9"/>
      <c r="WB266" s="9"/>
      <c r="WC266" s="9"/>
      <c r="WD266" s="9"/>
      <c r="WE266" s="9"/>
      <c r="WF266" s="9"/>
      <c r="WG266" s="9"/>
      <c r="WH266" s="9"/>
      <c r="WI266" s="9"/>
      <c r="WJ266" s="9"/>
      <c r="WK266" s="9"/>
      <c r="WL266" s="9"/>
      <c r="WM266" s="9"/>
      <c r="WN266" s="9"/>
      <c r="WO266" s="9"/>
      <c r="WP266" s="9"/>
      <c r="WQ266" s="9"/>
      <c r="WR266" s="9"/>
      <c r="WS266" s="9"/>
      <c r="WT266" s="9"/>
      <c r="WU266" s="9"/>
      <c r="WV266" s="9"/>
      <c r="WW266" s="9"/>
      <c r="WX266" s="9"/>
      <c r="WY266" s="9"/>
      <c r="WZ266" s="9"/>
      <c r="XA266" s="9"/>
      <c r="XB266" s="9"/>
      <c r="XC266" s="9"/>
      <c r="XD266" s="9"/>
      <c r="XE266" s="9"/>
      <c r="XF266" s="9"/>
      <c r="XG266" s="9"/>
      <c r="XH266" s="9"/>
      <c r="XI266" s="9"/>
      <c r="XJ266" s="9"/>
      <c r="XK266" s="9"/>
      <c r="XL266" s="9"/>
      <c r="XM266" s="9"/>
      <c r="XN266" s="9"/>
      <c r="XO266" s="9"/>
      <c r="XP266" s="9"/>
      <c r="XQ266" s="9"/>
      <c r="XR266" s="9"/>
      <c r="XS266" s="9"/>
      <c r="XT266" s="9"/>
      <c r="XU266" s="9"/>
      <c r="XV266" s="9"/>
      <c r="XW266" s="9"/>
      <c r="XX266" s="9"/>
      <c r="XY266" s="9"/>
      <c r="XZ266" s="9"/>
      <c r="YA266" s="9"/>
      <c r="YB266" s="9"/>
      <c r="YC266" s="9"/>
      <c r="YD266" s="9"/>
      <c r="YE266" s="9"/>
      <c r="YF266" s="9"/>
      <c r="YG266" s="9"/>
      <c r="YH266" s="9"/>
      <c r="YI266" s="9"/>
      <c r="YJ266" s="9"/>
      <c r="YK266" s="9"/>
      <c r="YL266" s="9"/>
      <c r="YM266" s="9"/>
      <c r="YN266" s="9"/>
      <c r="YO266" s="9"/>
      <c r="YP266" s="9"/>
      <c r="YQ266" s="9"/>
      <c r="YR266" s="9"/>
      <c r="YS266" s="9"/>
      <c r="YT266" s="9"/>
      <c r="YU266" s="9"/>
      <c r="YV266" s="9"/>
      <c r="YW266" s="9"/>
      <c r="YX266" s="9"/>
      <c r="YY266" s="9"/>
      <c r="YZ266" s="9"/>
      <c r="ZA266" s="9"/>
      <c r="ZB266" s="9"/>
      <c r="ZC266" s="9"/>
      <c r="ZD266" s="9"/>
      <c r="ZE266" s="9"/>
      <c r="ZF266" s="9"/>
      <c r="ZG266" s="9"/>
      <c r="ZH266" s="9"/>
      <c r="ZI266" s="9"/>
      <c r="ZJ266" s="9"/>
      <c r="ZK266" s="9"/>
      <c r="ZL266" s="9"/>
      <c r="ZM266" s="9"/>
      <c r="ZN266" s="9"/>
      <c r="ZO266" s="9"/>
      <c r="ZP266" s="9"/>
      <c r="ZQ266" s="9"/>
      <c r="ZR266" s="9"/>
      <c r="ZS266" s="9"/>
      <c r="ZT266" s="9"/>
      <c r="ZU266" s="9"/>
      <c r="ZV266" s="9"/>
      <c r="ZW266" s="9"/>
      <c r="ZX266" s="9"/>
      <c r="ZY266" s="9"/>
      <c r="ZZ266" s="9"/>
      <c r="AAA266" s="9"/>
      <c r="AAB266" s="9"/>
      <c r="AAC266" s="9"/>
      <c r="AAD266" s="9"/>
      <c r="AAE266" s="9"/>
      <c r="AAF266" s="9"/>
      <c r="AAG266" s="9"/>
      <c r="AAH266" s="9"/>
      <c r="AAI266" s="9"/>
      <c r="AAJ266" s="9"/>
      <c r="AAK266" s="9"/>
      <c r="AAL266" s="9"/>
      <c r="AAM266" s="9"/>
      <c r="AAN266" s="9"/>
      <c r="AAO266" s="9"/>
      <c r="AAP266" s="9"/>
      <c r="AAQ266" s="9"/>
      <c r="AAR266" s="9"/>
      <c r="AAS266" s="9"/>
      <c r="AAT266" s="9"/>
      <c r="AAU266" s="9"/>
      <c r="AAV266" s="9"/>
      <c r="AAW266" s="9"/>
      <c r="AAX266" s="9"/>
      <c r="AAY266" s="9"/>
      <c r="AAZ266" s="9"/>
      <c r="ABA266" s="9"/>
      <c r="ABB266" s="9"/>
      <c r="ABC266" s="9"/>
      <c r="ABD266" s="9"/>
      <c r="ABE266" s="9"/>
      <c r="ABF266" s="9"/>
      <c r="ABG266" s="9"/>
      <c r="ABH266" s="9"/>
      <c r="ABI266" s="9"/>
      <c r="ABJ266" s="9"/>
      <c r="ABK266" s="9"/>
      <c r="ABL266" s="9"/>
      <c r="ABM266" s="9"/>
      <c r="ABN266" s="9"/>
      <c r="ABO266" s="9"/>
      <c r="ABP266" s="9"/>
      <c r="ABQ266" s="9"/>
      <c r="ABR266" s="9"/>
      <c r="ABS266" s="9"/>
      <c r="ABT266" s="9"/>
      <c r="ABU266" s="9"/>
      <c r="ABV266" s="9"/>
      <c r="ABW266" s="9"/>
      <c r="ABX266" s="9"/>
      <c r="ABY266" s="9"/>
      <c r="ABZ266" s="9"/>
      <c r="ACA266" s="9"/>
      <c r="ACB266" s="9"/>
      <c r="ACC266" s="9"/>
      <c r="ACD266" s="9"/>
      <c r="ACE266" s="9"/>
      <c r="ACF266" s="9"/>
      <c r="ACG266" s="9"/>
      <c r="ACH266" s="9"/>
      <c r="ACI266" s="9"/>
      <c r="ACJ266" s="9"/>
      <c r="ACK266" s="9"/>
      <c r="ACL266" s="9"/>
      <c r="ACM266" s="9"/>
      <c r="ACN266" s="9"/>
      <c r="ACO266" s="9"/>
      <c r="ACP266" s="9"/>
      <c r="ACQ266" s="9"/>
      <c r="ACR266" s="9"/>
      <c r="ACS266" s="9"/>
      <c r="ACT266" s="9"/>
      <c r="ACU266" s="9"/>
      <c r="ACV266" s="9"/>
      <c r="ACW266" s="9"/>
      <c r="ACX266" s="9"/>
      <c r="ACY266" s="9"/>
      <c r="ACZ266" s="9"/>
      <c r="ADA266" s="9"/>
      <c r="ADB266" s="9"/>
      <c r="ADC266" s="9"/>
      <c r="ADD266" s="9"/>
      <c r="ADE266" s="9"/>
      <c r="ADF266" s="9"/>
      <c r="ADG266" s="9"/>
      <c r="ADH266" s="9"/>
      <c r="ADI266" s="9"/>
      <c r="ADJ266" s="9"/>
      <c r="ADK266" s="9"/>
      <c r="ADL266" s="9"/>
      <c r="ADM266" s="9"/>
      <c r="ADN266" s="9"/>
      <c r="ADO266" s="9"/>
      <c r="ADP266" s="9"/>
      <c r="ADQ266" s="9"/>
      <c r="ADR266" s="9"/>
      <c r="ADS266" s="9"/>
      <c r="ADT266" s="9"/>
      <c r="ADU266" s="9"/>
      <c r="ADV266" s="9"/>
      <c r="ADW266" s="9"/>
      <c r="ADX266" s="9"/>
      <c r="ADY266" s="9"/>
      <c r="ADZ266" s="9"/>
      <c r="AEA266" s="9"/>
      <c r="AEB266" s="9"/>
      <c r="AEC266" s="9"/>
      <c r="AED266" s="9"/>
      <c r="AEE266" s="9"/>
      <c r="AEF266" s="9"/>
      <c r="AEG266" s="9"/>
      <c r="AEH266" s="9"/>
      <c r="AEI266" s="9"/>
      <c r="AEJ266" s="9"/>
      <c r="AEK266" s="9"/>
      <c r="AEL266" s="9"/>
      <c r="AEM266" s="9"/>
      <c r="AEN266" s="9"/>
      <c r="AEO266" s="9"/>
      <c r="AEP266" s="9"/>
      <c r="AEQ266" s="9"/>
      <c r="AER266" s="9"/>
      <c r="AES266" s="9"/>
      <c r="AET266" s="9"/>
      <c r="AEU266" s="9"/>
      <c r="AEV266" s="9"/>
      <c r="AEW266" s="9"/>
      <c r="AEX266" s="9"/>
      <c r="AEY266" s="9"/>
      <c r="AEZ266" s="9"/>
      <c r="AFA266" s="9"/>
      <c r="AFB266" s="9"/>
      <c r="AFC266" s="9"/>
      <c r="AFD266" s="9"/>
      <c r="AFE266" s="9"/>
      <c r="AFF266" s="9"/>
      <c r="AFG266" s="9"/>
      <c r="AFH266" s="9"/>
      <c r="AFI266" s="9"/>
      <c r="AFJ266" s="9"/>
      <c r="AFK266" s="9"/>
      <c r="AFL266" s="9"/>
      <c r="AFM266" s="9"/>
      <c r="AFN266" s="9"/>
      <c r="AFO266" s="9"/>
      <c r="AFP266" s="9"/>
      <c r="AFQ266" s="9"/>
      <c r="AFR266" s="9"/>
      <c r="AFS266" s="9"/>
      <c r="AFT266" s="9"/>
      <c r="AFU266" s="9"/>
      <c r="AFV266" s="9"/>
      <c r="AFW266" s="9"/>
      <c r="AFX266" s="9"/>
      <c r="AFY266" s="9"/>
      <c r="AFZ266" s="9"/>
      <c r="AGA266" s="9"/>
      <c r="AGB266" s="9"/>
      <c r="AGC266" s="9"/>
      <c r="AGD266" s="9"/>
      <c r="AGE266" s="9"/>
      <c r="AGF266" s="9"/>
      <c r="AGG266" s="9"/>
      <c r="AGH266" s="9"/>
      <c r="AGI266" s="9"/>
      <c r="AGJ266" s="9"/>
      <c r="AGK266" s="9"/>
      <c r="AGL266" s="9"/>
      <c r="AGM266" s="9"/>
      <c r="AGN266" s="9"/>
      <c r="AGO266" s="9"/>
      <c r="AGP266" s="9"/>
      <c r="AGQ266" s="9"/>
      <c r="AGR266" s="9"/>
      <c r="AGS266" s="9"/>
      <c r="AGT266" s="9"/>
      <c r="AGU266" s="9"/>
      <c r="AGV266" s="9"/>
      <c r="AGW266" s="9"/>
      <c r="AGX266" s="9"/>
      <c r="AGY266" s="9"/>
      <c r="AGZ266" s="9"/>
      <c r="AHA266" s="9"/>
      <c r="AHB266" s="9"/>
      <c r="AHC266" s="9"/>
      <c r="AHD266" s="9"/>
      <c r="AHE266" s="9"/>
      <c r="AHF266" s="9"/>
      <c r="AHG266" s="9"/>
      <c r="AHH266" s="9"/>
      <c r="AHI266" s="9"/>
      <c r="AHJ266" s="9"/>
      <c r="AHK266" s="9"/>
      <c r="AHL266" s="9"/>
      <c r="AHM266" s="9"/>
      <c r="AHN266" s="9"/>
      <c r="AHO266" s="9"/>
      <c r="AHP266" s="9"/>
      <c r="AHQ266" s="9"/>
      <c r="AHR266" s="9"/>
      <c r="AHS266" s="9"/>
      <c r="AHT266" s="9"/>
      <c r="AHU266" s="9"/>
      <c r="AHV266" s="9"/>
      <c r="AHW266" s="9"/>
      <c r="AHX266" s="9"/>
      <c r="AHY266" s="9"/>
      <c r="AHZ266" s="9"/>
      <c r="AIA266" s="9"/>
      <c r="AIB266" s="9"/>
      <c r="AIC266" s="9"/>
      <c r="AID266" s="9"/>
      <c r="AIE266" s="9"/>
      <c r="AIF266" s="9"/>
      <c r="AIG266" s="9"/>
      <c r="AIH266" s="9"/>
      <c r="AII266" s="9"/>
      <c r="AIJ266" s="9"/>
      <c r="AIK266" s="9"/>
      <c r="AIL266" s="9"/>
      <c r="AIM266" s="9"/>
      <c r="AIN266" s="9"/>
      <c r="AIO266" s="9"/>
      <c r="AIP266" s="9"/>
      <c r="AIQ266" s="9"/>
      <c r="AIR266" s="9"/>
      <c r="AIS266" s="9"/>
      <c r="AIT266" s="9"/>
      <c r="AIU266" s="9"/>
      <c r="AIV266" s="9"/>
      <c r="AIW266" s="9"/>
      <c r="AIX266" s="9"/>
      <c r="AIY266" s="9"/>
      <c r="AIZ266" s="9"/>
      <c r="AJA266" s="9"/>
      <c r="AJB266" s="9"/>
      <c r="AJC266" s="9"/>
      <c r="AJD266" s="9"/>
      <c r="AJE266" s="9"/>
      <c r="AJF266" s="9"/>
      <c r="AJG266" s="9"/>
      <c r="AJH266" s="9"/>
      <c r="AJI266" s="9"/>
      <c r="AJJ266" s="9"/>
      <c r="AJK266" s="9"/>
      <c r="AJL266" s="9"/>
      <c r="AJM266" s="9"/>
      <c r="AJN266" s="9"/>
      <c r="AJO266" s="9"/>
      <c r="AJP266" s="9"/>
      <c r="AJQ266" s="9"/>
      <c r="AJR266" s="9"/>
      <c r="AJS266" s="9"/>
      <c r="AJT266" s="9"/>
      <c r="AJU266" s="9"/>
      <c r="AJV266" s="9"/>
      <c r="AJW266" s="9"/>
      <c r="AJX266" s="9"/>
      <c r="AJY266" s="9"/>
      <c r="AJZ266" s="9"/>
      <c r="AKA266" s="9"/>
      <c r="AKB266" s="9"/>
      <c r="AKC266" s="9"/>
      <c r="AKD266" s="9"/>
      <c r="AKE266" s="9"/>
      <c r="AKF266" s="9"/>
      <c r="AKG266" s="9"/>
      <c r="AKH266" s="9"/>
      <c r="AKI266" s="9"/>
      <c r="AKJ266" s="9"/>
      <c r="AKK266" s="9"/>
      <c r="AKL266" s="9"/>
      <c r="AKM266" s="9"/>
      <c r="AKN266" s="9"/>
      <c r="AKO266" s="9"/>
      <c r="AKP266" s="9"/>
      <c r="AKQ266" s="9"/>
      <c r="AKR266" s="9"/>
      <c r="AKS266" s="9"/>
      <c r="AKT266" s="9"/>
      <c r="AKU266" s="9"/>
      <c r="AKV266" s="9"/>
      <c r="AKW266" s="9"/>
      <c r="AKX266" s="9"/>
      <c r="AKY266" s="9"/>
      <c r="AKZ266" s="9"/>
      <c r="ALA266" s="9"/>
      <c r="ALB266" s="9"/>
      <c r="ALC266" s="9"/>
      <c r="ALD266" s="9"/>
      <c r="ALE266" s="9"/>
      <c r="ALF266" s="9"/>
      <c r="ALG266" s="9"/>
      <c r="ALH266" s="9"/>
      <c r="ALI266" s="9"/>
      <c r="ALJ266" s="9"/>
      <c r="ALK266" s="9"/>
      <c r="ALL266" s="9"/>
      <c r="ALM266" s="9"/>
      <c r="ALN266" s="9"/>
      <c r="ALO266" s="9"/>
      <c r="ALP266" s="9"/>
      <c r="ALQ266" s="9"/>
      <c r="ALR266" s="9"/>
      <c r="ALS266" s="9"/>
      <c r="ALT266" s="9"/>
      <c r="ALU266" s="9"/>
      <c r="ALV266" s="9"/>
      <c r="ALW266" s="9"/>
      <c r="ALX266" s="9"/>
      <c r="ALY266" s="9"/>
      <c r="ALZ266" s="9"/>
      <c r="AMA266" s="9"/>
      <c r="AMB266" s="9"/>
      <c r="AMC266" s="9"/>
      <c r="AMD266" s="9"/>
      <c r="AME266" s="9"/>
      <c r="AMF266" s="9"/>
      <c r="AMG266" s="9"/>
      <c r="AMH266" s="9"/>
      <c r="AMI266" s="9"/>
      <c r="AMJ266" s="9"/>
      <c r="AMK266" s="9"/>
      <c r="AML266" s="9"/>
      <c r="AMM266" s="9"/>
      <c r="AMN266" s="9"/>
      <c r="AMO266" s="9"/>
    </row>
    <row r="267" spans="1:1029" s="12" customFormat="1" x14ac:dyDescent="0.2">
      <c r="A267" s="9" t="str">
        <f t="shared" ref="A267" si="2374">CONCATENATE(B267,"_",C267)</f>
        <v>gpbar_human_7CFM</v>
      </c>
      <c r="B267" s="9" t="s">
        <v>234</v>
      </c>
      <c r="C267" s="9" t="s">
        <v>1730</v>
      </c>
      <c r="D267" s="9" t="str">
        <f>IFERROR(MID(VLOOKUP($B267,Seqs!$A:$B,2,0),E267,1),"")</f>
        <v>S</v>
      </c>
      <c r="E267" s="9">
        <v>21</v>
      </c>
      <c r="F267" s="9" t="str">
        <f>IFERROR(MID(VLOOKUP($B267,Seqs!$A:$B,2,0),G267,1),"")</f>
        <v>W</v>
      </c>
      <c r="G267" s="9">
        <v>41</v>
      </c>
      <c r="H267" s="9" t="str">
        <f>IFERROR(MID(VLOOKUP($B267,Seqs!$A:$B,2,0),I267,1),"")</f>
        <v>R</v>
      </c>
      <c r="I267" s="109">
        <v>43</v>
      </c>
      <c r="J267" s="9" t="str">
        <f>IFERROR(MID(VLOOKUP($B267,Seqs!$A:$B,2,0),K267,1),"")</f>
        <v>R</v>
      </c>
      <c r="K267" s="109">
        <v>46</v>
      </c>
      <c r="L267" s="9" t="str">
        <f>IFERROR(MID(VLOOKUP($B267,Seqs!$A:$B,2,0),M267,1),"")</f>
        <v>P</v>
      </c>
      <c r="M267" s="9">
        <v>48</v>
      </c>
      <c r="N267" s="9" t="str">
        <f>IFERROR(MID(VLOOKUP($B267,Seqs!$A:$B,2,0),O267,1),"")</f>
        <v>L</v>
      </c>
      <c r="O267" s="9">
        <v>74</v>
      </c>
      <c r="P267" s="9" t="str">
        <f>IFERROR(MID(VLOOKUP($B267,Seqs!$A:$B,2,0),Q267,1),"")</f>
        <v/>
      </c>
      <c r="Q267" s="9" t="s">
        <v>23</v>
      </c>
      <c r="R267" s="9" t="str">
        <f>IFERROR(MID(VLOOKUP($B267,Seqs!$A:$B,2,0),S267,1),"")</f>
        <v/>
      </c>
      <c r="S267" s="9" t="s">
        <v>23</v>
      </c>
      <c r="T267" s="9" t="str">
        <f>IFERROR(MID(VLOOKUP($B267,Seqs!$A:$B,2,0),U267,1),"")</f>
        <v>G</v>
      </c>
      <c r="U267" s="9">
        <v>81</v>
      </c>
      <c r="V267" s="9" t="str">
        <f>IFERROR(MID(VLOOKUP($B267,Seqs!$A:$B,2,0),W267,1),"")</f>
        <v>R</v>
      </c>
      <c r="W267" s="9">
        <v>116</v>
      </c>
      <c r="X267" s="9" t="str">
        <f>IFERROR(MID(VLOOKUP($B267,Seqs!$A:$B,2,0),Y267,1),"")</f>
        <v/>
      </c>
      <c r="Y267" s="9" t="s">
        <v>23</v>
      </c>
      <c r="Z267" s="9" t="str">
        <f>IFERROR(MID(VLOOKUP($B267,Seqs!$A:$B,2,0),AA267,1),"")</f>
        <v/>
      </c>
      <c r="AA267" s="9" t="s">
        <v>23</v>
      </c>
      <c r="AB267" s="9" t="str">
        <f>IFERROR(MID(VLOOKUP($B267,Seqs!$A:$B,2,0),AC267,1),"")</f>
        <v>I</v>
      </c>
      <c r="AC267" s="9">
        <v>124</v>
      </c>
      <c r="AD267" s="9" t="str">
        <f>IFERROR(MID(VLOOKUP($B267,Seqs!$A:$B,2,0),AE267,1),"")</f>
        <v>G</v>
      </c>
      <c r="AE267" s="9">
        <v>145</v>
      </c>
      <c r="AF267" s="9" t="str">
        <f>IFERROR(MID(VLOOKUP($B267,Seqs!$A:$B,2,0),AG267,1),"")</f>
        <v>C</v>
      </c>
      <c r="AG267" s="9">
        <v>155</v>
      </c>
      <c r="AH267" s="9" t="str">
        <f>IFERROR(MID(VLOOKUP($B267,Seqs!$A:$B,2,0),AI267,1),"")</f>
        <v>S</v>
      </c>
      <c r="AI267" s="9">
        <v>157</v>
      </c>
      <c r="AJ267" s="9" t="str">
        <f>IFERROR(MID(VLOOKUP($B267,Seqs!$A:$B,2,0),AK267,1),"")</f>
        <v>P</v>
      </c>
      <c r="AK267" s="9">
        <v>162</v>
      </c>
      <c r="AL267" s="9" t="str">
        <f>IFERROR(MID(VLOOKUP($B267,Seqs!$A:$B,2,0),AM267,1),"")</f>
        <v>C</v>
      </c>
      <c r="AM267" s="9">
        <v>207</v>
      </c>
      <c r="AN267" s="9" t="str">
        <f>IFERROR(MID(VLOOKUP($B267,Seqs!$A:$B,2,0),AO267,1),"")</f>
        <v>S</v>
      </c>
      <c r="AO267" s="9">
        <v>212</v>
      </c>
      <c r="AP267" s="9" t="str">
        <f>IFERROR(MID(VLOOKUP($B267,Seqs!$A:$B,2,0),AQ267,1),"")</f>
        <v>E</v>
      </c>
      <c r="AQ267" s="9">
        <v>252</v>
      </c>
      <c r="AR267" s="9" t="str">
        <f>IFERROR(MID(VLOOKUP($B267,Seqs!$A:$B,2,0),AS267,1),"")</f>
        <v>L</v>
      </c>
      <c r="AS267" s="9">
        <v>262</v>
      </c>
      <c r="AT267" s="9" t="str">
        <f>IFERROR(MID(VLOOKUP($B267,Seqs!$A:$B,2,0),AU267,1),"")</f>
        <v>G</v>
      </c>
      <c r="AU267" s="9">
        <v>283</v>
      </c>
      <c r="AV267" s="9" t="str">
        <f>IFERROR(MID(VLOOKUP($B267,Seqs!$A:$B,2,0),AW267,1),"")</f>
        <v/>
      </c>
      <c r="AW267" s="9" t="s">
        <v>23</v>
      </c>
      <c r="AX267" s="9" t="str">
        <f>IFERROR(MID(VLOOKUP($B267,Seqs!$A:$B,2,0),AY267,1),"")</f>
        <v/>
      </c>
      <c r="AY267" s="9" t="s">
        <v>23</v>
      </c>
      <c r="AZ267" s="110" t="str">
        <f>VLOOKUP(B267,Classification!A:D,2,0)</f>
        <v>A</v>
      </c>
      <c r="BA267" s="98" t="str">
        <f>VLOOKUP(B267,Classification!A:D,4,0)</f>
        <v>Bileacid</v>
      </c>
      <c r="BB267" s="36" t="b">
        <f t="shared" ref="BB267" si="2375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109">
        <f t="shared" ref="BC267" si="2376">_xlfn.AGGREGATE(9,6,CH267:CS267)-_xlfn.AGGREGATE(9,6,BV267:CG267)+12</f>
        <v>225</v>
      </c>
      <c r="BD267" s="125" t="s">
        <v>23</v>
      </c>
      <c r="BE267" s="9" t="s">
        <v>1285</v>
      </c>
      <c r="BF267" s="119">
        <v>3</v>
      </c>
      <c r="BG267" s="51" t="s">
        <v>1416</v>
      </c>
      <c r="BH267" s="51" t="s">
        <v>1416</v>
      </c>
      <c r="BJ267" s="111" t="s">
        <v>1281</v>
      </c>
      <c r="BK267" s="112" t="s">
        <v>1281</v>
      </c>
      <c r="BL267" s="112" t="s">
        <v>1281</v>
      </c>
      <c r="BM267" s="112" t="s">
        <v>1281</v>
      </c>
      <c r="BN267" s="112" t="s">
        <v>1281</v>
      </c>
      <c r="BO267" s="112" t="s">
        <v>1281</v>
      </c>
      <c r="BP267" s="112" t="s">
        <v>1281</v>
      </c>
      <c r="BQ267" s="112" t="s">
        <v>1281</v>
      </c>
      <c r="BR267" s="112" t="s">
        <v>1281</v>
      </c>
      <c r="BS267" s="112" t="s">
        <v>1281</v>
      </c>
      <c r="BT267" s="112" t="s">
        <v>1281</v>
      </c>
      <c r="BU267" s="112" t="s">
        <v>1281</v>
      </c>
      <c r="BV267" s="111">
        <f t="shared" ref="BV267" si="2377">E267</f>
        <v>21</v>
      </c>
      <c r="BW267" s="113">
        <f t="shared" ref="BW267" si="2378">I267</f>
        <v>43</v>
      </c>
      <c r="BX267" s="114">
        <f t="shared" ref="BX267" si="2379">M267</f>
        <v>48</v>
      </c>
      <c r="BY267" s="113" t="str">
        <f t="shared" ref="BY267" si="2380">Q267</f>
        <v>-</v>
      </c>
      <c r="BZ267" s="114">
        <f t="shared" ref="BZ267" si="2381">U267</f>
        <v>81</v>
      </c>
      <c r="CA267" s="113" t="str">
        <f t="shared" ref="CA267" si="2382">Y267</f>
        <v>-</v>
      </c>
      <c r="CB267" s="114">
        <f t="shared" ref="CB267" si="2383">AC267</f>
        <v>124</v>
      </c>
      <c r="CC267" s="113">
        <f t="shared" ref="CC267" si="2384">AG267</f>
        <v>155</v>
      </c>
      <c r="CD267" s="114">
        <f t="shared" ref="CD267" si="2385">AK267</f>
        <v>162</v>
      </c>
      <c r="CE267" s="113">
        <f t="shared" ref="CE267" si="2386">AO267</f>
        <v>212</v>
      </c>
      <c r="CF267" s="114">
        <f t="shared" ref="CF267" si="2387">AS267</f>
        <v>262</v>
      </c>
      <c r="CG267" s="113" t="str">
        <f t="shared" ref="CG267" si="2388">AW267</f>
        <v>-</v>
      </c>
      <c r="CH267" s="111">
        <f t="shared" ref="CH267" si="2389">G267</f>
        <v>41</v>
      </c>
      <c r="CI267" s="113">
        <f t="shared" ref="CI267" si="2390">K267</f>
        <v>46</v>
      </c>
      <c r="CJ267" s="114">
        <f t="shared" ref="CJ267" si="2391">O267</f>
        <v>74</v>
      </c>
      <c r="CK267" s="114" t="str">
        <f t="shared" ref="CK267" si="2392">S267</f>
        <v>-</v>
      </c>
      <c r="CL267" s="114">
        <f t="shared" ref="CL267" si="2393">W267</f>
        <v>116</v>
      </c>
      <c r="CM267" s="114" t="str">
        <f t="shared" ref="CM267" si="2394">AA267</f>
        <v>-</v>
      </c>
      <c r="CN267" s="114">
        <f t="shared" ref="CN267" si="2395">AE267</f>
        <v>145</v>
      </c>
      <c r="CO267" s="114">
        <f t="shared" ref="CO267" si="2396">AI267</f>
        <v>157</v>
      </c>
      <c r="CP267" s="114">
        <f t="shared" ref="CP267" si="2397">AM267</f>
        <v>207</v>
      </c>
      <c r="CQ267" s="114">
        <f t="shared" ref="CQ267" si="2398">AQ267</f>
        <v>252</v>
      </c>
      <c r="CR267" s="114">
        <f t="shared" ref="CR267" si="2399">AU267</f>
        <v>283</v>
      </c>
      <c r="CS267" s="114" t="str">
        <f t="shared" ref="CS267" si="2400">AY267</f>
        <v>-</v>
      </c>
      <c r="CT267" s="109">
        <f t="shared" ref="CT267" si="2401">M267-K267</f>
        <v>2</v>
      </c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  <c r="IW267" s="9"/>
      <c r="IX267" s="9"/>
      <c r="IY267" s="9"/>
      <c r="IZ267" s="9"/>
      <c r="JA267" s="9"/>
      <c r="JB267" s="9"/>
      <c r="JC267" s="9"/>
      <c r="JD267" s="9"/>
      <c r="JE267" s="9"/>
      <c r="JF267" s="9"/>
      <c r="JG267" s="9"/>
      <c r="JH267" s="9"/>
      <c r="JI267" s="9"/>
      <c r="JJ267" s="9"/>
      <c r="JK267" s="9"/>
      <c r="JL267" s="9"/>
      <c r="JM267" s="9"/>
      <c r="JN267" s="9"/>
      <c r="JO267" s="9"/>
      <c r="JP267" s="9"/>
      <c r="JQ267" s="9"/>
      <c r="JR267" s="9"/>
      <c r="JS267" s="9"/>
      <c r="JT267" s="9"/>
      <c r="JU267" s="9"/>
      <c r="JV267" s="9"/>
      <c r="JW267" s="9"/>
      <c r="JX267" s="9"/>
      <c r="JY267" s="9"/>
      <c r="JZ267" s="9"/>
      <c r="KA267" s="9"/>
      <c r="KB267" s="9"/>
      <c r="KC267" s="9"/>
      <c r="KD267" s="9"/>
      <c r="KE267" s="9"/>
      <c r="KF267" s="9"/>
      <c r="KG267" s="9"/>
      <c r="KH267" s="9"/>
      <c r="KI267" s="9"/>
      <c r="KJ267" s="9"/>
      <c r="KK267" s="9"/>
      <c r="KL267" s="9"/>
      <c r="KM267" s="9"/>
      <c r="KN267" s="9"/>
      <c r="KO267" s="9"/>
      <c r="KP267" s="9"/>
      <c r="KQ267" s="9"/>
      <c r="KR267" s="9"/>
      <c r="KS267" s="9"/>
      <c r="KT267" s="9"/>
      <c r="KU267" s="9"/>
      <c r="KV267" s="9"/>
      <c r="KW267" s="9"/>
      <c r="KX267" s="9"/>
      <c r="KY267" s="9"/>
      <c r="KZ267" s="9"/>
      <c r="LA267" s="9"/>
      <c r="LB267" s="9"/>
      <c r="LC267" s="9"/>
      <c r="LD267" s="9"/>
      <c r="LE267" s="9"/>
      <c r="LF267" s="9"/>
      <c r="LG267" s="9"/>
      <c r="LH267" s="9"/>
      <c r="LI267" s="9"/>
      <c r="LJ267" s="9"/>
      <c r="LK267" s="9"/>
      <c r="LL267" s="9"/>
      <c r="LM267" s="9"/>
      <c r="LN267" s="9"/>
      <c r="LO267" s="9"/>
      <c r="LP267" s="9"/>
      <c r="LQ267" s="9"/>
      <c r="LR267" s="9"/>
      <c r="LS267" s="9"/>
      <c r="LT267" s="9"/>
      <c r="LU267" s="9"/>
      <c r="LV267" s="9"/>
      <c r="LW267" s="9"/>
      <c r="LX267" s="9"/>
      <c r="LY267" s="9"/>
      <c r="LZ267" s="9"/>
      <c r="MA267" s="9"/>
      <c r="MB267" s="9"/>
      <c r="MC267" s="9"/>
      <c r="MD267" s="9"/>
      <c r="ME267" s="9"/>
      <c r="MF267" s="9"/>
      <c r="MG267" s="9"/>
      <c r="MH267" s="9"/>
      <c r="MI267" s="9"/>
      <c r="MJ267" s="9"/>
      <c r="MK267" s="9"/>
      <c r="ML267" s="9"/>
      <c r="MM267" s="9"/>
      <c r="MN267" s="9"/>
      <c r="MO267" s="9"/>
      <c r="MP267" s="9"/>
      <c r="MQ267" s="9"/>
      <c r="MR267" s="9"/>
      <c r="MS267" s="9"/>
      <c r="MT267" s="9"/>
      <c r="MU267" s="9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  <c r="PG267" s="9"/>
      <c r="PH267" s="9"/>
      <c r="PI267" s="9"/>
      <c r="PJ267" s="9"/>
      <c r="PK267" s="9"/>
      <c r="PL267" s="9"/>
      <c r="PM267" s="9"/>
      <c r="PN267" s="9"/>
      <c r="PO267" s="9"/>
      <c r="PP267" s="9"/>
      <c r="PQ267" s="9"/>
      <c r="PR267" s="9"/>
      <c r="PS267" s="9"/>
      <c r="PT267" s="9"/>
      <c r="PU267" s="9"/>
      <c r="PV267" s="9"/>
      <c r="PW267" s="9"/>
      <c r="PX267" s="9"/>
      <c r="PY267" s="9"/>
      <c r="PZ267" s="9"/>
      <c r="QA267" s="9"/>
      <c r="QB267" s="9"/>
      <c r="QC267" s="9"/>
      <c r="QD267" s="9"/>
      <c r="QE267" s="9"/>
      <c r="QF267" s="9"/>
      <c r="QG267" s="9"/>
      <c r="QH267" s="9"/>
      <c r="QI267" s="9"/>
      <c r="QJ267" s="9"/>
      <c r="QK267" s="9"/>
      <c r="QL267" s="9"/>
      <c r="QM267" s="9"/>
      <c r="QN267" s="9"/>
      <c r="QO267" s="9"/>
      <c r="QP267" s="9"/>
      <c r="QQ267" s="9"/>
      <c r="QR267" s="9"/>
      <c r="QS267" s="9"/>
      <c r="QT267" s="9"/>
      <c r="QU267" s="9"/>
      <c r="QV267" s="9"/>
      <c r="QW267" s="9"/>
      <c r="QX267" s="9"/>
      <c r="QY267" s="9"/>
      <c r="QZ267" s="9"/>
      <c r="RA267" s="9"/>
      <c r="RB267" s="9"/>
      <c r="RC267" s="9"/>
      <c r="RD267" s="9"/>
      <c r="RE267" s="9"/>
      <c r="RF267" s="9"/>
      <c r="RG267" s="9"/>
      <c r="RH267" s="9"/>
      <c r="RI267" s="9"/>
      <c r="RJ267" s="9"/>
      <c r="RK267" s="9"/>
      <c r="RL267" s="9"/>
      <c r="RM267" s="9"/>
      <c r="RN267" s="9"/>
      <c r="RO267" s="9"/>
      <c r="RP267" s="9"/>
      <c r="RQ267" s="9"/>
      <c r="RR267" s="9"/>
      <c r="RS267" s="9"/>
      <c r="RT267" s="9"/>
      <c r="RU267" s="9"/>
      <c r="RV267" s="9"/>
      <c r="RW267" s="9"/>
      <c r="RX267" s="9"/>
      <c r="RY267" s="9"/>
      <c r="RZ267" s="9"/>
      <c r="SA267" s="9"/>
      <c r="SB267" s="9"/>
      <c r="SC267" s="9"/>
      <c r="SD267" s="9"/>
      <c r="SE267" s="9"/>
      <c r="SF267" s="9"/>
      <c r="SG267" s="9"/>
      <c r="SH267" s="9"/>
      <c r="SI267" s="9"/>
      <c r="SJ267" s="9"/>
      <c r="SK267" s="9"/>
      <c r="SL267" s="9"/>
      <c r="SM267" s="9"/>
      <c r="SN267" s="9"/>
      <c r="SO267" s="9"/>
      <c r="SP267" s="9"/>
      <c r="SQ267" s="9"/>
      <c r="SR267" s="9"/>
      <c r="SS267" s="9"/>
      <c r="ST267" s="9"/>
      <c r="SU267" s="9"/>
      <c r="SV267" s="9"/>
      <c r="SW267" s="9"/>
      <c r="SX267" s="9"/>
      <c r="SY267" s="9"/>
      <c r="SZ267" s="9"/>
      <c r="TA267" s="9"/>
      <c r="TB267" s="9"/>
      <c r="TC267" s="9"/>
      <c r="TD267" s="9"/>
      <c r="TE267" s="9"/>
      <c r="TF267" s="9"/>
      <c r="TG267" s="9"/>
      <c r="TH267" s="9"/>
      <c r="TI267" s="9"/>
      <c r="TJ267" s="9"/>
      <c r="TK267" s="9"/>
      <c r="TL267" s="9"/>
      <c r="TM267" s="9"/>
      <c r="TN267" s="9"/>
      <c r="TO267" s="9"/>
      <c r="TP267" s="9"/>
      <c r="TQ267" s="9"/>
      <c r="TR267" s="9"/>
      <c r="TS267" s="9"/>
      <c r="TT267" s="9"/>
      <c r="TU267" s="9"/>
      <c r="TV267" s="9"/>
      <c r="TW267" s="9"/>
      <c r="TX267" s="9"/>
      <c r="TY267" s="9"/>
      <c r="TZ267" s="9"/>
      <c r="UA267" s="9"/>
      <c r="UB267" s="9"/>
      <c r="UC267" s="9"/>
      <c r="UD267" s="9"/>
      <c r="UE267" s="9"/>
      <c r="UF267" s="9"/>
      <c r="UG267" s="9"/>
      <c r="UH267" s="9"/>
      <c r="UI267" s="9"/>
      <c r="UJ267" s="9"/>
      <c r="UK267" s="9"/>
      <c r="UL267" s="9"/>
      <c r="UM267" s="9"/>
      <c r="UN267" s="9"/>
      <c r="UO267" s="9"/>
      <c r="UP267" s="9"/>
      <c r="UQ267" s="9"/>
      <c r="UR267" s="9"/>
      <c r="US267" s="9"/>
      <c r="UT267" s="9"/>
      <c r="UU267" s="9"/>
      <c r="UV267" s="9"/>
      <c r="UW267" s="9"/>
      <c r="UX267" s="9"/>
      <c r="UY267" s="9"/>
      <c r="UZ267" s="9"/>
      <c r="VA267" s="9"/>
      <c r="VB267" s="9"/>
      <c r="VC267" s="9"/>
      <c r="VD267" s="9"/>
      <c r="VE267" s="9"/>
      <c r="VF267" s="9"/>
      <c r="VG267" s="9"/>
      <c r="VH267" s="9"/>
      <c r="VI267" s="9"/>
      <c r="VJ267" s="9"/>
      <c r="VK267" s="9"/>
      <c r="VL267" s="9"/>
      <c r="VM267" s="9"/>
      <c r="VN267" s="9"/>
      <c r="VO267" s="9"/>
      <c r="VP267" s="9"/>
      <c r="VQ267" s="9"/>
      <c r="VR267" s="9"/>
      <c r="VS267" s="9"/>
      <c r="VT267" s="9"/>
      <c r="VU267" s="9"/>
      <c r="VV267" s="9"/>
      <c r="VW267" s="9"/>
      <c r="VX267" s="9"/>
      <c r="VY267" s="9"/>
      <c r="VZ267" s="9"/>
      <c r="WA267" s="9"/>
      <c r="WB267" s="9"/>
      <c r="WC267" s="9"/>
      <c r="WD267" s="9"/>
      <c r="WE267" s="9"/>
      <c r="WF267" s="9"/>
      <c r="WG267" s="9"/>
      <c r="WH267" s="9"/>
      <c r="WI267" s="9"/>
      <c r="WJ267" s="9"/>
      <c r="WK267" s="9"/>
      <c r="WL267" s="9"/>
      <c r="WM267" s="9"/>
      <c r="WN267" s="9"/>
      <c r="WO267" s="9"/>
      <c r="WP267" s="9"/>
      <c r="WQ267" s="9"/>
      <c r="WR267" s="9"/>
      <c r="WS267" s="9"/>
      <c r="WT267" s="9"/>
      <c r="WU267" s="9"/>
      <c r="WV267" s="9"/>
      <c r="WW267" s="9"/>
      <c r="WX267" s="9"/>
      <c r="WY267" s="9"/>
      <c r="WZ267" s="9"/>
      <c r="XA267" s="9"/>
      <c r="XB267" s="9"/>
      <c r="XC267" s="9"/>
      <c r="XD267" s="9"/>
      <c r="XE267" s="9"/>
      <c r="XF267" s="9"/>
      <c r="XG267" s="9"/>
      <c r="XH267" s="9"/>
      <c r="XI267" s="9"/>
      <c r="XJ267" s="9"/>
      <c r="XK267" s="9"/>
      <c r="XL267" s="9"/>
      <c r="XM267" s="9"/>
      <c r="XN267" s="9"/>
      <c r="XO267" s="9"/>
      <c r="XP267" s="9"/>
      <c r="XQ267" s="9"/>
      <c r="XR267" s="9"/>
      <c r="XS267" s="9"/>
      <c r="XT267" s="9"/>
      <c r="XU267" s="9"/>
      <c r="XV267" s="9"/>
      <c r="XW267" s="9"/>
      <c r="XX267" s="9"/>
      <c r="XY267" s="9"/>
      <c r="XZ267" s="9"/>
      <c r="YA267" s="9"/>
      <c r="YB267" s="9"/>
      <c r="YC267" s="9"/>
      <c r="YD267" s="9"/>
      <c r="YE267" s="9"/>
      <c r="YF267" s="9"/>
      <c r="YG267" s="9"/>
      <c r="YH267" s="9"/>
      <c r="YI267" s="9"/>
      <c r="YJ267" s="9"/>
      <c r="YK267" s="9"/>
      <c r="YL267" s="9"/>
      <c r="YM267" s="9"/>
      <c r="YN267" s="9"/>
      <c r="YO267" s="9"/>
      <c r="YP267" s="9"/>
      <c r="YQ267" s="9"/>
      <c r="YR267" s="9"/>
      <c r="YS267" s="9"/>
      <c r="YT267" s="9"/>
      <c r="YU267" s="9"/>
      <c r="YV267" s="9"/>
      <c r="YW267" s="9"/>
      <c r="YX267" s="9"/>
      <c r="YY267" s="9"/>
      <c r="YZ267" s="9"/>
      <c r="ZA267" s="9"/>
      <c r="ZB267" s="9"/>
      <c r="ZC267" s="9"/>
      <c r="ZD267" s="9"/>
      <c r="ZE267" s="9"/>
      <c r="ZF267" s="9"/>
      <c r="ZG267" s="9"/>
      <c r="ZH267" s="9"/>
      <c r="ZI267" s="9"/>
      <c r="ZJ267" s="9"/>
      <c r="ZK267" s="9"/>
      <c r="ZL267" s="9"/>
      <c r="ZM267" s="9"/>
      <c r="ZN267" s="9"/>
      <c r="ZO267" s="9"/>
      <c r="ZP267" s="9"/>
      <c r="ZQ267" s="9"/>
      <c r="ZR267" s="9"/>
      <c r="ZS267" s="9"/>
      <c r="ZT267" s="9"/>
      <c r="ZU267" s="9"/>
      <c r="ZV267" s="9"/>
      <c r="ZW267" s="9"/>
      <c r="ZX267" s="9"/>
      <c r="ZY267" s="9"/>
      <c r="ZZ267" s="9"/>
      <c r="AAA267" s="9"/>
      <c r="AAB267" s="9"/>
      <c r="AAC267" s="9"/>
      <c r="AAD267" s="9"/>
      <c r="AAE267" s="9"/>
      <c r="AAF267" s="9"/>
      <c r="AAG267" s="9"/>
      <c r="AAH267" s="9"/>
      <c r="AAI267" s="9"/>
      <c r="AAJ267" s="9"/>
      <c r="AAK267" s="9"/>
      <c r="AAL267" s="9"/>
      <c r="AAM267" s="9"/>
      <c r="AAN267" s="9"/>
      <c r="AAO267" s="9"/>
      <c r="AAP267" s="9"/>
      <c r="AAQ267" s="9"/>
      <c r="AAR267" s="9"/>
      <c r="AAS267" s="9"/>
      <c r="AAT267" s="9"/>
      <c r="AAU267" s="9"/>
      <c r="AAV267" s="9"/>
      <c r="AAW267" s="9"/>
      <c r="AAX267" s="9"/>
      <c r="AAY267" s="9"/>
      <c r="AAZ267" s="9"/>
      <c r="ABA267" s="9"/>
      <c r="ABB267" s="9"/>
      <c r="ABC267" s="9"/>
      <c r="ABD267" s="9"/>
      <c r="ABE267" s="9"/>
      <c r="ABF267" s="9"/>
      <c r="ABG267" s="9"/>
      <c r="ABH267" s="9"/>
      <c r="ABI267" s="9"/>
      <c r="ABJ267" s="9"/>
      <c r="ABK267" s="9"/>
      <c r="ABL267" s="9"/>
      <c r="ABM267" s="9"/>
      <c r="ABN267" s="9"/>
      <c r="ABO267" s="9"/>
      <c r="ABP267" s="9"/>
      <c r="ABQ267" s="9"/>
      <c r="ABR267" s="9"/>
      <c r="ABS267" s="9"/>
      <c r="ABT267" s="9"/>
      <c r="ABU267" s="9"/>
      <c r="ABV267" s="9"/>
      <c r="ABW267" s="9"/>
      <c r="ABX267" s="9"/>
      <c r="ABY267" s="9"/>
      <c r="ABZ267" s="9"/>
      <c r="ACA267" s="9"/>
      <c r="ACB267" s="9"/>
      <c r="ACC267" s="9"/>
      <c r="ACD267" s="9"/>
      <c r="ACE267" s="9"/>
      <c r="ACF267" s="9"/>
      <c r="ACG267" s="9"/>
      <c r="ACH267" s="9"/>
      <c r="ACI267" s="9"/>
      <c r="ACJ267" s="9"/>
      <c r="ACK267" s="9"/>
      <c r="ACL267" s="9"/>
      <c r="ACM267" s="9"/>
      <c r="ACN267" s="9"/>
      <c r="ACO267" s="9"/>
      <c r="ACP267" s="9"/>
      <c r="ACQ267" s="9"/>
      <c r="ACR267" s="9"/>
      <c r="ACS267" s="9"/>
      <c r="ACT267" s="9"/>
      <c r="ACU267" s="9"/>
      <c r="ACV267" s="9"/>
      <c r="ACW267" s="9"/>
      <c r="ACX267" s="9"/>
      <c r="ACY267" s="9"/>
      <c r="ACZ267" s="9"/>
      <c r="ADA267" s="9"/>
      <c r="ADB267" s="9"/>
      <c r="ADC267" s="9"/>
      <c r="ADD267" s="9"/>
      <c r="ADE267" s="9"/>
      <c r="ADF267" s="9"/>
      <c r="ADG267" s="9"/>
      <c r="ADH267" s="9"/>
      <c r="ADI267" s="9"/>
      <c r="ADJ267" s="9"/>
      <c r="ADK267" s="9"/>
      <c r="ADL267" s="9"/>
      <c r="ADM267" s="9"/>
      <c r="ADN267" s="9"/>
      <c r="ADO267" s="9"/>
      <c r="ADP267" s="9"/>
      <c r="ADQ267" s="9"/>
      <c r="ADR267" s="9"/>
      <c r="ADS267" s="9"/>
      <c r="ADT267" s="9"/>
      <c r="ADU267" s="9"/>
      <c r="ADV267" s="9"/>
      <c r="ADW267" s="9"/>
      <c r="ADX267" s="9"/>
      <c r="ADY267" s="9"/>
      <c r="ADZ267" s="9"/>
      <c r="AEA267" s="9"/>
      <c r="AEB267" s="9"/>
      <c r="AEC267" s="9"/>
      <c r="AED267" s="9"/>
      <c r="AEE267" s="9"/>
      <c r="AEF267" s="9"/>
      <c r="AEG267" s="9"/>
      <c r="AEH267" s="9"/>
      <c r="AEI267" s="9"/>
      <c r="AEJ267" s="9"/>
      <c r="AEK267" s="9"/>
      <c r="AEL267" s="9"/>
      <c r="AEM267" s="9"/>
      <c r="AEN267" s="9"/>
      <c r="AEO267" s="9"/>
      <c r="AEP267" s="9"/>
      <c r="AEQ267" s="9"/>
      <c r="AER267" s="9"/>
      <c r="AES267" s="9"/>
      <c r="AET267" s="9"/>
      <c r="AEU267" s="9"/>
      <c r="AEV267" s="9"/>
      <c r="AEW267" s="9"/>
      <c r="AEX267" s="9"/>
      <c r="AEY267" s="9"/>
      <c r="AEZ267" s="9"/>
      <c r="AFA267" s="9"/>
      <c r="AFB267" s="9"/>
      <c r="AFC267" s="9"/>
      <c r="AFD267" s="9"/>
      <c r="AFE267" s="9"/>
      <c r="AFF267" s="9"/>
      <c r="AFG267" s="9"/>
      <c r="AFH267" s="9"/>
      <c r="AFI267" s="9"/>
      <c r="AFJ267" s="9"/>
      <c r="AFK267" s="9"/>
      <c r="AFL267" s="9"/>
      <c r="AFM267" s="9"/>
      <c r="AFN267" s="9"/>
      <c r="AFO267" s="9"/>
      <c r="AFP267" s="9"/>
      <c r="AFQ267" s="9"/>
      <c r="AFR267" s="9"/>
      <c r="AFS267" s="9"/>
      <c r="AFT267" s="9"/>
      <c r="AFU267" s="9"/>
      <c r="AFV267" s="9"/>
      <c r="AFW267" s="9"/>
      <c r="AFX267" s="9"/>
      <c r="AFY267" s="9"/>
      <c r="AFZ267" s="9"/>
      <c r="AGA267" s="9"/>
      <c r="AGB267" s="9"/>
      <c r="AGC267" s="9"/>
      <c r="AGD267" s="9"/>
      <c r="AGE267" s="9"/>
      <c r="AGF267" s="9"/>
      <c r="AGG267" s="9"/>
      <c r="AGH267" s="9"/>
      <c r="AGI267" s="9"/>
      <c r="AGJ267" s="9"/>
      <c r="AGK267" s="9"/>
      <c r="AGL267" s="9"/>
      <c r="AGM267" s="9"/>
      <c r="AGN267" s="9"/>
      <c r="AGO267" s="9"/>
      <c r="AGP267" s="9"/>
      <c r="AGQ267" s="9"/>
      <c r="AGR267" s="9"/>
      <c r="AGS267" s="9"/>
      <c r="AGT267" s="9"/>
      <c r="AGU267" s="9"/>
      <c r="AGV267" s="9"/>
      <c r="AGW267" s="9"/>
      <c r="AGX267" s="9"/>
      <c r="AGY267" s="9"/>
      <c r="AGZ267" s="9"/>
      <c r="AHA267" s="9"/>
      <c r="AHB267" s="9"/>
      <c r="AHC267" s="9"/>
      <c r="AHD267" s="9"/>
      <c r="AHE267" s="9"/>
      <c r="AHF267" s="9"/>
      <c r="AHG267" s="9"/>
      <c r="AHH267" s="9"/>
      <c r="AHI267" s="9"/>
      <c r="AHJ267" s="9"/>
      <c r="AHK267" s="9"/>
      <c r="AHL267" s="9"/>
      <c r="AHM267" s="9"/>
      <c r="AHN267" s="9"/>
      <c r="AHO267" s="9"/>
      <c r="AHP267" s="9"/>
      <c r="AHQ267" s="9"/>
      <c r="AHR267" s="9"/>
      <c r="AHS267" s="9"/>
      <c r="AHT267" s="9"/>
      <c r="AHU267" s="9"/>
      <c r="AHV267" s="9"/>
      <c r="AHW267" s="9"/>
      <c r="AHX267" s="9"/>
      <c r="AHY267" s="9"/>
      <c r="AHZ267" s="9"/>
      <c r="AIA267" s="9"/>
      <c r="AIB267" s="9"/>
      <c r="AIC267" s="9"/>
      <c r="AID267" s="9"/>
      <c r="AIE267" s="9"/>
      <c r="AIF267" s="9"/>
      <c r="AIG267" s="9"/>
      <c r="AIH267" s="9"/>
      <c r="AII267" s="9"/>
      <c r="AIJ267" s="9"/>
      <c r="AIK267" s="9"/>
      <c r="AIL267" s="9"/>
      <c r="AIM267" s="9"/>
      <c r="AIN267" s="9"/>
      <c r="AIO267" s="9"/>
      <c r="AIP267" s="9"/>
      <c r="AIQ267" s="9"/>
      <c r="AIR267" s="9"/>
      <c r="AIS267" s="9"/>
      <c r="AIT267" s="9"/>
      <c r="AIU267" s="9"/>
      <c r="AIV267" s="9"/>
      <c r="AIW267" s="9"/>
      <c r="AIX267" s="9"/>
      <c r="AIY267" s="9"/>
      <c r="AIZ267" s="9"/>
      <c r="AJA267" s="9"/>
      <c r="AJB267" s="9"/>
      <c r="AJC267" s="9"/>
      <c r="AJD267" s="9"/>
      <c r="AJE267" s="9"/>
      <c r="AJF267" s="9"/>
      <c r="AJG267" s="9"/>
      <c r="AJH267" s="9"/>
      <c r="AJI267" s="9"/>
      <c r="AJJ267" s="9"/>
      <c r="AJK267" s="9"/>
      <c r="AJL267" s="9"/>
      <c r="AJM267" s="9"/>
      <c r="AJN267" s="9"/>
      <c r="AJO267" s="9"/>
      <c r="AJP267" s="9"/>
      <c r="AJQ267" s="9"/>
      <c r="AJR267" s="9"/>
      <c r="AJS267" s="9"/>
      <c r="AJT267" s="9"/>
      <c r="AJU267" s="9"/>
      <c r="AJV267" s="9"/>
      <c r="AJW267" s="9"/>
      <c r="AJX267" s="9"/>
      <c r="AJY267" s="9"/>
      <c r="AJZ267" s="9"/>
      <c r="AKA267" s="9"/>
      <c r="AKB267" s="9"/>
      <c r="AKC267" s="9"/>
      <c r="AKD267" s="9"/>
      <c r="AKE267" s="9"/>
      <c r="AKF267" s="9"/>
      <c r="AKG267" s="9"/>
      <c r="AKH267" s="9"/>
      <c r="AKI267" s="9"/>
      <c r="AKJ267" s="9"/>
      <c r="AKK267" s="9"/>
      <c r="AKL267" s="9"/>
      <c r="AKM267" s="9"/>
      <c r="AKN267" s="9"/>
      <c r="AKO267" s="9"/>
      <c r="AKP267" s="9"/>
      <c r="AKQ267" s="9"/>
      <c r="AKR267" s="9"/>
      <c r="AKS267" s="9"/>
      <c r="AKT267" s="9"/>
      <c r="AKU267" s="9"/>
      <c r="AKV267" s="9"/>
      <c r="AKW267" s="9"/>
      <c r="AKX267" s="9"/>
      <c r="AKY267" s="9"/>
      <c r="AKZ267" s="9"/>
      <c r="ALA267" s="9"/>
      <c r="ALB267" s="9"/>
      <c r="ALC267" s="9"/>
      <c r="ALD267" s="9"/>
      <c r="ALE267" s="9"/>
      <c r="ALF267" s="9"/>
      <c r="ALG267" s="9"/>
      <c r="ALH267" s="9"/>
      <c r="ALI267" s="9"/>
      <c r="ALJ267" s="9"/>
      <c r="ALK267" s="9"/>
      <c r="ALL267" s="9"/>
      <c r="ALM267" s="9"/>
      <c r="ALN267" s="9"/>
      <c r="ALO267" s="9"/>
      <c r="ALP267" s="9"/>
      <c r="ALQ267" s="9"/>
      <c r="ALR267" s="9"/>
      <c r="ALS267" s="9"/>
      <c r="ALT267" s="9"/>
      <c r="ALU267" s="9"/>
      <c r="ALV267" s="9"/>
      <c r="ALW267" s="9"/>
      <c r="ALX267" s="9"/>
      <c r="ALY267" s="9"/>
      <c r="ALZ267" s="9"/>
      <c r="AMA267" s="9"/>
      <c r="AMB267" s="9"/>
      <c r="AMC267" s="9"/>
      <c r="AMD267" s="9"/>
      <c r="AME267" s="9"/>
      <c r="AMF267" s="9"/>
      <c r="AMG267" s="9"/>
      <c r="AMH267" s="9"/>
      <c r="AMI267" s="9"/>
      <c r="AMJ267" s="9"/>
      <c r="AMK267" s="9"/>
      <c r="AML267" s="9"/>
      <c r="AMM267" s="9"/>
      <c r="AMN267" s="9"/>
      <c r="AMO267" s="9"/>
    </row>
    <row r="268" spans="1:1029" s="12" customFormat="1" x14ac:dyDescent="0.2">
      <c r="A268" s="9" t="str">
        <f t="shared" ref="A268" si="2402">CONCATENATE(B268,"_",C268)</f>
        <v>gpbar_human_7CFN</v>
      </c>
      <c r="B268" s="9" t="s">
        <v>234</v>
      </c>
      <c r="C268" s="9" t="s">
        <v>1731</v>
      </c>
      <c r="D268" s="9" t="str">
        <f>IFERROR(MID(VLOOKUP($B268,Seqs!$A:$B,2,0),E268,1),"")</f>
        <v>L</v>
      </c>
      <c r="E268" s="9">
        <v>18</v>
      </c>
      <c r="F268" s="9" t="str">
        <f>IFERROR(MID(VLOOKUP($B268,Seqs!$A:$B,2,0),G268,1),"")</f>
        <v>W</v>
      </c>
      <c r="G268" s="9">
        <v>41</v>
      </c>
      <c r="H268" s="9" t="str">
        <f>IFERROR(MID(VLOOKUP($B268,Seqs!$A:$B,2,0),I268,1),"")</f>
        <v/>
      </c>
      <c r="I268" s="109" t="s">
        <v>23</v>
      </c>
      <c r="J268" s="9" t="str">
        <f>IFERROR(MID(VLOOKUP($B268,Seqs!$A:$B,2,0),K268,1),"")</f>
        <v/>
      </c>
      <c r="K268" s="109" t="s">
        <v>23</v>
      </c>
      <c r="L268" s="9" t="str">
        <f>IFERROR(MID(VLOOKUP($B268,Seqs!$A:$B,2,0),M268,1),"")</f>
        <v>P</v>
      </c>
      <c r="M268" s="9">
        <v>48</v>
      </c>
      <c r="N268" s="9" t="str">
        <f>IFERROR(MID(VLOOKUP($B268,Seqs!$A:$B,2,0),O268,1),"")</f>
        <v>L</v>
      </c>
      <c r="O268" s="9">
        <v>74</v>
      </c>
      <c r="P268" s="9" t="str">
        <f>IFERROR(MID(VLOOKUP($B268,Seqs!$A:$B,2,0),Q268,1),"")</f>
        <v/>
      </c>
      <c r="Q268" s="9" t="s">
        <v>23</v>
      </c>
      <c r="R268" s="9" t="str">
        <f>IFERROR(MID(VLOOKUP($B268,Seqs!$A:$B,2,0),S268,1),"")</f>
        <v/>
      </c>
      <c r="S268" s="9" t="s">
        <v>23</v>
      </c>
      <c r="T268" s="9" t="str">
        <f>IFERROR(MID(VLOOKUP($B268,Seqs!$A:$B,2,0),U268,1),"")</f>
        <v>G</v>
      </c>
      <c r="U268" s="9">
        <v>81</v>
      </c>
      <c r="V268" s="9" t="str">
        <f>IFERROR(MID(VLOOKUP($B268,Seqs!$A:$B,2,0),W268,1),"")</f>
        <v>R</v>
      </c>
      <c r="W268" s="9">
        <v>116</v>
      </c>
      <c r="X268" s="9" t="str">
        <f>IFERROR(MID(VLOOKUP($B268,Seqs!$A:$B,2,0),Y268,1),"")</f>
        <v/>
      </c>
      <c r="Y268" s="9" t="s">
        <v>23</v>
      </c>
      <c r="Z268" s="9" t="str">
        <f>IFERROR(MID(VLOOKUP($B268,Seqs!$A:$B,2,0),AA268,1),"")</f>
        <v/>
      </c>
      <c r="AA268" s="9" t="s">
        <v>23</v>
      </c>
      <c r="AB268" s="9" t="str">
        <f>IFERROR(MID(VLOOKUP($B268,Seqs!$A:$B,2,0),AC268,1),"")</f>
        <v>S</v>
      </c>
      <c r="AC268" s="9">
        <v>123</v>
      </c>
      <c r="AD268" s="9" t="str">
        <f>IFERROR(MID(VLOOKUP($B268,Seqs!$A:$B,2,0),AE268,1),"")</f>
        <v>G</v>
      </c>
      <c r="AE268" s="9">
        <v>145</v>
      </c>
      <c r="AF268" s="9" t="str">
        <f>IFERROR(MID(VLOOKUP($B268,Seqs!$A:$B,2,0),AG268,1),"")</f>
        <v>C</v>
      </c>
      <c r="AG268" s="9">
        <v>155</v>
      </c>
      <c r="AH268" s="9" t="str">
        <f>IFERROR(MID(VLOOKUP($B268,Seqs!$A:$B,2,0),AI268,1),"")</f>
        <v>S</v>
      </c>
      <c r="AI268" s="9">
        <v>157</v>
      </c>
      <c r="AJ268" s="9" t="str">
        <f>IFERROR(MID(VLOOKUP($B268,Seqs!$A:$B,2,0),AK268,1),"")</f>
        <v>P</v>
      </c>
      <c r="AK268" s="9">
        <v>162</v>
      </c>
      <c r="AL268" s="9" t="str">
        <f>IFERROR(MID(VLOOKUP($B268,Seqs!$A:$B,2,0),AM268,1),"")</f>
        <v>C</v>
      </c>
      <c r="AM268" s="9">
        <v>207</v>
      </c>
      <c r="AN268" s="9" t="str">
        <f>IFERROR(MID(VLOOKUP($B268,Seqs!$A:$B,2,0),AO268,1),"")</f>
        <v>S</v>
      </c>
      <c r="AO268" s="9">
        <v>212</v>
      </c>
      <c r="AP268" s="9" t="str">
        <f>IFERROR(MID(VLOOKUP($B268,Seqs!$A:$B,2,0),AQ268,1),"")</f>
        <v>Q</v>
      </c>
      <c r="AQ268" s="9">
        <v>253</v>
      </c>
      <c r="AR268" s="9" t="str">
        <f>IFERROR(MID(VLOOKUP($B268,Seqs!$A:$B,2,0),AS268,1),"")</f>
        <v>G</v>
      </c>
      <c r="AS268" s="9">
        <v>258</v>
      </c>
      <c r="AT268" s="9" t="str">
        <f>IFERROR(MID(VLOOKUP($B268,Seqs!$A:$B,2,0),AU268,1),"")</f>
        <v>G</v>
      </c>
      <c r="AU268" s="9">
        <v>283</v>
      </c>
      <c r="AV268" s="9" t="str">
        <f>IFERROR(MID(VLOOKUP($B268,Seqs!$A:$B,2,0),AW268,1),"")</f>
        <v>D</v>
      </c>
      <c r="AW268" s="9">
        <v>284</v>
      </c>
      <c r="AX268" s="9" t="str">
        <f>IFERROR(MID(VLOOKUP($B268,Seqs!$A:$B,2,0),AY268,1),"")</f>
        <v>A</v>
      </c>
      <c r="AY268" s="9">
        <v>289</v>
      </c>
      <c r="AZ268" s="110" t="str">
        <f>VLOOKUP(B268,Classification!A:D,2,0)</f>
        <v>A</v>
      </c>
      <c r="BA268" s="98" t="str">
        <f>VLOOKUP(B268,Classification!A:D,4,0)</f>
        <v>Bileacid</v>
      </c>
      <c r="BB268" s="36" t="b">
        <f t="shared" ref="BB268" si="2403"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109">
        <f t="shared" ref="BC268" si="2404">_xlfn.AGGREGATE(9,6,CH268:CS268)-_xlfn.AGGREGATE(9,6,BV268:CG268)+12</f>
        <v>236</v>
      </c>
      <c r="BD268" s="125" t="s">
        <v>1369</v>
      </c>
      <c r="BE268" s="9" t="s">
        <v>1285</v>
      </c>
      <c r="BF268" s="119">
        <v>3</v>
      </c>
      <c r="BG268" s="51" t="s">
        <v>1416</v>
      </c>
      <c r="BH268" s="51" t="s">
        <v>1416</v>
      </c>
      <c r="BJ268" s="111" t="s">
        <v>1281</v>
      </c>
      <c r="BK268" s="112" t="s">
        <v>1281</v>
      </c>
      <c r="BL268" s="112" t="s">
        <v>1281</v>
      </c>
      <c r="BM268" s="112" t="s">
        <v>1281</v>
      </c>
      <c r="BN268" s="112" t="s">
        <v>1281</v>
      </c>
      <c r="BO268" s="112" t="s">
        <v>1281</v>
      </c>
      <c r="BP268" s="112" t="s">
        <v>1281</v>
      </c>
      <c r="BQ268" s="112" t="s">
        <v>1281</v>
      </c>
      <c r="BR268" s="112" t="s">
        <v>1281</v>
      </c>
      <c r="BS268" s="112" t="s">
        <v>1281</v>
      </c>
      <c r="BT268" s="112" t="s">
        <v>1281</v>
      </c>
      <c r="BU268" s="112" t="s">
        <v>1281</v>
      </c>
      <c r="BV268" s="111">
        <f t="shared" ref="BV268" si="2405">E268</f>
        <v>18</v>
      </c>
      <c r="BW268" s="113" t="str">
        <f t="shared" ref="BW268" si="2406">I268</f>
        <v>-</v>
      </c>
      <c r="BX268" s="114">
        <f t="shared" ref="BX268" si="2407">M268</f>
        <v>48</v>
      </c>
      <c r="BY268" s="113" t="str">
        <f t="shared" ref="BY268" si="2408">Q268</f>
        <v>-</v>
      </c>
      <c r="BZ268" s="114">
        <f t="shared" ref="BZ268" si="2409">U268</f>
        <v>81</v>
      </c>
      <c r="CA268" s="113" t="str">
        <f t="shared" ref="CA268" si="2410">Y268</f>
        <v>-</v>
      </c>
      <c r="CB268" s="114">
        <f t="shared" ref="CB268" si="2411">AC268</f>
        <v>123</v>
      </c>
      <c r="CC268" s="113">
        <f t="shared" ref="CC268" si="2412">AG268</f>
        <v>155</v>
      </c>
      <c r="CD268" s="114">
        <f t="shared" ref="CD268" si="2413">AK268</f>
        <v>162</v>
      </c>
      <c r="CE268" s="113">
        <f t="shared" ref="CE268" si="2414">AO268</f>
        <v>212</v>
      </c>
      <c r="CF268" s="114">
        <f t="shared" ref="CF268" si="2415">AS268</f>
        <v>258</v>
      </c>
      <c r="CG268" s="113">
        <f t="shared" ref="CG268" si="2416">AW268</f>
        <v>284</v>
      </c>
      <c r="CH268" s="111">
        <f t="shared" ref="CH268" si="2417">G268</f>
        <v>41</v>
      </c>
      <c r="CI268" s="113" t="str">
        <f t="shared" ref="CI268" si="2418">K268</f>
        <v>-</v>
      </c>
      <c r="CJ268" s="114">
        <f t="shared" ref="CJ268" si="2419">O268</f>
        <v>74</v>
      </c>
      <c r="CK268" s="114" t="str">
        <f t="shared" ref="CK268" si="2420">S268</f>
        <v>-</v>
      </c>
      <c r="CL268" s="114">
        <f t="shared" ref="CL268" si="2421">W268</f>
        <v>116</v>
      </c>
      <c r="CM268" s="114" t="str">
        <f t="shared" ref="CM268" si="2422">AA268</f>
        <v>-</v>
      </c>
      <c r="CN268" s="114">
        <f t="shared" ref="CN268" si="2423">AE268</f>
        <v>145</v>
      </c>
      <c r="CO268" s="114">
        <f t="shared" ref="CO268" si="2424">AI268</f>
        <v>157</v>
      </c>
      <c r="CP268" s="114">
        <f t="shared" ref="CP268" si="2425">AM268</f>
        <v>207</v>
      </c>
      <c r="CQ268" s="114">
        <f t="shared" ref="CQ268" si="2426">AQ268</f>
        <v>253</v>
      </c>
      <c r="CR268" s="114">
        <f t="shared" ref="CR268" si="2427">AU268</f>
        <v>283</v>
      </c>
      <c r="CS268" s="114">
        <f t="shared" ref="CS268" si="2428">AY268</f>
        <v>289</v>
      </c>
      <c r="CT268" s="109" t="e">
        <f t="shared" ref="CT268" si="2429">M268-K268</f>
        <v>#VALUE!</v>
      </c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  <c r="IV268" s="9"/>
      <c r="IW268" s="9"/>
      <c r="IX268" s="9"/>
      <c r="IY268" s="9"/>
      <c r="IZ268" s="9"/>
      <c r="JA268" s="9"/>
      <c r="JB268" s="9"/>
      <c r="JC268" s="9"/>
      <c r="JD268" s="9"/>
      <c r="JE268" s="9"/>
      <c r="JF268" s="9"/>
      <c r="JG268" s="9"/>
      <c r="JH268" s="9"/>
      <c r="JI268" s="9"/>
      <c r="JJ268" s="9"/>
      <c r="JK268" s="9"/>
      <c r="JL268" s="9"/>
      <c r="JM268" s="9"/>
      <c r="JN268" s="9"/>
      <c r="JO268" s="9"/>
      <c r="JP268" s="9"/>
      <c r="JQ268" s="9"/>
      <c r="JR268" s="9"/>
      <c r="JS268" s="9"/>
      <c r="JT268" s="9"/>
      <c r="JU268" s="9"/>
      <c r="JV268" s="9"/>
      <c r="JW268" s="9"/>
      <c r="JX268" s="9"/>
      <c r="JY268" s="9"/>
      <c r="JZ268" s="9"/>
      <c r="KA268" s="9"/>
      <c r="KB268" s="9"/>
      <c r="KC268" s="9"/>
      <c r="KD268" s="9"/>
      <c r="KE268" s="9"/>
      <c r="KF268" s="9"/>
      <c r="KG268" s="9"/>
      <c r="KH268" s="9"/>
      <c r="KI268" s="9"/>
      <c r="KJ268" s="9"/>
      <c r="KK268" s="9"/>
      <c r="KL268" s="9"/>
      <c r="KM268" s="9"/>
      <c r="KN268" s="9"/>
      <c r="KO268" s="9"/>
      <c r="KP268" s="9"/>
      <c r="KQ268" s="9"/>
      <c r="KR268" s="9"/>
      <c r="KS268" s="9"/>
      <c r="KT268" s="9"/>
      <c r="KU268" s="9"/>
      <c r="KV268" s="9"/>
      <c r="KW268" s="9"/>
      <c r="KX268" s="9"/>
      <c r="KY268" s="9"/>
      <c r="KZ268" s="9"/>
      <c r="LA268" s="9"/>
      <c r="LB268" s="9"/>
      <c r="LC268" s="9"/>
      <c r="LD268" s="9"/>
      <c r="LE268" s="9"/>
      <c r="LF268" s="9"/>
      <c r="LG268" s="9"/>
      <c r="LH268" s="9"/>
      <c r="LI268" s="9"/>
      <c r="LJ268" s="9"/>
      <c r="LK268" s="9"/>
      <c r="LL268" s="9"/>
      <c r="LM268" s="9"/>
      <c r="LN268" s="9"/>
      <c r="LO268" s="9"/>
      <c r="LP268" s="9"/>
      <c r="LQ268" s="9"/>
      <c r="LR268" s="9"/>
      <c r="LS268" s="9"/>
      <c r="LT268" s="9"/>
      <c r="LU268" s="9"/>
      <c r="LV268" s="9"/>
      <c r="LW268" s="9"/>
      <c r="LX268" s="9"/>
      <c r="LY268" s="9"/>
      <c r="LZ268" s="9"/>
      <c r="MA268" s="9"/>
      <c r="MB268" s="9"/>
      <c r="MC268" s="9"/>
      <c r="MD268" s="9"/>
      <c r="ME268" s="9"/>
      <c r="MF268" s="9"/>
      <c r="MG268" s="9"/>
      <c r="MH268" s="9"/>
      <c r="MI268" s="9"/>
      <c r="MJ268" s="9"/>
      <c r="MK268" s="9"/>
      <c r="ML268" s="9"/>
      <c r="MM268" s="9"/>
      <c r="MN268" s="9"/>
      <c r="MO268" s="9"/>
      <c r="MP268" s="9"/>
      <c r="MQ268" s="9"/>
      <c r="MR268" s="9"/>
      <c r="MS268" s="9"/>
      <c r="MT268" s="9"/>
      <c r="MU268" s="9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  <c r="PG268" s="9"/>
      <c r="PH268" s="9"/>
      <c r="PI268" s="9"/>
      <c r="PJ268" s="9"/>
      <c r="PK268" s="9"/>
      <c r="PL268" s="9"/>
      <c r="PM268" s="9"/>
      <c r="PN268" s="9"/>
      <c r="PO268" s="9"/>
      <c r="PP268" s="9"/>
      <c r="PQ268" s="9"/>
      <c r="PR268" s="9"/>
      <c r="PS268" s="9"/>
      <c r="PT268" s="9"/>
      <c r="PU268" s="9"/>
      <c r="PV268" s="9"/>
      <c r="PW268" s="9"/>
      <c r="PX268" s="9"/>
      <c r="PY268" s="9"/>
      <c r="PZ268" s="9"/>
      <c r="QA268" s="9"/>
      <c r="QB268" s="9"/>
      <c r="QC268" s="9"/>
      <c r="QD268" s="9"/>
      <c r="QE268" s="9"/>
      <c r="QF268" s="9"/>
      <c r="QG268" s="9"/>
      <c r="QH268" s="9"/>
      <c r="QI268" s="9"/>
      <c r="QJ268" s="9"/>
      <c r="QK268" s="9"/>
      <c r="QL268" s="9"/>
      <c r="QM268" s="9"/>
      <c r="QN268" s="9"/>
      <c r="QO268" s="9"/>
      <c r="QP268" s="9"/>
      <c r="QQ268" s="9"/>
      <c r="QR268" s="9"/>
      <c r="QS268" s="9"/>
      <c r="QT268" s="9"/>
      <c r="QU268" s="9"/>
      <c r="QV268" s="9"/>
      <c r="QW268" s="9"/>
      <c r="QX268" s="9"/>
      <c r="QY268" s="9"/>
      <c r="QZ268" s="9"/>
      <c r="RA268" s="9"/>
      <c r="RB268" s="9"/>
      <c r="RC268" s="9"/>
      <c r="RD268" s="9"/>
      <c r="RE268" s="9"/>
      <c r="RF268" s="9"/>
      <c r="RG268" s="9"/>
      <c r="RH268" s="9"/>
      <c r="RI268" s="9"/>
      <c r="RJ268" s="9"/>
      <c r="RK268" s="9"/>
      <c r="RL268" s="9"/>
      <c r="RM268" s="9"/>
      <c r="RN268" s="9"/>
      <c r="RO268" s="9"/>
      <c r="RP268" s="9"/>
      <c r="RQ268" s="9"/>
      <c r="RR268" s="9"/>
      <c r="RS268" s="9"/>
      <c r="RT268" s="9"/>
      <c r="RU268" s="9"/>
      <c r="RV268" s="9"/>
      <c r="RW268" s="9"/>
      <c r="RX268" s="9"/>
      <c r="RY268" s="9"/>
      <c r="RZ268" s="9"/>
      <c r="SA268" s="9"/>
      <c r="SB268" s="9"/>
      <c r="SC268" s="9"/>
      <c r="SD268" s="9"/>
      <c r="SE268" s="9"/>
      <c r="SF268" s="9"/>
      <c r="SG268" s="9"/>
      <c r="SH268" s="9"/>
      <c r="SI268" s="9"/>
      <c r="SJ268" s="9"/>
      <c r="SK268" s="9"/>
      <c r="SL268" s="9"/>
      <c r="SM268" s="9"/>
      <c r="SN268" s="9"/>
      <c r="SO268" s="9"/>
      <c r="SP268" s="9"/>
      <c r="SQ268" s="9"/>
      <c r="SR268" s="9"/>
      <c r="SS268" s="9"/>
      <c r="ST268" s="9"/>
      <c r="SU268" s="9"/>
      <c r="SV268" s="9"/>
      <c r="SW268" s="9"/>
      <c r="SX268" s="9"/>
      <c r="SY268" s="9"/>
      <c r="SZ268" s="9"/>
      <c r="TA268" s="9"/>
      <c r="TB268" s="9"/>
      <c r="TC268" s="9"/>
      <c r="TD268" s="9"/>
      <c r="TE268" s="9"/>
      <c r="TF268" s="9"/>
      <c r="TG268" s="9"/>
      <c r="TH268" s="9"/>
      <c r="TI268" s="9"/>
      <c r="TJ268" s="9"/>
      <c r="TK268" s="9"/>
      <c r="TL268" s="9"/>
      <c r="TM268" s="9"/>
      <c r="TN268" s="9"/>
      <c r="TO268" s="9"/>
      <c r="TP268" s="9"/>
      <c r="TQ268" s="9"/>
      <c r="TR268" s="9"/>
      <c r="TS268" s="9"/>
      <c r="TT268" s="9"/>
      <c r="TU268" s="9"/>
      <c r="TV268" s="9"/>
      <c r="TW268" s="9"/>
      <c r="TX268" s="9"/>
      <c r="TY268" s="9"/>
      <c r="TZ268" s="9"/>
      <c r="UA268" s="9"/>
      <c r="UB268" s="9"/>
      <c r="UC268" s="9"/>
      <c r="UD268" s="9"/>
      <c r="UE268" s="9"/>
      <c r="UF268" s="9"/>
      <c r="UG268" s="9"/>
      <c r="UH268" s="9"/>
      <c r="UI268" s="9"/>
      <c r="UJ268" s="9"/>
      <c r="UK268" s="9"/>
      <c r="UL268" s="9"/>
      <c r="UM268" s="9"/>
      <c r="UN268" s="9"/>
      <c r="UO268" s="9"/>
      <c r="UP268" s="9"/>
      <c r="UQ268" s="9"/>
      <c r="UR268" s="9"/>
      <c r="US268" s="9"/>
      <c r="UT268" s="9"/>
      <c r="UU268" s="9"/>
      <c r="UV268" s="9"/>
      <c r="UW268" s="9"/>
      <c r="UX268" s="9"/>
      <c r="UY268" s="9"/>
      <c r="UZ268" s="9"/>
      <c r="VA268" s="9"/>
      <c r="VB268" s="9"/>
      <c r="VC268" s="9"/>
      <c r="VD268" s="9"/>
      <c r="VE268" s="9"/>
      <c r="VF268" s="9"/>
      <c r="VG268" s="9"/>
      <c r="VH268" s="9"/>
      <c r="VI268" s="9"/>
      <c r="VJ268" s="9"/>
      <c r="VK268" s="9"/>
      <c r="VL268" s="9"/>
      <c r="VM268" s="9"/>
      <c r="VN268" s="9"/>
      <c r="VO268" s="9"/>
      <c r="VP268" s="9"/>
      <c r="VQ268" s="9"/>
      <c r="VR268" s="9"/>
      <c r="VS268" s="9"/>
      <c r="VT268" s="9"/>
      <c r="VU268" s="9"/>
      <c r="VV268" s="9"/>
      <c r="VW268" s="9"/>
      <c r="VX268" s="9"/>
      <c r="VY268" s="9"/>
      <c r="VZ268" s="9"/>
      <c r="WA268" s="9"/>
      <c r="WB268" s="9"/>
      <c r="WC268" s="9"/>
      <c r="WD268" s="9"/>
      <c r="WE268" s="9"/>
      <c r="WF268" s="9"/>
      <c r="WG268" s="9"/>
      <c r="WH268" s="9"/>
      <c r="WI268" s="9"/>
      <c r="WJ268" s="9"/>
      <c r="WK268" s="9"/>
      <c r="WL268" s="9"/>
      <c r="WM268" s="9"/>
      <c r="WN268" s="9"/>
      <c r="WO268" s="9"/>
      <c r="WP268" s="9"/>
      <c r="WQ268" s="9"/>
      <c r="WR268" s="9"/>
      <c r="WS268" s="9"/>
      <c r="WT268" s="9"/>
      <c r="WU268" s="9"/>
      <c r="WV268" s="9"/>
      <c r="WW268" s="9"/>
      <c r="WX268" s="9"/>
      <c r="WY268" s="9"/>
      <c r="WZ268" s="9"/>
      <c r="XA268" s="9"/>
      <c r="XB268" s="9"/>
      <c r="XC268" s="9"/>
      <c r="XD268" s="9"/>
      <c r="XE268" s="9"/>
      <c r="XF268" s="9"/>
      <c r="XG268" s="9"/>
      <c r="XH268" s="9"/>
      <c r="XI268" s="9"/>
      <c r="XJ268" s="9"/>
      <c r="XK268" s="9"/>
      <c r="XL268" s="9"/>
      <c r="XM268" s="9"/>
      <c r="XN268" s="9"/>
      <c r="XO268" s="9"/>
      <c r="XP268" s="9"/>
      <c r="XQ268" s="9"/>
      <c r="XR268" s="9"/>
      <c r="XS268" s="9"/>
      <c r="XT268" s="9"/>
      <c r="XU268" s="9"/>
      <c r="XV268" s="9"/>
      <c r="XW268" s="9"/>
      <c r="XX268" s="9"/>
      <c r="XY268" s="9"/>
      <c r="XZ268" s="9"/>
      <c r="YA268" s="9"/>
      <c r="YB268" s="9"/>
      <c r="YC268" s="9"/>
      <c r="YD268" s="9"/>
      <c r="YE268" s="9"/>
      <c r="YF268" s="9"/>
      <c r="YG268" s="9"/>
      <c r="YH268" s="9"/>
      <c r="YI268" s="9"/>
      <c r="YJ268" s="9"/>
      <c r="YK268" s="9"/>
      <c r="YL268" s="9"/>
      <c r="YM268" s="9"/>
      <c r="YN268" s="9"/>
      <c r="YO268" s="9"/>
      <c r="YP268" s="9"/>
      <c r="YQ268" s="9"/>
      <c r="YR268" s="9"/>
      <c r="YS268" s="9"/>
      <c r="YT268" s="9"/>
      <c r="YU268" s="9"/>
      <c r="YV268" s="9"/>
      <c r="YW268" s="9"/>
      <c r="YX268" s="9"/>
      <c r="YY268" s="9"/>
      <c r="YZ268" s="9"/>
      <c r="ZA268" s="9"/>
      <c r="ZB268" s="9"/>
      <c r="ZC268" s="9"/>
      <c r="ZD268" s="9"/>
      <c r="ZE268" s="9"/>
      <c r="ZF268" s="9"/>
      <c r="ZG268" s="9"/>
      <c r="ZH268" s="9"/>
      <c r="ZI268" s="9"/>
      <c r="ZJ268" s="9"/>
      <c r="ZK268" s="9"/>
      <c r="ZL268" s="9"/>
      <c r="ZM268" s="9"/>
      <c r="ZN268" s="9"/>
      <c r="ZO268" s="9"/>
      <c r="ZP268" s="9"/>
      <c r="ZQ268" s="9"/>
      <c r="ZR268" s="9"/>
      <c r="ZS268" s="9"/>
      <c r="ZT268" s="9"/>
      <c r="ZU268" s="9"/>
      <c r="ZV268" s="9"/>
      <c r="ZW268" s="9"/>
      <c r="ZX268" s="9"/>
      <c r="ZY268" s="9"/>
      <c r="ZZ268" s="9"/>
      <c r="AAA268" s="9"/>
      <c r="AAB268" s="9"/>
      <c r="AAC268" s="9"/>
      <c r="AAD268" s="9"/>
      <c r="AAE268" s="9"/>
      <c r="AAF268" s="9"/>
      <c r="AAG268" s="9"/>
      <c r="AAH268" s="9"/>
      <c r="AAI268" s="9"/>
      <c r="AAJ268" s="9"/>
      <c r="AAK268" s="9"/>
      <c r="AAL268" s="9"/>
      <c r="AAM268" s="9"/>
      <c r="AAN268" s="9"/>
      <c r="AAO268" s="9"/>
      <c r="AAP268" s="9"/>
      <c r="AAQ268" s="9"/>
      <c r="AAR268" s="9"/>
      <c r="AAS268" s="9"/>
      <c r="AAT268" s="9"/>
      <c r="AAU268" s="9"/>
      <c r="AAV268" s="9"/>
      <c r="AAW268" s="9"/>
      <c r="AAX268" s="9"/>
      <c r="AAY268" s="9"/>
      <c r="AAZ268" s="9"/>
      <c r="ABA268" s="9"/>
      <c r="ABB268" s="9"/>
      <c r="ABC268" s="9"/>
      <c r="ABD268" s="9"/>
      <c r="ABE268" s="9"/>
      <c r="ABF268" s="9"/>
      <c r="ABG268" s="9"/>
      <c r="ABH268" s="9"/>
      <c r="ABI268" s="9"/>
      <c r="ABJ268" s="9"/>
      <c r="ABK268" s="9"/>
      <c r="ABL268" s="9"/>
      <c r="ABM268" s="9"/>
      <c r="ABN268" s="9"/>
      <c r="ABO268" s="9"/>
      <c r="ABP268" s="9"/>
      <c r="ABQ268" s="9"/>
      <c r="ABR268" s="9"/>
      <c r="ABS268" s="9"/>
      <c r="ABT268" s="9"/>
      <c r="ABU268" s="9"/>
      <c r="ABV268" s="9"/>
      <c r="ABW268" s="9"/>
      <c r="ABX268" s="9"/>
      <c r="ABY268" s="9"/>
      <c r="ABZ268" s="9"/>
      <c r="ACA268" s="9"/>
      <c r="ACB268" s="9"/>
      <c r="ACC268" s="9"/>
      <c r="ACD268" s="9"/>
      <c r="ACE268" s="9"/>
      <c r="ACF268" s="9"/>
      <c r="ACG268" s="9"/>
      <c r="ACH268" s="9"/>
      <c r="ACI268" s="9"/>
      <c r="ACJ268" s="9"/>
      <c r="ACK268" s="9"/>
      <c r="ACL268" s="9"/>
      <c r="ACM268" s="9"/>
      <c r="ACN268" s="9"/>
      <c r="ACO268" s="9"/>
      <c r="ACP268" s="9"/>
      <c r="ACQ268" s="9"/>
      <c r="ACR268" s="9"/>
      <c r="ACS268" s="9"/>
      <c r="ACT268" s="9"/>
      <c r="ACU268" s="9"/>
      <c r="ACV268" s="9"/>
      <c r="ACW268" s="9"/>
      <c r="ACX268" s="9"/>
      <c r="ACY268" s="9"/>
      <c r="ACZ268" s="9"/>
      <c r="ADA268" s="9"/>
      <c r="ADB268" s="9"/>
      <c r="ADC268" s="9"/>
      <c r="ADD268" s="9"/>
      <c r="ADE268" s="9"/>
      <c r="ADF268" s="9"/>
      <c r="ADG268" s="9"/>
      <c r="ADH268" s="9"/>
      <c r="ADI268" s="9"/>
      <c r="ADJ268" s="9"/>
      <c r="ADK268" s="9"/>
      <c r="ADL268" s="9"/>
      <c r="ADM268" s="9"/>
      <c r="ADN268" s="9"/>
      <c r="ADO268" s="9"/>
      <c r="ADP268" s="9"/>
      <c r="ADQ268" s="9"/>
      <c r="ADR268" s="9"/>
      <c r="ADS268" s="9"/>
      <c r="ADT268" s="9"/>
      <c r="ADU268" s="9"/>
      <c r="ADV268" s="9"/>
      <c r="ADW268" s="9"/>
      <c r="ADX268" s="9"/>
      <c r="ADY268" s="9"/>
      <c r="ADZ268" s="9"/>
      <c r="AEA268" s="9"/>
      <c r="AEB268" s="9"/>
      <c r="AEC268" s="9"/>
      <c r="AED268" s="9"/>
      <c r="AEE268" s="9"/>
      <c r="AEF268" s="9"/>
      <c r="AEG268" s="9"/>
      <c r="AEH268" s="9"/>
      <c r="AEI268" s="9"/>
      <c r="AEJ268" s="9"/>
      <c r="AEK268" s="9"/>
      <c r="AEL268" s="9"/>
      <c r="AEM268" s="9"/>
      <c r="AEN268" s="9"/>
      <c r="AEO268" s="9"/>
      <c r="AEP268" s="9"/>
      <c r="AEQ268" s="9"/>
      <c r="AER268" s="9"/>
      <c r="AES268" s="9"/>
      <c r="AET268" s="9"/>
      <c r="AEU268" s="9"/>
      <c r="AEV268" s="9"/>
      <c r="AEW268" s="9"/>
      <c r="AEX268" s="9"/>
      <c r="AEY268" s="9"/>
      <c r="AEZ268" s="9"/>
      <c r="AFA268" s="9"/>
      <c r="AFB268" s="9"/>
      <c r="AFC268" s="9"/>
      <c r="AFD268" s="9"/>
      <c r="AFE268" s="9"/>
      <c r="AFF268" s="9"/>
      <c r="AFG268" s="9"/>
      <c r="AFH268" s="9"/>
      <c r="AFI268" s="9"/>
      <c r="AFJ268" s="9"/>
      <c r="AFK268" s="9"/>
      <c r="AFL268" s="9"/>
      <c r="AFM268" s="9"/>
      <c r="AFN268" s="9"/>
      <c r="AFO268" s="9"/>
      <c r="AFP268" s="9"/>
      <c r="AFQ268" s="9"/>
      <c r="AFR268" s="9"/>
      <c r="AFS268" s="9"/>
      <c r="AFT268" s="9"/>
      <c r="AFU268" s="9"/>
      <c r="AFV268" s="9"/>
      <c r="AFW268" s="9"/>
      <c r="AFX268" s="9"/>
      <c r="AFY268" s="9"/>
      <c r="AFZ268" s="9"/>
      <c r="AGA268" s="9"/>
      <c r="AGB268" s="9"/>
      <c r="AGC268" s="9"/>
      <c r="AGD268" s="9"/>
      <c r="AGE268" s="9"/>
      <c r="AGF268" s="9"/>
      <c r="AGG268" s="9"/>
      <c r="AGH268" s="9"/>
      <c r="AGI268" s="9"/>
      <c r="AGJ268" s="9"/>
      <c r="AGK268" s="9"/>
      <c r="AGL268" s="9"/>
      <c r="AGM268" s="9"/>
      <c r="AGN268" s="9"/>
      <c r="AGO268" s="9"/>
      <c r="AGP268" s="9"/>
      <c r="AGQ268" s="9"/>
      <c r="AGR268" s="9"/>
      <c r="AGS268" s="9"/>
      <c r="AGT268" s="9"/>
      <c r="AGU268" s="9"/>
      <c r="AGV268" s="9"/>
      <c r="AGW268" s="9"/>
      <c r="AGX268" s="9"/>
      <c r="AGY268" s="9"/>
      <c r="AGZ268" s="9"/>
      <c r="AHA268" s="9"/>
      <c r="AHB268" s="9"/>
      <c r="AHC268" s="9"/>
      <c r="AHD268" s="9"/>
      <c r="AHE268" s="9"/>
      <c r="AHF268" s="9"/>
      <c r="AHG268" s="9"/>
      <c r="AHH268" s="9"/>
      <c r="AHI268" s="9"/>
      <c r="AHJ268" s="9"/>
      <c r="AHK268" s="9"/>
      <c r="AHL268" s="9"/>
      <c r="AHM268" s="9"/>
      <c r="AHN268" s="9"/>
      <c r="AHO268" s="9"/>
      <c r="AHP268" s="9"/>
      <c r="AHQ268" s="9"/>
      <c r="AHR268" s="9"/>
      <c r="AHS268" s="9"/>
      <c r="AHT268" s="9"/>
      <c r="AHU268" s="9"/>
      <c r="AHV268" s="9"/>
      <c r="AHW268" s="9"/>
      <c r="AHX268" s="9"/>
      <c r="AHY268" s="9"/>
      <c r="AHZ268" s="9"/>
      <c r="AIA268" s="9"/>
      <c r="AIB268" s="9"/>
      <c r="AIC268" s="9"/>
      <c r="AID268" s="9"/>
      <c r="AIE268" s="9"/>
      <c r="AIF268" s="9"/>
      <c r="AIG268" s="9"/>
      <c r="AIH268" s="9"/>
      <c r="AII268" s="9"/>
      <c r="AIJ268" s="9"/>
      <c r="AIK268" s="9"/>
      <c r="AIL268" s="9"/>
      <c r="AIM268" s="9"/>
      <c r="AIN268" s="9"/>
      <c r="AIO268" s="9"/>
      <c r="AIP268" s="9"/>
      <c r="AIQ268" s="9"/>
      <c r="AIR268" s="9"/>
      <c r="AIS268" s="9"/>
      <c r="AIT268" s="9"/>
      <c r="AIU268" s="9"/>
      <c r="AIV268" s="9"/>
      <c r="AIW268" s="9"/>
      <c r="AIX268" s="9"/>
      <c r="AIY268" s="9"/>
      <c r="AIZ268" s="9"/>
      <c r="AJA268" s="9"/>
      <c r="AJB268" s="9"/>
      <c r="AJC268" s="9"/>
      <c r="AJD268" s="9"/>
      <c r="AJE268" s="9"/>
      <c r="AJF268" s="9"/>
      <c r="AJG268" s="9"/>
      <c r="AJH268" s="9"/>
      <c r="AJI268" s="9"/>
      <c r="AJJ268" s="9"/>
      <c r="AJK268" s="9"/>
      <c r="AJL268" s="9"/>
      <c r="AJM268" s="9"/>
      <c r="AJN268" s="9"/>
      <c r="AJO268" s="9"/>
      <c r="AJP268" s="9"/>
      <c r="AJQ268" s="9"/>
      <c r="AJR268" s="9"/>
      <c r="AJS268" s="9"/>
      <c r="AJT268" s="9"/>
      <c r="AJU268" s="9"/>
      <c r="AJV268" s="9"/>
      <c r="AJW268" s="9"/>
      <c r="AJX268" s="9"/>
      <c r="AJY268" s="9"/>
      <c r="AJZ268" s="9"/>
      <c r="AKA268" s="9"/>
      <c r="AKB268" s="9"/>
      <c r="AKC268" s="9"/>
      <c r="AKD268" s="9"/>
      <c r="AKE268" s="9"/>
      <c r="AKF268" s="9"/>
      <c r="AKG268" s="9"/>
      <c r="AKH268" s="9"/>
      <c r="AKI268" s="9"/>
      <c r="AKJ268" s="9"/>
      <c r="AKK268" s="9"/>
      <c r="AKL268" s="9"/>
      <c r="AKM268" s="9"/>
      <c r="AKN268" s="9"/>
      <c r="AKO268" s="9"/>
      <c r="AKP268" s="9"/>
      <c r="AKQ268" s="9"/>
      <c r="AKR268" s="9"/>
      <c r="AKS268" s="9"/>
      <c r="AKT268" s="9"/>
      <c r="AKU268" s="9"/>
      <c r="AKV268" s="9"/>
      <c r="AKW268" s="9"/>
      <c r="AKX268" s="9"/>
      <c r="AKY268" s="9"/>
      <c r="AKZ268" s="9"/>
      <c r="ALA268" s="9"/>
      <c r="ALB268" s="9"/>
      <c r="ALC268" s="9"/>
      <c r="ALD268" s="9"/>
      <c r="ALE268" s="9"/>
      <c r="ALF268" s="9"/>
      <c r="ALG268" s="9"/>
      <c r="ALH268" s="9"/>
      <c r="ALI268" s="9"/>
      <c r="ALJ268" s="9"/>
      <c r="ALK268" s="9"/>
      <c r="ALL268" s="9"/>
      <c r="ALM268" s="9"/>
      <c r="ALN268" s="9"/>
      <c r="ALO268" s="9"/>
      <c r="ALP268" s="9"/>
      <c r="ALQ268" s="9"/>
      <c r="ALR268" s="9"/>
      <c r="ALS268" s="9"/>
      <c r="ALT268" s="9"/>
      <c r="ALU268" s="9"/>
      <c r="ALV268" s="9"/>
      <c r="ALW268" s="9"/>
      <c r="ALX268" s="9"/>
      <c r="ALY268" s="9"/>
      <c r="ALZ268" s="9"/>
      <c r="AMA268" s="9"/>
      <c r="AMB268" s="9"/>
      <c r="AMC268" s="9"/>
      <c r="AMD268" s="9"/>
      <c r="AME268" s="9"/>
      <c r="AMF268" s="9"/>
      <c r="AMG268" s="9"/>
      <c r="AMH268" s="9"/>
      <c r="AMI268" s="9"/>
      <c r="AMJ268" s="9"/>
      <c r="AMK268" s="9"/>
      <c r="AML268" s="9"/>
      <c r="AMM268" s="9"/>
      <c r="AMN268" s="9"/>
      <c r="AMO268" s="9"/>
    </row>
    <row r="269" spans="1:1029" x14ac:dyDescent="0.2">
      <c r="A269" s="3" t="str">
        <f t="shared" ref="A269" si="2430">CONCATENATE(B269,"_",C269)</f>
        <v>gpr52_human__wt</v>
      </c>
      <c r="B269" s="3" t="s">
        <v>259</v>
      </c>
      <c r="C269" s="3" t="s">
        <v>100</v>
      </c>
      <c r="D269" s="3" t="str">
        <f>IFERROR(MID(VLOOKUP($B269,Seqs!$A:$B,2,0),E269,1),"")</f>
        <v>C</v>
      </c>
      <c r="E269" s="3">
        <v>40</v>
      </c>
      <c r="F269" s="3" t="str">
        <f>IFERROR(MID(VLOOKUP($B269,Seqs!$A:$B,2,0),G269,1),"")</f>
        <v>A</v>
      </c>
      <c r="G269" s="3">
        <v>68</v>
      </c>
      <c r="H269" s="3" t="str">
        <f>IFERROR(MID(VLOOKUP($B269,Seqs!$A:$B,2,0),I269,1),"")</f>
        <v>P</v>
      </c>
      <c r="I269" s="23">
        <v>69</v>
      </c>
      <c r="J269" s="3" t="str">
        <f>IFERROR(MID(VLOOKUP($B269,Seqs!$A:$B,2,0),K269,1),"")</f>
        <v>H</v>
      </c>
      <c r="K269" s="23">
        <v>73</v>
      </c>
      <c r="L269" s="3" t="str">
        <f>IFERROR(MID(VLOOKUP($B269,Seqs!$A:$B,2,0),M269,1),"")</f>
        <v>Y</v>
      </c>
      <c r="M269" s="3">
        <v>74</v>
      </c>
      <c r="N269" s="3" t="str">
        <f>IFERROR(MID(VLOOKUP($B269,Seqs!$A:$B,2,0),O269,1),"")</f>
        <v>Y</v>
      </c>
      <c r="O269" s="3">
        <v>104</v>
      </c>
      <c r="P269" s="3" t="str">
        <f>IFERROR(MID(VLOOKUP($B269,Seqs!$A:$B,2,0),Q269,1),"")</f>
        <v/>
      </c>
      <c r="Q269" s="3" t="s">
        <v>23</v>
      </c>
      <c r="R269" s="3" t="str">
        <f>IFERROR(MID(VLOOKUP($B269,Seqs!$A:$B,2,0),S269,1),"")</f>
        <v/>
      </c>
      <c r="S269" s="3" t="s">
        <v>23</v>
      </c>
      <c r="T269" s="3" t="str">
        <f>IFERROR(MID(VLOOKUP($B269,Seqs!$A:$B,2,0),U269,1),"")</f>
        <v>E</v>
      </c>
      <c r="U269" s="3">
        <v>110</v>
      </c>
      <c r="V269" s="3" t="str">
        <f>IFERROR(MID(VLOOKUP($B269,Seqs!$A:$B,2,0),W269,1),"")</f>
        <v>K</v>
      </c>
      <c r="W269" s="3">
        <v>145</v>
      </c>
      <c r="X269" s="3" t="str">
        <f>IFERROR(MID(VLOOKUP($B269,Seqs!$A:$B,2,0),Y269,1),"")</f>
        <v>P</v>
      </c>
      <c r="Y269" s="3">
        <v>146</v>
      </c>
      <c r="Z269" s="3" t="str">
        <f>IFERROR(MID(VLOOKUP($B269,Seqs!$A:$B,2,0),AA269,1),"")</f>
        <v>V</v>
      </c>
      <c r="AA269" s="3">
        <v>153</v>
      </c>
      <c r="AB269" s="3" t="str">
        <f>IFERROR(MID(VLOOKUP($B269,Seqs!$A:$B,2,0),AC269,1),"")</f>
        <v>T</v>
      </c>
      <c r="AC269" s="3">
        <v>154</v>
      </c>
      <c r="AD269" s="3" t="str">
        <f>IFERROR(MID(VLOOKUP($B269,Seqs!$A:$B,2,0),AE269,1),"")</f>
        <v>F</v>
      </c>
      <c r="AE269" s="3">
        <v>178</v>
      </c>
      <c r="AF269" s="3" t="str">
        <f>IFERROR(MID(VLOOKUP($B269,Seqs!$A:$B,2,0),AG269,1),"")</f>
        <v>C</v>
      </c>
      <c r="AG269" s="3">
        <v>193</v>
      </c>
      <c r="AH269" s="3" t="str">
        <f>IFERROR(MID(VLOOKUP($B269,Seqs!$A:$B,2,0),AI269,1),"")</f>
        <v>T</v>
      </c>
      <c r="AI269" s="3">
        <v>195</v>
      </c>
      <c r="AJ269" s="3" t="str">
        <f>IFERROR(MID(VLOOKUP($B269,Seqs!$A:$B,2,0),AK269,1),"")</f>
        <v>S</v>
      </c>
      <c r="AK269" s="3">
        <v>200</v>
      </c>
      <c r="AL269" s="3" t="str">
        <f>IFERROR(MID(VLOOKUP($B269,Seqs!$A:$B,2,0),AM269,1),"")</f>
        <v>N</v>
      </c>
      <c r="AM269" s="3">
        <v>238</v>
      </c>
      <c r="AN269" s="3" t="str">
        <f>IFERROR(MID(VLOOKUP($B269,Seqs!$A:$B,2,0),AO269,1),"")</f>
        <v>S</v>
      </c>
      <c r="AO269" s="3">
        <v>251</v>
      </c>
      <c r="AP269" s="3" t="str">
        <f>IFERROR(MID(VLOOKUP($B269,Seqs!$A:$B,2,0),AQ269,1),"")</f>
        <v>R</v>
      </c>
      <c r="AQ269" s="3">
        <v>291</v>
      </c>
      <c r="AR269" s="3" t="str">
        <f>IFERROR(MID(VLOOKUP($B269,Seqs!$A:$B,2,0),AS269,1),"")</f>
        <v>N</v>
      </c>
      <c r="AS269" s="3">
        <v>295</v>
      </c>
      <c r="AT269" s="3" t="str">
        <f>IFERROR(MID(VLOOKUP($B269,Seqs!$A:$B,2,0),AU269,1),"")</f>
        <v>S</v>
      </c>
      <c r="AU269" s="3">
        <v>320</v>
      </c>
      <c r="AV269" s="3" t="str">
        <f>IFERROR(MID(VLOOKUP($B269,Seqs!$A:$B,2,0),AW269,1),"")</f>
        <v>N</v>
      </c>
      <c r="AW269" s="3">
        <v>321</v>
      </c>
      <c r="AX269" s="3" t="str">
        <f>IFERROR(MID(VLOOKUP($B269,Seqs!$A:$B,2,0),AY269,1),"")</f>
        <v>C</v>
      </c>
      <c r="AY269" s="3">
        <v>341</v>
      </c>
      <c r="AZ269" s="77" t="str">
        <f>VLOOKUP(B269,Classification!A:D,2,0)</f>
        <v>A</v>
      </c>
      <c r="BA269" s="94" t="str">
        <f>VLOOKUP(B269,Classification!A:D,4,0)</f>
        <v>ClassAorphans</v>
      </c>
      <c r="BB269" s="27" t="b">
        <f t="shared" ref="BB269" si="2431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23">
        <f t="shared" ref="BC269" si="2432">_xlfn.AGGREGATE(9,6,CH269:CS269)-_xlfn.AGGREGATE(9,6,BV269:CG269)+12</f>
        <v>265</v>
      </c>
      <c r="BD269" s="16" t="s">
        <v>23</v>
      </c>
      <c r="BE269" s="3" t="s">
        <v>23</v>
      </c>
      <c r="BF269" s="118" t="s">
        <v>23</v>
      </c>
      <c r="BI269" s="1"/>
      <c r="BJ269" s="70" t="s">
        <v>1281</v>
      </c>
      <c r="BK269" s="57" t="s">
        <v>1281</v>
      </c>
      <c r="BL269" s="57" t="s">
        <v>1281</v>
      </c>
      <c r="BM269" s="57" t="s">
        <v>1281</v>
      </c>
      <c r="BN269" s="57" t="s">
        <v>1281</v>
      </c>
      <c r="BO269" s="57" t="s">
        <v>1281</v>
      </c>
      <c r="BP269" s="57" t="s">
        <v>1281</v>
      </c>
      <c r="BQ269" s="57" t="s">
        <v>1281</v>
      </c>
      <c r="BR269" s="57" t="s">
        <v>1281</v>
      </c>
      <c r="BS269" s="57" t="s">
        <v>1281</v>
      </c>
      <c r="BT269" s="57" t="s">
        <v>1281</v>
      </c>
      <c r="BU269" s="57" t="s">
        <v>1281</v>
      </c>
      <c r="BV269" s="70">
        <f t="shared" ref="BV269" si="2433">E269</f>
        <v>40</v>
      </c>
      <c r="BW269" s="71">
        <f t="shared" ref="BW269" si="2434">I269</f>
        <v>69</v>
      </c>
      <c r="BX269" s="72">
        <f t="shared" ref="BX269" si="2435">M269</f>
        <v>74</v>
      </c>
      <c r="BY269" s="71" t="str">
        <f t="shared" ref="BY269" si="2436">Q269</f>
        <v>-</v>
      </c>
      <c r="BZ269" s="72">
        <f t="shared" ref="BZ269" si="2437">U269</f>
        <v>110</v>
      </c>
      <c r="CA269" s="71">
        <f t="shared" ref="CA269" si="2438">Y269</f>
        <v>146</v>
      </c>
      <c r="CB269" s="72">
        <f t="shared" ref="CB269" si="2439">AC269</f>
        <v>154</v>
      </c>
      <c r="CC269" s="71">
        <f t="shared" ref="CC269" si="2440">AG269</f>
        <v>193</v>
      </c>
      <c r="CD269" s="72">
        <f t="shared" ref="CD269" si="2441">AK269</f>
        <v>200</v>
      </c>
      <c r="CE269" s="71">
        <f t="shared" ref="CE269" si="2442">AO269</f>
        <v>251</v>
      </c>
      <c r="CF269" s="72">
        <f t="shared" ref="CF269" si="2443">AS269</f>
        <v>295</v>
      </c>
      <c r="CG269" s="71">
        <f t="shared" ref="CG269" si="2444">AW269</f>
        <v>321</v>
      </c>
      <c r="CH269" s="70">
        <f t="shared" ref="CH269" si="2445">G269</f>
        <v>68</v>
      </c>
      <c r="CI269" s="71">
        <f t="shared" ref="CI269" si="2446">K269</f>
        <v>73</v>
      </c>
      <c r="CJ269" s="72">
        <f t="shared" ref="CJ269" si="2447">O269</f>
        <v>104</v>
      </c>
      <c r="CK269" s="72" t="str">
        <f t="shared" ref="CK269" si="2448">S269</f>
        <v>-</v>
      </c>
      <c r="CL269" s="72">
        <f t="shared" ref="CL269" si="2449">W269</f>
        <v>145</v>
      </c>
      <c r="CM269" s="72">
        <f t="shared" ref="CM269" si="2450">AA269</f>
        <v>153</v>
      </c>
      <c r="CN269" s="72">
        <f t="shared" ref="CN269" si="2451">AE269</f>
        <v>178</v>
      </c>
      <c r="CO269" s="72">
        <f t="shared" ref="CO269" si="2452">AI269</f>
        <v>195</v>
      </c>
      <c r="CP269" s="72">
        <f t="shared" ref="CP269" si="2453">AM269</f>
        <v>238</v>
      </c>
      <c r="CQ269" s="72">
        <f t="shared" ref="CQ269" si="2454">AQ269</f>
        <v>291</v>
      </c>
      <c r="CR269" s="72">
        <f t="shared" ref="CR269" si="2455">AU269</f>
        <v>320</v>
      </c>
      <c r="CS269" s="72">
        <f t="shared" ref="CS269" si="2456">AY269</f>
        <v>341</v>
      </c>
      <c r="CT269" s="23">
        <f t="shared" ref="CT269" si="2457">M269-K269</f>
        <v>1</v>
      </c>
    </row>
    <row r="270" spans="1:1029" x14ac:dyDescent="0.2">
      <c r="A270" s="3" t="str">
        <f t="shared" ref="A270" si="2458">CONCATENATE(B270,"_",C270)</f>
        <v>gpr52_human_6LI0</v>
      </c>
      <c r="B270" s="3" t="s">
        <v>259</v>
      </c>
      <c r="C270" s="3" t="s">
        <v>1661</v>
      </c>
      <c r="D270" s="3" t="str">
        <f>IFERROR(MID(VLOOKUP($B270,Seqs!$A:$B,2,0),E270,1),"")</f>
        <v>C</v>
      </c>
      <c r="E270" s="3">
        <v>40</v>
      </c>
      <c r="F270" s="3" t="str">
        <f>IFERROR(MID(VLOOKUP($B270,Seqs!$A:$B,2,0),G270,1),"")</f>
        <v>C</v>
      </c>
      <c r="G270" s="3">
        <v>67</v>
      </c>
      <c r="H270" s="3" t="str">
        <f>IFERROR(MID(VLOOKUP($B270,Seqs!$A:$B,2,0),I270,1),"")</f>
        <v/>
      </c>
      <c r="I270" s="23" t="s">
        <v>23</v>
      </c>
      <c r="J270" s="3" t="str">
        <f>IFERROR(MID(VLOOKUP($B270,Seqs!$A:$B,2,0),K270,1),"")</f>
        <v/>
      </c>
      <c r="K270" s="23" t="s">
        <v>23</v>
      </c>
      <c r="L270" s="3" t="str">
        <f>IFERROR(MID(VLOOKUP($B270,Seqs!$A:$B,2,0),M270,1),"")</f>
        <v>H</v>
      </c>
      <c r="M270" s="3">
        <v>73</v>
      </c>
      <c r="N270" s="3" t="str">
        <f>IFERROR(MID(VLOOKUP($B270,Seqs!$A:$B,2,0),O270,1),"")</f>
        <v>Y</v>
      </c>
      <c r="O270" s="3">
        <v>104</v>
      </c>
      <c r="P270" s="3" t="str">
        <f>IFERROR(MID(VLOOKUP($B270,Seqs!$A:$B,2,0),Q270,1),"")</f>
        <v/>
      </c>
      <c r="Q270" s="3" t="s">
        <v>23</v>
      </c>
      <c r="R270" s="3" t="str">
        <f>IFERROR(MID(VLOOKUP($B270,Seqs!$A:$B,2,0),S270,1),"")</f>
        <v/>
      </c>
      <c r="S270" s="3" t="s">
        <v>23</v>
      </c>
      <c r="T270" s="3" t="str">
        <f>IFERROR(MID(VLOOKUP($B270,Seqs!$A:$B,2,0),U270,1),"")</f>
        <v>E</v>
      </c>
      <c r="U270" s="3">
        <v>110</v>
      </c>
      <c r="V270" s="3" t="str">
        <f>IFERROR(MID(VLOOKUP($B270,Seqs!$A:$B,2,0),W270,1),"")</f>
        <v>K</v>
      </c>
      <c r="W270" s="3">
        <v>145</v>
      </c>
      <c r="X270" s="3" t="str">
        <f>IFERROR(MID(VLOOKUP($B270,Seqs!$A:$B,2,0),Y270,1),"")</f>
        <v>P</v>
      </c>
      <c r="Y270" s="3">
        <v>146</v>
      </c>
      <c r="Z270" s="3" t="str">
        <f>IFERROR(MID(VLOOKUP($B270,Seqs!$A:$B,2,0),AA270,1),"")</f>
        <v>V</v>
      </c>
      <c r="AA270" s="3">
        <v>153</v>
      </c>
      <c r="AB270" s="3" t="str">
        <f>IFERROR(MID(VLOOKUP($B270,Seqs!$A:$B,2,0),AC270,1),"")</f>
        <v>T</v>
      </c>
      <c r="AC270" s="3">
        <v>154</v>
      </c>
      <c r="AD270" s="3" t="str">
        <f>IFERROR(MID(VLOOKUP($B270,Seqs!$A:$B,2,0),AE270,1),"")</f>
        <v>F</v>
      </c>
      <c r="AE270" s="3">
        <v>178</v>
      </c>
      <c r="AF270" s="3" t="str">
        <f>IFERROR(MID(VLOOKUP($B270,Seqs!$A:$B,2,0),AG270,1),"")</f>
        <v>C</v>
      </c>
      <c r="AG270" s="3">
        <v>193</v>
      </c>
      <c r="AH270" s="3" t="str">
        <f>IFERROR(MID(VLOOKUP($B270,Seqs!$A:$B,2,0),AI270,1),"")</f>
        <v>T</v>
      </c>
      <c r="AI270" s="3">
        <v>195</v>
      </c>
      <c r="AJ270" s="3" t="str">
        <f>IFERROR(MID(VLOOKUP($B270,Seqs!$A:$B,2,0),AK270,1),"")</f>
        <v>S</v>
      </c>
      <c r="AK270" s="3">
        <v>200</v>
      </c>
      <c r="AL270" s="3" t="str">
        <f>IFERROR(MID(VLOOKUP($B270,Seqs!$A:$B,2,0),AM270,1),"")</f>
        <v>I</v>
      </c>
      <c r="AM270" s="3">
        <v>229</v>
      </c>
      <c r="AN270" s="3" t="str">
        <f>IFERROR(MID(VLOOKUP($B270,Seqs!$A:$B,2,0),AO270,1),"")</f>
        <v>R</v>
      </c>
      <c r="AO270" s="3">
        <v>261</v>
      </c>
      <c r="AP270" s="3" t="str">
        <f>IFERROR(MID(VLOOKUP($B270,Seqs!$A:$B,2,0),AQ270,1),"")</f>
        <v>R</v>
      </c>
      <c r="AQ270" s="3">
        <v>291</v>
      </c>
      <c r="AR270" s="3" t="str">
        <f>IFERROR(MID(VLOOKUP($B270,Seqs!$A:$B,2,0),AS270,1),"")</f>
        <v>N</v>
      </c>
      <c r="AS270" s="3">
        <v>295</v>
      </c>
      <c r="AT270" s="3" t="str">
        <f>IFERROR(MID(VLOOKUP($B270,Seqs!$A:$B,2,0),AU270,1),"")</f>
        <v>S</v>
      </c>
      <c r="AU270" s="3">
        <v>320</v>
      </c>
      <c r="AV270" s="3" t="str">
        <f>IFERROR(MID(VLOOKUP($B270,Seqs!$A:$B,2,0),AW270,1),"")</f>
        <v>N</v>
      </c>
      <c r="AW270" s="3">
        <v>321</v>
      </c>
      <c r="AX270" s="3" t="str">
        <f>IFERROR(MID(VLOOKUP($B270,Seqs!$A:$B,2,0),AY270,1),"")</f>
        <v>M</v>
      </c>
      <c r="AY270" s="3">
        <v>335</v>
      </c>
      <c r="AZ270" s="77" t="str">
        <f>VLOOKUP(B270,Classification!A:D,2,0)</f>
        <v>A</v>
      </c>
      <c r="BA270" s="94" t="str">
        <f>VLOOKUP(B270,Classification!A:D,4,0)</f>
        <v>ClassAorphans</v>
      </c>
      <c r="BB270" s="27" t="b">
        <f t="shared" ref="BB270" si="2459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23">
        <f t="shared" ref="BC270" si="2460">_xlfn.AGGREGATE(9,6,CH270:CS270)-_xlfn.AGGREGATE(9,6,BV270:CG270)+12</f>
        <v>236</v>
      </c>
      <c r="BD270" s="16" t="s">
        <v>23</v>
      </c>
      <c r="BE270" s="3" t="s">
        <v>1368</v>
      </c>
      <c r="BF270" s="118">
        <v>2.2000000000000002</v>
      </c>
      <c r="BG270" s="49" t="s">
        <v>1</v>
      </c>
      <c r="BH270" s="49" t="s">
        <v>1</v>
      </c>
      <c r="BI270" s="1"/>
      <c r="BJ270" s="70" t="s">
        <v>1281</v>
      </c>
      <c r="BK270" s="57" t="s">
        <v>1281</v>
      </c>
      <c r="BL270" s="57" t="s">
        <v>1281</v>
      </c>
      <c r="BM270" s="57" t="s">
        <v>1281</v>
      </c>
      <c r="BN270" s="57" t="s">
        <v>1281</v>
      </c>
      <c r="BO270" s="57" t="s">
        <v>1281</v>
      </c>
      <c r="BP270" s="57" t="s">
        <v>1281</v>
      </c>
      <c r="BQ270" s="57" t="s">
        <v>1281</v>
      </c>
      <c r="BR270" s="57" t="s">
        <v>1281</v>
      </c>
      <c r="BS270" s="57" t="s">
        <v>1281</v>
      </c>
      <c r="BT270" s="57" t="s">
        <v>1281</v>
      </c>
      <c r="BU270" s="57" t="s">
        <v>1281</v>
      </c>
      <c r="BV270" s="70">
        <f t="shared" ref="BV270" si="2461">E270</f>
        <v>40</v>
      </c>
      <c r="BW270" s="71" t="str">
        <f t="shared" ref="BW270" si="2462">I270</f>
        <v>-</v>
      </c>
      <c r="BX270" s="72">
        <f t="shared" ref="BX270" si="2463">M270</f>
        <v>73</v>
      </c>
      <c r="BY270" s="71" t="str">
        <f t="shared" ref="BY270" si="2464">Q270</f>
        <v>-</v>
      </c>
      <c r="BZ270" s="72">
        <f t="shared" ref="BZ270" si="2465">U270</f>
        <v>110</v>
      </c>
      <c r="CA270" s="71">
        <f t="shared" ref="CA270" si="2466">Y270</f>
        <v>146</v>
      </c>
      <c r="CB270" s="72">
        <f t="shared" ref="CB270" si="2467">AC270</f>
        <v>154</v>
      </c>
      <c r="CC270" s="71">
        <f t="shared" ref="CC270" si="2468">AG270</f>
        <v>193</v>
      </c>
      <c r="CD270" s="72">
        <f t="shared" ref="CD270" si="2469">AK270</f>
        <v>200</v>
      </c>
      <c r="CE270" s="71">
        <f t="shared" ref="CE270" si="2470">AO270</f>
        <v>261</v>
      </c>
      <c r="CF270" s="72">
        <f t="shared" ref="CF270" si="2471">AS270</f>
        <v>295</v>
      </c>
      <c r="CG270" s="71">
        <f t="shared" ref="CG270" si="2472">AW270</f>
        <v>321</v>
      </c>
      <c r="CH270" s="70">
        <f t="shared" ref="CH270" si="2473">G270</f>
        <v>67</v>
      </c>
      <c r="CI270" s="71" t="str">
        <f t="shared" ref="CI270" si="2474">K270</f>
        <v>-</v>
      </c>
      <c r="CJ270" s="72">
        <f t="shared" ref="CJ270" si="2475">O270</f>
        <v>104</v>
      </c>
      <c r="CK270" s="72" t="str">
        <f t="shared" ref="CK270" si="2476">S270</f>
        <v>-</v>
      </c>
      <c r="CL270" s="72">
        <f t="shared" ref="CL270" si="2477">W270</f>
        <v>145</v>
      </c>
      <c r="CM270" s="72">
        <f t="shared" ref="CM270" si="2478">AA270</f>
        <v>153</v>
      </c>
      <c r="CN270" s="72">
        <f t="shared" ref="CN270" si="2479">AE270</f>
        <v>178</v>
      </c>
      <c r="CO270" s="72">
        <f t="shared" ref="CO270" si="2480">AI270</f>
        <v>195</v>
      </c>
      <c r="CP270" s="72">
        <f t="shared" ref="CP270" si="2481">AM270</f>
        <v>229</v>
      </c>
      <c r="CQ270" s="72">
        <f t="shared" ref="CQ270" si="2482">AQ270</f>
        <v>291</v>
      </c>
      <c r="CR270" s="72">
        <f t="shared" ref="CR270" si="2483">AU270</f>
        <v>320</v>
      </c>
      <c r="CS270" s="72">
        <f t="shared" ref="CS270" si="2484">AY270</f>
        <v>335</v>
      </c>
      <c r="CT270" s="23" t="e">
        <f t="shared" ref="CT270" si="2485">M270-K270</f>
        <v>#VALUE!</v>
      </c>
    </row>
    <row r="271" spans="1:1029" x14ac:dyDescent="0.2">
      <c r="A271" s="3" t="str">
        <f t="shared" ref="A271" si="2486">CONCATENATE(B271,"_",C271)</f>
        <v>gpr52_human_6LI1</v>
      </c>
      <c r="B271" s="3" t="s">
        <v>259</v>
      </c>
      <c r="C271" s="3" t="s">
        <v>1663</v>
      </c>
      <c r="D271" s="3" t="str">
        <f>IFERROR(MID(VLOOKUP($B271,Seqs!$A:$B,2,0),E271,1),"")</f>
        <v>C</v>
      </c>
      <c r="E271" s="3">
        <v>40</v>
      </c>
      <c r="F271" s="3" t="str">
        <f>IFERROR(MID(VLOOKUP($B271,Seqs!$A:$B,2,0),G271,1),"")</f>
        <v>A</v>
      </c>
      <c r="G271" s="3">
        <v>68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H</v>
      </c>
      <c r="M271" s="3">
        <v>73</v>
      </c>
      <c r="N271" s="3" t="str">
        <f>IFERROR(MID(VLOOKUP($B271,Seqs!$A:$B,2,0),O271,1),"")</f>
        <v>H</v>
      </c>
      <c r="O271" s="3">
        <v>103</v>
      </c>
      <c r="P271" s="3" t="str">
        <f>IFERROR(MID(VLOOKUP($B271,Seqs!$A:$B,2,0),Q271,1),"")</f>
        <v/>
      </c>
      <c r="Q271" s="3" t="s">
        <v>23</v>
      </c>
      <c r="R271" s="3" t="str">
        <f>IFERROR(MID(VLOOKUP($B271,Seqs!$A:$B,2,0),S271,1),"")</f>
        <v/>
      </c>
      <c r="S271" s="3" t="s">
        <v>23</v>
      </c>
      <c r="T271" s="3" t="str">
        <f>IFERROR(MID(VLOOKUP($B271,Seqs!$A:$B,2,0),U271,1),"")</f>
        <v>H</v>
      </c>
      <c r="U271" s="3">
        <v>109</v>
      </c>
      <c r="V271" s="3" t="str">
        <f>IFERROR(MID(VLOOKUP($B271,Seqs!$A:$B,2,0),W271,1),"")</f>
        <v>K</v>
      </c>
      <c r="W271" s="3">
        <v>145</v>
      </c>
      <c r="X271" s="3" t="str">
        <f>IFERROR(MID(VLOOKUP($B271,Seqs!$A:$B,2,0),Y271,1),"")</f>
        <v>P</v>
      </c>
      <c r="Y271" s="3">
        <v>146</v>
      </c>
      <c r="Z271" s="3" t="str">
        <f>IFERROR(MID(VLOOKUP($B271,Seqs!$A:$B,2,0),AA271,1),"")</f>
        <v>V</v>
      </c>
      <c r="AA271" s="3">
        <v>153</v>
      </c>
      <c r="AB271" s="3" t="str">
        <f>IFERROR(MID(VLOOKUP($B271,Seqs!$A:$B,2,0),AC271,1),"")</f>
        <v>T</v>
      </c>
      <c r="AC271" s="3">
        <v>154</v>
      </c>
      <c r="AD271" s="3" t="str">
        <f>IFERROR(MID(VLOOKUP($B271,Seqs!$A:$B,2,0),AE271,1),"")</f>
        <v>F</v>
      </c>
      <c r="AE271" s="3">
        <v>178</v>
      </c>
      <c r="AF271" s="3" t="str">
        <f>IFERROR(MID(VLOOKUP($B271,Seqs!$A:$B,2,0),AG271,1),"")</f>
        <v>C</v>
      </c>
      <c r="AG271" s="3">
        <v>193</v>
      </c>
      <c r="AH271" s="3" t="str">
        <f>IFERROR(MID(VLOOKUP($B271,Seqs!$A:$B,2,0),AI271,1),"")</f>
        <v>T</v>
      </c>
      <c r="AI271" s="3">
        <v>195</v>
      </c>
      <c r="AJ271" s="3" t="str">
        <f>IFERROR(MID(VLOOKUP($B271,Seqs!$A:$B,2,0),AK271,1),"")</f>
        <v>S</v>
      </c>
      <c r="AK271" s="3">
        <v>200</v>
      </c>
      <c r="AL271" s="3" t="str">
        <f>IFERROR(MID(VLOOKUP($B271,Seqs!$A:$B,2,0),AM271,1),"")</f>
        <v>Q</v>
      </c>
      <c r="AM271" s="3">
        <v>232</v>
      </c>
      <c r="AN271" s="3" t="str">
        <f>IFERROR(MID(VLOOKUP($B271,Seqs!$A:$B,2,0),AO271,1),"")</f>
        <v>R</v>
      </c>
      <c r="AO271" s="3">
        <v>261</v>
      </c>
      <c r="AP271" s="3" t="str">
        <f>IFERROR(MID(VLOOKUP($B271,Seqs!$A:$B,2,0),AQ271,1),"")</f>
        <v>S</v>
      </c>
      <c r="AQ271" s="3">
        <v>290</v>
      </c>
      <c r="AR271" s="3" t="str">
        <f>IFERROR(MID(VLOOKUP($B271,Seqs!$A:$B,2,0),AS271,1),"")</f>
        <v>N</v>
      </c>
      <c r="AS271" s="3">
        <v>295</v>
      </c>
      <c r="AT271" s="3" t="str">
        <f>IFERROR(MID(VLOOKUP($B271,Seqs!$A:$B,2,0),AU271,1),"")</f>
        <v>S</v>
      </c>
      <c r="AU271" s="3">
        <v>320</v>
      </c>
      <c r="AV271" s="3" t="str">
        <f>IFERROR(MID(VLOOKUP($B271,Seqs!$A:$B,2,0),AW271,1),"")</f>
        <v>N</v>
      </c>
      <c r="AW271" s="3">
        <v>321</v>
      </c>
      <c r="AX271" s="3" t="str">
        <f>IFERROR(MID(VLOOKUP($B271,Seqs!$A:$B,2,0),AY271,1),"")</f>
        <v>C</v>
      </c>
      <c r="AY271" s="3">
        <v>341</v>
      </c>
      <c r="AZ271" s="77" t="str">
        <f>VLOOKUP(B271,Classification!A:D,2,0)</f>
        <v>A</v>
      </c>
      <c r="BA271" s="94" t="str">
        <f>VLOOKUP(B271,Classification!A:D,4,0)</f>
        <v>ClassAorphans</v>
      </c>
      <c r="BB271" s="27" t="b">
        <f t="shared" ref="BB271" si="2487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 t="shared" ref="BC271" si="2488">_xlfn.AGGREGATE(9,6,CH271:CS271)-_xlfn.AGGREGATE(9,6,BV271:CG271)+12</f>
        <v>245</v>
      </c>
      <c r="BD271" s="16" t="s">
        <v>1370</v>
      </c>
      <c r="BE271" s="3" t="s">
        <v>1368</v>
      </c>
      <c r="BF271" s="118">
        <v>2.9</v>
      </c>
      <c r="BG271" s="49" t="s">
        <v>1</v>
      </c>
      <c r="BH271" s="49" t="s">
        <v>1</v>
      </c>
      <c r="BI271" s="1"/>
      <c r="BJ271" s="70" t="s">
        <v>1281</v>
      </c>
      <c r="BK271" s="57" t="s">
        <v>1281</v>
      </c>
      <c r="BL271" s="57" t="s">
        <v>1281</v>
      </c>
      <c r="BM271" s="57" t="s">
        <v>1281</v>
      </c>
      <c r="BN271" s="57" t="s">
        <v>1281</v>
      </c>
      <c r="BO271" s="57" t="s">
        <v>1281</v>
      </c>
      <c r="BP271" s="57" t="s">
        <v>1281</v>
      </c>
      <c r="BQ271" s="57" t="s">
        <v>1281</v>
      </c>
      <c r="BR271" s="57" t="s">
        <v>1281</v>
      </c>
      <c r="BS271" s="57" t="s">
        <v>1281</v>
      </c>
      <c r="BT271" s="57" t="s">
        <v>1281</v>
      </c>
      <c r="BU271" s="57" t="s">
        <v>1281</v>
      </c>
      <c r="BV271" s="70">
        <f t="shared" ref="BV271" si="2489">E271</f>
        <v>40</v>
      </c>
      <c r="BW271" s="71" t="str">
        <f t="shared" ref="BW271" si="2490">I271</f>
        <v>-</v>
      </c>
      <c r="BX271" s="72">
        <f t="shared" ref="BX271" si="2491">M271</f>
        <v>73</v>
      </c>
      <c r="BY271" s="71" t="str">
        <f t="shared" ref="BY271" si="2492">Q271</f>
        <v>-</v>
      </c>
      <c r="BZ271" s="72">
        <f t="shared" ref="BZ271" si="2493">U271</f>
        <v>109</v>
      </c>
      <c r="CA271" s="71">
        <f t="shared" ref="CA271" si="2494">Y271</f>
        <v>146</v>
      </c>
      <c r="CB271" s="72">
        <f t="shared" ref="CB271" si="2495">AC271</f>
        <v>154</v>
      </c>
      <c r="CC271" s="71">
        <f t="shared" ref="CC271" si="2496">AG271</f>
        <v>193</v>
      </c>
      <c r="CD271" s="72">
        <f t="shared" ref="CD271" si="2497">AK271</f>
        <v>200</v>
      </c>
      <c r="CE271" s="71">
        <f t="shared" ref="CE271" si="2498">AO271</f>
        <v>261</v>
      </c>
      <c r="CF271" s="72">
        <f t="shared" ref="CF271" si="2499">AS271</f>
        <v>295</v>
      </c>
      <c r="CG271" s="71">
        <f t="shared" ref="CG271" si="2500">AW271</f>
        <v>321</v>
      </c>
      <c r="CH271" s="70">
        <f t="shared" ref="CH271" si="2501">G271</f>
        <v>68</v>
      </c>
      <c r="CI271" s="71" t="str">
        <f t="shared" ref="CI271" si="2502">K271</f>
        <v>-</v>
      </c>
      <c r="CJ271" s="72">
        <f t="shared" ref="CJ271" si="2503">O271</f>
        <v>103</v>
      </c>
      <c r="CK271" s="72" t="str">
        <f t="shared" ref="CK271" si="2504">S271</f>
        <v>-</v>
      </c>
      <c r="CL271" s="72">
        <f t="shared" ref="CL271" si="2505">W271</f>
        <v>145</v>
      </c>
      <c r="CM271" s="72">
        <f t="shared" ref="CM271" si="2506">AA271</f>
        <v>153</v>
      </c>
      <c r="CN271" s="72">
        <f t="shared" ref="CN271" si="2507">AE271</f>
        <v>178</v>
      </c>
      <c r="CO271" s="72">
        <f t="shared" ref="CO271" si="2508">AI271</f>
        <v>195</v>
      </c>
      <c r="CP271" s="72">
        <f t="shared" ref="CP271" si="2509">AM271</f>
        <v>232</v>
      </c>
      <c r="CQ271" s="72">
        <f t="shared" ref="CQ271" si="2510">AQ271</f>
        <v>290</v>
      </c>
      <c r="CR271" s="72">
        <f t="shared" ref="CR271" si="2511">AU271</f>
        <v>320</v>
      </c>
      <c r="CS271" s="72">
        <f t="shared" ref="CS271" si="2512">AY271</f>
        <v>341</v>
      </c>
      <c r="CT271" s="23" t="e">
        <f t="shared" ref="CT271" si="2513">M271-K271</f>
        <v>#VALUE!</v>
      </c>
    </row>
    <row r="272" spans="1:1029" x14ac:dyDescent="0.2">
      <c r="A272" s="3" t="str">
        <f t="shared" ref="A272" si="2514">CONCATENATE(B272,"_",C272)</f>
        <v>gpr52_human_6LI2</v>
      </c>
      <c r="B272" s="3" t="s">
        <v>259</v>
      </c>
      <c r="C272" s="3" t="s">
        <v>1664</v>
      </c>
      <c r="D272" s="3" t="str">
        <f>IFERROR(MID(VLOOKUP($B272,Seqs!$A:$B,2,0),E272,1),"")</f>
        <v>C</v>
      </c>
      <c r="E272" s="3">
        <v>40</v>
      </c>
      <c r="F272" s="3" t="str">
        <f>IFERROR(MID(VLOOKUP($B272,Seqs!$A:$B,2,0),G272,1),"")</f>
        <v>F</v>
      </c>
      <c r="G272" s="3">
        <v>65</v>
      </c>
      <c r="H272" s="3" t="str">
        <f>IFERROR(MID(VLOOKUP($B272,Seqs!$A:$B,2,0),I272,1),"")</f>
        <v/>
      </c>
      <c r="I272" s="23" t="s">
        <v>23</v>
      </c>
      <c r="J272" s="3" t="str">
        <f>IFERROR(MID(VLOOKUP($B272,Seqs!$A:$B,2,0),K272,1),"")</f>
        <v/>
      </c>
      <c r="K272" s="23" t="s">
        <v>23</v>
      </c>
      <c r="L272" s="3" t="str">
        <f>IFERROR(MID(VLOOKUP($B272,Seqs!$A:$B,2,0),M272,1),"")</f>
        <v>T</v>
      </c>
      <c r="M272" s="3">
        <v>75</v>
      </c>
      <c r="N272" s="3" t="str">
        <f>IFERROR(MID(VLOOKUP($B272,Seqs!$A:$B,2,0),O272,1),"")</f>
        <v>H</v>
      </c>
      <c r="O272" s="3">
        <v>103</v>
      </c>
      <c r="P272" s="3" t="str">
        <f>IFERROR(MID(VLOOKUP($B272,Seqs!$A:$B,2,0),Q272,1),"")</f>
        <v/>
      </c>
      <c r="Q272" s="3" t="s">
        <v>23</v>
      </c>
      <c r="R272" s="3" t="str">
        <f>IFERROR(MID(VLOOKUP($B272,Seqs!$A:$B,2,0),S272,1),"")</f>
        <v/>
      </c>
      <c r="S272" s="3" t="s">
        <v>23</v>
      </c>
      <c r="T272" s="3" t="str">
        <f>IFERROR(MID(VLOOKUP($B272,Seqs!$A:$B,2,0),U272,1),"")</f>
        <v>H</v>
      </c>
      <c r="U272" s="3">
        <v>109</v>
      </c>
      <c r="V272" s="3" t="str">
        <f>IFERROR(MID(VLOOKUP($B272,Seqs!$A:$B,2,0),W272,1),"")</f>
        <v>K</v>
      </c>
      <c r="W272" s="3">
        <v>145</v>
      </c>
      <c r="X272" s="3" t="str">
        <f>IFERROR(MID(VLOOKUP($B272,Seqs!$A:$B,2,0),Y272,1),"")</f>
        <v>P</v>
      </c>
      <c r="Y272" s="3">
        <v>146</v>
      </c>
      <c r="Z272" s="3" t="str">
        <f>IFERROR(MID(VLOOKUP($B272,Seqs!$A:$B,2,0),AA272,1),"")</f>
        <v>V</v>
      </c>
      <c r="AA272" s="3">
        <v>153</v>
      </c>
      <c r="AB272" s="3" t="str">
        <f>IFERROR(MID(VLOOKUP($B272,Seqs!$A:$B,2,0),AC272,1),"")</f>
        <v>T</v>
      </c>
      <c r="AC272" s="3">
        <v>154</v>
      </c>
      <c r="AD272" s="3" t="str">
        <f>IFERROR(MID(VLOOKUP($B272,Seqs!$A:$B,2,0),AE272,1),"")</f>
        <v>F</v>
      </c>
      <c r="AE272" s="3">
        <v>178</v>
      </c>
      <c r="AF272" s="3" t="str">
        <f>IFERROR(MID(VLOOKUP($B272,Seqs!$A:$B,2,0),AG272,1),"")</f>
        <v>C</v>
      </c>
      <c r="AG272" s="3">
        <v>193</v>
      </c>
      <c r="AH272" s="3" t="str">
        <f>IFERROR(MID(VLOOKUP($B272,Seqs!$A:$B,2,0),AI272,1),"")</f>
        <v>T</v>
      </c>
      <c r="AI272" s="3">
        <v>195</v>
      </c>
      <c r="AJ272" s="3" t="str">
        <f>IFERROR(MID(VLOOKUP($B272,Seqs!$A:$B,2,0),AK272,1),"")</f>
        <v>S</v>
      </c>
      <c r="AK272" s="3">
        <v>200</v>
      </c>
      <c r="AL272" s="3" t="str">
        <f>IFERROR(MID(VLOOKUP($B272,Seqs!$A:$B,2,0),AM272,1),"")</f>
        <v>H</v>
      </c>
      <c r="AM272" s="3">
        <v>233</v>
      </c>
      <c r="AN272" s="3" t="str">
        <f>IFERROR(MID(VLOOKUP($B272,Seqs!$A:$B,2,0),AO272,1),"")</f>
        <v>Y</v>
      </c>
      <c r="AO272" s="3">
        <v>263</v>
      </c>
      <c r="AP272" s="3" t="str">
        <f>IFERROR(MID(VLOOKUP($B272,Seqs!$A:$B,2,0),AQ272,1),"")</f>
        <v>R</v>
      </c>
      <c r="AQ272" s="3">
        <v>291</v>
      </c>
      <c r="AR272" s="3" t="str">
        <f>IFERROR(MID(VLOOKUP($B272,Seqs!$A:$B,2,0),AS272,1),"")</f>
        <v>N</v>
      </c>
      <c r="AS272" s="3">
        <v>295</v>
      </c>
      <c r="AT272" s="3" t="str">
        <f>IFERROR(MID(VLOOKUP($B272,Seqs!$A:$B,2,0),AU272,1),"")</f>
        <v>S</v>
      </c>
      <c r="AU272" s="3">
        <v>320</v>
      </c>
      <c r="AV272" s="3" t="str">
        <f>IFERROR(MID(VLOOKUP($B272,Seqs!$A:$B,2,0),AW272,1),"")</f>
        <v>N</v>
      </c>
      <c r="AW272" s="3">
        <v>321</v>
      </c>
      <c r="AX272" s="3" t="str">
        <f>IFERROR(MID(VLOOKUP($B272,Seqs!$A:$B,2,0),AY272,1),"")</f>
        <v>M</v>
      </c>
      <c r="AY272" s="3">
        <v>340</v>
      </c>
      <c r="AZ272" s="77" t="str">
        <f>VLOOKUP(B272,Classification!A:D,2,0)</f>
        <v>A</v>
      </c>
      <c r="BA272" s="94" t="str">
        <f>VLOOKUP(B272,Classification!A:D,4,0)</f>
        <v>ClassAorphans</v>
      </c>
      <c r="BB272" s="27" t="b">
        <f t="shared" ref="BB272" si="2515"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 t="shared" ref="BC272" si="2516">_xlfn.AGGREGATE(9,6,CH272:CS272)-_xlfn.AGGREGATE(9,6,BV272:CG272)+12</f>
        <v>239</v>
      </c>
      <c r="BD272" s="16" t="s">
        <v>23</v>
      </c>
      <c r="BE272" s="3" t="s">
        <v>1368</v>
      </c>
      <c r="BF272" s="118">
        <v>2.8</v>
      </c>
      <c r="BG272" s="49" t="s">
        <v>1</v>
      </c>
      <c r="BH272" s="49" t="s">
        <v>1</v>
      </c>
      <c r="BI272" s="1"/>
      <c r="BJ272" s="70" t="s">
        <v>1281</v>
      </c>
      <c r="BK272" s="57" t="s">
        <v>1281</v>
      </c>
      <c r="BL272" s="57" t="s">
        <v>1281</v>
      </c>
      <c r="BM272" s="57" t="s">
        <v>1281</v>
      </c>
      <c r="BN272" s="57" t="s">
        <v>1281</v>
      </c>
      <c r="BO272" s="57" t="s">
        <v>1281</v>
      </c>
      <c r="BP272" s="57" t="s">
        <v>1281</v>
      </c>
      <c r="BQ272" s="57" t="s">
        <v>1281</v>
      </c>
      <c r="BR272" s="57" t="s">
        <v>1281</v>
      </c>
      <c r="BS272" s="57" t="s">
        <v>1281</v>
      </c>
      <c r="BT272" s="57" t="s">
        <v>1281</v>
      </c>
      <c r="BU272" s="57" t="s">
        <v>1281</v>
      </c>
      <c r="BV272" s="70">
        <f t="shared" ref="BV272" si="2517">E272</f>
        <v>40</v>
      </c>
      <c r="BW272" s="71" t="str">
        <f t="shared" ref="BW272" si="2518">I272</f>
        <v>-</v>
      </c>
      <c r="BX272" s="72">
        <f t="shared" ref="BX272" si="2519">M272</f>
        <v>75</v>
      </c>
      <c r="BY272" s="71" t="str">
        <f t="shared" ref="BY272" si="2520">Q272</f>
        <v>-</v>
      </c>
      <c r="BZ272" s="72">
        <f t="shared" ref="BZ272" si="2521">U272</f>
        <v>109</v>
      </c>
      <c r="CA272" s="71">
        <f t="shared" ref="CA272" si="2522">Y272</f>
        <v>146</v>
      </c>
      <c r="CB272" s="72">
        <f t="shared" ref="CB272" si="2523">AC272</f>
        <v>154</v>
      </c>
      <c r="CC272" s="71">
        <f t="shared" ref="CC272" si="2524">AG272</f>
        <v>193</v>
      </c>
      <c r="CD272" s="72">
        <f t="shared" ref="CD272" si="2525">AK272</f>
        <v>200</v>
      </c>
      <c r="CE272" s="71">
        <f t="shared" ref="CE272" si="2526">AO272</f>
        <v>263</v>
      </c>
      <c r="CF272" s="72">
        <f t="shared" ref="CF272" si="2527">AS272</f>
        <v>295</v>
      </c>
      <c r="CG272" s="71">
        <f t="shared" ref="CG272" si="2528">AW272</f>
        <v>321</v>
      </c>
      <c r="CH272" s="70">
        <f t="shared" ref="CH272" si="2529">G272</f>
        <v>65</v>
      </c>
      <c r="CI272" s="71" t="str">
        <f t="shared" ref="CI272" si="2530">K272</f>
        <v>-</v>
      </c>
      <c r="CJ272" s="72">
        <f t="shared" ref="CJ272" si="2531">O272</f>
        <v>103</v>
      </c>
      <c r="CK272" s="72" t="str">
        <f t="shared" ref="CK272" si="2532">S272</f>
        <v>-</v>
      </c>
      <c r="CL272" s="72">
        <f t="shared" ref="CL272" si="2533">W272</f>
        <v>145</v>
      </c>
      <c r="CM272" s="72">
        <f t="shared" ref="CM272" si="2534">AA272</f>
        <v>153</v>
      </c>
      <c r="CN272" s="72">
        <f t="shared" ref="CN272" si="2535">AE272</f>
        <v>178</v>
      </c>
      <c r="CO272" s="72">
        <f t="shared" ref="CO272" si="2536">AI272</f>
        <v>195</v>
      </c>
      <c r="CP272" s="72">
        <f t="shared" ref="CP272" si="2537">AM272</f>
        <v>233</v>
      </c>
      <c r="CQ272" s="72">
        <f t="shared" ref="CQ272" si="2538">AQ272</f>
        <v>291</v>
      </c>
      <c r="CR272" s="72">
        <f t="shared" ref="CR272" si="2539">AU272</f>
        <v>320</v>
      </c>
      <c r="CS272" s="72">
        <f t="shared" ref="CS272" si="2540">AY272</f>
        <v>340</v>
      </c>
      <c r="CT272" s="23" t="e">
        <f t="shared" ref="CT272" si="2541">M272-K272</f>
        <v>#VALUE!</v>
      </c>
    </row>
    <row r="273" spans="1:1029" x14ac:dyDescent="0.2">
      <c r="A273" s="3" t="str">
        <f t="shared" ref="A273" si="2542">CONCATENATE(B273,"_",C273)</f>
        <v>gpr52_human_6LI3</v>
      </c>
      <c r="B273" s="3" t="s">
        <v>259</v>
      </c>
      <c r="C273" s="3" t="s">
        <v>1665</v>
      </c>
      <c r="D273" s="3" t="str">
        <f>IFERROR(MID(VLOOKUP($B273,Seqs!$A:$B,2,0),E273,1),"")</f>
        <v>V</v>
      </c>
      <c r="E273" s="3">
        <v>37</v>
      </c>
      <c r="F273" s="3" t="str">
        <f>IFERROR(MID(VLOOKUP($B273,Seqs!$A:$B,2,0),G273,1),"")</f>
        <v>A</v>
      </c>
      <c r="G273" s="3">
        <v>68</v>
      </c>
      <c r="H273" s="3" t="str">
        <f>IFERROR(MID(VLOOKUP($B273,Seqs!$A:$B,2,0),I273,1),"")</f>
        <v>P</v>
      </c>
      <c r="I273" s="23">
        <v>69</v>
      </c>
      <c r="J273" s="3" t="str">
        <f>IFERROR(MID(VLOOKUP($B273,Seqs!$A:$B,2,0),K273,1),"")</f>
        <v>H</v>
      </c>
      <c r="K273" s="23">
        <v>73</v>
      </c>
      <c r="L273" s="3" t="str">
        <f>IFERROR(MID(VLOOKUP($B273,Seqs!$A:$B,2,0),M273,1),"")</f>
        <v>Y</v>
      </c>
      <c r="M273" s="3">
        <v>74</v>
      </c>
      <c r="N273" s="3" t="str">
        <f>IFERROR(MID(VLOOKUP($B273,Seqs!$A:$B,2,0),O273,1),"")</f>
        <v>Y</v>
      </c>
      <c r="O273" s="3">
        <v>104</v>
      </c>
      <c r="P273" s="3" t="str">
        <f>IFERROR(MID(VLOOKUP($B273,Seqs!$A:$B,2,0),Q273,1),"")</f>
        <v/>
      </c>
      <c r="Q273" s="3" t="s">
        <v>23</v>
      </c>
      <c r="R273" s="3" t="str">
        <f>IFERROR(MID(VLOOKUP($B273,Seqs!$A:$B,2,0),S273,1),"")</f>
        <v/>
      </c>
      <c r="S273" s="3" t="s">
        <v>23</v>
      </c>
      <c r="T273" s="3" t="str">
        <f>IFERROR(MID(VLOOKUP($B273,Seqs!$A:$B,2,0),U273,1),"")</f>
        <v>V</v>
      </c>
      <c r="U273" s="3">
        <v>108</v>
      </c>
      <c r="V273" s="3" t="str">
        <f>IFERROR(MID(VLOOKUP($B273,Seqs!$A:$B,2,0),W273,1),"")</f>
        <v>K</v>
      </c>
      <c r="W273" s="3">
        <v>145</v>
      </c>
      <c r="X273" s="3" t="str">
        <f>IFERROR(MID(VLOOKUP($B273,Seqs!$A:$B,2,0),Y273,1),"")</f>
        <v>P</v>
      </c>
      <c r="Y273" s="3">
        <v>146</v>
      </c>
      <c r="Z273" s="3" t="str">
        <f>IFERROR(MID(VLOOKUP($B273,Seqs!$A:$B,2,0),AA273,1),"")</f>
        <v>V</v>
      </c>
      <c r="AA273" s="3">
        <v>153</v>
      </c>
      <c r="AB273" s="3" t="str">
        <f>IFERROR(MID(VLOOKUP($B273,Seqs!$A:$B,2,0),AC273,1),"")</f>
        <v>T</v>
      </c>
      <c r="AC273" s="3">
        <v>154</v>
      </c>
      <c r="AD273" s="3" t="str">
        <f>IFERROR(MID(VLOOKUP($B273,Seqs!$A:$B,2,0),AE273,1),"")</f>
        <v>F</v>
      </c>
      <c r="AE273" s="3">
        <v>178</v>
      </c>
      <c r="AF273" s="3" t="str">
        <f>IFERROR(MID(VLOOKUP($B273,Seqs!$A:$B,2,0),AG273,1),"")</f>
        <v>C</v>
      </c>
      <c r="AG273" s="3">
        <v>193</v>
      </c>
      <c r="AH273" s="3" t="str">
        <f>IFERROR(MID(VLOOKUP($B273,Seqs!$A:$B,2,0),AI273,1),"")</f>
        <v>T</v>
      </c>
      <c r="AI273" s="3">
        <v>195</v>
      </c>
      <c r="AJ273" s="3" t="str">
        <f>IFERROR(MID(VLOOKUP($B273,Seqs!$A:$B,2,0),AK273,1),"")</f>
        <v>S</v>
      </c>
      <c r="AK273" s="3">
        <v>200</v>
      </c>
      <c r="AL273" s="3" t="str">
        <f>IFERROR(MID(VLOOKUP($B273,Seqs!$A:$B,2,0),AM273,1),"")</f>
        <v>F</v>
      </c>
      <c r="AM273" s="3">
        <v>244</v>
      </c>
      <c r="AN273" s="3" t="str">
        <f>IFERROR(MID(VLOOKUP($B273,Seqs!$A:$B,2,0),AO273,1),"")</f>
        <v>M</v>
      </c>
      <c r="AO273" s="3">
        <v>265</v>
      </c>
      <c r="AP273" s="3" t="str">
        <f>IFERROR(MID(VLOOKUP($B273,Seqs!$A:$B,2,0),AQ273,1),"")</f>
        <v>S</v>
      </c>
      <c r="AQ273" s="3">
        <v>289</v>
      </c>
      <c r="AR273" s="3" t="str">
        <f>IFERROR(MID(VLOOKUP($B273,Seqs!$A:$B,2,0),AS273,1),"")</f>
        <v>N</v>
      </c>
      <c r="AS273" s="3">
        <v>295</v>
      </c>
      <c r="AT273" s="3" t="str">
        <f>IFERROR(MID(VLOOKUP($B273,Seqs!$A:$B,2,0),AU273,1),"")</f>
        <v>S</v>
      </c>
      <c r="AU273" s="3">
        <v>320</v>
      </c>
      <c r="AV273" s="3" t="str">
        <f>IFERROR(MID(VLOOKUP($B273,Seqs!$A:$B,2,0),AW273,1),"")</f>
        <v>V</v>
      </c>
      <c r="AW273" s="3">
        <v>323</v>
      </c>
      <c r="AX273" s="3" t="str">
        <f>IFERROR(MID(VLOOKUP($B273,Seqs!$A:$B,2,0),AY273,1),"")</f>
        <v>T</v>
      </c>
      <c r="AY273" s="3">
        <v>337</v>
      </c>
      <c r="AZ273" s="77" t="str">
        <f>VLOOKUP(B273,Classification!A:D,2,0)</f>
        <v>A</v>
      </c>
      <c r="BA273" s="94" t="str">
        <f>VLOOKUP(B273,Classification!A:D,4,0)</f>
        <v>ClassAorphans</v>
      </c>
      <c r="BB273" s="27" t="b">
        <f t="shared" ref="BB273" si="2543"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 t="shared" ref="BC273" si="2544">_xlfn.AGGREGATE(9,6,CH273:CS273)-_xlfn.AGGREGATE(9,6,BV273:CG273)+12</f>
        <v>254</v>
      </c>
      <c r="BD273" s="16" t="s">
        <v>1423</v>
      </c>
      <c r="BE273" s="3" t="s">
        <v>1422</v>
      </c>
      <c r="BF273" s="118">
        <v>3.32</v>
      </c>
      <c r="BG273" s="49" t="s">
        <v>1416</v>
      </c>
      <c r="BH273" s="49" t="s">
        <v>1416</v>
      </c>
      <c r="BI273" s="1"/>
      <c r="BJ273" s="70" t="s">
        <v>1281</v>
      </c>
      <c r="BK273" s="57" t="s">
        <v>1281</v>
      </c>
      <c r="BL273" s="57" t="s">
        <v>1281</v>
      </c>
      <c r="BM273" s="57" t="s">
        <v>1281</v>
      </c>
      <c r="BN273" s="57" t="s">
        <v>1281</v>
      </c>
      <c r="BO273" s="57" t="s">
        <v>1281</v>
      </c>
      <c r="BP273" s="57" t="s">
        <v>1281</v>
      </c>
      <c r="BQ273" s="57" t="s">
        <v>1281</v>
      </c>
      <c r="BR273" s="57" t="s">
        <v>1281</v>
      </c>
      <c r="BS273" s="57" t="s">
        <v>1281</v>
      </c>
      <c r="BT273" s="57" t="s">
        <v>1281</v>
      </c>
      <c r="BU273" s="57" t="s">
        <v>1281</v>
      </c>
      <c r="BV273" s="70">
        <f t="shared" ref="BV273" si="2545">E273</f>
        <v>37</v>
      </c>
      <c r="BW273" s="71">
        <f t="shared" ref="BW273" si="2546">I273</f>
        <v>69</v>
      </c>
      <c r="BX273" s="72">
        <f t="shared" ref="BX273" si="2547">M273</f>
        <v>74</v>
      </c>
      <c r="BY273" s="71" t="str">
        <f t="shared" ref="BY273" si="2548">Q273</f>
        <v>-</v>
      </c>
      <c r="BZ273" s="72">
        <f t="shared" ref="BZ273" si="2549">U273</f>
        <v>108</v>
      </c>
      <c r="CA273" s="71">
        <f t="shared" ref="CA273" si="2550">Y273</f>
        <v>146</v>
      </c>
      <c r="CB273" s="72">
        <f t="shared" ref="CB273" si="2551">AC273</f>
        <v>154</v>
      </c>
      <c r="CC273" s="71">
        <f t="shared" ref="CC273" si="2552">AG273</f>
        <v>193</v>
      </c>
      <c r="CD273" s="72">
        <f t="shared" ref="CD273" si="2553">AK273</f>
        <v>200</v>
      </c>
      <c r="CE273" s="71">
        <f t="shared" ref="CE273" si="2554">AO273</f>
        <v>265</v>
      </c>
      <c r="CF273" s="72">
        <f t="shared" ref="CF273" si="2555">AS273</f>
        <v>295</v>
      </c>
      <c r="CG273" s="71">
        <f t="shared" ref="CG273" si="2556">AW273</f>
        <v>323</v>
      </c>
      <c r="CH273" s="70">
        <f t="shared" ref="CH273" si="2557">G273</f>
        <v>68</v>
      </c>
      <c r="CI273" s="71">
        <f t="shared" ref="CI273" si="2558">K273</f>
        <v>73</v>
      </c>
      <c r="CJ273" s="72">
        <f t="shared" ref="CJ273" si="2559">O273</f>
        <v>104</v>
      </c>
      <c r="CK273" s="72" t="str">
        <f t="shared" ref="CK273" si="2560">S273</f>
        <v>-</v>
      </c>
      <c r="CL273" s="72">
        <f t="shared" ref="CL273" si="2561">W273</f>
        <v>145</v>
      </c>
      <c r="CM273" s="72">
        <f t="shared" ref="CM273" si="2562">AA273</f>
        <v>153</v>
      </c>
      <c r="CN273" s="72">
        <f t="shared" ref="CN273" si="2563">AE273</f>
        <v>178</v>
      </c>
      <c r="CO273" s="72">
        <f t="shared" ref="CO273" si="2564">AI273</f>
        <v>195</v>
      </c>
      <c r="CP273" s="72">
        <f t="shared" ref="CP273" si="2565">AM273</f>
        <v>244</v>
      </c>
      <c r="CQ273" s="72">
        <f t="shared" ref="CQ273" si="2566">AQ273</f>
        <v>289</v>
      </c>
      <c r="CR273" s="72">
        <f t="shared" ref="CR273" si="2567">AU273</f>
        <v>320</v>
      </c>
      <c r="CS273" s="72">
        <f t="shared" ref="CS273" si="2568">AY273</f>
        <v>337</v>
      </c>
      <c r="CT273" s="23">
        <f t="shared" ref="CT273" si="2569">M273-K273</f>
        <v>1</v>
      </c>
    </row>
    <row r="274" spans="1:1029" x14ac:dyDescent="0.2">
      <c r="A274" s="3" t="str">
        <f t="shared" si="1371"/>
        <v>hrh1_human__wt</v>
      </c>
      <c r="B274" s="3" t="s">
        <v>277</v>
      </c>
      <c r="C274" s="3" t="s">
        <v>100</v>
      </c>
      <c r="D274" s="3" t="str">
        <f>IFERROR(MID(VLOOKUP($B274,Seqs!$A:$B,2,0),E274,1),"")</f>
        <v>P</v>
      </c>
      <c r="E274" s="3">
        <v>29</v>
      </c>
      <c r="F274" s="3" t="str">
        <f>IFERROR(MID(VLOOKUP($B274,Seqs!$A:$B,2,0),G274,1),"")</f>
        <v>E</v>
      </c>
      <c r="G274" s="3">
        <v>55</v>
      </c>
      <c r="H274" s="3" t="str">
        <f>IFERROR(MID(VLOOKUP($B274,Seqs!$A:$B,2,0),I274,1),"")</f>
        <v>R</v>
      </c>
      <c r="I274" s="23">
        <v>56</v>
      </c>
      <c r="J274" s="3" t="str">
        <f>IFERROR(MID(VLOOKUP($B274,Seqs!$A:$B,2,0),K274,1),"")</f>
        <v>H</v>
      </c>
      <c r="K274" s="23">
        <v>59</v>
      </c>
      <c r="L274" s="3" t="str">
        <f>IFERROR(MID(VLOOKUP($B274,Seqs!$A:$B,2,0),M274,1),"")</f>
        <v>T</v>
      </c>
      <c r="M274" s="3">
        <v>60</v>
      </c>
      <c r="N274" s="3" t="str">
        <f>IFERROR(MID(VLOOKUP($B274,Seqs!$A:$B,2,0),O274,1),"")</f>
        <v>M</v>
      </c>
      <c r="O274" s="3">
        <v>90</v>
      </c>
      <c r="P274" s="3" t="str">
        <f>IFERROR(MID(VLOOKUP($B274,Seqs!$A:$B,2,0),Q274,1),"")</f>
        <v>K</v>
      </c>
      <c r="Q274" s="3">
        <v>92</v>
      </c>
      <c r="R274" s="3" t="str">
        <f>IFERROR(MID(VLOOKUP($B274,Seqs!$A:$B,2,0),S274,1),"")</f>
        <v>L</v>
      </c>
      <c r="S274" s="3">
        <v>95</v>
      </c>
      <c r="T274" s="3" t="str">
        <f>IFERROR(MID(VLOOKUP($B274,Seqs!$A:$B,2,0),U274,1),"")</f>
        <v>G</v>
      </c>
      <c r="U274" s="3">
        <v>96</v>
      </c>
      <c r="V274" s="3" t="str">
        <f>IFERROR(MID(VLOOKUP($B274,Seqs!$A:$B,2,0),W274,1),"")</f>
        <v>Q</v>
      </c>
      <c r="W274" s="3">
        <v>131</v>
      </c>
      <c r="X274" s="3" t="str">
        <f>IFERROR(MID(VLOOKUP($B274,Seqs!$A:$B,2,0),Y274,1),"")</f>
        <v>P</v>
      </c>
      <c r="Y274" s="3">
        <v>132</v>
      </c>
      <c r="Z274" s="3" t="str">
        <f>IFERROR(MID(VLOOKUP($B274,Seqs!$A:$B,2,0),AA274,1),"")</f>
        <v>R</v>
      </c>
      <c r="AA274" s="3">
        <v>139</v>
      </c>
      <c r="AB274" s="3" t="str">
        <f>IFERROR(MID(VLOOKUP($B274,Seqs!$A:$B,2,0),AC274,1),"")</f>
        <v>T</v>
      </c>
      <c r="AC274" s="3">
        <v>140</v>
      </c>
      <c r="AD274" s="3" t="str">
        <f>IFERROR(MID(VLOOKUP($B274,Seqs!$A:$B,2,0),AE274,1),"")</f>
        <v>G</v>
      </c>
      <c r="AE274" s="3">
        <v>164</v>
      </c>
      <c r="AF274" s="3" t="str">
        <f>IFERROR(MID(VLOOKUP($B274,Seqs!$A:$B,2,0),AG274,1),"")</f>
        <v>C</v>
      </c>
      <c r="AG274" s="3">
        <v>180</v>
      </c>
      <c r="AH274" s="3" t="str">
        <f>IFERROR(MID(VLOOKUP($B274,Seqs!$A:$B,2,0),AI274,1),"")</f>
        <v>T</v>
      </c>
      <c r="AI274" s="3">
        <v>182</v>
      </c>
      <c r="AJ274" s="3" t="str">
        <f>IFERROR(MID(VLOOKUP($B274,Seqs!$A:$B,2,0),AK274,1),"")</f>
        <v>V</v>
      </c>
      <c r="AK274" s="3">
        <v>187</v>
      </c>
      <c r="AL274" s="3" t="str">
        <f>IFERROR(MID(VLOOKUP($B274,Seqs!$A:$B,2,0),AM274,1),"")</f>
        <v>N</v>
      </c>
      <c r="AM274" s="3">
        <v>228</v>
      </c>
      <c r="AN274" s="3" t="str">
        <f>IFERROR(MID(VLOOKUP($B274,Seqs!$A:$B,2,0),AO274,1),"")</f>
        <v>G</v>
      </c>
      <c r="AO274" s="3">
        <v>404</v>
      </c>
      <c r="AP274" s="3" t="str">
        <f>IFERROR(MID(VLOOKUP($B274,Seqs!$A:$B,2,0),AQ274,1),"")</f>
        <v>C</v>
      </c>
      <c r="AQ274" s="3">
        <v>441</v>
      </c>
      <c r="AR274" s="3" t="str">
        <f>IFERROR(MID(VLOOKUP($B274,Seqs!$A:$B,2,0),AS274,1),"")</f>
        <v>N</v>
      </c>
      <c r="AS274" s="3">
        <v>446</v>
      </c>
      <c r="AT274" s="3" t="str">
        <f>IFERROR(MID(VLOOKUP($B274,Seqs!$A:$B,2,0),AU274,1),"")</f>
        <v>C</v>
      </c>
      <c r="AU274" s="3">
        <v>471</v>
      </c>
      <c r="AV274" s="3" t="str">
        <f>IFERROR(MID(VLOOKUP($B274,Seqs!$A:$B,2,0),AW274,1),"")</f>
        <v>N</v>
      </c>
      <c r="AW274" s="3">
        <v>472</v>
      </c>
      <c r="AX274" s="3" t="str">
        <f>IFERROR(MID(VLOOKUP($B274,Seqs!$A:$B,2,0),AY274,1),"")</f>
        <v>H</v>
      </c>
      <c r="AY274" s="3">
        <v>484</v>
      </c>
      <c r="AZ274" s="77" t="str">
        <f>VLOOKUP(B274,Classification!A:D,2,0)</f>
        <v>A</v>
      </c>
      <c r="BA274" s="94" t="str">
        <f>VLOOKUP(B274,Classification!A:D,4,0)</f>
        <v>Histamine</v>
      </c>
      <c r="BB274" s="27" t="b">
        <f t="shared" si="1372"/>
        <v>1</v>
      </c>
      <c r="BC274" s="23">
        <f t="shared" si="2208"/>
        <v>257</v>
      </c>
      <c r="BD274" s="34" t="s">
        <v>23</v>
      </c>
      <c r="BE274" s="3" t="s">
        <v>23</v>
      </c>
      <c r="BF274" s="118" t="s">
        <v>23</v>
      </c>
      <c r="BG274" s="49" t="s">
        <v>1366</v>
      </c>
      <c r="BH274" s="49" t="s">
        <v>1371</v>
      </c>
      <c r="BI274" s="1"/>
      <c r="BJ274" s="70" t="s">
        <v>1281</v>
      </c>
      <c r="BK274" s="57" t="s">
        <v>1281</v>
      </c>
      <c r="BL274" s="57" t="s">
        <v>1281</v>
      </c>
      <c r="BM274" s="57" t="s">
        <v>1281</v>
      </c>
      <c r="BN274" s="57" t="s">
        <v>1281</v>
      </c>
      <c r="BO274" s="57" t="s">
        <v>1281</v>
      </c>
      <c r="BP274" s="57" t="s">
        <v>1281</v>
      </c>
      <c r="BQ274" s="57" t="s">
        <v>1281</v>
      </c>
      <c r="BR274" s="57" t="s">
        <v>1281</v>
      </c>
      <c r="BS274" s="57" t="s">
        <v>1281</v>
      </c>
      <c r="BT274" s="57" t="s">
        <v>1281</v>
      </c>
      <c r="BU274" s="57" t="s">
        <v>1281</v>
      </c>
      <c r="BV274" s="70">
        <f t="shared" si="2209"/>
        <v>29</v>
      </c>
      <c r="BW274" s="71">
        <f t="shared" si="2210"/>
        <v>56</v>
      </c>
      <c r="BX274" s="72">
        <f t="shared" si="2211"/>
        <v>60</v>
      </c>
      <c r="BY274" s="71">
        <f t="shared" si="2212"/>
        <v>92</v>
      </c>
      <c r="BZ274" s="72">
        <f t="shared" si="2213"/>
        <v>96</v>
      </c>
      <c r="CA274" s="71">
        <f t="shared" si="2214"/>
        <v>132</v>
      </c>
      <c r="CB274" s="72">
        <f t="shared" si="2215"/>
        <v>140</v>
      </c>
      <c r="CC274" s="71">
        <f t="shared" si="2216"/>
        <v>180</v>
      </c>
      <c r="CD274" s="72">
        <f t="shared" si="2217"/>
        <v>187</v>
      </c>
      <c r="CE274" s="71">
        <f t="shared" si="2218"/>
        <v>404</v>
      </c>
      <c r="CF274" s="72">
        <f t="shared" si="2219"/>
        <v>446</v>
      </c>
      <c r="CG274" s="71">
        <f t="shared" si="2220"/>
        <v>472</v>
      </c>
      <c r="CH274" s="70">
        <f t="shared" si="2221"/>
        <v>55</v>
      </c>
      <c r="CI274" s="71">
        <f t="shared" si="2222"/>
        <v>59</v>
      </c>
      <c r="CJ274" s="72">
        <f t="shared" si="2223"/>
        <v>90</v>
      </c>
      <c r="CK274" s="72">
        <f t="shared" si="2224"/>
        <v>95</v>
      </c>
      <c r="CL274" s="72">
        <f t="shared" si="2225"/>
        <v>131</v>
      </c>
      <c r="CM274" s="72">
        <f t="shared" si="2226"/>
        <v>139</v>
      </c>
      <c r="CN274" s="72">
        <f t="shared" si="2227"/>
        <v>164</v>
      </c>
      <c r="CO274" s="72">
        <f t="shared" si="2228"/>
        <v>182</v>
      </c>
      <c r="CP274" s="72">
        <f t="shared" si="2229"/>
        <v>228</v>
      </c>
      <c r="CQ274" s="72">
        <f t="shared" si="2230"/>
        <v>441</v>
      </c>
      <c r="CR274" s="72">
        <f t="shared" si="2231"/>
        <v>471</v>
      </c>
      <c r="CS274" s="72">
        <f t="shared" si="2232"/>
        <v>484</v>
      </c>
      <c r="CT274" s="23">
        <f t="shared" si="2233"/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29" x14ac:dyDescent="0.2">
      <c r="A275" s="3" t="str">
        <f t="shared" si="1371"/>
        <v>hrh1_human_3RZE</v>
      </c>
      <c r="B275" s="3" t="s">
        <v>277</v>
      </c>
      <c r="C275" s="3" t="s">
        <v>73</v>
      </c>
      <c r="D275" s="3" t="str">
        <f>IFERROR(MID(VLOOKUP($B275,Seqs!$A:$B,2,0),E275,1),"")</f>
        <v>V</v>
      </c>
      <c r="E275" s="3">
        <v>33</v>
      </c>
      <c r="F275" s="3" t="str">
        <f>IFERROR(MID(VLOOKUP($B275,Seqs!$A:$B,2,0),G275,1),"")</f>
        <v>E</v>
      </c>
      <c r="G275" s="3">
        <v>55</v>
      </c>
      <c r="H275" s="3" t="str">
        <f>IFERROR(MID(VLOOKUP($B275,Seqs!$A:$B,2,0),I275,1),"")</f>
        <v>R</v>
      </c>
      <c r="I275" s="23">
        <v>56</v>
      </c>
      <c r="J275" s="3" t="str">
        <f>IFERROR(MID(VLOOKUP($B275,Seqs!$A:$B,2,0),K275,1),"")</f>
        <v>H</v>
      </c>
      <c r="K275" s="23">
        <v>59</v>
      </c>
      <c r="L275" s="3" t="str">
        <f>IFERROR(MID(VLOOKUP($B275,Seqs!$A:$B,2,0),M275,1),"")</f>
        <v>T</v>
      </c>
      <c r="M275" s="3">
        <v>60</v>
      </c>
      <c r="N275" s="3" t="str">
        <f>IFERROR(MID(VLOOKUP($B275,Seqs!$A:$B,2,0),O275,1),"")</f>
        <v>M</v>
      </c>
      <c r="O275" s="3">
        <v>90</v>
      </c>
      <c r="P275" s="3" t="str">
        <f>IFERROR(MID(VLOOKUP($B275,Seqs!$A:$B,2,0),Q275,1),"")</f>
        <v>K</v>
      </c>
      <c r="Q275" s="3">
        <v>92</v>
      </c>
      <c r="R275" s="3" t="str">
        <f>IFERROR(MID(VLOOKUP($B275,Seqs!$A:$B,2,0),S275,1),"")</f>
        <v>L</v>
      </c>
      <c r="S275" s="3">
        <v>95</v>
      </c>
      <c r="T275" s="3" t="str">
        <f>IFERROR(MID(VLOOKUP($B275,Seqs!$A:$B,2,0),U275,1),"")</f>
        <v>G</v>
      </c>
      <c r="U275" s="3">
        <v>96</v>
      </c>
      <c r="V275" s="3" t="str">
        <f>IFERROR(MID(VLOOKUP($B275,Seqs!$A:$B,2,0),W275,1),"")</f>
        <v>Q</v>
      </c>
      <c r="W275" s="3">
        <v>131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T</v>
      </c>
      <c r="AC275" s="3">
        <v>140</v>
      </c>
      <c r="AD275" s="3" t="str">
        <f>IFERROR(MID(VLOOKUP($B275,Seqs!$A:$B,2,0),AE275,1),"")</f>
        <v>G</v>
      </c>
      <c r="AE275" s="3">
        <v>164</v>
      </c>
      <c r="AF275" s="3" t="str">
        <f>IFERROR(MID(VLOOKUP($B275,Seqs!$A:$B,2,0),AG275,1),"")</f>
        <v>C</v>
      </c>
      <c r="AG275" s="3">
        <v>180</v>
      </c>
      <c r="AH275" s="3" t="str">
        <f>IFERROR(MID(VLOOKUP($B275,Seqs!$A:$B,2,0),AI275,1),"")</f>
        <v>T</v>
      </c>
      <c r="AI275" s="3">
        <v>182</v>
      </c>
      <c r="AJ275" s="3" t="str">
        <f>IFERROR(MID(VLOOKUP($B275,Seqs!$A:$B,2,0),AK275,1),"")</f>
        <v>V</v>
      </c>
      <c r="AK275" s="3">
        <v>187</v>
      </c>
      <c r="AL275" s="3" t="str">
        <f>IFERROR(MID(VLOOKUP($B275,Seqs!$A:$B,2,0),AM275,1),"")</f>
        <v>V</v>
      </c>
      <c r="AM275" s="3">
        <v>217</v>
      </c>
      <c r="AN275" s="3" t="str">
        <f>IFERROR(MID(VLOOKUP($B275,Seqs!$A:$B,2,0),AO275,1),"")</f>
        <v>N</v>
      </c>
      <c r="AO275" s="3">
        <v>408</v>
      </c>
      <c r="AP275" s="3" t="str">
        <f>IFERROR(MID(VLOOKUP($B275,Seqs!$A:$B,2,0),AQ275,1),"")</f>
        <v>C</v>
      </c>
      <c r="AQ275" s="3">
        <v>441</v>
      </c>
      <c r="AR275" s="3" t="str">
        <f>IFERROR(MID(VLOOKUP($B275,Seqs!$A:$B,2,0),AS275,1),"")</f>
        <v>N</v>
      </c>
      <c r="AS275" s="3">
        <v>446</v>
      </c>
      <c r="AT275" s="3" t="str">
        <f>IFERROR(MID(VLOOKUP($B275,Seqs!$A:$B,2,0),AU275,1),"")</f>
        <v>C</v>
      </c>
      <c r="AU275" s="3">
        <v>471</v>
      </c>
      <c r="AV275" s="3" t="str">
        <f>IFERROR(MID(VLOOKUP($B275,Seqs!$A:$B,2,0),AW275,1),"")</f>
        <v>N</v>
      </c>
      <c r="AW275" s="3">
        <v>472</v>
      </c>
      <c r="AX275" s="3" t="str">
        <f>IFERROR(MID(VLOOKUP($B275,Seqs!$A:$B,2,0),AY275,1),"")</f>
        <v>H</v>
      </c>
      <c r="AY275" s="3">
        <v>484</v>
      </c>
      <c r="AZ275" s="77" t="str">
        <f>VLOOKUP(B275,Classification!A:D,2,0)</f>
        <v>A</v>
      </c>
      <c r="BA275" s="94" t="str">
        <f>VLOOKUP(B275,Classification!A:D,4,0)</f>
        <v>Histamine</v>
      </c>
      <c r="BB275" s="27" t="b">
        <f t="shared" si="1372"/>
        <v>1</v>
      </c>
      <c r="BC275" s="23">
        <f t="shared" si="2208"/>
        <v>231</v>
      </c>
      <c r="BD275" s="16" t="s">
        <v>1370</v>
      </c>
      <c r="BE275" s="3" t="s">
        <v>1368</v>
      </c>
      <c r="BF275" s="118">
        <v>3.1</v>
      </c>
      <c r="BG275" s="49" t="s">
        <v>1371</v>
      </c>
      <c r="BH275" s="49" t="s">
        <v>1371</v>
      </c>
      <c r="BI275" s="1"/>
      <c r="BJ275" s="70" t="s">
        <v>1281</v>
      </c>
      <c r="BK275" s="57" t="s">
        <v>1281</v>
      </c>
      <c r="BL275" s="57" t="s">
        <v>1281</v>
      </c>
      <c r="BM275" s="57" t="s">
        <v>1281</v>
      </c>
      <c r="BN275" s="57" t="s">
        <v>1281</v>
      </c>
      <c r="BO275" s="57" t="s">
        <v>1281</v>
      </c>
      <c r="BP275" s="57" t="s">
        <v>1281</v>
      </c>
      <c r="BQ275" s="57" t="s">
        <v>1281</v>
      </c>
      <c r="BR275" s="57" t="s">
        <v>1281</v>
      </c>
      <c r="BS275" s="57" t="s">
        <v>1281</v>
      </c>
      <c r="BT275" s="57" t="s">
        <v>1281</v>
      </c>
      <c r="BU275" s="57" t="s">
        <v>1281</v>
      </c>
      <c r="BV275" s="70">
        <f t="shared" si="2209"/>
        <v>33</v>
      </c>
      <c r="BW275" s="71">
        <f t="shared" si="2210"/>
        <v>56</v>
      </c>
      <c r="BX275" s="72">
        <f t="shared" si="2211"/>
        <v>60</v>
      </c>
      <c r="BY275" s="71">
        <f t="shared" si="2212"/>
        <v>92</v>
      </c>
      <c r="BZ275" s="72">
        <f t="shared" si="2213"/>
        <v>96</v>
      </c>
      <c r="CA275" s="71" t="str">
        <f t="shared" si="2214"/>
        <v>-</v>
      </c>
      <c r="CB275" s="72">
        <f t="shared" si="2215"/>
        <v>140</v>
      </c>
      <c r="CC275" s="71">
        <f t="shared" si="2216"/>
        <v>180</v>
      </c>
      <c r="CD275" s="72">
        <f t="shared" si="2217"/>
        <v>187</v>
      </c>
      <c r="CE275" s="71">
        <f t="shared" si="2218"/>
        <v>408</v>
      </c>
      <c r="CF275" s="72">
        <f t="shared" si="2219"/>
        <v>446</v>
      </c>
      <c r="CG275" s="71">
        <f t="shared" si="2220"/>
        <v>472</v>
      </c>
      <c r="CH275" s="70">
        <f t="shared" si="2221"/>
        <v>55</v>
      </c>
      <c r="CI275" s="71">
        <f t="shared" si="2222"/>
        <v>59</v>
      </c>
      <c r="CJ275" s="72">
        <f t="shared" si="2223"/>
        <v>90</v>
      </c>
      <c r="CK275" s="72">
        <f t="shared" si="2224"/>
        <v>95</v>
      </c>
      <c r="CL275" s="72">
        <f t="shared" si="2225"/>
        <v>131</v>
      </c>
      <c r="CM275" s="72" t="str">
        <f t="shared" si="2226"/>
        <v>-</v>
      </c>
      <c r="CN275" s="72">
        <f t="shared" si="2227"/>
        <v>164</v>
      </c>
      <c r="CO275" s="72">
        <f t="shared" si="2228"/>
        <v>182</v>
      </c>
      <c r="CP275" s="72">
        <f t="shared" si="2229"/>
        <v>217</v>
      </c>
      <c r="CQ275" s="72">
        <f t="shared" si="2230"/>
        <v>441</v>
      </c>
      <c r="CR275" s="72">
        <f t="shared" si="2231"/>
        <v>471</v>
      </c>
      <c r="CS275" s="72">
        <f t="shared" si="2232"/>
        <v>484</v>
      </c>
      <c r="CT275" s="23">
        <f t="shared" si="2233"/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x14ac:dyDescent="0.2">
      <c r="A276" s="3" t="str">
        <f t="shared" ref="A276:A342" si="2570">CONCATENATE(B276,"_",C276)</f>
        <v>lpar1_human__wt</v>
      </c>
      <c r="B276" s="3" t="s">
        <v>103</v>
      </c>
      <c r="C276" s="3" t="s">
        <v>100</v>
      </c>
      <c r="D276" s="3" t="str">
        <f>IFERROR(MID(VLOOKUP($B276,Seqs!$A:$B,2,0),E276,1),"")</f>
        <v>T</v>
      </c>
      <c r="E276" s="3">
        <v>47</v>
      </c>
      <c r="F276" s="3" t="str">
        <f>IFERROR(MID(VLOOKUP($B276,Seqs!$A:$B,2,0),G276,1),"")</f>
        <v>N</v>
      </c>
      <c r="G276" s="3">
        <v>77</v>
      </c>
      <c r="H276" s="3" t="str">
        <f>IFERROR(MID(VLOOKUP($B276,Seqs!$A:$B,2,0),I276,1),"")</f>
        <v>R</v>
      </c>
      <c r="I276" s="23">
        <v>78</v>
      </c>
      <c r="J276" s="3" t="str">
        <f>IFERROR(MID(VLOOKUP($B276,Seqs!$A:$B,2,0),K276,1),"")</f>
        <v>H</v>
      </c>
      <c r="K276" s="23">
        <v>81</v>
      </c>
      <c r="L276" s="3" t="str">
        <f>IFERROR(MID(VLOOKUP($B276,Seqs!$A:$B,2,0),M276,1),"")</f>
        <v>F</v>
      </c>
      <c r="M276" s="3">
        <v>82</v>
      </c>
      <c r="N276" s="3" t="str">
        <f>IFERROR(MID(VLOOKUP($B276,Seqs!$A:$B,2,0),O276,1),"")</f>
        <v>N</v>
      </c>
      <c r="O276" s="3">
        <v>108</v>
      </c>
      <c r="P276" s="3" t="str">
        <f>IFERROR(MID(VLOOKUP($B276,Seqs!$A:$B,2,0),Q276,1),"")</f>
        <v>G</v>
      </c>
      <c r="Q276" s="3">
        <v>110</v>
      </c>
      <c r="R276" s="3" t="str">
        <f>IFERROR(MID(VLOOKUP($B276,Seqs!$A:$B,2,0),S276,1),"")</f>
        <v>L</v>
      </c>
      <c r="S276" s="3">
        <v>116</v>
      </c>
      <c r="T276" s="3" t="str">
        <f>IFERROR(MID(VLOOKUP($B276,Seqs!$A:$B,2,0),U276,1),"")</f>
        <v>T</v>
      </c>
      <c r="U276" s="3">
        <v>117</v>
      </c>
      <c r="V276" s="3" t="str">
        <f>IFERROR(MID(VLOOKUP($B276,Seqs!$A:$B,2,0),W276,1),"")</f>
        <v>R</v>
      </c>
      <c r="W276" s="3">
        <v>152</v>
      </c>
      <c r="X276" s="3" t="str">
        <f>IFERROR(MID(VLOOKUP($B276,Seqs!$A:$B,2,0),Y276,1),"")</f>
        <v>M</v>
      </c>
      <c r="Y276" s="3">
        <v>153</v>
      </c>
      <c r="Z276" s="3" t="str">
        <f>IFERROR(MID(VLOOKUP($B276,Seqs!$A:$B,2,0),AA276,1),"")</f>
        <v>M</v>
      </c>
      <c r="AA276" s="3">
        <v>159</v>
      </c>
      <c r="AB276" s="3" t="str">
        <f>IFERROR(MID(VLOOKUP($B276,Seqs!$A:$B,2,0),AC276,1),"")</f>
        <v>S</v>
      </c>
      <c r="AC276" s="3">
        <v>160</v>
      </c>
      <c r="AD276" s="3" t="str">
        <f>IFERROR(MID(VLOOKUP($B276,Seqs!$A:$B,2,0),AE276,1),"")</f>
        <v>G</v>
      </c>
      <c r="AE276" s="3">
        <v>185</v>
      </c>
      <c r="AF276" s="3" t="str">
        <f>IFERROR(MID(VLOOKUP($B276,Seqs!$A:$B,2,0),AG276,1),"")</f>
        <v/>
      </c>
      <c r="AG276" s="3" t="s">
        <v>23</v>
      </c>
      <c r="AH276" s="3" t="str">
        <f>IFERROR(MID(VLOOKUP($B276,Seqs!$A:$B,2,0),AI276,1),"")</f>
        <v/>
      </c>
      <c r="AI276" s="3" t="s">
        <v>23</v>
      </c>
      <c r="AJ276" s="3" t="str">
        <f>IFERROR(MID(VLOOKUP($B276,Seqs!$A:$B,2,0),AK276,1),"")</f>
        <v>S</v>
      </c>
      <c r="AK276" s="3">
        <v>203</v>
      </c>
      <c r="AL276" s="3" t="str">
        <f>IFERROR(MID(VLOOKUP($B276,Seqs!$A:$B,2,0),AM276,1),"")</f>
        <v>S</v>
      </c>
      <c r="AM276" s="3">
        <v>240</v>
      </c>
      <c r="AN276" s="3" t="str">
        <f>IFERROR(MID(VLOOKUP($B276,Seqs!$A:$B,2,0),AO276,1),"")</f>
        <v>G</v>
      </c>
      <c r="AO276" s="3">
        <v>245</v>
      </c>
      <c r="AP276" s="3" t="str">
        <f>IFERROR(MID(VLOOKUP($B276,Seqs!$A:$B,2,0),AQ276,1),"")</f>
        <v>C</v>
      </c>
      <c r="AQ276" s="3">
        <v>284</v>
      </c>
      <c r="AR276" s="3" t="str">
        <f>IFERROR(MID(VLOOKUP($B276,Seqs!$A:$B,2,0),AS276,1),"")</f>
        <v>D</v>
      </c>
      <c r="AS276" s="3">
        <v>288</v>
      </c>
      <c r="AT276" s="3" t="str">
        <f>IFERROR(MID(VLOOKUP($B276,Seqs!$A:$B,2,0),AU276,1),"")</f>
        <v>R</v>
      </c>
      <c r="AU276" s="3">
        <v>314</v>
      </c>
      <c r="AV276" s="3" t="str">
        <f>IFERROR(MID(VLOOKUP($B276,Seqs!$A:$B,2,0),AW276,1),"")</f>
        <v>D</v>
      </c>
      <c r="AW276" s="3">
        <v>315</v>
      </c>
      <c r="AX276" s="3" t="str">
        <f>IFERROR(MID(VLOOKUP($B276,Seqs!$A:$B,2,0),AY276,1),"")</f>
        <v>C</v>
      </c>
      <c r="AY276" s="3">
        <v>327</v>
      </c>
      <c r="AZ276" s="77" t="str">
        <f>VLOOKUP(B276,Classification!A:D,2,0)</f>
        <v>A</v>
      </c>
      <c r="BA276" s="94" t="str">
        <f>VLOOKUP(B276,Classification!A:D,4,0)</f>
        <v>Lysophospholipid(LPA)</v>
      </c>
      <c r="BB276" s="27" t="b">
        <f t="shared" ref="BB276:BB342" si="2571"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23">
        <f t="shared" si="2208"/>
        <v>257</v>
      </c>
      <c r="BD276" s="56" t="s">
        <v>23</v>
      </c>
      <c r="BE276" s="3" t="s">
        <v>23</v>
      </c>
      <c r="BF276" s="118" t="s">
        <v>23</v>
      </c>
      <c r="BG276" s="49" t="s">
        <v>1366</v>
      </c>
      <c r="BH276" s="49" t="s">
        <v>1371</v>
      </c>
      <c r="BI276" s="1"/>
      <c r="BJ276" s="70" t="s">
        <v>1281</v>
      </c>
      <c r="BK276" s="57" t="s">
        <v>1281</v>
      </c>
      <c r="BL276" s="57" t="s">
        <v>1281</v>
      </c>
      <c r="BM276" s="57" t="s">
        <v>1281</v>
      </c>
      <c r="BN276" s="57" t="s">
        <v>1281</v>
      </c>
      <c r="BO276" s="57" t="s">
        <v>1281</v>
      </c>
      <c r="BP276" s="57" t="s">
        <v>1281</v>
      </c>
      <c r="BQ276" s="57" t="s">
        <v>1281</v>
      </c>
      <c r="BR276" s="57" t="s">
        <v>1281</v>
      </c>
      <c r="BS276" s="57" t="s">
        <v>1281</v>
      </c>
      <c r="BT276" s="57" t="s">
        <v>1281</v>
      </c>
      <c r="BU276" s="57" t="s">
        <v>1281</v>
      </c>
      <c r="BV276" s="70">
        <f t="shared" si="2209"/>
        <v>47</v>
      </c>
      <c r="BW276" s="71">
        <f t="shared" si="2210"/>
        <v>78</v>
      </c>
      <c r="BX276" s="72">
        <f t="shared" si="2211"/>
        <v>82</v>
      </c>
      <c r="BY276" s="71">
        <f t="shared" si="2212"/>
        <v>110</v>
      </c>
      <c r="BZ276" s="72">
        <f t="shared" si="2213"/>
        <v>117</v>
      </c>
      <c r="CA276" s="71">
        <f t="shared" si="2214"/>
        <v>153</v>
      </c>
      <c r="CB276" s="72">
        <f t="shared" si="2215"/>
        <v>160</v>
      </c>
      <c r="CC276" s="71" t="str">
        <f t="shared" si="2216"/>
        <v>-</v>
      </c>
      <c r="CD276" s="72">
        <f t="shared" si="2217"/>
        <v>203</v>
      </c>
      <c r="CE276" s="71">
        <f t="shared" si="2218"/>
        <v>245</v>
      </c>
      <c r="CF276" s="72">
        <f t="shared" si="2219"/>
        <v>288</v>
      </c>
      <c r="CG276" s="71">
        <f t="shared" si="2220"/>
        <v>315</v>
      </c>
      <c r="CH276" s="70">
        <f t="shared" si="2221"/>
        <v>77</v>
      </c>
      <c r="CI276" s="71">
        <f t="shared" si="2222"/>
        <v>81</v>
      </c>
      <c r="CJ276" s="72">
        <f t="shared" si="2223"/>
        <v>108</v>
      </c>
      <c r="CK276" s="72">
        <f t="shared" si="2224"/>
        <v>116</v>
      </c>
      <c r="CL276" s="72">
        <f t="shared" si="2225"/>
        <v>152</v>
      </c>
      <c r="CM276" s="72">
        <f t="shared" si="2226"/>
        <v>159</v>
      </c>
      <c r="CN276" s="72">
        <f t="shared" si="2227"/>
        <v>185</v>
      </c>
      <c r="CO276" s="72" t="str">
        <f t="shared" si="2228"/>
        <v>-</v>
      </c>
      <c r="CP276" s="72">
        <f t="shared" si="2229"/>
        <v>240</v>
      </c>
      <c r="CQ276" s="72">
        <f t="shared" si="2230"/>
        <v>284</v>
      </c>
      <c r="CR276" s="72">
        <f t="shared" si="2231"/>
        <v>314</v>
      </c>
      <c r="CS276" s="72">
        <f t="shared" si="2232"/>
        <v>327</v>
      </c>
      <c r="CT276" s="23">
        <f t="shared" si="2233"/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29" x14ac:dyDescent="0.2">
      <c r="A277" s="3" t="str">
        <f t="shared" si="2570"/>
        <v>lpar1_human_4Z34</v>
      </c>
      <c r="B277" s="3" t="s">
        <v>103</v>
      </c>
      <c r="C277" s="3" t="s">
        <v>1050</v>
      </c>
      <c r="D277" s="3" t="str">
        <f>IFERROR(MID(VLOOKUP($B277,Seqs!$A:$B,2,0),E277,1),"")</f>
        <v>T</v>
      </c>
      <c r="E277" s="3">
        <v>47</v>
      </c>
      <c r="F277" s="3" t="str">
        <f>IFERROR(MID(VLOOKUP($B277,Seqs!$A:$B,2,0),G277,1),"")</f>
        <v>N</v>
      </c>
      <c r="G277" s="3">
        <v>77</v>
      </c>
      <c r="H277" s="3" t="str">
        <f>IFERROR(MID(VLOOKUP($B277,Seqs!$A:$B,2,0),I277,1),"")</f>
        <v>R</v>
      </c>
      <c r="I277" s="23">
        <v>78</v>
      </c>
      <c r="J277" s="3" t="str">
        <f>IFERROR(MID(VLOOKUP($B277,Seqs!$A:$B,2,0),K277,1),"")</f>
        <v>H</v>
      </c>
      <c r="K277" s="23">
        <v>81</v>
      </c>
      <c r="L277" s="3" t="str">
        <f>IFERROR(MID(VLOOKUP($B277,Seqs!$A:$B,2,0),M277,1),"")</f>
        <v>F</v>
      </c>
      <c r="M277" s="3">
        <v>82</v>
      </c>
      <c r="N277" s="3" t="str">
        <f>IFERROR(MID(VLOOKUP($B277,Seqs!$A:$B,2,0),O277,1),"")</f>
        <v>N</v>
      </c>
      <c r="O277" s="3">
        <v>108</v>
      </c>
      <c r="P277" s="3" t="str">
        <f>IFERROR(MID(VLOOKUP($B277,Seqs!$A:$B,2,0),Q277,1),"")</f>
        <v>G</v>
      </c>
      <c r="Q277" s="3">
        <v>110</v>
      </c>
      <c r="R277" s="3" t="str">
        <f>IFERROR(MID(VLOOKUP($B277,Seqs!$A:$B,2,0),S277,1),"")</f>
        <v>L</v>
      </c>
      <c r="S277" s="3">
        <v>116</v>
      </c>
      <c r="T277" s="3" t="str">
        <f>IFERROR(MID(VLOOKUP($B277,Seqs!$A:$B,2,0),U277,1),"")</f>
        <v>T</v>
      </c>
      <c r="U277" s="3">
        <v>117</v>
      </c>
      <c r="V277" s="3" t="str">
        <f>IFERROR(MID(VLOOKUP($B277,Seqs!$A:$B,2,0),W277,1),"")</f>
        <v>R</v>
      </c>
      <c r="W277" s="3">
        <v>152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T</v>
      </c>
      <c r="AC277" s="3">
        <v>157</v>
      </c>
      <c r="AD277" s="3" t="str">
        <f>IFERROR(MID(VLOOKUP($B277,Seqs!$A:$B,2,0),AE277,1),"")</f>
        <v>G</v>
      </c>
      <c r="AE277" s="3">
        <v>185</v>
      </c>
      <c r="AF277" s="3" t="str">
        <f>IFERROR(MID(VLOOKUP($B277,Seqs!$A:$B,2,0),AG277,1),"")</f>
        <v/>
      </c>
      <c r="AG277" s="3" t="s">
        <v>23</v>
      </c>
      <c r="AH277" s="3" t="str">
        <f>IFERROR(MID(VLOOKUP($B277,Seqs!$A:$B,2,0),AI277,1),"")</f>
        <v/>
      </c>
      <c r="AI277" s="3" t="s">
        <v>23</v>
      </c>
      <c r="AJ277" s="3" t="str">
        <f>IFERROR(MID(VLOOKUP($B277,Seqs!$A:$B,2,0),AK277,1),"")</f>
        <v>S</v>
      </c>
      <c r="AK277" s="3">
        <v>203</v>
      </c>
      <c r="AL277" s="3" t="str">
        <f>IFERROR(MID(VLOOKUP($B277,Seqs!$A:$B,2,0),AM277,1),"")</f>
        <v>R</v>
      </c>
      <c r="AM277" s="3">
        <v>235</v>
      </c>
      <c r="AN277" s="3" t="str">
        <f>IFERROR(MID(VLOOKUP($B277,Seqs!$A:$B,2,0),AO277,1),"")</f>
        <v>G</v>
      </c>
      <c r="AO277" s="3">
        <v>245</v>
      </c>
      <c r="AP277" s="3" t="str">
        <f>IFERROR(MID(VLOOKUP($B277,Seqs!$A:$B,2,0),AQ277,1),"")</f>
        <v>C</v>
      </c>
      <c r="AQ277" s="3">
        <v>284</v>
      </c>
      <c r="AR277" s="3" t="str">
        <f>IFERROR(MID(VLOOKUP($B277,Seqs!$A:$B,2,0),AS277,1),"")</f>
        <v>E</v>
      </c>
      <c r="AS277" s="3">
        <v>293</v>
      </c>
      <c r="AT277" s="3" t="str">
        <f>IFERROR(MID(VLOOKUP($B277,Seqs!$A:$B,2,0),AU277,1),"")</f>
        <v>R</v>
      </c>
      <c r="AU277" s="3">
        <v>314</v>
      </c>
      <c r="AV277" s="3" t="str">
        <f>IFERROR(MID(VLOOKUP($B277,Seqs!$A:$B,2,0),AW277,1),"")</f>
        <v>D</v>
      </c>
      <c r="AW277" s="3">
        <v>315</v>
      </c>
      <c r="AX277" s="3" t="str">
        <f>IFERROR(MID(VLOOKUP($B277,Seqs!$A:$B,2,0),AY277,1),"")</f>
        <v>C</v>
      </c>
      <c r="AY277" s="3">
        <v>327</v>
      </c>
      <c r="AZ277" s="77" t="str">
        <f>VLOOKUP(B277,Classification!A:D,2,0)</f>
        <v>A</v>
      </c>
      <c r="BA277" s="94" t="str">
        <f>VLOOKUP(B277,Classification!A:D,4,0)</f>
        <v>Lysophospholipid(LPA)</v>
      </c>
      <c r="BB277" s="27" t="b">
        <f t="shared" si="2571"/>
        <v>1</v>
      </c>
      <c r="BC277" s="23">
        <f t="shared" si="2208"/>
        <v>244</v>
      </c>
      <c r="BD277" s="16" t="s">
        <v>23</v>
      </c>
      <c r="BE277" s="3" t="s">
        <v>1368</v>
      </c>
      <c r="BF277" s="118">
        <v>3</v>
      </c>
      <c r="BG277" s="49" t="s">
        <v>1371</v>
      </c>
      <c r="BH277" s="49" t="s">
        <v>1371</v>
      </c>
      <c r="BI277" s="1"/>
      <c r="BJ277" s="70" t="s">
        <v>1281</v>
      </c>
      <c r="BK277" s="57" t="s">
        <v>1281</v>
      </c>
      <c r="BL277" s="57" t="s">
        <v>1281</v>
      </c>
      <c r="BM277" s="57" t="s">
        <v>1281</v>
      </c>
      <c r="BN277" s="57" t="s">
        <v>1281</v>
      </c>
      <c r="BO277" s="57" t="s">
        <v>1281</v>
      </c>
      <c r="BP277" s="57" t="s">
        <v>1281</v>
      </c>
      <c r="BQ277" s="57" t="s">
        <v>1281</v>
      </c>
      <c r="BR277" s="57" t="s">
        <v>1281</v>
      </c>
      <c r="BS277" s="57" t="s">
        <v>1281</v>
      </c>
      <c r="BT277" s="57" t="s">
        <v>1281</v>
      </c>
      <c r="BU277" s="57" t="s">
        <v>1281</v>
      </c>
      <c r="BV277" s="70">
        <f t="shared" si="2209"/>
        <v>47</v>
      </c>
      <c r="BW277" s="71">
        <f t="shared" si="2210"/>
        <v>78</v>
      </c>
      <c r="BX277" s="72">
        <f t="shared" si="2211"/>
        <v>82</v>
      </c>
      <c r="BY277" s="71">
        <f t="shared" si="2212"/>
        <v>110</v>
      </c>
      <c r="BZ277" s="72">
        <f t="shared" si="2213"/>
        <v>117</v>
      </c>
      <c r="CA277" s="71" t="str">
        <f t="shared" si="2214"/>
        <v>-</v>
      </c>
      <c r="CB277" s="72">
        <f t="shared" si="2215"/>
        <v>157</v>
      </c>
      <c r="CC277" s="71" t="str">
        <f t="shared" si="2216"/>
        <v>-</v>
      </c>
      <c r="CD277" s="72">
        <f t="shared" si="2217"/>
        <v>203</v>
      </c>
      <c r="CE277" s="71">
        <f t="shared" si="2218"/>
        <v>245</v>
      </c>
      <c r="CF277" s="72">
        <f t="shared" si="2219"/>
        <v>293</v>
      </c>
      <c r="CG277" s="71">
        <f t="shared" si="2220"/>
        <v>315</v>
      </c>
      <c r="CH277" s="70">
        <f t="shared" si="2221"/>
        <v>77</v>
      </c>
      <c r="CI277" s="71">
        <f t="shared" si="2222"/>
        <v>81</v>
      </c>
      <c r="CJ277" s="72">
        <f t="shared" si="2223"/>
        <v>108</v>
      </c>
      <c r="CK277" s="72">
        <f t="shared" si="2224"/>
        <v>116</v>
      </c>
      <c r="CL277" s="72">
        <f t="shared" si="2225"/>
        <v>152</v>
      </c>
      <c r="CM277" s="72" t="str">
        <f t="shared" si="2226"/>
        <v>-</v>
      </c>
      <c r="CN277" s="72">
        <f t="shared" si="2227"/>
        <v>185</v>
      </c>
      <c r="CO277" s="72" t="str">
        <f t="shared" si="2228"/>
        <v>-</v>
      </c>
      <c r="CP277" s="72">
        <f t="shared" si="2229"/>
        <v>235</v>
      </c>
      <c r="CQ277" s="72">
        <f t="shared" si="2230"/>
        <v>284</v>
      </c>
      <c r="CR277" s="72">
        <f t="shared" si="2231"/>
        <v>314</v>
      </c>
      <c r="CS277" s="72">
        <f t="shared" si="2232"/>
        <v>327</v>
      </c>
      <c r="CT277" s="23">
        <f t="shared" si="2233"/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3" t="str">
        <f t="shared" si="2570"/>
        <v>lpar1_human_4Z35</v>
      </c>
      <c r="B278" s="3" t="s">
        <v>103</v>
      </c>
      <c r="C278" s="3" t="s">
        <v>89</v>
      </c>
      <c r="D278" s="3" t="str">
        <f>IFERROR(MID(VLOOKUP($B278,Seqs!$A:$B,2,0),E278,1),"")</f>
        <v>T</v>
      </c>
      <c r="E278" s="3">
        <v>47</v>
      </c>
      <c r="F278" s="3" t="str">
        <f>IFERROR(MID(VLOOKUP($B278,Seqs!$A:$B,2,0),G278,1),"")</f>
        <v>N</v>
      </c>
      <c r="G278" s="3">
        <v>77</v>
      </c>
      <c r="H278" s="3" t="str">
        <f>IFERROR(MID(VLOOKUP($B278,Seqs!$A:$B,2,0),I278,1),"")</f>
        <v>R</v>
      </c>
      <c r="I278" s="23">
        <v>78</v>
      </c>
      <c r="J278" s="3" t="str">
        <f>IFERROR(MID(VLOOKUP($B278,Seqs!$A:$B,2,0),K278,1),"")</f>
        <v>H</v>
      </c>
      <c r="K278" s="23">
        <v>81</v>
      </c>
      <c r="L278" s="3" t="str">
        <f>IFERROR(MID(VLOOKUP($B278,Seqs!$A:$B,2,0),M278,1),"")</f>
        <v>F</v>
      </c>
      <c r="M278" s="3">
        <v>82</v>
      </c>
      <c r="N278" s="3" t="str">
        <f>IFERROR(MID(VLOOKUP($B278,Seqs!$A:$B,2,0),O278,1),"")</f>
        <v>N</v>
      </c>
      <c r="O278" s="3">
        <v>108</v>
      </c>
      <c r="P278" s="3" t="str">
        <f>IFERROR(MID(VLOOKUP($B278,Seqs!$A:$B,2,0),Q278,1),"")</f>
        <v>G</v>
      </c>
      <c r="Q278" s="3">
        <v>110</v>
      </c>
      <c r="R278" s="3" t="str">
        <f>IFERROR(MID(VLOOKUP($B278,Seqs!$A:$B,2,0),S278,1),"")</f>
        <v>L</v>
      </c>
      <c r="S278" s="3">
        <v>116</v>
      </c>
      <c r="T278" s="3" t="str">
        <f>IFERROR(MID(VLOOKUP($B278,Seqs!$A:$B,2,0),U278,1),"")</f>
        <v>T</v>
      </c>
      <c r="U278" s="3">
        <v>117</v>
      </c>
      <c r="V278" s="3" t="str">
        <f>IFERROR(MID(VLOOKUP($B278,Seqs!$A:$B,2,0),W278,1),"")</f>
        <v>R</v>
      </c>
      <c r="W278" s="3">
        <v>152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T</v>
      </c>
      <c r="AC278" s="3">
        <v>157</v>
      </c>
      <c r="AD278" s="3" t="str">
        <f>IFERROR(MID(VLOOKUP($B278,Seqs!$A:$B,2,0),AE278,1),"")</f>
        <v>G</v>
      </c>
      <c r="AE278" s="3">
        <v>185</v>
      </c>
      <c r="AF278" s="3" t="str">
        <f>IFERROR(MID(VLOOKUP($B278,Seqs!$A:$B,2,0),AG278,1),"")</f>
        <v/>
      </c>
      <c r="AG278" s="3" t="s">
        <v>23</v>
      </c>
      <c r="AH278" s="3" t="str">
        <f>IFERROR(MID(VLOOKUP($B278,Seqs!$A:$B,2,0),AI278,1),"")</f>
        <v/>
      </c>
      <c r="AI278" s="3" t="s">
        <v>23</v>
      </c>
      <c r="AJ278" s="3" t="str">
        <f>IFERROR(MID(VLOOKUP($B278,Seqs!$A:$B,2,0),AK278,1),"")</f>
        <v>S</v>
      </c>
      <c r="AK278" s="3">
        <v>203</v>
      </c>
      <c r="AL278" s="3" t="str">
        <f>IFERROR(MID(VLOOKUP($B278,Seqs!$A:$B,2,0),AM278,1),"")</f>
        <v>R</v>
      </c>
      <c r="AM278" s="3">
        <v>235</v>
      </c>
      <c r="AN278" s="3" t="str">
        <f>IFERROR(MID(VLOOKUP($B278,Seqs!$A:$B,2,0),AO278,1),"")</f>
        <v>G</v>
      </c>
      <c r="AO278" s="3">
        <v>245</v>
      </c>
      <c r="AP278" s="3" t="str">
        <f>IFERROR(MID(VLOOKUP($B278,Seqs!$A:$B,2,0),AQ278,1),"")</f>
        <v>C</v>
      </c>
      <c r="AQ278" s="3">
        <v>284</v>
      </c>
      <c r="AR278" s="3" t="str">
        <f>IFERROR(MID(VLOOKUP($B278,Seqs!$A:$B,2,0),AS278,1),"")</f>
        <v>E</v>
      </c>
      <c r="AS278" s="3">
        <v>293</v>
      </c>
      <c r="AT278" s="3" t="str">
        <f>IFERROR(MID(VLOOKUP($B278,Seqs!$A:$B,2,0),AU278,1),"")</f>
        <v>R</v>
      </c>
      <c r="AU278" s="3">
        <v>314</v>
      </c>
      <c r="AV278" s="3" t="str">
        <f>IFERROR(MID(VLOOKUP($B278,Seqs!$A:$B,2,0),AW278,1),"")</f>
        <v>D</v>
      </c>
      <c r="AW278" s="3">
        <v>315</v>
      </c>
      <c r="AX278" s="3" t="str">
        <f>IFERROR(MID(VLOOKUP($B278,Seqs!$A:$B,2,0),AY278,1),"")</f>
        <v>C</v>
      </c>
      <c r="AY278" s="3">
        <v>327</v>
      </c>
      <c r="AZ278" s="77" t="str">
        <f>VLOOKUP(B278,Classification!A:D,2,0)</f>
        <v>A</v>
      </c>
      <c r="BA278" s="94" t="str">
        <f>VLOOKUP(B278,Classification!A:D,4,0)</f>
        <v>Lysophospholipid(LPA)</v>
      </c>
      <c r="BB278" s="27" t="b">
        <f t="shared" si="2571"/>
        <v>1</v>
      </c>
      <c r="BC278" s="23">
        <f t="shared" si="2208"/>
        <v>244</v>
      </c>
      <c r="BD278" s="5" t="s">
        <v>1370</v>
      </c>
      <c r="BE278" s="3" t="s">
        <v>1368</v>
      </c>
      <c r="BF278" s="118">
        <v>2.9</v>
      </c>
      <c r="BG278" s="49" t="s">
        <v>1371</v>
      </c>
      <c r="BH278" s="49" t="s">
        <v>1371</v>
      </c>
      <c r="BI278" s="1"/>
      <c r="BJ278" s="70" t="s">
        <v>1281</v>
      </c>
      <c r="BK278" s="57" t="s">
        <v>1281</v>
      </c>
      <c r="BL278" s="57" t="s">
        <v>1281</v>
      </c>
      <c r="BM278" s="57" t="s">
        <v>1281</v>
      </c>
      <c r="BN278" s="57" t="s">
        <v>1281</v>
      </c>
      <c r="BO278" s="57" t="s">
        <v>1281</v>
      </c>
      <c r="BP278" s="57" t="s">
        <v>1281</v>
      </c>
      <c r="BQ278" s="57" t="s">
        <v>1281</v>
      </c>
      <c r="BR278" s="57" t="s">
        <v>1281</v>
      </c>
      <c r="BS278" s="57" t="s">
        <v>1281</v>
      </c>
      <c r="BT278" s="57" t="s">
        <v>1281</v>
      </c>
      <c r="BU278" s="57" t="s">
        <v>1281</v>
      </c>
      <c r="BV278" s="70">
        <f t="shared" si="2209"/>
        <v>47</v>
      </c>
      <c r="BW278" s="71">
        <f t="shared" si="2210"/>
        <v>78</v>
      </c>
      <c r="BX278" s="72">
        <f t="shared" si="2211"/>
        <v>82</v>
      </c>
      <c r="BY278" s="71">
        <f t="shared" si="2212"/>
        <v>110</v>
      </c>
      <c r="BZ278" s="72">
        <f t="shared" si="2213"/>
        <v>117</v>
      </c>
      <c r="CA278" s="71" t="str">
        <f t="shared" si="2214"/>
        <v>-</v>
      </c>
      <c r="CB278" s="72">
        <f t="shared" si="2215"/>
        <v>157</v>
      </c>
      <c r="CC278" s="71" t="str">
        <f t="shared" si="2216"/>
        <v>-</v>
      </c>
      <c r="CD278" s="72">
        <f t="shared" si="2217"/>
        <v>203</v>
      </c>
      <c r="CE278" s="71">
        <f t="shared" si="2218"/>
        <v>245</v>
      </c>
      <c r="CF278" s="72">
        <f t="shared" si="2219"/>
        <v>293</v>
      </c>
      <c r="CG278" s="71">
        <f t="shared" si="2220"/>
        <v>315</v>
      </c>
      <c r="CH278" s="70">
        <f t="shared" si="2221"/>
        <v>77</v>
      </c>
      <c r="CI278" s="71">
        <f t="shared" si="2222"/>
        <v>81</v>
      </c>
      <c r="CJ278" s="72">
        <f t="shared" si="2223"/>
        <v>108</v>
      </c>
      <c r="CK278" s="72">
        <f t="shared" si="2224"/>
        <v>116</v>
      </c>
      <c r="CL278" s="72">
        <f t="shared" si="2225"/>
        <v>152</v>
      </c>
      <c r="CM278" s="72" t="str">
        <f t="shared" si="2226"/>
        <v>-</v>
      </c>
      <c r="CN278" s="72">
        <f t="shared" si="2227"/>
        <v>185</v>
      </c>
      <c r="CO278" s="72" t="str">
        <f t="shared" si="2228"/>
        <v>-</v>
      </c>
      <c r="CP278" s="72">
        <f t="shared" si="2229"/>
        <v>235</v>
      </c>
      <c r="CQ278" s="72">
        <f t="shared" si="2230"/>
        <v>284</v>
      </c>
      <c r="CR278" s="72">
        <f t="shared" si="2231"/>
        <v>314</v>
      </c>
      <c r="CS278" s="72">
        <f t="shared" si="2232"/>
        <v>327</v>
      </c>
      <c r="CT278" s="23">
        <f t="shared" si="2233"/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3" t="str">
        <f t="shared" si="2570"/>
        <v>lpar1_human_4Z36</v>
      </c>
      <c r="B279" s="3" t="s">
        <v>103</v>
      </c>
      <c r="C279" s="3" t="s">
        <v>1051</v>
      </c>
      <c r="D279" s="3" t="str">
        <f>IFERROR(MID(VLOOKUP($B279,Seqs!$A:$B,2,0),E279,1),"")</f>
        <v>T</v>
      </c>
      <c r="E279" s="3">
        <v>47</v>
      </c>
      <c r="F279" s="3" t="str">
        <f>IFERROR(MID(VLOOKUP($B279,Seqs!$A:$B,2,0),G279,1),"")</f>
        <v>N</v>
      </c>
      <c r="G279" s="3">
        <v>77</v>
      </c>
      <c r="H279" s="3" t="str">
        <f>IFERROR(MID(VLOOKUP($B279,Seqs!$A:$B,2,0),I279,1),"")</f>
        <v>R</v>
      </c>
      <c r="I279" s="23">
        <v>78</v>
      </c>
      <c r="J279" s="3" t="str">
        <f>IFERROR(MID(VLOOKUP($B279,Seqs!$A:$B,2,0),K279,1),"")</f>
        <v>H</v>
      </c>
      <c r="K279" s="23">
        <v>81</v>
      </c>
      <c r="L279" s="3" t="str">
        <f>IFERROR(MID(VLOOKUP($B279,Seqs!$A:$B,2,0),M279,1),"")</f>
        <v>F</v>
      </c>
      <c r="M279" s="3">
        <v>82</v>
      </c>
      <c r="N279" s="3" t="str">
        <f>IFERROR(MID(VLOOKUP($B279,Seqs!$A:$B,2,0),O279,1),"")</f>
        <v>N</v>
      </c>
      <c r="O279" s="3">
        <v>108</v>
      </c>
      <c r="P279" s="3" t="str">
        <f>IFERROR(MID(VLOOKUP($B279,Seqs!$A:$B,2,0),Q279,1),"")</f>
        <v>G</v>
      </c>
      <c r="Q279" s="3">
        <v>110</v>
      </c>
      <c r="R279" s="3" t="str">
        <f>IFERROR(MID(VLOOKUP($B279,Seqs!$A:$B,2,0),S279,1),"")</f>
        <v>L</v>
      </c>
      <c r="S279" s="3">
        <v>116</v>
      </c>
      <c r="T279" s="3" t="str">
        <f>IFERROR(MID(VLOOKUP($B279,Seqs!$A:$B,2,0),U279,1),"")</f>
        <v>T</v>
      </c>
      <c r="U279" s="3">
        <v>117</v>
      </c>
      <c r="V279" s="3" t="str">
        <f>IFERROR(MID(VLOOKUP($B279,Seqs!$A:$B,2,0),W279,1),"")</f>
        <v>R</v>
      </c>
      <c r="W279" s="3">
        <v>152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T</v>
      </c>
      <c r="AC279" s="3">
        <v>157</v>
      </c>
      <c r="AD279" s="3" t="str">
        <f>IFERROR(MID(VLOOKUP($B279,Seqs!$A:$B,2,0),AE279,1),"")</f>
        <v>G</v>
      </c>
      <c r="AE279" s="3">
        <v>185</v>
      </c>
      <c r="AF279" s="3" t="str">
        <f>IFERROR(MID(VLOOKUP($B279,Seqs!$A:$B,2,0),AG279,1),"")</f>
        <v/>
      </c>
      <c r="AG279" s="3" t="s">
        <v>23</v>
      </c>
      <c r="AH279" s="3" t="str">
        <f>IFERROR(MID(VLOOKUP($B279,Seqs!$A:$B,2,0),AI279,1),"")</f>
        <v/>
      </c>
      <c r="AI279" s="3" t="s">
        <v>23</v>
      </c>
      <c r="AJ279" s="3" t="str">
        <f>IFERROR(MID(VLOOKUP($B279,Seqs!$A:$B,2,0),AK279,1),"")</f>
        <v>S</v>
      </c>
      <c r="AK279" s="3">
        <v>203</v>
      </c>
      <c r="AL279" s="3" t="str">
        <f>IFERROR(MID(VLOOKUP($B279,Seqs!$A:$B,2,0),AM279,1),"")</f>
        <v>R</v>
      </c>
      <c r="AM279" s="3">
        <v>235</v>
      </c>
      <c r="AN279" s="3" t="str">
        <f>IFERROR(MID(VLOOKUP($B279,Seqs!$A:$B,2,0),AO279,1),"")</f>
        <v>G</v>
      </c>
      <c r="AO279" s="3">
        <v>245</v>
      </c>
      <c r="AP279" s="3" t="str">
        <f>IFERROR(MID(VLOOKUP($B279,Seqs!$A:$B,2,0),AQ279,1),"")</f>
        <v>C</v>
      </c>
      <c r="AQ279" s="3">
        <v>284</v>
      </c>
      <c r="AR279" s="3" t="str">
        <f>IFERROR(MID(VLOOKUP($B279,Seqs!$A:$B,2,0),AS279,1),"")</f>
        <v>E</v>
      </c>
      <c r="AS279" s="3">
        <v>293</v>
      </c>
      <c r="AT279" s="3" t="str">
        <f>IFERROR(MID(VLOOKUP($B279,Seqs!$A:$B,2,0),AU279,1),"")</f>
        <v>R</v>
      </c>
      <c r="AU279" s="3">
        <v>314</v>
      </c>
      <c r="AV279" s="3" t="str">
        <f>IFERROR(MID(VLOOKUP($B279,Seqs!$A:$B,2,0),AW279,1),"")</f>
        <v>D</v>
      </c>
      <c r="AW279" s="3">
        <v>315</v>
      </c>
      <c r="AX279" s="3" t="str">
        <f>IFERROR(MID(VLOOKUP($B279,Seqs!$A:$B,2,0),AY279,1),"")</f>
        <v>C</v>
      </c>
      <c r="AY279" s="3">
        <v>327</v>
      </c>
      <c r="AZ279" s="77" t="str">
        <f>VLOOKUP(B279,Classification!A:D,2,0)</f>
        <v>A</v>
      </c>
      <c r="BA279" s="94" t="str">
        <f>VLOOKUP(B279,Classification!A:D,4,0)</f>
        <v>Lysophospholipid(LPA)</v>
      </c>
      <c r="BB279" s="27" t="b">
        <f t="shared" si="2571"/>
        <v>1</v>
      </c>
      <c r="BC279" s="23">
        <f t="shared" si="2208"/>
        <v>244</v>
      </c>
      <c r="BD279" s="5" t="s">
        <v>23</v>
      </c>
      <c r="BE279" s="3" t="s">
        <v>1368</v>
      </c>
      <c r="BF279" s="118">
        <v>2.9</v>
      </c>
      <c r="BG279" s="49" t="s">
        <v>1371</v>
      </c>
      <c r="BH279" s="49" t="s">
        <v>1371</v>
      </c>
      <c r="BI279" s="1"/>
      <c r="BJ279" s="70" t="s">
        <v>1281</v>
      </c>
      <c r="BK279" s="57" t="s">
        <v>1281</v>
      </c>
      <c r="BL279" s="57" t="s">
        <v>1281</v>
      </c>
      <c r="BM279" s="57" t="s">
        <v>1281</v>
      </c>
      <c r="BN279" s="57" t="s">
        <v>1281</v>
      </c>
      <c r="BO279" s="57" t="s">
        <v>1281</v>
      </c>
      <c r="BP279" s="57" t="s">
        <v>1281</v>
      </c>
      <c r="BQ279" s="57" t="s">
        <v>1281</v>
      </c>
      <c r="BR279" s="57" t="s">
        <v>1281</v>
      </c>
      <c r="BS279" s="57" t="s">
        <v>1281</v>
      </c>
      <c r="BT279" s="57" t="s">
        <v>1281</v>
      </c>
      <c r="BU279" s="57" t="s">
        <v>1281</v>
      </c>
      <c r="BV279" s="70">
        <f t="shared" si="2209"/>
        <v>47</v>
      </c>
      <c r="BW279" s="71">
        <f t="shared" si="2210"/>
        <v>78</v>
      </c>
      <c r="BX279" s="72">
        <f t="shared" si="2211"/>
        <v>82</v>
      </c>
      <c r="BY279" s="71">
        <f t="shared" si="2212"/>
        <v>110</v>
      </c>
      <c r="BZ279" s="72">
        <f t="shared" si="2213"/>
        <v>117</v>
      </c>
      <c r="CA279" s="71" t="str">
        <f t="shared" si="2214"/>
        <v>-</v>
      </c>
      <c r="CB279" s="72">
        <f t="shared" si="2215"/>
        <v>157</v>
      </c>
      <c r="CC279" s="71" t="str">
        <f t="shared" si="2216"/>
        <v>-</v>
      </c>
      <c r="CD279" s="72">
        <f t="shared" si="2217"/>
        <v>203</v>
      </c>
      <c r="CE279" s="71">
        <f t="shared" si="2218"/>
        <v>245</v>
      </c>
      <c r="CF279" s="72">
        <f t="shared" si="2219"/>
        <v>293</v>
      </c>
      <c r="CG279" s="71">
        <f t="shared" si="2220"/>
        <v>315</v>
      </c>
      <c r="CH279" s="70">
        <f t="shared" si="2221"/>
        <v>77</v>
      </c>
      <c r="CI279" s="71">
        <f t="shared" si="2222"/>
        <v>81</v>
      </c>
      <c r="CJ279" s="72">
        <f t="shared" si="2223"/>
        <v>108</v>
      </c>
      <c r="CK279" s="72">
        <f t="shared" si="2224"/>
        <v>116</v>
      </c>
      <c r="CL279" s="72">
        <f t="shared" si="2225"/>
        <v>152</v>
      </c>
      <c r="CM279" s="72" t="str">
        <f t="shared" si="2226"/>
        <v>-</v>
      </c>
      <c r="CN279" s="72">
        <f t="shared" si="2227"/>
        <v>185</v>
      </c>
      <c r="CO279" s="72" t="str">
        <f t="shared" si="2228"/>
        <v>-</v>
      </c>
      <c r="CP279" s="72">
        <f t="shared" si="2229"/>
        <v>235</v>
      </c>
      <c r="CQ279" s="72">
        <f t="shared" si="2230"/>
        <v>284</v>
      </c>
      <c r="CR279" s="72">
        <f t="shared" si="2231"/>
        <v>314</v>
      </c>
      <c r="CS279" s="72">
        <f t="shared" si="2232"/>
        <v>327</v>
      </c>
      <c r="CT279" s="23">
        <f t="shared" si="2233"/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s="12" customFormat="1" x14ac:dyDescent="0.2">
      <c r="A280" s="9" t="str">
        <f t="shared" ref="A280:A281" si="2572">CONCATENATE(B280,"_",C280)</f>
        <v>mc4r_human__wt</v>
      </c>
      <c r="B280" s="9" t="s">
        <v>296</v>
      </c>
      <c r="C280" s="9" t="s">
        <v>100</v>
      </c>
      <c r="D280" s="9" t="str">
        <f>IFERROR(MID(VLOOKUP($B280,Seqs!$A:$B,2,0),E280,1),"")</f>
        <v>S</v>
      </c>
      <c r="E280" s="9">
        <v>47</v>
      </c>
      <c r="F280" s="9" t="str">
        <f>IFERROR(MID(VLOOKUP($B280,Seqs!$A:$B,2,0),G280,1),"")</f>
        <v>N</v>
      </c>
      <c r="G280" s="9">
        <v>72</v>
      </c>
      <c r="H280" s="9" t="str">
        <f>IFERROR(MID(VLOOKUP($B280,Seqs!$A:$B,2,0),I280,1),"")</f>
        <v>K</v>
      </c>
      <c r="I280" s="109">
        <v>73</v>
      </c>
      <c r="J280" s="9" t="str">
        <f>IFERROR(MID(VLOOKUP($B280,Seqs!$A:$B,2,0),K280,1),"")</f>
        <v>H</v>
      </c>
      <c r="K280" s="109">
        <v>76</v>
      </c>
      <c r="L280" s="9" t="str">
        <f>IFERROR(MID(VLOOKUP($B280,Seqs!$A:$B,2,0),M280,1),"")</f>
        <v>S</v>
      </c>
      <c r="M280" s="9">
        <v>77</v>
      </c>
      <c r="N280" s="9" t="str">
        <f>IFERROR(MID(VLOOKUP($B280,Seqs!$A:$B,2,0),O280,1),"")</f>
        <v>L</v>
      </c>
      <c r="O280" s="9">
        <v>107</v>
      </c>
      <c r="P280" s="9" t="str">
        <f>IFERROR(MID(VLOOKUP($B280,Seqs!$A:$B,2,0),Q280,1),"")</f>
        <v/>
      </c>
      <c r="Q280" s="9" t="s">
        <v>23</v>
      </c>
      <c r="R280" s="9" t="str">
        <f>IFERROR(MID(VLOOKUP($B280,Seqs!$A:$B,2,0),S280,1),"")</f>
        <v/>
      </c>
      <c r="S280" s="9" t="s">
        <v>23</v>
      </c>
      <c r="T280" s="9" t="str">
        <f>IFERROR(MID(VLOOKUP($B280,Seqs!$A:$B,2,0),U280,1),"")</f>
        <v>Q</v>
      </c>
      <c r="U280" s="9">
        <v>115</v>
      </c>
      <c r="V280" s="9" t="str">
        <f>IFERROR(MID(VLOOKUP($B280,Seqs!$A:$B,2,0),W280,1),"")</f>
        <v>Y</v>
      </c>
      <c r="W280" s="9">
        <v>153</v>
      </c>
      <c r="X280" s="9" t="str">
        <f>IFERROR(MID(VLOOKUP($B280,Seqs!$A:$B,2,0),Y280,1),"")</f>
        <v>A</v>
      </c>
      <c r="Y280" s="9">
        <v>154</v>
      </c>
      <c r="Z280" s="9" t="str">
        <f>IFERROR(MID(VLOOKUP($B280,Seqs!$A:$B,2,0),AA280,1),"")</f>
        <v>M</v>
      </c>
      <c r="AA280" s="9">
        <v>161</v>
      </c>
      <c r="AB280" s="9" t="str">
        <f>IFERROR(MID(VLOOKUP($B280,Seqs!$A:$B,2,0),AC280,1),"")</f>
        <v>T</v>
      </c>
      <c r="AC280" s="9">
        <v>162</v>
      </c>
      <c r="AD280" s="9" t="str">
        <f>IFERROR(MID(VLOOKUP($B280,Seqs!$A:$B,2,0),AE280,1),"")</f>
        <v>S</v>
      </c>
      <c r="AE280" s="9">
        <v>188</v>
      </c>
      <c r="AF280" s="9" t="str">
        <f>IFERROR(MID(VLOOKUP($B280,Seqs!$A:$B,2,0),AG280,1),"")</f>
        <v/>
      </c>
      <c r="AG280" s="9" t="s">
        <v>23</v>
      </c>
      <c r="AH280" s="9" t="str">
        <f>IFERROR(MID(VLOOKUP($B280,Seqs!$A:$B,2,0),AI280,1),"")</f>
        <v/>
      </c>
      <c r="AI280" s="9" t="s">
        <v>23</v>
      </c>
      <c r="AJ280" s="9" t="str">
        <f>IFERROR(MID(VLOOKUP($B280,Seqs!$A:$B,2,0),AK280,1),"")</f>
        <v>S</v>
      </c>
      <c r="AK280" s="9">
        <v>190</v>
      </c>
      <c r="AL280" s="9" t="str">
        <f>IFERROR(MID(VLOOKUP($B280,Seqs!$A:$B,2,0),AM280,1),"")</f>
        <v>A</v>
      </c>
      <c r="AM280" s="9">
        <v>227</v>
      </c>
      <c r="AN280" s="9" t="str">
        <f>IFERROR(MID(VLOOKUP($B280,Seqs!$A:$B,2,0),AO280,1),"")</f>
        <v>Q</v>
      </c>
      <c r="AO280" s="9">
        <v>237</v>
      </c>
      <c r="AP280" s="9" t="str">
        <f>IFERROR(MID(VLOOKUP($B280,Seqs!$A:$B,2,0),AQ280,1),"")</f>
        <v>C</v>
      </c>
      <c r="AQ280" s="9">
        <v>271</v>
      </c>
      <c r="AR280" s="9" t="str">
        <f>IFERROR(MID(VLOOKUP($B280,Seqs!$A:$B,2,0),AS280,1),"")</f>
        <v>H</v>
      </c>
      <c r="AS280" s="9">
        <v>283</v>
      </c>
      <c r="AT280" s="9" t="str">
        <f>IFERROR(MID(VLOOKUP($B280,Seqs!$A:$B,2,0),AU280,1),"")</f>
        <v>R</v>
      </c>
      <c r="AU280" s="9">
        <v>305</v>
      </c>
      <c r="AV280" s="9" t="str">
        <f>IFERROR(MID(VLOOKUP($B280,Seqs!$A:$B,2,0),AW280,1),"")</f>
        <v>S</v>
      </c>
      <c r="AW280" s="9">
        <v>306</v>
      </c>
      <c r="AX280" s="9" t="str">
        <f>IFERROR(MID(VLOOKUP($B280,Seqs!$A:$B,2,0),AY280,1),"")</f>
        <v>Y</v>
      </c>
      <c r="AY280" s="9">
        <v>320</v>
      </c>
      <c r="AZ280" s="110" t="str">
        <f>VLOOKUP(B280,Classification!A:D,2,0)</f>
        <v>A</v>
      </c>
      <c r="BA280" s="98" t="str">
        <f>VLOOKUP(B280,Classification!A:D,4,0)</f>
        <v>Melanocortin</v>
      </c>
      <c r="BB280" s="36" t="b">
        <f t="shared" ref="BB280:BB281" si="2573"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109">
        <f t="shared" ref="BC280:BC281" si="2574">_xlfn.AGGREGATE(9,6,CH280:CS280)-_xlfn.AGGREGATE(9,6,BV280:CG280)+12</f>
        <v>248</v>
      </c>
      <c r="BD280" s="13" t="s">
        <v>23</v>
      </c>
      <c r="BE280" s="9" t="s">
        <v>23</v>
      </c>
      <c r="BF280" s="119" t="s">
        <v>23</v>
      </c>
      <c r="BG280" s="51" t="s">
        <v>23</v>
      </c>
      <c r="BH280" s="51" t="s">
        <v>23</v>
      </c>
      <c r="BJ280" s="111" t="s">
        <v>1281</v>
      </c>
      <c r="BK280" s="112" t="s">
        <v>1281</v>
      </c>
      <c r="BL280" s="112" t="s">
        <v>1281</v>
      </c>
      <c r="BM280" s="112" t="s">
        <v>1281</v>
      </c>
      <c r="BN280" s="112" t="s">
        <v>1281</v>
      </c>
      <c r="BO280" s="112" t="s">
        <v>1281</v>
      </c>
      <c r="BP280" s="112" t="s">
        <v>1281</v>
      </c>
      <c r="BQ280" s="112" t="s">
        <v>1281</v>
      </c>
      <c r="BR280" s="112" t="s">
        <v>1281</v>
      </c>
      <c r="BS280" s="112" t="s">
        <v>1281</v>
      </c>
      <c r="BT280" s="112" t="s">
        <v>1281</v>
      </c>
      <c r="BU280" s="112" t="s">
        <v>1281</v>
      </c>
      <c r="BV280" s="111">
        <f t="shared" ref="BV280:BV281" si="2575">E280</f>
        <v>47</v>
      </c>
      <c r="BW280" s="113">
        <f t="shared" ref="BW280:BW281" si="2576">I280</f>
        <v>73</v>
      </c>
      <c r="BX280" s="114">
        <f t="shared" ref="BX280:BX281" si="2577">M280</f>
        <v>77</v>
      </c>
      <c r="BY280" s="113" t="str">
        <f t="shared" ref="BY280:BY281" si="2578">Q280</f>
        <v>-</v>
      </c>
      <c r="BZ280" s="114">
        <f t="shared" ref="BZ280:BZ281" si="2579">U280</f>
        <v>115</v>
      </c>
      <c r="CA280" s="113">
        <f t="shared" ref="CA280:CA281" si="2580">Y280</f>
        <v>154</v>
      </c>
      <c r="CB280" s="114">
        <f t="shared" ref="CB280:CB281" si="2581">AC280</f>
        <v>162</v>
      </c>
      <c r="CC280" s="113" t="str">
        <f t="shared" ref="CC280:CC281" si="2582">AG280</f>
        <v>-</v>
      </c>
      <c r="CD280" s="114">
        <f t="shared" ref="CD280:CD281" si="2583">AK280</f>
        <v>190</v>
      </c>
      <c r="CE280" s="113">
        <f t="shared" ref="CE280:CE281" si="2584">AO280</f>
        <v>237</v>
      </c>
      <c r="CF280" s="114">
        <f t="shared" ref="CF280:CF281" si="2585">AS280</f>
        <v>283</v>
      </c>
      <c r="CG280" s="113">
        <f t="shared" ref="CG280:CG281" si="2586">AW280</f>
        <v>306</v>
      </c>
      <c r="CH280" s="111">
        <f t="shared" ref="CH280:CH281" si="2587">G280</f>
        <v>72</v>
      </c>
      <c r="CI280" s="113">
        <f t="shared" ref="CI280:CI281" si="2588">K280</f>
        <v>76</v>
      </c>
      <c r="CJ280" s="114">
        <f t="shared" ref="CJ280:CJ281" si="2589">O280</f>
        <v>107</v>
      </c>
      <c r="CK280" s="114" t="str">
        <f t="shared" ref="CK280:CK281" si="2590">S280</f>
        <v>-</v>
      </c>
      <c r="CL280" s="114">
        <f t="shared" ref="CL280:CL281" si="2591">W280</f>
        <v>153</v>
      </c>
      <c r="CM280" s="114">
        <f t="shared" ref="CM280:CM281" si="2592">AA280</f>
        <v>161</v>
      </c>
      <c r="CN280" s="114">
        <f t="shared" ref="CN280:CN281" si="2593">AE280</f>
        <v>188</v>
      </c>
      <c r="CO280" s="114" t="str">
        <f t="shared" ref="CO280:CO281" si="2594">AI280</f>
        <v>-</v>
      </c>
      <c r="CP280" s="114">
        <f t="shared" ref="CP280:CP281" si="2595">AM280</f>
        <v>227</v>
      </c>
      <c r="CQ280" s="114">
        <f t="shared" ref="CQ280:CQ281" si="2596">AQ280</f>
        <v>271</v>
      </c>
      <c r="CR280" s="114">
        <f t="shared" ref="CR280:CR281" si="2597">AU280</f>
        <v>305</v>
      </c>
      <c r="CS280" s="114">
        <f t="shared" ref="CS280:CS281" si="2598">AY280</f>
        <v>320</v>
      </c>
      <c r="CT280" s="109">
        <f t="shared" ref="CT280:CT281" si="2599">M280-K280</f>
        <v>1</v>
      </c>
    </row>
    <row r="281" spans="1:1029" s="12" customFormat="1" x14ac:dyDescent="0.2">
      <c r="A281" s="9" t="str">
        <f t="shared" si="2572"/>
        <v>mc4r_human_6W25</v>
      </c>
      <c r="B281" s="9" t="s">
        <v>296</v>
      </c>
      <c r="C281" s="9" t="s">
        <v>1681</v>
      </c>
      <c r="D281" s="9" t="str">
        <f>IFERROR(MID(VLOOKUP($B281,Seqs!$A:$B,2,0),E281,1),"")</f>
        <v>S</v>
      </c>
      <c r="E281" s="9">
        <v>47</v>
      </c>
      <c r="F281" s="9" t="str">
        <f>IFERROR(MID(VLOOKUP($B281,Seqs!$A:$B,2,0),G281,1),"")</f>
        <v>N</v>
      </c>
      <c r="G281" s="9">
        <v>72</v>
      </c>
      <c r="H281" s="9" t="str">
        <f>IFERROR(MID(VLOOKUP($B281,Seqs!$A:$B,2,0),I281,1),"")</f>
        <v>K</v>
      </c>
      <c r="I281" s="109">
        <v>73</v>
      </c>
      <c r="J281" s="9" t="str">
        <f>IFERROR(MID(VLOOKUP($B281,Seqs!$A:$B,2,0),K281,1),"")</f>
        <v>H</v>
      </c>
      <c r="K281" s="109">
        <v>76</v>
      </c>
      <c r="L281" s="9" t="str">
        <f>IFERROR(MID(VLOOKUP($B281,Seqs!$A:$B,2,0),M281,1),"")</f>
        <v>S</v>
      </c>
      <c r="M281" s="9">
        <v>77</v>
      </c>
      <c r="N281" s="9" t="str">
        <f>IFERROR(MID(VLOOKUP($B281,Seqs!$A:$B,2,0),O281,1),"")</f>
        <v>T</v>
      </c>
      <c r="O281" s="9">
        <v>110</v>
      </c>
      <c r="P281" s="9" t="str">
        <f>IFERROR(MID(VLOOKUP($B281,Seqs!$A:$B,2,0),Q281,1),"")</f>
        <v/>
      </c>
      <c r="Q281" s="9" t="s">
        <v>23</v>
      </c>
      <c r="R281" s="9" t="str">
        <f>IFERROR(MID(VLOOKUP($B281,Seqs!$A:$B,2,0),S281,1),"")</f>
        <v/>
      </c>
      <c r="S281" s="9" t="s">
        <v>23</v>
      </c>
      <c r="T281" s="9" t="str">
        <f>IFERROR(MID(VLOOKUP($B281,Seqs!$A:$B,2,0),U281,1),"")</f>
        <v>S</v>
      </c>
      <c r="U281" s="9">
        <v>116</v>
      </c>
      <c r="V281" s="9" t="str">
        <f>IFERROR(MID(VLOOKUP($B281,Seqs!$A:$B,2,0),W281,1),"")</f>
        <v>Y</v>
      </c>
      <c r="W281" s="9">
        <v>153</v>
      </c>
      <c r="X281" s="9" t="str">
        <f>IFERROR(MID(VLOOKUP($B281,Seqs!$A:$B,2,0),Y281,1),"")</f>
        <v>A</v>
      </c>
      <c r="Y281" s="9">
        <v>154</v>
      </c>
      <c r="Z281" s="9" t="str">
        <f>IFERROR(MID(VLOOKUP($B281,Seqs!$A:$B,2,0),AA281,1),"")</f>
        <v>M</v>
      </c>
      <c r="AA281" s="9">
        <v>161</v>
      </c>
      <c r="AB281" s="9" t="str">
        <f>IFERROR(MID(VLOOKUP($B281,Seqs!$A:$B,2,0),AC281,1),"")</f>
        <v>T</v>
      </c>
      <c r="AC281" s="9">
        <v>162</v>
      </c>
      <c r="AD281" s="9" t="str">
        <f>IFERROR(MID(VLOOKUP($B281,Seqs!$A:$B,2,0),AE281,1),"")</f>
        <v>S</v>
      </c>
      <c r="AE281" s="9">
        <v>188</v>
      </c>
      <c r="AF281" s="9" t="str">
        <f>IFERROR(MID(VLOOKUP($B281,Seqs!$A:$B,2,0),AG281,1),"")</f>
        <v/>
      </c>
      <c r="AG281" s="9" t="s">
        <v>23</v>
      </c>
      <c r="AH281" s="9" t="str">
        <f>IFERROR(MID(VLOOKUP($B281,Seqs!$A:$B,2,0),AI281,1),"")</f>
        <v/>
      </c>
      <c r="AI281" s="9" t="s">
        <v>23</v>
      </c>
      <c r="AJ281" s="9" t="str">
        <f>IFERROR(MID(VLOOKUP($B281,Seqs!$A:$B,2,0),AK281,1),"")</f>
        <v>S</v>
      </c>
      <c r="AK281" s="9">
        <v>190</v>
      </c>
      <c r="AL281" s="9" t="str">
        <f>IFERROR(MID(VLOOKUP($B281,Seqs!$A:$B,2,0),AM281,1),"")</f>
        <v>M</v>
      </c>
      <c r="AM281" s="9">
        <v>218</v>
      </c>
      <c r="AN281" s="9" t="str">
        <f>IFERROR(MID(VLOOKUP($B281,Seqs!$A:$B,2,0),AO281,1),"")</f>
        <v>G</v>
      </c>
      <c r="AO281" s="9">
        <v>238</v>
      </c>
      <c r="AP281" s="9" t="str">
        <f>IFERROR(MID(VLOOKUP($B281,Seqs!$A:$B,2,0),AQ281,1),"")</f>
        <v>C</v>
      </c>
      <c r="AQ281" s="9">
        <v>271</v>
      </c>
      <c r="AR281" s="9" t="str">
        <f>IFERROR(MID(VLOOKUP($B281,Seqs!$A:$B,2,0),AS281,1),"")</f>
        <v>H</v>
      </c>
      <c r="AS281" s="9">
        <v>283</v>
      </c>
      <c r="AT281" s="9" t="str">
        <f>IFERROR(MID(VLOOKUP($B281,Seqs!$A:$B,2,0),AU281,1),"")</f>
        <v>R</v>
      </c>
      <c r="AU281" s="9">
        <v>305</v>
      </c>
      <c r="AV281" s="9" t="str">
        <f>IFERROR(MID(VLOOKUP($B281,Seqs!$A:$B,2,0),AW281,1),"")</f>
        <v>S</v>
      </c>
      <c r="AW281" s="9">
        <v>306</v>
      </c>
      <c r="AX281" s="9" t="str">
        <f>IFERROR(MID(VLOOKUP($B281,Seqs!$A:$B,2,0),AY281,1),"")</f>
        <v>Y</v>
      </c>
      <c r="AY281" s="9">
        <v>320</v>
      </c>
      <c r="AZ281" s="110" t="str">
        <f>VLOOKUP(B281,Classification!A:D,2,0)</f>
        <v>A</v>
      </c>
      <c r="BA281" s="98" t="str">
        <f>VLOOKUP(B281,Classification!A:D,4,0)</f>
        <v>Melanocortin</v>
      </c>
      <c r="BB281" s="36" t="b">
        <f t="shared" si="2573"/>
        <v>1</v>
      </c>
      <c r="BC281" s="109">
        <f t="shared" si="2574"/>
        <v>240</v>
      </c>
      <c r="BD281" s="13" t="s">
        <v>1370</v>
      </c>
      <c r="BE281" s="9" t="s">
        <v>1368</v>
      </c>
      <c r="BF281" s="119">
        <v>2.75</v>
      </c>
      <c r="BG281" s="51" t="s">
        <v>1</v>
      </c>
      <c r="BH281" s="51" t="s">
        <v>1</v>
      </c>
      <c r="BJ281" s="111" t="s">
        <v>1281</v>
      </c>
      <c r="BK281" s="112" t="s">
        <v>1281</v>
      </c>
      <c r="BL281" s="112" t="s">
        <v>1281</v>
      </c>
      <c r="BM281" s="112" t="s">
        <v>1281</v>
      </c>
      <c r="BN281" s="112" t="s">
        <v>1281</v>
      </c>
      <c r="BO281" s="112" t="s">
        <v>1281</v>
      </c>
      <c r="BP281" s="112" t="s">
        <v>1281</v>
      </c>
      <c r="BQ281" s="112" t="s">
        <v>1281</v>
      </c>
      <c r="BR281" s="112" t="s">
        <v>1281</v>
      </c>
      <c r="BS281" s="112" t="s">
        <v>1281</v>
      </c>
      <c r="BT281" s="112" t="s">
        <v>1281</v>
      </c>
      <c r="BU281" s="112" t="s">
        <v>1281</v>
      </c>
      <c r="BV281" s="111">
        <f t="shared" si="2575"/>
        <v>47</v>
      </c>
      <c r="BW281" s="113">
        <f t="shared" si="2576"/>
        <v>73</v>
      </c>
      <c r="BX281" s="114">
        <f t="shared" si="2577"/>
        <v>77</v>
      </c>
      <c r="BY281" s="113" t="str">
        <f t="shared" si="2578"/>
        <v>-</v>
      </c>
      <c r="BZ281" s="114">
        <f t="shared" si="2579"/>
        <v>116</v>
      </c>
      <c r="CA281" s="113">
        <f t="shared" si="2580"/>
        <v>154</v>
      </c>
      <c r="CB281" s="114">
        <f t="shared" si="2581"/>
        <v>162</v>
      </c>
      <c r="CC281" s="113" t="str">
        <f t="shared" si="2582"/>
        <v>-</v>
      </c>
      <c r="CD281" s="114">
        <f t="shared" si="2583"/>
        <v>190</v>
      </c>
      <c r="CE281" s="113">
        <f t="shared" si="2584"/>
        <v>238</v>
      </c>
      <c r="CF281" s="114">
        <f t="shared" si="2585"/>
        <v>283</v>
      </c>
      <c r="CG281" s="113">
        <f t="shared" si="2586"/>
        <v>306</v>
      </c>
      <c r="CH281" s="111">
        <f t="shared" si="2587"/>
        <v>72</v>
      </c>
      <c r="CI281" s="113">
        <f t="shared" si="2588"/>
        <v>76</v>
      </c>
      <c r="CJ281" s="114">
        <f t="shared" si="2589"/>
        <v>110</v>
      </c>
      <c r="CK281" s="114" t="str">
        <f t="shared" si="2590"/>
        <v>-</v>
      </c>
      <c r="CL281" s="114">
        <f t="shared" si="2591"/>
        <v>153</v>
      </c>
      <c r="CM281" s="114">
        <f t="shared" si="2592"/>
        <v>161</v>
      </c>
      <c r="CN281" s="114">
        <f t="shared" si="2593"/>
        <v>188</v>
      </c>
      <c r="CO281" s="114" t="str">
        <f t="shared" si="2594"/>
        <v>-</v>
      </c>
      <c r="CP281" s="114">
        <f t="shared" si="2595"/>
        <v>218</v>
      </c>
      <c r="CQ281" s="114">
        <f t="shared" si="2596"/>
        <v>271</v>
      </c>
      <c r="CR281" s="114">
        <f t="shared" si="2597"/>
        <v>305</v>
      </c>
      <c r="CS281" s="114">
        <f t="shared" si="2598"/>
        <v>320</v>
      </c>
      <c r="CT281" s="109">
        <f t="shared" si="2599"/>
        <v>1</v>
      </c>
    </row>
    <row r="282" spans="1:1029" x14ac:dyDescent="0.2">
      <c r="A282" s="3" t="str">
        <f t="shared" ref="A282:A283" si="2600">CONCATENATE(B282,"_",C282)</f>
        <v>mtr1a_human__wt</v>
      </c>
      <c r="B282" s="3" t="s">
        <v>310</v>
      </c>
      <c r="C282" s="3" t="s">
        <v>100</v>
      </c>
      <c r="D282" s="3" t="str">
        <f>IFERROR(MID(VLOOKUP($B282,Seqs!$A:$B,2,0),E282,1),"")</f>
        <v>P</v>
      </c>
      <c r="E282" s="3">
        <v>23</v>
      </c>
      <c r="F282" s="3" t="str">
        <f>IFERROR(MID(VLOOKUP($B282,Seqs!$A:$B,2,0),G282,1),"")</f>
        <v>N</v>
      </c>
      <c r="G282" s="3">
        <v>55</v>
      </c>
      <c r="H282" s="3" t="str">
        <f>IFERROR(MID(VLOOKUP($B282,Seqs!$A:$B,2,0),I282,1),"")</f>
        <v>K</v>
      </c>
      <c r="I282" s="23">
        <v>56</v>
      </c>
      <c r="J282" s="3" t="str">
        <f>IFERROR(MID(VLOOKUP($B282,Seqs!$A:$B,2,0),K282,1),"")</f>
        <v>R</v>
      </c>
      <c r="K282" s="23">
        <v>59</v>
      </c>
      <c r="L282" s="3" t="str">
        <f>IFERROR(MID(VLOOKUP($B282,Seqs!$A:$B,2,0),M282,1),"")</f>
        <v>N</v>
      </c>
      <c r="M282" s="3">
        <v>60</v>
      </c>
      <c r="N282" s="3" t="str">
        <f>IFERROR(MID(VLOOKUP($B282,Seqs!$A:$B,2,0),O282,1),"")</f>
        <v>N</v>
      </c>
      <c r="O282" s="3">
        <v>91</v>
      </c>
      <c r="P282" s="3" t="str">
        <f>IFERROR(MID(VLOOKUP($B282,Seqs!$A:$B,2,0),Q282,1),"")</f>
        <v>G</v>
      </c>
      <c r="Q282" s="3">
        <v>92</v>
      </c>
      <c r="R282" s="3" t="str">
        <f>IFERROR(MID(VLOOKUP($B282,Seqs!$A:$B,2,0),S282,1),"")</f>
        <v>L</v>
      </c>
      <c r="S282" s="3">
        <v>95</v>
      </c>
      <c r="T282" s="3" t="str">
        <f>IFERROR(MID(VLOOKUP($B282,Seqs!$A:$B,2,0),U282,1),"")</f>
        <v>G</v>
      </c>
      <c r="U282" s="3">
        <v>96</v>
      </c>
      <c r="V282" s="3" t="str">
        <f>IFERROR(MID(VLOOKUP($B282,Seqs!$A:$B,2,0),W282,1),"")</f>
        <v>H</v>
      </c>
      <c r="W282" s="3">
        <v>131</v>
      </c>
      <c r="X282" s="3" t="str">
        <f>IFERROR(MID(VLOOKUP($B282,Seqs!$A:$B,2,0),Y282,1),"")</f>
        <v>S</v>
      </c>
      <c r="Y282" s="3">
        <v>132</v>
      </c>
      <c r="Z282" s="3" t="str">
        <f>IFERROR(MID(VLOOKUP($B282,Seqs!$A:$B,2,0),AA282,1),"")</f>
        <v>Y</v>
      </c>
      <c r="AA282" s="3">
        <v>139</v>
      </c>
      <c r="AB282" s="3" t="str">
        <f>IFERROR(MID(VLOOKUP($B282,Seqs!$A:$B,2,0),AC282,1),"")</f>
        <v>S</v>
      </c>
      <c r="AC282" s="3">
        <v>140</v>
      </c>
      <c r="AD282" s="3" t="str">
        <f>IFERROR(MID(VLOOKUP($B282,Seqs!$A:$B,2,0),AE282,1),"")</f>
        <v>G</v>
      </c>
      <c r="AE282" s="3">
        <v>166</v>
      </c>
      <c r="AF282" s="3" t="str">
        <f>IFERROR(MID(VLOOKUP($B282,Seqs!$A:$B,2,0),AG282,1),"")</f>
        <v>C</v>
      </c>
      <c r="AG282" s="3">
        <v>177</v>
      </c>
      <c r="AH282" s="3" t="str">
        <f>IFERROR(MID(VLOOKUP($B282,Seqs!$A:$B,2,0),AI282,1),"")</f>
        <v>F</v>
      </c>
      <c r="AI282" s="3">
        <v>179</v>
      </c>
      <c r="AJ282" s="3" t="str">
        <f>IFERROR(MID(VLOOKUP($B282,Seqs!$A:$B,2,0),AK282,1),"")</f>
        <v>S</v>
      </c>
      <c r="AK282" s="3">
        <v>184</v>
      </c>
      <c r="AL282" s="3" t="str">
        <f>IFERROR(MID(VLOOKUP($B282,Seqs!$A:$B,2,0),AM282,1),"")</f>
        <v>V</v>
      </c>
      <c r="AM282" s="3">
        <v>221</v>
      </c>
      <c r="AN282" s="3" t="str">
        <f>IFERROR(MID(VLOOKUP($B282,Seqs!$A:$B,2,0),AO282,1),"")</f>
        <v>P</v>
      </c>
      <c r="AO282" s="3">
        <v>227</v>
      </c>
      <c r="AP282" s="3" t="str">
        <f>IFERROR(MID(VLOOKUP($B282,Seqs!$A:$B,2,0),AQ282,1),"")</f>
        <v>D</v>
      </c>
      <c r="AQ282" s="3">
        <v>264</v>
      </c>
      <c r="AR282" s="3" t="str">
        <f>IFERROR(MID(VLOOKUP($B282,Seqs!$A:$B,2,0),AS282,1),"")</f>
        <v>P</v>
      </c>
      <c r="AS282" s="3">
        <v>273</v>
      </c>
      <c r="AT282" s="3" t="str">
        <f>IFERROR(MID(VLOOKUP($B282,Seqs!$A:$B,2,0),AU282,1),"")</f>
        <v>L</v>
      </c>
      <c r="AU282" s="3">
        <v>298</v>
      </c>
      <c r="AV282" s="3" t="str">
        <f>IFERROR(MID(VLOOKUP($B282,Seqs!$A:$B,2,0),AW282,1),"")</f>
        <v>N</v>
      </c>
      <c r="AW282" s="3">
        <v>299</v>
      </c>
      <c r="AX282" s="3" t="str">
        <f>IFERROR(MID(VLOOKUP($B282,Seqs!$A:$B,2,0),AY282,1),"")</f>
        <v>T</v>
      </c>
      <c r="AY282" s="3">
        <v>315</v>
      </c>
      <c r="AZ282" s="77" t="str">
        <f>VLOOKUP(B282,Classification!A:D,2,0)</f>
        <v>A</v>
      </c>
      <c r="BA282" s="94" t="str">
        <f>VLOOKUP(B282,Classification!A:D,4,0)</f>
        <v>Melatonin</v>
      </c>
      <c r="BB282" s="27" t="b">
        <f t="shared" ref="BB282:BB283" si="2601"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 t="shared" ref="BC282:BC284" si="2602">_xlfn.AGGREGATE(9,6,CH282:CS282)-_xlfn.AGGREGATE(9,6,BV282:CG282)+12</f>
        <v>266</v>
      </c>
      <c r="BD282" s="5" t="s">
        <v>23</v>
      </c>
      <c r="BE282" s="3" t="s">
        <v>23</v>
      </c>
      <c r="BF282" s="118" t="s">
        <v>23</v>
      </c>
      <c r="BG282" s="49" t="s">
        <v>1371</v>
      </c>
      <c r="BH282" s="49" t="s">
        <v>1371</v>
      </c>
      <c r="BI282" s="1"/>
      <c r="BJ282" s="70" t="s">
        <v>1281</v>
      </c>
      <c r="BK282" s="57" t="s">
        <v>1281</v>
      </c>
      <c r="BL282" s="57" t="s">
        <v>1281</v>
      </c>
      <c r="BM282" s="57" t="s">
        <v>1281</v>
      </c>
      <c r="BN282" s="57" t="s">
        <v>1281</v>
      </c>
      <c r="BO282" s="57" t="s">
        <v>1281</v>
      </c>
      <c r="BP282" s="57" t="s">
        <v>1281</v>
      </c>
      <c r="BQ282" s="57" t="s">
        <v>1281</v>
      </c>
      <c r="BR282" s="57" t="s">
        <v>1281</v>
      </c>
      <c r="BS282" s="57" t="s">
        <v>1281</v>
      </c>
      <c r="BT282" s="57" t="s">
        <v>1281</v>
      </c>
      <c r="BU282" s="57" t="s">
        <v>1281</v>
      </c>
      <c r="BV282" s="70">
        <f t="shared" ref="BV282:BV283" si="2603">E282</f>
        <v>23</v>
      </c>
      <c r="BW282" s="71">
        <f t="shared" ref="BW282:BW283" si="2604">I282</f>
        <v>56</v>
      </c>
      <c r="BX282" s="72">
        <f t="shared" ref="BX282:BX283" si="2605">M282</f>
        <v>60</v>
      </c>
      <c r="BY282" s="71">
        <f t="shared" ref="BY282:BY283" si="2606">Q282</f>
        <v>92</v>
      </c>
      <c r="BZ282" s="72">
        <f t="shared" ref="BZ282:BZ283" si="2607">U282</f>
        <v>96</v>
      </c>
      <c r="CA282" s="71">
        <f t="shared" ref="CA282:CA283" si="2608">Y282</f>
        <v>132</v>
      </c>
      <c r="CB282" s="72">
        <f t="shared" ref="CB282:CB283" si="2609">AC282</f>
        <v>140</v>
      </c>
      <c r="CC282" s="71">
        <f t="shared" ref="CC282:CC283" si="2610">AG282</f>
        <v>177</v>
      </c>
      <c r="CD282" s="72">
        <f t="shared" ref="CD282:CD283" si="2611">AK282</f>
        <v>184</v>
      </c>
      <c r="CE282" s="71">
        <f t="shared" ref="CE282:CE283" si="2612">AO282</f>
        <v>227</v>
      </c>
      <c r="CF282" s="72">
        <f t="shared" ref="CF282:CF283" si="2613">AS282</f>
        <v>273</v>
      </c>
      <c r="CG282" s="71">
        <f t="shared" ref="CG282:CG283" si="2614">AW282</f>
        <v>299</v>
      </c>
      <c r="CH282" s="70">
        <f t="shared" ref="CH282:CH283" si="2615">G282</f>
        <v>55</v>
      </c>
      <c r="CI282" s="71">
        <f t="shared" ref="CI282:CI283" si="2616">K282</f>
        <v>59</v>
      </c>
      <c r="CJ282" s="72">
        <f t="shared" ref="CJ282:CJ283" si="2617">O282</f>
        <v>91</v>
      </c>
      <c r="CK282" s="72">
        <f t="shared" ref="CK282:CK283" si="2618">S282</f>
        <v>95</v>
      </c>
      <c r="CL282" s="72">
        <f t="shared" ref="CL282:CL283" si="2619">W282</f>
        <v>131</v>
      </c>
      <c r="CM282" s="72">
        <f t="shared" ref="CM282:CM283" si="2620">AA282</f>
        <v>139</v>
      </c>
      <c r="CN282" s="72">
        <f t="shared" ref="CN282:CN283" si="2621">AE282</f>
        <v>166</v>
      </c>
      <c r="CO282" s="72">
        <f t="shared" ref="CO282:CO283" si="2622">AI282</f>
        <v>179</v>
      </c>
      <c r="CP282" s="72">
        <f t="shared" ref="CP282:CP283" si="2623">AM282</f>
        <v>221</v>
      </c>
      <c r="CQ282" s="72">
        <f t="shared" ref="CQ282:CQ283" si="2624">AQ282</f>
        <v>264</v>
      </c>
      <c r="CR282" s="72">
        <f t="shared" ref="CR282:CR283" si="2625">AU282</f>
        <v>298</v>
      </c>
      <c r="CS282" s="72">
        <f t="shared" ref="CS282:CS283" si="2626">AY282</f>
        <v>315</v>
      </c>
      <c r="CT282" s="23">
        <f t="shared" ref="CT282:CT283" si="2627">M282-K282</f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 t="shared" si="2600"/>
        <v>mtr1a_human_6ME2</v>
      </c>
      <c r="B283" s="3" t="s">
        <v>310</v>
      </c>
      <c r="C283" s="3" t="s">
        <v>1558</v>
      </c>
      <c r="D283" s="3" t="str">
        <f>IFERROR(MID(VLOOKUP($B283,Seqs!$A:$B,2,0),E283,1),"")</f>
        <v>P</v>
      </c>
      <c r="E283" s="3">
        <v>23</v>
      </c>
      <c r="F283" s="3" t="str">
        <f>IFERROR(MID(VLOOKUP($B283,Seqs!$A:$B,2,0),G283,1),"")</f>
        <v>N</v>
      </c>
      <c r="G283" s="3">
        <v>55</v>
      </c>
      <c r="H283" s="3" t="str">
        <f>IFERROR(MID(VLOOKUP($B283,Seqs!$A:$B,2,0),I283,1),"")</f>
        <v>K</v>
      </c>
      <c r="I283" s="23">
        <v>56</v>
      </c>
      <c r="J283" s="3" t="str">
        <f>IFERROR(MID(VLOOKUP($B283,Seqs!$A:$B,2,0),K283,1),"")</f>
        <v>R</v>
      </c>
      <c r="K283" s="23">
        <v>59</v>
      </c>
      <c r="L283" s="3" t="str">
        <f>IFERROR(MID(VLOOKUP($B283,Seqs!$A:$B,2,0),M283,1),"")</f>
        <v>N</v>
      </c>
      <c r="M283" s="3">
        <v>60</v>
      </c>
      <c r="N283" s="3" t="str">
        <f>IFERROR(MID(VLOOKUP($B283,Seqs!$A:$B,2,0),O283,1),"")</f>
        <v>N</v>
      </c>
      <c r="O283" s="3">
        <v>91</v>
      </c>
      <c r="P283" s="3" t="str">
        <f>IFERROR(MID(VLOOKUP($B283,Seqs!$A:$B,2,0),Q283,1),"")</f>
        <v>G</v>
      </c>
      <c r="Q283" s="3">
        <v>92</v>
      </c>
      <c r="R283" s="3" t="str">
        <f>IFERROR(MID(VLOOKUP($B283,Seqs!$A:$B,2,0),S283,1),"")</f>
        <v>L</v>
      </c>
      <c r="S283" s="3">
        <v>95</v>
      </c>
      <c r="T283" s="3" t="str">
        <f>IFERROR(MID(VLOOKUP($B283,Seqs!$A:$B,2,0),U283,1),"")</f>
        <v>G</v>
      </c>
      <c r="U283" s="3">
        <v>96</v>
      </c>
      <c r="V283" s="3" t="str">
        <f>IFERROR(MID(VLOOKUP($B283,Seqs!$A:$B,2,0),W283,1),"")</f>
        <v>Y</v>
      </c>
      <c r="W283" s="3">
        <v>135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N</v>
      </c>
      <c r="AC283" s="3">
        <v>143</v>
      </c>
      <c r="AD283" s="3" t="str">
        <f>IFERROR(MID(VLOOKUP($B283,Seqs!$A:$B,2,0),AE283,1),"")</f>
        <v>G</v>
      </c>
      <c r="AE283" s="3">
        <v>166</v>
      </c>
      <c r="AF283" s="3" t="str">
        <f>IFERROR(MID(VLOOKUP($B283,Seqs!$A:$B,2,0),AG283,1),"")</f>
        <v>C</v>
      </c>
      <c r="AG283" s="3">
        <v>177</v>
      </c>
      <c r="AH283" s="3" t="str">
        <f>IFERROR(MID(VLOOKUP($B283,Seqs!$A:$B,2,0),AI283,1),"")</f>
        <v>F</v>
      </c>
      <c r="AI283" s="3">
        <v>179</v>
      </c>
      <c r="AJ283" s="3" t="str">
        <f>IFERROR(MID(VLOOKUP($B283,Seqs!$A:$B,2,0),AK283,1),"")</f>
        <v>S</v>
      </c>
      <c r="AK283" s="3">
        <v>184</v>
      </c>
      <c r="AL283" s="3" t="str">
        <f>IFERROR(MID(VLOOKUP($B283,Seqs!$A:$B,2,0),AM283,1),"")</f>
        <v>R</v>
      </c>
      <c r="AM283" s="3">
        <v>218</v>
      </c>
      <c r="AN283" s="3" t="str">
        <f>IFERROR(MID(VLOOKUP($B283,Seqs!$A:$B,2,0),AO283,1),"")</f>
        <v>R</v>
      </c>
      <c r="AO283" s="3">
        <v>235</v>
      </c>
      <c r="AP283" s="3" t="str">
        <f>IFERROR(MID(VLOOKUP($B283,Seqs!$A:$B,2,0),AQ283,1),"")</f>
        <v>D</v>
      </c>
      <c r="AQ283" s="3">
        <v>264</v>
      </c>
      <c r="AR283" s="3" t="str">
        <f>IFERROR(MID(VLOOKUP($B283,Seqs!$A:$B,2,0),AS283,1),"")</f>
        <v>P</v>
      </c>
      <c r="AS283" s="3">
        <v>273</v>
      </c>
      <c r="AT283" s="3" t="str">
        <f>IFERROR(MID(VLOOKUP($B283,Seqs!$A:$B,2,0),AU283,1),"")</f>
        <v>L</v>
      </c>
      <c r="AU283" s="3">
        <v>298</v>
      </c>
      <c r="AV283" s="3" t="str">
        <f>IFERROR(MID(VLOOKUP($B283,Seqs!$A:$B,2,0),AW283,1),"")</f>
        <v>N</v>
      </c>
      <c r="AW283" s="3">
        <v>299</v>
      </c>
      <c r="AX283" s="3" t="str">
        <f>IFERROR(MID(VLOOKUP($B283,Seqs!$A:$B,2,0),AY283,1),"")</f>
        <v>T</v>
      </c>
      <c r="AY283" s="3">
        <v>315</v>
      </c>
      <c r="AZ283" s="77" t="str">
        <f>VLOOKUP(B283,Classification!A:D,2,0)</f>
        <v>A</v>
      </c>
      <c r="BA283" s="94" t="str">
        <f>VLOOKUP(B283,Classification!A:D,4,0)</f>
        <v>Melatonin</v>
      </c>
      <c r="BB283" s="27" t="b">
        <f t="shared" si="2601"/>
        <v>1</v>
      </c>
      <c r="BC283" s="23">
        <f t="shared" si="2602"/>
        <v>249</v>
      </c>
      <c r="BD283" s="5" t="s">
        <v>1370</v>
      </c>
      <c r="BE283" s="3" t="s">
        <v>1368</v>
      </c>
      <c r="BF283" s="118">
        <v>2.8</v>
      </c>
      <c r="BG283" s="49" t="s">
        <v>1</v>
      </c>
      <c r="BH283" s="49" t="s">
        <v>1</v>
      </c>
      <c r="BI283" s="1"/>
      <c r="BJ283" s="70" t="s">
        <v>1281</v>
      </c>
      <c r="BK283" s="57" t="s">
        <v>1281</v>
      </c>
      <c r="BL283" s="57" t="s">
        <v>1281</v>
      </c>
      <c r="BM283" s="57" t="s">
        <v>1281</v>
      </c>
      <c r="BN283" s="57" t="s">
        <v>1281</v>
      </c>
      <c r="BO283" s="57" t="s">
        <v>1281</v>
      </c>
      <c r="BP283" s="57" t="s">
        <v>1281</v>
      </c>
      <c r="BQ283" s="57" t="s">
        <v>1281</v>
      </c>
      <c r="BR283" s="57" t="s">
        <v>1281</v>
      </c>
      <c r="BS283" s="57" t="s">
        <v>1281</v>
      </c>
      <c r="BT283" s="57" t="s">
        <v>1281</v>
      </c>
      <c r="BU283" s="57" t="s">
        <v>1281</v>
      </c>
      <c r="BV283" s="70">
        <f t="shared" si="2603"/>
        <v>23</v>
      </c>
      <c r="BW283" s="71">
        <f t="shared" si="2604"/>
        <v>56</v>
      </c>
      <c r="BX283" s="72">
        <f t="shared" si="2605"/>
        <v>60</v>
      </c>
      <c r="BY283" s="71">
        <f t="shared" si="2606"/>
        <v>92</v>
      </c>
      <c r="BZ283" s="72">
        <f t="shared" si="2607"/>
        <v>96</v>
      </c>
      <c r="CA283" s="71" t="str">
        <f t="shared" si="2608"/>
        <v>-</v>
      </c>
      <c r="CB283" s="72">
        <f t="shared" si="2609"/>
        <v>143</v>
      </c>
      <c r="CC283" s="71">
        <f t="shared" si="2610"/>
        <v>177</v>
      </c>
      <c r="CD283" s="72">
        <f t="shared" si="2611"/>
        <v>184</v>
      </c>
      <c r="CE283" s="71">
        <f t="shared" si="2612"/>
        <v>235</v>
      </c>
      <c r="CF283" s="72">
        <f t="shared" si="2613"/>
        <v>273</v>
      </c>
      <c r="CG283" s="71">
        <f t="shared" si="2614"/>
        <v>299</v>
      </c>
      <c r="CH283" s="70">
        <f t="shared" si="2615"/>
        <v>55</v>
      </c>
      <c r="CI283" s="71">
        <f t="shared" si="2616"/>
        <v>59</v>
      </c>
      <c r="CJ283" s="72">
        <f t="shared" si="2617"/>
        <v>91</v>
      </c>
      <c r="CK283" s="72">
        <f t="shared" si="2618"/>
        <v>95</v>
      </c>
      <c r="CL283" s="72">
        <f t="shared" si="2619"/>
        <v>135</v>
      </c>
      <c r="CM283" s="72" t="str">
        <f t="shared" si="2620"/>
        <v>-</v>
      </c>
      <c r="CN283" s="72">
        <f t="shared" si="2621"/>
        <v>166</v>
      </c>
      <c r="CO283" s="72">
        <f t="shared" si="2622"/>
        <v>179</v>
      </c>
      <c r="CP283" s="72">
        <f t="shared" si="2623"/>
        <v>218</v>
      </c>
      <c r="CQ283" s="72">
        <f t="shared" si="2624"/>
        <v>264</v>
      </c>
      <c r="CR283" s="72">
        <f t="shared" si="2625"/>
        <v>298</v>
      </c>
      <c r="CS283" s="72">
        <f t="shared" si="2626"/>
        <v>315</v>
      </c>
      <c r="CT283" s="23">
        <f t="shared" si="2627"/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 t="shared" ref="A284" si="2628">CONCATENATE(B284,"_",C284)</f>
        <v>mtr1a_human_6ME3</v>
      </c>
      <c r="B284" s="3" t="s">
        <v>310</v>
      </c>
      <c r="C284" s="3" t="s">
        <v>1559</v>
      </c>
      <c r="D284" s="3" t="str">
        <f>IFERROR(MID(VLOOKUP($B284,Seqs!$A:$B,2,0),E284,1),"")</f>
        <v>P</v>
      </c>
      <c r="E284" s="3">
        <v>23</v>
      </c>
      <c r="F284" s="3" t="str">
        <f>IFERROR(MID(VLOOKUP($B284,Seqs!$A:$B,2,0),G284,1),"")</f>
        <v>N</v>
      </c>
      <c r="G284" s="3">
        <v>55</v>
      </c>
      <c r="H284" s="3" t="str">
        <f>IFERROR(MID(VLOOKUP($B284,Seqs!$A:$B,2,0),I284,1),"")</f>
        <v>K</v>
      </c>
      <c r="I284" s="23">
        <v>56</v>
      </c>
      <c r="J284" s="3" t="str">
        <f>IFERROR(MID(VLOOKUP($B284,Seqs!$A:$B,2,0),K284,1),"")</f>
        <v>R</v>
      </c>
      <c r="K284" s="23">
        <v>59</v>
      </c>
      <c r="L284" s="3" t="str">
        <f>IFERROR(MID(VLOOKUP($B284,Seqs!$A:$B,2,0),M284,1),"")</f>
        <v>N</v>
      </c>
      <c r="M284" s="3">
        <v>60</v>
      </c>
      <c r="N284" s="3" t="str">
        <f>IFERROR(MID(VLOOKUP($B284,Seqs!$A:$B,2,0),O284,1),"")</f>
        <v>N</v>
      </c>
      <c r="O284" s="3">
        <v>91</v>
      </c>
      <c r="P284" s="3" t="str">
        <f>IFERROR(MID(VLOOKUP($B284,Seqs!$A:$B,2,0),Q284,1),"")</f>
        <v>G</v>
      </c>
      <c r="Q284" s="3">
        <v>92</v>
      </c>
      <c r="R284" s="3" t="str">
        <f>IFERROR(MID(VLOOKUP($B284,Seqs!$A:$B,2,0),S284,1),"")</f>
        <v>L</v>
      </c>
      <c r="S284" s="3">
        <v>95</v>
      </c>
      <c r="T284" s="3" t="str">
        <f>IFERROR(MID(VLOOKUP($B284,Seqs!$A:$B,2,0),U284,1),"")</f>
        <v>G</v>
      </c>
      <c r="U284" s="3">
        <v>96</v>
      </c>
      <c r="V284" s="3" t="str">
        <f>IFERROR(MID(VLOOKUP($B284,Seqs!$A:$B,2,0),W284,1),"")</f>
        <v>Y</v>
      </c>
      <c r="W284" s="3">
        <v>135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N</v>
      </c>
      <c r="AC284" s="3">
        <v>143</v>
      </c>
      <c r="AD284" s="3" t="str">
        <f>IFERROR(MID(VLOOKUP($B284,Seqs!$A:$B,2,0),AE284,1),"")</f>
        <v>G</v>
      </c>
      <c r="AE284" s="3">
        <v>166</v>
      </c>
      <c r="AF284" s="3" t="str">
        <f>IFERROR(MID(VLOOKUP($B284,Seqs!$A:$B,2,0),AG284,1),"")</f>
        <v>C</v>
      </c>
      <c r="AG284" s="3">
        <v>177</v>
      </c>
      <c r="AH284" s="3" t="str">
        <f>IFERROR(MID(VLOOKUP($B284,Seqs!$A:$B,2,0),AI284,1),"")</f>
        <v>F</v>
      </c>
      <c r="AI284" s="3">
        <v>179</v>
      </c>
      <c r="AJ284" s="3" t="str">
        <f>IFERROR(MID(VLOOKUP($B284,Seqs!$A:$B,2,0),AK284,1),"")</f>
        <v>S</v>
      </c>
      <c r="AK284" s="3">
        <v>184</v>
      </c>
      <c r="AL284" s="3" t="str">
        <f>IFERROR(MID(VLOOKUP($B284,Seqs!$A:$B,2,0),AM284,1),"")</f>
        <v>R</v>
      </c>
      <c r="AM284" s="3">
        <v>218</v>
      </c>
      <c r="AN284" s="3" t="str">
        <f>IFERROR(MID(VLOOKUP($B284,Seqs!$A:$B,2,0),AO284,1),"")</f>
        <v>R</v>
      </c>
      <c r="AO284" s="3">
        <v>235</v>
      </c>
      <c r="AP284" s="3" t="str">
        <f>IFERROR(MID(VLOOKUP($B284,Seqs!$A:$B,2,0),AQ284,1),"")</f>
        <v>D</v>
      </c>
      <c r="AQ284" s="3">
        <v>264</v>
      </c>
      <c r="AR284" s="3" t="str">
        <f>IFERROR(MID(VLOOKUP($B284,Seqs!$A:$B,2,0),AS284,1),"")</f>
        <v>P</v>
      </c>
      <c r="AS284" s="3">
        <v>273</v>
      </c>
      <c r="AT284" s="3" t="str">
        <f>IFERROR(MID(VLOOKUP($B284,Seqs!$A:$B,2,0),AU284,1),"")</f>
        <v>L</v>
      </c>
      <c r="AU284" s="3">
        <v>298</v>
      </c>
      <c r="AV284" s="3" t="str">
        <f>IFERROR(MID(VLOOKUP($B284,Seqs!$A:$B,2,0),AW284,1),"")</f>
        <v>N</v>
      </c>
      <c r="AW284" s="3">
        <v>299</v>
      </c>
      <c r="AX284" s="3" t="str">
        <f>IFERROR(MID(VLOOKUP($B284,Seqs!$A:$B,2,0),AY284,1),"")</f>
        <v>T</v>
      </c>
      <c r="AY284" s="3">
        <v>315</v>
      </c>
      <c r="AZ284" s="77" t="str">
        <f>VLOOKUP(B284,Classification!A:D,2,0)</f>
        <v>A</v>
      </c>
      <c r="BA284" s="94" t="str">
        <f>VLOOKUP(B284,Classification!A:D,4,0)</f>
        <v>Melatonin</v>
      </c>
      <c r="BB284" s="27" t="b">
        <f t="shared" ref="BB284" si="2629"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 t="shared" si="2602"/>
        <v>249</v>
      </c>
      <c r="BD284" s="5" t="s">
        <v>23</v>
      </c>
      <c r="BE284" s="3" t="s">
        <v>1368</v>
      </c>
      <c r="BF284" s="118">
        <v>2.9</v>
      </c>
      <c r="BG284" s="49" t="s">
        <v>1</v>
      </c>
      <c r="BH284" s="49" t="s">
        <v>1</v>
      </c>
      <c r="BI284" s="1"/>
      <c r="BJ284" s="70" t="s">
        <v>1281</v>
      </c>
      <c r="BK284" s="57" t="s">
        <v>1281</v>
      </c>
      <c r="BL284" s="57" t="s">
        <v>1281</v>
      </c>
      <c r="BM284" s="57" t="s">
        <v>1281</v>
      </c>
      <c r="BN284" s="57" t="s">
        <v>1281</v>
      </c>
      <c r="BO284" s="57" t="s">
        <v>1281</v>
      </c>
      <c r="BP284" s="57" t="s">
        <v>1281</v>
      </c>
      <c r="BQ284" s="57" t="s">
        <v>1281</v>
      </c>
      <c r="BR284" s="57" t="s">
        <v>1281</v>
      </c>
      <c r="BS284" s="57" t="s">
        <v>1281</v>
      </c>
      <c r="BT284" s="57" t="s">
        <v>1281</v>
      </c>
      <c r="BU284" s="57" t="s">
        <v>1281</v>
      </c>
      <c r="BV284" s="70">
        <f t="shared" ref="BV284" si="2630">E284</f>
        <v>23</v>
      </c>
      <c r="BW284" s="71">
        <f t="shared" ref="BW284" si="2631">I284</f>
        <v>56</v>
      </c>
      <c r="BX284" s="72">
        <f t="shared" ref="BX284" si="2632">M284</f>
        <v>60</v>
      </c>
      <c r="BY284" s="71">
        <f t="shared" ref="BY284" si="2633">Q284</f>
        <v>92</v>
      </c>
      <c r="BZ284" s="72">
        <f t="shared" ref="BZ284" si="2634">U284</f>
        <v>96</v>
      </c>
      <c r="CA284" s="71" t="str">
        <f t="shared" ref="CA284" si="2635">Y284</f>
        <v>-</v>
      </c>
      <c r="CB284" s="72">
        <f t="shared" ref="CB284" si="2636">AC284</f>
        <v>143</v>
      </c>
      <c r="CC284" s="71">
        <f t="shared" ref="CC284" si="2637">AG284</f>
        <v>177</v>
      </c>
      <c r="CD284" s="72">
        <f t="shared" ref="CD284" si="2638">AK284</f>
        <v>184</v>
      </c>
      <c r="CE284" s="71">
        <f t="shared" ref="CE284" si="2639">AO284</f>
        <v>235</v>
      </c>
      <c r="CF284" s="72">
        <f t="shared" ref="CF284" si="2640">AS284</f>
        <v>273</v>
      </c>
      <c r="CG284" s="71">
        <f t="shared" ref="CG284" si="2641">AW284</f>
        <v>299</v>
      </c>
      <c r="CH284" s="70">
        <f t="shared" ref="CH284" si="2642">G284</f>
        <v>55</v>
      </c>
      <c r="CI284" s="71">
        <f t="shared" ref="CI284" si="2643">K284</f>
        <v>59</v>
      </c>
      <c r="CJ284" s="72">
        <f t="shared" ref="CJ284" si="2644">O284</f>
        <v>91</v>
      </c>
      <c r="CK284" s="72">
        <f t="shared" ref="CK284" si="2645">S284</f>
        <v>95</v>
      </c>
      <c r="CL284" s="72">
        <f t="shared" ref="CL284" si="2646">W284</f>
        <v>135</v>
      </c>
      <c r="CM284" s="72" t="str">
        <f t="shared" ref="CM284" si="2647">AA284</f>
        <v>-</v>
      </c>
      <c r="CN284" s="72">
        <f t="shared" ref="CN284" si="2648">AE284</f>
        <v>166</v>
      </c>
      <c r="CO284" s="72">
        <f t="shared" ref="CO284" si="2649">AI284</f>
        <v>179</v>
      </c>
      <c r="CP284" s="72">
        <f t="shared" ref="CP284" si="2650">AM284</f>
        <v>218</v>
      </c>
      <c r="CQ284" s="72">
        <f t="shared" ref="CQ284" si="2651">AQ284</f>
        <v>264</v>
      </c>
      <c r="CR284" s="72">
        <f t="shared" ref="CR284" si="2652">AU284</f>
        <v>298</v>
      </c>
      <c r="CS284" s="72">
        <f t="shared" ref="CS284" si="2653">AY284</f>
        <v>315</v>
      </c>
      <c r="CT284" s="23">
        <f t="shared" ref="CT284" si="2654">M284-K284</f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ref="A285" si="2655">CONCATENATE(B285,"_",C285)</f>
        <v>mtr1a_human_6ME4</v>
      </c>
      <c r="B285" s="3" t="s">
        <v>310</v>
      </c>
      <c r="C285" s="3" t="s">
        <v>1560</v>
      </c>
      <c r="D285" s="3" t="str">
        <f>IFERROR(MID(VLOOKUP($B285,Seqs!$A:$B,2,0),E285,1),"")</f>
        <v>P</v>
      </c>
      <c r="E285" s="3">
        <v>23</v>
      </c>
      <c r="F285" s="3" t="str">
        <f>IFERROR(MID(VLOOKUP($B285,Seqs!$A:$B,2,0),G285,1),"")</f>
        <v>N</v>
      </c>
      <c r="G285" s="3">
        <v>55</v>
      </c>
      <c r="H285" s="3" t="str">
        <f>IFERROR(MID(VLOOKUP($B285,Seqs!$A:$B,2,0),I285,1),"")</f>
        <v>K</v>
      </c>
      <c r="I285" s="23">
        <v>56</v>
      </c>
      <c r="J285" s="3" t="str">
        <f>IFERROR(MID(VLOOKUP($B285,Seqs!$A:$B,2,0),K285,1),"")</f>
        <v>R</v>
      </c>
      <c r="K285" s="23">
        <v>59</v>
      </c>
      <c r="L285" s="3" t="str">
        <f>IFERROR(MID(VLOOKUP($B285,Seqs!$A:$B,2,0),M285,1),"")</f>
        <v>N</v>
      </c>
      <c r="M285" s="3">
        <v>60</v>
      </c>
      <c r="N285" s="3" t="str">
        <f>IFERROR(MID(VLOOKUP($B285,Seqs!$A:$B,2,0),O285,1),"")</f>
        <v>N</v>
      </c>
      <c r="O285" s="3">
        <v>91</v>
      </c>
      <c r="P285" s="3" t="str">
        <f>IFERROR(MID(VLOOKUP($B285,Seqs!$A:$B,2,0),Q285,1),"")</f>
        <v>G</v>
      </c>
      <c r="Q285" s="3">
        <v>92</v>
      </c>
      <c r="R285" s="3" t="str">
        <f>IFERROR(MID(VLOOKUP($B285,Seqs!$A:$B,2,0),S285,1),"")</f>
        <v>L</v>
      </c>
      <c r="S285" s="3">
        <v>95</v>
      </c>
      <c r="T285" s="3" t="str">
        <f>IFERROR(MID(VLOOKUP($B285,Seqs!$A:$B,2,0),U285,1),"")</f>
        <v>G</v>
      </c>
      <c r="U285" s="3">
        <v>96</v>
      </c>
      <c r="V285" s="3" t="str">
        <f>IFERROR(MID(VLOOKUP($B285,Seqs!$A:$B,2,0),W285,1),"")</f>
        <v>Y</v>
      </c>
      <c r="W285" s="3">
        <v>135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N</v>
      </c>
      <c r="AC285" s="3">
        <v>143</v>
      </c>
      <c r="AD285" s="3" t="str">
        <f>IFERROR(MID(VLOOKUP($B285,Seqs!$A:$B,2,0),AE285,1),"")</f>
        <v>G</v>
      </c>
      <c r="AE285" s="3">
        <v>166</v>
      </c>
      <c r="AF285" s="3" t="str">
        <f>IFERROR(MID(VLOOKUP($B285,Seqs!$A:$B,2,0),AG285,1),"")</f>
        <v>C</v>
      </c>
      <c r="AG285" s="3">
        <v>177</v>
      </c>
      <c r="AH285" s="3" t="str">
        <f>IFERROR(MID(VLOOKUP($B285,Seqs!$A:$B,2,0),AI285,1),"")</f>
        <v>F</v>
      </c>
      <c r="AI285" s="3">
        <v>179</v>
      </c>
      <c r="AJ285" s="3" t="str">
        <f>IFERROR(MID(VLOOKUP($B285,Seqs!$A:$B,2,0),AK285,1),"")</f>
        <v>S</v>
      </c>
      <c r="AK285" s="3">
        <v>184</v>
      </c>
      <c r="AL285" s="3" t="str">
        <f>IFERROR(MID(VLOOKUP($B285,Seqs!$A:$B,2,0),AM285,1),"")</f>
        <v>R</v>
      </c>
      <c r="AM285" s="3">
        <v>218</v>
      </c>
      <c r="AN285" s="3" t="str">
        <f>IFERROR(MID(VLOOKUP($B285,Seqs!$A:$B,2,0),AO285,1),"")</f>
        <v>R</v>
      </c>
      <c r="AO285" s="3">
        <v>235</v>
      </c>
      <c r="AP285" s="3" t="str">
        <f>IFERROR(MID(VLOOKUP($B285,Seqs!$A:$B,2,0),AQ285,1),"")</f>
        <v>D</v>
      </c>
      <c r="AQ285" s="3">
        <v>264</v>
      </c>
      <c r="AR285" s="3" t="str">
        <f>IFERROR(MID(VLOOKUP($B285,Seqs!$A:$B,2,0),AS285,1),"")</f>
        <v>P</v>
      </c>
      <c r="AS285" s="3">
        <v>273</v>
      </c>
      <c r="AT285" s="3" t="str">
        <f>IFERROR(MID(VLOOKUP($B285,Seqs!$A:$B,2,0),AU285,1),"")</f>
        <v>L</v>
      </c>
      <c r="AU285" s="3">
        <v>298</v>
      </c>
      <c r="AV285" s="3" t="str">
        <f>IFERROR(MID(VLOOKUP($B285,Seqs!$A:$B,2,0),AW285,1),"")</f>
        <v>N</v>
      </c>
      <c r="AW285" s="3">
        <v>299</v>
      </c>
      <c r="AX285" s="3" t="str">
        <f>IFERROR(MID(VLOOKUP($B285,Seqs!$A:$B,2,0),AY285,1),"")</f>
        <v>T</v>
      </c>
      <c r="AY285" s="3">
        <v>315</v>
      </c>
      <c r="AZ285" s="77" t="str">
        <f>VLOOKUP(B285,Classification!A:D,2,0)</f>
        <v>A</v>
      </c>
      <c r="BA285" s="94" t="str">
        <f>VLOOKUP(B285,Classification!A:D,4,0)</f>
        <v>Melatonin</v>
      </c>
      <c r="BB285" s="27" t="b">
        <f t="shared" ref="BB285" si="2656"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23">
        <f t="shared" ref="BC285" si="2657">_xlfn.AGGREGATE(9,6,CH285:CS285)-_xlfn.AGGREGATE(9,6,BV285:CG285)+12</f>
        <v>249</v>
      </c>
      <c r="BD285" s="5" t="s">
        <v>23</v>
      </c>
      <c r="BE285" s="3" t="s">
        <v>1368</v>
      </c>
      <c r="BF285" s="118">
        <v>3.2</v>
      </c>
      <c r="BG285" s="49" t="s">
        <v>1</v>
      </c>
      <c r="BH285" s="49" t="s">
        <v>1</v>
      </c>
      <c r="BI285" s="1"/>
      <c r="BJ285" s="70" t="s">
        <v>1281</v>
      </c>
      <c r="BK285" s="57" t="s">
        <v>1281</v>
      </c>
      <c r="BL285" s="57" t="s">
        <v>1281</v>
      </c>
      <c r="BM285" s="57" t="s">
        <v>1281</v>
      </c>
      <c r="BN285" s="57" t="s">
        <v>1281</v>
      </c>
      <c r="BO285" s="57" t="s">
        <v>1281</v>
      </c>
      <c r="BP285" s="57" t="s">
        <v>1281</v>
      </c>
      <c r="BQ285" s="57" t="s">
        <v>1281</v>
      </c>
      <c r="BR285" s="57" t="s">
        <v>1281</v>
      </c>
      <c r="BS285" s="57" t="s">
        <v>1281</v>
      </c>
      <c r="BT285" s="57" t="s">
        <v>1281</v>
      </c>
      <c r="BU285" s="57" t="s">
        <v>1281</v>
      </c>
      <c r="BV285" s="70">
        <f t="shared" ref="BV285" si="2658">E285</f>
        <v>23</v>
      </c>
      <c r="BW285" s="71">
        <f t="shared" ref="BW285" si="2659">I285</f>
        <v>56</v>
      </c>
      <c r="BX285" s="72">
        <f t="shared" ref="BX285" si="2660">M285</f>
        <v>60</v>
      </c>
      <c r="BY285" s="71">
        <f t="shared" ref="BY285" si="2661">Q285</f>
        <v>92</v>
      </c>
      <c r="BZ285" s="72">
        <f t="shared" ref="BZ285" si="2662">U285</f>
        <v>96</v>
      </c>
      <c r="CA285" s="71" t="str">
        <f t="shared" ref="CA285" si="2663">Y285</f>
        <v>-</v>
      </c>
      <c r="CB285" s="72">
        <f t="shared" ref="CB285" si="2664">AC285</f>
        <v>143</v>
      </c>
      <c r="CC285" s="71">
        <f t="shared" ref="CC285" si="2665">AG285</f>
        <v>177</v>
      </c>
      <c r="CD285" s="72">
        <f t="shared" ref="CD285" si="2666">AK285</f>
        <v>184</v>
      </c>
      <c r="CE285" s="71">
        <f t="shared" ref="CE285" si="2667">AO285</f>
        <v>235</v>
      </c>
      <c r="CF285" s="72">
        <f t="shared" ref="CF285" si="2668">AS285</f>
        <v>273</v>
      </c>
      <c r="CG285" s="71">
        <f t="shared" ref="CG285" si="2669">AW285</f>
        <v>299</v>
      </c>
      <c r="CH285" s="70">
        <f t="shared" ref="CH285" si="2670">G285</f>
        <v>55</v>
      </c>
      <c r="CI285" s="71">
        <f t="shared" ref="CI285" si="2671">K285</f>
        <v>59</v>
      </c>
      <c r="CJ285" s="72">
        <f t="shared" ref="CJ285" si="2672">O285</f>
        <v>91</v>
      </c>
      <c r="CK285" s="72">
        <f t="shared" ref="CK285" si="2673">S285</f>
        <v>95</v>
      </c>
      <c r="CL285" s="72">
        <f t="shared" ref="CL285" si="2674">W285</f>
        <v>135</v>
      </c>
      <c r="CM285" s="72" t="str">
        <f t="shared" ref="CM285" si="2675">AA285</f>
        <v>-</v>
      </c>
      <c r="CN285" s="72">
        <f t="shared" ref="CN285" si="2676">AE285</f>
        <v>166</v>
      </c>
      <c r="CO285" s="72">
        <f t="shared" ref="CO285" si="2677">AI285</f>
        <v>179</v>
      </c>
      <c r="CP285" s="72">
        <f t="shared" ref="CP285" si="2678">AM285</f>
        <v>218</v>
      </c>
      <c r="CQ285" s="72">
        <f t="shared" ref="CQ285" si="2679">AQ285</f>
        <v>264</v>
      </c>
      <c r="CR285" s="72">
        <f t="shared" ref="CR285" si="2680">AU285</f>
        <v>298</v>
      </c>
      <c r="CS285" s="72">
        <f t="shared" ref="CS285" si="2681">AY285</f>
        <v>315</v>
      </c>
      <c r="CT285" s="23">
        <f t="shared" ref="CT285" si="2682">M285-K285</f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ref="A286" si="2683">CONCATENATE(B286,"_",C286)</f>
        <v>mtr1a_human_6ME5</v>
      </c>
      <c r="B286" s="3" t="s">
        <v>310</v>
      </c>
      <c r="C286" s="3" t="s">
        <v>1561</v>
      </c>
      <c r="D286" s="3" t="str">
        <f>IFERROR(MID(VLOOKUP($B286,Seqs!$A:$B,2,0),E286,1),"")</f>
        <v>P</v>
      </c>
      <c r="E286" s="3">
        <v>23</v>
      </c>
      <c r="F286" s="3" t="str">
        <f>IFERROR(MID(VLOOKUP($B286,Seqs!$A:$B,2,0),G286,1),"")</f>
        <v>N</v>
      </c>
      <c r="G286" s="3">
        <v>55</v>
      </c>
      <c r="H286" s="3" t="str">
        <f>IFERROR(MID(VLOOKUP($B286,Seqs!$A:$B,2,0),I286,1),"")</f>
        <v>K</v>
      </c>
      <c r="I286" s="23">
        <v>56</v>
      </c>
      <c r="J286" s="3" t="str">
        <f>IFERROR(MID(VLOOKUP($B286,Seqs!$A:$B,2,0),K286,1),"")</f>
        <v>R</v>
      </c>
      <c r="K286" s="23">
        <v>59</v>
      </c>
      <c r="L286" s="3" t="str">
        <f>IFERROR(MID(VLOOKUP($B286,Seqs!$A:$B,2,0),M286,1),"")</f>
        <v>N</v>
      </c>
      <c r="M286" s="3">
        <v>60</v>
      </c>
      <c r="N286" s="3" t="str">
        <f>IFERROR(MID(VLOOKUP($B286,Seqs!$A:$B,2,0),O286,1),"")</f>
        <v>N</v>
      </c>
      <c r="O286" s="3">
        <v>91</v>
      </c>
      <c r="P286" s="3" t="str">
        <f>IFERROR(MID(VLOOKUP($B286,Seqs!$A:$B,2,0),Q286,1),"")</f>
        <v>G</v>
      </c>
      <c r="Q286" s="3">
        <v>92</v>
      </c>
      <c r="R286" s="3" t="str">
        <f>IFERROR(MID(VLOOKUP($B286,Seqs!$A:$B,2,0),S286,1),"")</f>
        <v>L</v>
      </c>
      <c r="S286" s="3">
        <v>95</v>
      </c>
      <c r="T286" s="3" t="str">
        <f>IFERROR(MID(VLOOKUP($B286,Seqs!$A:$B,2,0),U286,1),"")</f>
        <v>G</v>
      </c>
      <c r="U286" s="3">
        <v>96</v>
      </c>
      <c r="V286" s="3" t="str">
        <f>IFERROR(MID(VLOOKUP($B286,Seqs!$A:$B,2,0),W286,1),"")</f>
        <v>Y</v>
      </c>
      <c r="W286" s="3">
        <v>135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N</v>
      </c>
      <c r="AC286" s="3">
        <v>143</v>
      </c>
      <c r="AD286" s="3" t="str">
        <f>IFERROR(MID(VLOOKUP($B286,Seqs!$A:$B,2,0),AE286,1),"")</f>
        <v>G</v>
      </c>
      <c r="AE286" s="3">
        <v>166</v>
      </c>
      <c r="AF286" s="3" t="str">
        <f>IFERROR(MID(VLOOKUP($B286,Seqs!$A:$B,2,0),AG286,1),"")</f>
        <v>C</v>
      </c>
      <c r="AG286" s="3">
        <v>177</v>
      </c>
      <c r="AH286" s="3" t="str">
        <f>IFERROR(MID(VLOOKUP($B286,Seqs!$A:$B,2,0),AI286,1),"")</f>
        <v>F</v>
      </c>
      <c r="AI286" s="3">
        <v>179</v>
      </c>
      <c r="AJ286" s="3" t="str">
        <f>IFERROR(MID(VLOOKUP($B286,Seqs!$A:$B,2,0),AK286,1),"")</f>
        <v>S</v>
      </c>
      <c r="AK286" s="3">
        <v>184</v>
      </c>
      <c r="AL286" s="3" t="str">
        <f>IFERROR(MID(VLOOKUP($B286,Seqs!$A:$B,2,0),AM286,1),"")</f>
        <v>R</v>
      </c>
      <c r="AM286" s="3">
        <v>218</v>
      </c>
      <c r="AN286" s="3" t="str">
        <f>IFERROR(MID(VLOOKUP($B286,Seqs!$A:$B,2,0),AO286,1),"")</f>
        <v>R</v>
      </c>
      <c r="AO286" s="3">
        <v>235</v>
      </c>
      <c r="AP286" s="3" t="str">
        <f>IFERROR(MID(VLOOKUP($B286,Seqs!$A:$B,2,0),AQ286,1),"")</f>
        <v>D</v>
      </c>
      <c r="AQ286" s="3">
        <v>264</v>
      </c>
      <c r="AR286" s="3" t="str">
        <f>IFERROR(MID(VLOOKUP($B286,Seqs!$A:$B,2,0),AS286,1),"")</f>
        <v>P</v>
      </c>
      <c r="AS286" s="3">
        <v>273</v>
      </c>
      <c r="AT286" s="3" t="str">
        <f>IFERROR(MID(VLOOKUP($B286,Seqs!$A:$B,2,0),AU286,1),"")</f>
        <v>L</v>
      </c>
      <c r="AU286" s="3">
        <v>298</v>
      </c>
      <c r="AV286" s="3" t="str">
        <f>IFERROR(MID(VLOOKUP($B286,Seqs!$A:$B,2,0),AW286,1),"")</f>
        <v>N</v>
      </c>
      <c r="AW286" s="3">
        <v>299</v>
      </c>
      <c r="AX286" s="3" t="str">
        <f>IFERROR(MID(VLOOKUP($B286,Seqs!$A:$B,2,0),AY286,1),"")</f>
        <v>T</v>
      </c>
      <c r="AY286" s="3">
        <v>315</v>
      </c>
      <c r="AZ286" s="77" t="str">
        <f>VLOOKUP(B286,Classification!A:D,2,0)</f>
        <v>A</v>
      </c>
      <c r="BA286" s="94" t="str">
        <f>VLOOKUP(B286,Classification!A:D,4,0)</f>
        <v>Melatonin</v>
      </c>
      <c r="BB286" s="27" t="b">
        <f t="shared" ref="BB286" si="2684"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23">
        <f t="shared" ref="BC286" si="2685">_xlfn.AGGREGATE(9,6,CH286:CS286)-_xlfn.AGGREGATE(9,6,BV286:CG286)+12</f>
        <v>249</v>
      </c>
      <c r="BD286" s="5" t="s">
        <v>23</v>
      </c>
      <c r="BE286" s="3" t="s">
        <v>1368</v>
      </c>
      <c r="BF286" s="118">
        <v>3.2</v>
      </c>
      <c r="BG286" s="49" t="s">
        <v>1</v>
      </c>
      <c r="BH286" s="49" t="s">
        <v>1</v>
      </c>
      <c r="BI286" s="1"/>
      <c r="BJ286" s="70" t="s">
        <v>1281</v>
      </c>
      <c r="BK286" s="57" t="s">
        <v>1281</v>
      </c>
      <c r="BL286" s="57" t="s">
        <v>1281</v>
      </c>
      <c r="BM286" s="57" t="s">
        <v>1281</v>
      </c>
      <c r="BN286" s="57" t="s">
        <v>1281</v>
      </c>
      <c r="BO286" s="57" t="s">
        <v>1281</v>
      </c>
      <c r="BP286" s="57" t="s">
        <v>1281</v>
      </c>
      <c r="BQ286" s="57" t="s">
        <v>1281</v>
      </c>
      <c r="BR286" s="57" t="s">
        <v>1281</v>
      </c>
      <c r="BS286" s="57" t="s">
        <v>1281</v>
      </c>
      <c r="BT286" s="57" t="s">
        <v>1281</v>
      </c>
      <c r="BU286" s="57" t="s">
        <v>1281</v>
      </c>
      <c r="BV286" s="70">
        <f t="shared" ref="BV286" si="2686">E286</f>
        <v>23</v>
      </c>
      <c r="BW286" s="71">
        <f t="shared" ref="BW286" si="2687">I286</f>
        <v>56</v>
      </c>
      <c r="BX286" s="72">
        <f t="shared" ref="BX286" si="2688">M286</f>
        <v>60</v>
      </c>
      <c r="BY286" s="71">
        <f t="shared" ref="BY286" si="2689">Q286</f>
        <v>92</v>
      </c>
      <c r="BZ286" s="72">
        <f t="shared" ref="BZ286" si="2690">U286</f>
        <v>96</v>
      </c>
      <c r="CA286" s="71" t="str">
        <f t="shared" ref="CA286" si="2691">Y286</f>
        <v>-</v>
      </c>
      <c r="CB286" s="72">
        <f t="shared" ref="CB286" si="2692">AC286</f>
        <v>143</v>
      </c>
      <c r="CC286" s="71">
        <f t="shared" ref="CC286" si="2693">AG286</f>
        <v>177</v>
      </c>
      <c r="CD286" s="72">
        <f t="shared" ref="CD286" si="2694">AK286</f>
        <v>184</v>
      </c>
      <c r="CE286" s="71">
        <f t="shared" ref="CE286" si="2695">AO286</f>
        <v>235</v>
      </c>
      <c r="CF286" s="72">
        <f t="shared" ref="CF286" si="2696">AS286</f>
        <v>273</v>
      </c>
      <c r="CG286" s="71">
        <f t="shared" ref="CG286" si="2697">AW286</f>
        <v>299</v>
      </c>
      <c r="CH286" s="70">
        <f t="shared" ref="CH286" si="2698">G286</f>
        <v>55</v>
      </c>
      <c r="CI286" s="71">
        <f t="shared" ref="CI286" si="2699">K286</f>
        <v>59</v>
      </c>
      <c r="CJ286" s="72">
        <f t="shared" ref="CJ286" si="2700">O286</f>
        <v>91</v>
      </c>
      <c r="CK286" s="72">
        <f t="shared" ref="CK286" si="2701">S286</f>
        <v>95</v>
      </c>
      <c r="CL286" s="72">
        <f t="shared" ref="CL286" si="2702">W286</f>
        <v>135</v>
      </c>
      <c r="CM286" s="72" t="str">
        <f t="shared" ref="CM286" si="2703">AA286</f>
        <v>-</v>
      </c>
      <c r="CN286" s="72">
        <f t="shared" ref="CN286" si="2704">AE286</f>
        <v>166</v>
      </c>
      <c r="CO286" s="72">
        <f t="shared" ref="CO286" si="2705">AI286</f>
        <v>179</v>
      </c>
      <c r="CP286" s="72">
        <f t="shared" ref="CP286" si="2706">AM286</f>
        <v>218</v>
      </c>
      <c r="CQ286" s="72">
        <f t="shared" ref="CQ286" si="2707">AQ286</f>
        <v>264</v>
      </c>
      <c r="CR286" s="72">
        <f t="shared" ref="CR286" si="2708">AU286</f>
        <v>298</v>
      </c>
      <c r="CS286" s="72">
        <f t="shared" ref="CS286" si="2709">AY286</f>
        <v>315</v>
      </c>
      <c r="CT286" s="23">
        <f t="shared" ref="CT286" si="2710">M286-K286</f>
        <v>1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>CONCATENATE(B287,"_",C287)</f>
        <v>mtr1a_human_6PS8</v>
      </c>
      <c r="B287" s="3" t="s">
        <v>310</v>
      </c>
      <c r="C287" s="3" t="s">
        <v>1610</v>
      </c>
      <c r="D287" s="3" t="str">
        <f>IFERROR(MID(VLOOKUP($B287,Seqs!$A:$B,2,0),E287,1),"")</f>
        <v>S</v>
      </c>
      <c r="E287" s="3">
        <v>24</v>
      </c>
      <c r="F287" s="3" t="str">
        <f>IFERROR(MID(VLOOKUP($B287,Seqs!$A:$B,2,0),G287,1),"")</f>
        <v>N</v>
      </c>
      <c r="G287" s="3">
        <v>55</v>
      </c>
      <c r="H287" s="3" t="str">
        <f>IFERROR(MID(VLOOKUP($B287,Seqs!$A:$B,2,0),I287,1),"")</f>
        <v>K</v>
      </c>
      <c r="I287" s="23">
        <v>56</v>
      </c>
      <c r="J287" s="3" t="str">
        <f>IFERROR(MID(VLOOKUP($B287,Seqs!$A:$B,2,0),K287,1),"")</f>
        <v>R</v>
      </c>
      <c r="K287" s="23">
        <v>59</v>
      </c>
      <c r="L287" s="3" t="str">
        <f>IFERROR(MID(VLOOKUP($B287,Seqs!$A:$B,2,0),M287,1),"")</f>
        <v>N</v>
      </c>
      <c r="M287" s="3">
        <v>60</v>
      </c>
      <c r="N287" s="3" t="str">
        <f>IFERROR(MID(VLOOKUP($B287,Seqs!$A:$B,2,0),O287,1),"")</f>
        <v>N</v>
      </c>
      <c r="O287" s="3">
        <v>91</v>
      </c>
      <c r="P287" s="3" t="str">
        <f>IFERROR(MID(VLOOKUP($B287,Seqs!$A:$B,2,0),Q287,1),"")</f>
        <v>G</v>
      </c>
      <c r="Q287" s="3">
        <v>92</v>
      </c>
      <c r="R287" s="3" t="str">
        <f>IFERROR(MID(VLOOKUP($B287,Seqs!$A:$B,2,0),S287,1),"")</f>
        <v>L</v>
      </c>
      <c r="S287" s="3">
        <v>95</v>
      </c>
      <c r="T287" s="3" t="str">
        <f>IFERROR(MID(VLOOKUP($B287,Seqs!$A:$B,2,0),U287,1),"")</f>
        <v>G</v>
      </c>
      <c r="U287" s="3">
        <v>96</v>
      </c>
      <c r="V287" s="3" t="str">
        <f>IFERROR(MID(VLOOKUP($B287,Seqs!$A:$B,2,0),W287,1),"")</f>
        <v>Y</v>
      </c>
      <c r="W287" s="3">
        <v>135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N</v>
      </c>
      <c r="AC287" s="3">
        <v>143</v>
      </c>
      <c r="AD287" s="3" t="str">
        <f>IFERROR(MID(VLOOKUP($B287,Seqs!$A:$B,2,0),AE287,1),"")</f>
        <v>G</v>
      </c>
      <c r="AE287" s="3">
        <v>166</v>
      </c>
      <c r="AF287" s="3" t="str">
        <f>IFERROR(MID(VLOOKUP($B287,Seqs!$A:$B,2,0),AG287,1),"")</f>
        <v>C</v>
      </c>
      <c r="AG287" s="3">
        <v>177</v>
      </c>
      <c r="AH287" s="3" t="str">
        <f>IFERROR(MID(VLOOKUP($B287,Seqs!$A:$B,2,0),AI287,1),"")</f>
        <v>F</v>
      </c>
      <c r="AI287" s="3">
        <v>179</v>
      </c>
      <c r="AJ287" s="3" t="str">
        <f>IFERROR(MID(VLOOKUP($B287,Seqs!$A:$B,2,0),AK287,1),"")</f>
        <v>S</v>
      </c>
      <c r="AK287" s="3">
        <v>184</v>
      </c>
      <c r="AL287" s="3" t="str">
        <f>IFERROR(MID(VLOOKUP($B287,Seqs!$A:$B,2,0),AM287,1),"")</f>
        <v>R</v>
      </c>
      <c r="AM287" s="3">
        <v>218</v>
      </c>
      <c r="AN287" s="3" t="str">
        <f>IFERROR(MID(VLOOKUP($B287,Seqs!$A:$B,2,0),AO287,1),"")</f>
        <v>F</v>
      </c>
      <c r="AO287" s="3">
        <v>234</v>
      </c>
      <c r="AP287" s="3" t="str">
        <f>IFERROR(MID(VLOOKUP($B287,Seqs!$A:$B,2,0),AQ287,1),"")</f>
        <v>S</v>
      </c>
      <c r="AQ287" s="3">
        <v>263</v>
      </c>
      <c r="AR287" s="3" t="str">
        <f>IFERROR(MID(VLOOKUP($B287,Seqs!$A:$B,2,0),AS287,1),"")</f>
        <v>P</v>
      </c>
      <c r="AS287" s="3">
        <v>273</v>
      </c>
      <c r="AT287" s="3" t="str">
        <f>IFERROR(MID(VLOOKUP($B287,Seqs!$A:$B,2,0),AU287,1),"")</f>
        <v>L</v>
      </c>
      <c r="AU287" s="3">
        <v>298</v>
      </c>
      <c r="AV287" s="3" t="str">
        <f>IFERROR(MID(VLOOKUP($B287,Seqs!$A:$B,2,0),AW287,1),"")</f>
        <v>N</v>
      </c>
      <c r="AW287" s="3">
        <v>299</v>
      </c>
      <c r="AX287" s="3" t="str">
        <f>IFERROR(MID(VLOOKUP($B287,Seqs!$A:$B,2,0),AY287,1),"")</f>
        <v>T</v>
      </c>
      <c r="AY287" s="3">
        <v>315</v>
      </c>
      <c r="AZ287" s="77" t="str">
        <f>VLOOKUP(B287,Classification!A:D,2,0)</f>
        <v>A</v>
      </c>
      <c r="BA287" s="94" t="str">
        <f>VLOOKUP(B287,Classification!A:D,4,0)</f>
        <v>Melatonin</v>
      </c>
      <c r="BB287" s="27" t="b">
        <f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23">
        <f>_xlfn.AGGREGATE(9,6,CH287:CS287)-_xlfn.AGGREGATE(9,6,BV287:CG287)+12</f>
        <v>248</v>
      </c>
      <c r="BD287" s="74" t="s">
        <v>23</v>
      </c>
      <c r="BE287" s="3" t="s">
        <v>1368</v>
      </c>
      <c r="BF287" s="118">
        <v>3.3</v>
      </c>
      <c r="BG287" s="49" t="s">
        <v>1</v>
      </c>
      <c r="BH287" s="49" t="s">
        <v>1</v>
      </c>
      <c r="BI287" s="1"/>
      <c r="BJ287" s="70" t="s">
        <v>1281</v>
      </c>
      <c r="BK287" s="57" t="s">
        <v>1281</v>
      </c>
      <c r="BL287" s="57" t="s">
        <v>1281</v>
      </c>
      <c r="BM287" s="57" t="s">
        <v>1281</v>
      </c>
      <c r="BN287" s="57" t="s">
        <v>1281</v>
      </c>
      <c r="BO287" s="57" t="s">
        <v>1281</v>
      </c>
      <c r="BP287" s="57" t="s">
        <v>1281</v>
      </c>
      <c r="BQ287" s="57" t="s">
        <v>1281</v>
      </c>
      <c r="BR287" s="57" t="s">
        <v>1281</v>
      </c>
      <c r="BS287" s="57" t="s">
        <v>1281</v>
      </c>
      <c r="BT287" s="57" t="s">
        <v>1281</v>
      </c>
      <c r="BU287" s="57" t="s">
        <v>1281</v>
      </c>
      <c r="BV287" s="70">
        <f>E287</f>
        <v>24</v>
      </c>
      <c r="BW287" s="71">
        <f>I287</f>
        <v>56</v>
      </c>
      <c r="BX287" s="72">
        <f>M287</f>
        <v>60</v>
      </c>
      <c r="BY287" s="71">
        <f>Q287</f>
        <v>92</v>
      </c>
      <c r="BZ287" s="72">
        <f>U287</f>
        <v>96</v>
      </c>
      <c r="CA287" s="71" t="str">
        <f>Y287</f>
        <v>-</v>
      </c>
      <c r="CB287" s="72">
        <f>AC287</f>
        <v>143</v>
      </c>
      <c r="CC287" s="71">
        <f>AG287</f>
        <v>177</v>
      </c>
      <c r="CD287" s="72">
        <f>AK287</f>
        <v>184</v>
      </c>
      <c r="CE287" s="71">
        <f>AO287</f>
        <v>234</v>
      </c>
      <c r="CF287" s="72">
        <f>AS287</f>
        <v>273</v>
      </c>
      <c r="CG287" s="71">
        <f>AW287</f>
        <v>299</v>
      </c>
      <c r="CH287" s="70">
        <f>G287</f>
        <v>55</v>
      </c>
      <c r="CI287" s="71">
        <f>K287</f>
        <v>59</v>
      </c>
      <c r="CJ287" s="72">
        <f>O287</f>
        <v>91</v>
      </c>
      <c r="CK287" s="72">
        <f>S287</f>
        <v>95</v>
      </c>
      <c r="CL287" s="72">
        <f>W287</f>
        <v>135</v>
      </c>
      <c r="CM287" s="72" t="str">
        <f>AA287</f>
        <v>-</v>
      </c>
      <c r="CN287" s="72">
        <f>AE287</f>
        <v>166</v>
      </c>
      <c r="CO287" s="72">
        <f>AI287</f>
        <v>179</v>
      </c>
      <c r="CP287" s="72">
        <f>AM287</f>
        <v>218</v>
      </c>
      <c r="CQ287" s="72">
        <f>AQ287</f>
        <v>263</v>
      </c>
      <c r="CR287" s="72">
        <f>AU287</f>
        <v>298</v>
      </c>
      <c r="CS287" s="72">
        <f>AY287</f>
        <v>315</v>
      </c>
      <c r="CT287" s="23">
        <f>M287-K287</f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 t="shared" ref="A288:A289" si="2711">CONCATENATE(B288,"_",C288)</f>
        <v>mtr1b_human__wt</v>
      </c>
      <c r="B288" s="3" t="s">
        <v>311</v>
      </c>
      <c r="C288" s="3" t="s">
        <v>100</v>
      </c>
      <c r="D288" s="3" t="str">
        <f>IFERROR(MID(VLOOKUP($B288,Seqs!$A:$B,2,0),E288,1),"")</f>
        <v>W</v>
      </c>
      <c r="E288" s="3">
        <v>38</v>
      </c>
      <c r="F288" s="3" t="str">
        <f>IFERROR(MID(VLOOKUP($B288,Seqs!$A:$B,2,0),G288,1),"")</f>
        <v>N</v>
      </c>
      <c r="G288" s="3">
        <v>68</v>
      </c>
      <c r="H288" s="3" t="str">
        <f>IFERROR(MID(VLOOKUP($B288,Seqs!$A:$B,2,0),I288,1),"")</f>
        <v>R</v>
      </c>
      <c r="I288" s="23">
        <v>69</v>
      </c>
      <c r="J288" s="3" t="str">
        <f>IFERROR(MID(VLOOKUP($B288,Seqs!$A:$B,2,0),K288,1),"")</f>
        <v>R</v>
      </c>
      <c r="K288" s="23">
        <v>72</v>
      </c>
      <c r="L288" s="3" t="str">
        <f>IFERROR(MID(VLOOKUP($B288,Seqs!$A:$B,2,0),M288,1),"")</f>
        <v>N</v>
      </c>
      <c r="M288" s="3">
        <v>73</v>
      </c>
      <c r="N288" s="3" t="str">
        <f>IFERROR(MID(VLOOKUP($B288,Seqs!$A:$B,2,0),O288,1),"")</f>
        <v>D</v>
      </c>
      <c r="O288" s="3">
        <v>104</v>
      </c>
      <c r="P288" s="3" t="str">
        <f>IFERROR(MID(VLOOKUP($B288,Seqs!$A:$B,2,0),Q288,1),"")</f>
        <v>G</v>
      </c>
      <c r="Q288" s="3">
        <v>105</v>
      </c>
      <c r="R288" s="3" t="str">
        <f>IFERROR(MID(VLOOKUP($B288,Seqs!$A:$B,2,0),S288,1),"")</f>
        <v>L</v>
      </c>
      <c r="S288" s="3">
        <v>108</v>
      </c>
      <c r="T288" s="3" t="str">
        <f>IFERROR(MID(VLOOKUP($B288,Seqs!$A:$B,2,0),U288,1),"")</f>
        <v>G</v>
      </c>
      <c r="U288" s="3">
        <v>109</v>
      </c>
      <c r="V288" s="3" t="str">
        <f>IFERROR(MID(VLOOKUP($B288,Seqs!$A:$B,2,0),W288,1),"")</f>
        <v>H</v>
      </c>
      <c r="W288" s="3">
        <v>144</v>
      </c>
      <c r="X288" s="3" t="str">
        <f>IFERROR(MID(VLOOKUP($B288,Seqs!$A:$B,2,0),Y288,1),"")</f>
        <v>S</v>
      </c>
      <c r="Y288" s="3">
        <v>145</v>
      </c>
      <c r="Z288" s="3" t="str">
        <f>IFERROR(MID(VLOOKUP($B288,Seqs!$A:$B,2,0),AA288,1),"")</f>
        <v>Y</v>
      </c>
      <c r="AA288" s="3">
        <v>152</v>
      </c>
      <c r="AB288" s="3" t="str">
        <f>IFERROR(MID(VLOOKUP($B288,Seqs!$A:$B,2,0),AC288,1),"")</f>
        <v>R</v>
      </c>
      <c r="AC288" s="3">
        <v>153</v>
      </c>
      <c r="AD288" s="3" t="str">
        <f>IFERROR(MID(VLOOKUP($B288,Seqs!$A:$B,2,0),AE288,1),"")</f>
        <v>G</v>
      </c>
      <c r="AE288" s="3">
        <v>179</v>
      </c>
      <c r="AF288" s="3" t="str">
        <f>IFERROR(MID(VLOOKUP($B288,Seqs!$A:$B,2,0),AG288,1),"")</f>
        <v>C</v>
      </c>
      <c r="AG288" s="3">
        <v>190</v>
      </c>
      <c r="AH288" s="3" t="str">
        <f>IFERROR(MID(VLOOKUP($B288,Seqs!$A:$B,2,0),AI288,1),"")</f>
        <v>F</v>
      </c>
      <c r="AI288" s="3">
        <v>192</v>
      </c>
      <c r="AJ288" s="3" t="str">
        <f>IFERROR(MID(VLOOKUP($B288,Seqs!$A:$B,2,0),AK288,1),"")</f>
        <v>S</v>
      </c>
      <c r="AK288" s="3">
        <v>197</v>
      </c>
      <c r="AL288" s="3" t="str">
        <f>IFERROR(MID(VLOOKUP($B288,Seqs!$A:$B,2,0),AM288,1),"")</f>
        <v>A</v>
      </c>
      <c r="AM288" s="3">
        <v>234</v>
      </c>
      <c r="AN288" s="3" t="str">
        <f>IFERROR(MID(VLOOKUP($B288,Seqs!$A:$B,2,0),AO288,1),"")</f>
        <v>L</v>
      </c>
      <c r="AO288" s="3">
        <v>240</v>
      </c>
      <c r="AP288" s="3" t="str">
        <f>IFERROR(MID(VLOOKUP($B288,Seqs!$A:$B,2,0),AQ288,1),"")</f>
        <v>N</v>
      </c>
      <c r="AQ288" s="3">
        <v>277</v>
      </c>
      <c r="AR288" s="3" t="str">
        <f>IFERROR(MID(VLOOKUP($B288,Seqs!$A:$B,2,0),AS288,1),"")</f>
        <v>P</v>
      </c>
      <c r="AS288" s="3">
        <v>286</v>
      </c>
      <c r="AT288" s="3" t="str">
        <f>IFERROR(MID(VLOOKUP($B288,Seqs!$A:$B,2,0),AU288,1),"")</f>
        <v>L</v>
      </c>
      <c r="AU288" s="3">
        <v>311</v>
      </c>
      <c r="AV288" s="3" t="str">
        <f>IFERROR(MID(VLOOKUP($B288,Seqs!$A:$B,2,0),AW288,1),"")</f>
        <v>N</v>
      </c>
      <c r="AW288" s="3">
        <v>312</v>
      </c>
      <c r="AX288" s="3" t="str">
        <f>IFERROR(MID(VLOOKUP($B288,Seqs!$A:$B,2,0),AY288,1),"")</f>
        <v>N</v>
      </c>
      <c r="AY288" s="3">
        <v>328</v>
      </c>
      <c r="AZ288" s="77" t="str">
        <f>VLOOKUP(B288,Classification!A:D,2,0)</f>
        <v>A</v>
      </c>
      <c r="BA288" s="94" t="str">
        <f>VLOOKUP(B288,Classification!A:D,4,0)</f>
        <v>Melatonin</v>
      </c>
      <c r="BB288" s="27" t="b">
        <f t="shared" ref="BB288:BB289" si="2712">AND(E288&lt;G288,OR(G288&lt;I288,I288="-"),OR(I288&lt;K288,I288="-"),OR(K288&lt;M288,K288="-"),M288&lt;O288,OR(O288&lt;Q288,Q288="-"),OR(Q288&lt;S288,Q288="-"),OR(S288&lt;U288,S288="-"),U288&lt;W288,OR(W288&lt;Y288,Y288="-"),OR(Y288&lt;AA288,Y288="-"),OR(AA288&lt;AC288,AA288="-"),AC288&lt;AE288,OR(AE288&lt;AG288,AG288="-"),OR(AG288&lt;AI288,AG288="-"),OR(AI288&lt;AK288,AI288="-"),AK288&lt;AM288,AM288&lt;AO288,AO288&lt;AQ288,AQ288&lt;AS288,AS288&lt;AU288,OR(AU288&lt;AW288,AW288="-"),OR(AW288&lt;AY288,AW288="-"))</f>
        <v>1</v>
      </c>
      <c r="BC288" s="23">
        <f t="shared" ref="BC288:BC289" si="2713">_xlfn.AGGREGATE(9,6,CH288:CS288)-_xlfn.AGGREGATE(9,6,BV288:CG288)+12</f>
        <v>264</v>
      </c>
      <c r="BD288" s="5" t="s">
        <v>23</v>
      </c>
      <c r="BE288" s="3" t="s">
        <v>23</v>
      </c>
      <c r="BF288" s="118" t="s">
        <v>23</v>
      </c>
      <c r="BI288" s="1"/>
      <c r="BJ288" s="70" t="s">
        <v>1281</v>
      </c>
      <c r="BK288" s="57" t="s">
        <v>1281</v>
      </c>
      <c r="BL288" s="57" t="s">
        <v>1281</v>
      </c>
      <c r="BM288" s="57" t="s">
        <v>1281</v>
      </c>
      <c r="BN288" s="57" t="s">
        <v>1281</v>
      </c>
      <c r="BO288" s="57" t="s">
        <v>1281</v>
      </c>
      <c r="BP288" s="57" t="s">
        <v>1281</v>
      </c>
      <c r="BQ288" s="57" t="s">
        <v>1281</v>
      </c>
      <c r="BR288" s="57" t="s">
        <v>1281</v>
      </c>
      <c r="BS288" s="57" t="s">
        <v>1281</v>
      </c>
      <c r="BT288" s="57" t="s">
        <v>1281</v>
      </c>
      <c r="BU288" s="57" t="s">
        <v>1281</v>
      </c>
      <c r="BV288" s="70">
        <f t="shared" ref="BV288:BV289" si="2714">E288</f>
        <v>38</v>
      </c>
      <c r="BW288" s="71">
        <f t="shared" ref="BW288:BW289" si="2715">I288</f>
        <v>69</v>
      </c>
      <c r="BX288" s="72">
        <f t="shared" ref="BX288:BX289" si="2716">M288</f>
        <v>73</v>
      </c>
      <c r="BY288" s="71">
        <f t="shared" ref="BY288:BY289" si="2717">Q288</f>
        <v>105</v>
      </c>
      <c r="BZ288" s="72">
        <f t="shared" ref="BZ288:BZ289" si="2718">U288</f>
        <v>109</v>
      </c>
      <c r="CA288" s="71">
        <f t="shared" ref="CA288:CA289" si="2719">Y288</f>
        <v>145</v>
      </c>
      <c r="CB288" s="72">
        <f t="shared" ref="CB288:CB289" si="2720">AC288</f>
        <v>153</v>
      </c>
      <c r="CC288" s="71">
        <f t="shared" ref="CC288:CC289" si="2721">AG288</f>
        <v>190</v>
      </c>
      <c r="CD288" s="72">
        <f t="shared" ref="CD288:CD289" si="2722">AK288</f>
        <v>197</v>
      </c>
      <c r="CE288" s="71">
        <f t="shared" ref="CE288:CE289" si="2723">AO288</f>
        <v>240</v>
      </c>
      <c r="CF288" s="72">
        <f t="shared" ref="CF288:CF289" si="2724">AS288</f>
        <v>286</v>
      </c>
      <c r="CG288" s="71">
        <f t="shared" ref="CG288:CG289" si="2725">AW288</f>
        <v>312</v>
      </c>
      <c r="CH288" s="70">
        <f t="shared" ref="CH288:CH289" si="2726">G288</f>
        <v>68</v>
      </c>
      <c r="CI288" s="71">
        <f t="shared" ref="CI288:CI289" si="2727">K288</f>
        <v>72</v>
      </c>
      <c r="CJ288" s="72">
        <f t="shared" ref="CJ288:CJ289" si="2728">O288</f>
        <v>104</v>
      </c>
      <c r="CK288" s="72">
        <f t="shared" ref="CK288:CK289" si="2729">S288</f>
        <v>108</v>
      </c>
      <c r="CL288" s="72">
        <f t="shared" ref="CL288:CL289" si="2730">W288</f>
        <v>144</v>
      </c>
      <c r="CM288" s="72">
        <f t="shared" ref="CM288:CM289" si="2731">AA288</f>
        <v>152</v>
      </c>
      <c r="CN288" s="72">
        <f t="shared" ref="CN288:CN289" si="2732">AE288</f>
        <v>179</v>
      </c>
      <c r="CO288" s="72">
        <f t="shared" ref="CO288:CO289" si="2733">AI288</f>
        <v>192</v>
      </c>
      <c r="CP288" s="72">
        <f t="shared" ref="CP288:CP289" si="2734">AM288</f>
        <v>234</v>
      </c>
      <c r="CQ288" s="72">
        <f t="shared" ref="CQ288:CQ289" si="2735">AQ288</f>
        <v>277</v>
      </c>
      <c r="CR288" s="72">
        <f t="shared" ref="CR288:CR289" si="2736">AU288</f>
        <v>311</v>
      </c>
      <c r="CS288" s="72">
        <f t="shared" ref="CS288:CS289" si="2737">AY288</f>
        <v>328</v>
      </c>
      <c r="CT288" s="23">
        <f t="shared" ref="CT288:CT289" si="2738">M288-K288</f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si="2711"/>
        <v>mtr1b_human_6ME6</v>
      </c>
      <c r="B289" s="3" t="s">
        <v>311</v>
      </c>
      <c r="C289" s="3" t="s">
        <v>1562</v>
      </c>
      <c r="D289" s="3" t="str">
        <f>IFERROR(MID(VLOOKUP($B289,Seqs!$A:$B,2,0),E289,1),"")</f>
        <v>W</v>
      </c>
      <c r="E289" s="3">
        <v>38</v>
      </c>
      <c r="F289" s="3" t="str">
        <f>IFERROR(MID(VLOOKUP($B289,Seqs!$A:$B,2,0),G289,1),"")</f>
        <v>R</v>
      </c>
      <c r="G289" s="3">
        <v>67</v>
      </c>
      <c r="H289" s="3" t="str">
        <f>IFERROR(MID(VLOOKUP($B289,Seqs!$A:$B,2,0),I289,1),"")</f>
        <v>R</v>
      </c>
      <c r="I289" s="23">
        <v>69</v>
      </c>
      <c r="J289" s="3" t="str">
        <f>IFERROR(MID(VLOOKUP($B289,Seqs!$A:$B,2,0),K289,1),"")</f>
        <v>R</v>
      </c>
      <c r="K289" s="23">
        <v>72</v>
      </c>
      <c r="L289" s="3" t="str">
        <f>IFERROR(MID(VLOOKUP($B289,Seqs!$A:$B,2,0),M289,1),"")</f>
        <v>N</v>
      </c>
      <c r="M289" s="3">
        <v>73</v>
      </c>
      <c r="N289" s="3" t="str">
        <f>IFERROR(MID(VLOOKUP($B289,Seqs!$A:$B,2,0),O289,1),"")</f>
        <v>D</v>
      </c>
      <c r="O289" s="3">
        <v>104</v>
      </c>
      <c r="P289" s="3" t="str">
        <f>IFERROR(MID(VLOOKUP($B289,Seqs!$A:$B,2,0),Q289,1),"")</f>
        <v>G</v>
      </c>
      <c r="Q289" s="3">
        <v>105</v>
      </c>
      <c r="R289" s="3" t="str">
        <f>IFERROR(MID(VLOOKUP($B289,Seqs!$A:$B,2,0),S289,1),"")</f>
        <v>L</v>
      </c>
      <c r="S289" s="3">
        <v>108</v>
      </c>
      <c r="T289" s="3" t="str">
        <f>IFERROR(MID(VLOOKUP($B289,Seqs!$A:$B,2,0),U289,1),"")</f>
        <v>E</v>
      </c>
      <c r="U289" s="3">
        <v>110</v>
      </c>
      <c r="V289" s="3" t="str">
        <f>IFERROR(MID(VLOOKUP($B289,Seqs!$A:$B,2,0),W289,1),"")</f>
        <v>H</v>
      </c>
      <c r="W289" s="3">
        <v>144</v>
      </c>
      <c r="X289" s="3" t="str">
        <f>IFERROR(MID(VLOOKUP($B289,Seqs!$A:$B,2,0),Y289,1),"")</f>
        <v>S</v>
      </c>
      <c r="Y289" s="3">
        <v>145</v>
      </c>
      <c r="Z289" s="3" t="str">
        <f>IFERROR(MID(VLOOKUP($B289,Seqs!$A:$B,2,0),AA289,1),"")</f>
        <v>Y</v>
      </c>
      <c r="AA289" s="3">
        <v>152</v>
      </c>
      <c r="AB289" s="3" t="str">
        <f>IFERROR(MID(VLOOKUP($B289,Seqs!$A:$B,2,0),AC289,1),"")</f>
        <v>R</v>
      </c>
      <c r="AC289" s="3">
        <v>153</v>
      </c>
      <c r="AD289" s="3" t="str">
        <f>IFERROR(MID(VLOOKUP($B289,Seqs!$A:$B,2,0),AE289,1),"")</f>
        <v>V</v>
      </c>
      <c r="AE289" s="3">
        <v>178</v>
      </c>
      <c r="AF289" s="3" t="str">
        <f>IFERROR(MID(VLOOKUP($B289,Seqs!$A:$B,2,0),AG289,1),"")</f>
        <v>C</v>
      </c>
      <c r="AG289" s="3">
        <v>190</v>
      </c>
      <c r="AH289" s="3" t="str">
        <f>IFERROR(MID(VLOOKUP($B289,Seqs!$A:$B,2,0),AI289,1),"")</f>
        <v>F</v>
      </c>
      <c r="AI289" s="3">
        <v>192</v>
      </c>
      <c r="AJ289" s="3" t="str">
        <f>IFERROR(MID(VLOOKUP($B289,Seqs!$A:$B,2,0),AK289,1),"")</f>
        <v>S</v>
      </c>
      <c r="AK289" s="3">
        <v>197</v>
      </c>
      <c r="AL289" s="3" t="str">
        <f>IFERROR(MID(VLOOKUP($B289,Seqs!$A:$B,2,0),AM289,1),"")</f>
        <v>R</v>
      </c>
      <c r="AM289" s="3">
        <v>231</v>
      </c>
      <c r="AN289" s="3" t="str">
        <f>IFERROR(MID(VLOOKUP($B289,Seqs!$A:$B,2,0),AO289,1),"")</f>
        <v>F</v>
      </c>
      <c r="AO289" s="3">
        <v>250</v>
      </c>
      <c r="AP289" s="3" t="str">
        <f>IFERROR(MID(VLOOKUP($B289,Seqs!$A:$B,2,0),AQ289,1),"")</f>
        <v>N</v>
      </c>
      <c r="AQ289" s="3">
        <v>277</v>
      </c>
      <c r="AR289" s="3" t="str">
        <f>IFERROR(MID(VLOOKUP($B289,Seqs!$A:$B,2,0),AS289,1),"")</f>
        <v>P</v>
      </c>
      <c r="AS289" s="3">
        <v>286</v>
      </c>
      <c r="AT289" s="3" t="str">
        <f>IFERROR(MID(VLOOKUP($B289,Seqs!$A:$B,2,0),AU289,1),"")</f>
        <v>L</v>
      </c>
      <c r="AU289" s="3">
        <v>311</v>
      </c>
      <c r="AV289" s="3" t="str">
        <f>IFERROR(MID(VLOOKUP($B289,Seqs!$A:$B,2,0),AW289,1),"")</f>
        <v>N</v>
      </c>
      <c r="AW289" s="3">
        <v>312</v>
      </c>
      <c r="AX289" s="3" t="str">
        <f>IFERROR(MID(VLOOKUP($B289,Seqs!$A:$B,2,0),AY289,1),"")</f>
        <v>N</v>
      </c>
      <c r="AY289" s="3">
        <v>328</v>
      </c>
      <c r="AZ289" s="77" t="str">
        <f>VLOOKUP(B289,Classification!A:D,2,0)</f>
        <v>A</v>
      </c>
      <c r="BA289" s="94" t="str">
        <f>VLOOKUP(B289,Classification!A:D,4,0)</f>
        <v>Melatonin</v>
      </c>
      <c r="BB289" s="27" t="b">
        <f t="shared" si="2712"/>
        <v>1</v>
      </c>
      <c r="BC289" s="23">
        <f t="shared" si="2713"/>
        <v>248</v>
      </c>
      <c r="BD289" s="5" t="s">
        <v>23</v>
      </c>
      <c r="BE289" s="3" t="s">
        <v>1368</v>
      </c>
      <c r="BF289" s="118">
        <v>2.8</v>
      </c>
      <c r="BG289" s="49" t="s">
        <v>1275</v>
      </c>
      <c r="BH289" s="49" t="s">
        <v>1275</v>
      </c>
      <c r="BI289" s="1"/>
      <c r="BJ289" s="70" t="s">
        <v>1281</v>
      </c>
      <c r="BK289" s="57" t="s">
        <v>1281</v>
      </c>
      <c r="BL289" s="57" t="s">
        <v>1281</v>
      </c>
      <c r="BM289" s="57" t="s">
        <v>1281</v>
      </c>
      <c r="BN289" s="57" t="s">
        <v>1281</v>
      </c>
      <c r="BO289" s="57" t="s">
        <v>1281</v>
      </c>
      <c r="BP289" s="57" t="s">
        <v>1281</v>
      </c>
      <c r="BQ289" s="57" t="s">
        <v>1281</v>
      </c>
      <c r="BR289" s="57" t="s">
        <v>1281</v>
      </c>
      <c r="BS289" s="57" t="s">
        <v>1281</v>
      </c>
      <c r="BT289" s="57" t="s">
        <v>1281</v>
      </c>
      <c r="BU289" s="57" t="s">
        <v>1281</v>
      </c>
      <c r="BV289" s="70">
        <f t="shared" si="2714"/>
        <v>38</v>
      </c>
      <c r="BW289" s="71">
        <f t="shared" si="2715"/>
        <v>69</v>
      </c>
      <c r="BX289" s="72">
        <f t="shared" si="2716"/>
        <v>73</v>
      </c>
      <c r="BY289" s="71">
        <f t="shared" si="2717"/>
        <v>105</v>
      </c>
      <c r="BZ289" s="72">
        <f t="shared" si="2718"/>
        <v>110</v>
      </c>
      <c r="CA289" s="71">
        <f t="shared" si="2719"/>
        <v>145</v>
      </c>
      <c r="CB289" s="72">
        <f t="shared" si="2720"/>
        <v>153</v>
      </c>
      <c r="CC289" s="71">
        <f t="shared" si="2721"/>
        <v>190</v>
      </c>
      <c r="CD289" s="72">
        <f t="shared" si="2722"/>
        <v>197</v>
      </c>
      <c r="CE289" s="71">
        <f t="shared" si="2723"/>
        <v>250</v>
      </c>
      <c r="CF289" s="72">
        <f t="shared" si="2724"/>
        <v>286</v>
      </c>
      <c r="CG289" s="71">
        <f t="shared" si="2725"/>
        <v>312</v>
      </c>
      <c r="CH289" s="70">
        <f t="shared" si="2726"/>
        <v>67</v>
      </c>
      <c r="CI289" s="71">
        <f t="shared" si="2727"/>
        <v>72</v>
      </c>
      <c r="CJ289" s="72">
        <f t="shared" si="2728"/>
        <v>104</v>
      </c>
      <c r="CK289" s="72">
        <f t="shared" si="2729"/>
        <v>108</v>
      </c>
      <c r="CL289" s="72">
        <f t="shared" si="2730"/>
        <v>144</v>
      </c>
      <c r="CM289" s="72">
        <f t="shared" si="2731"/>
        <v>152</v>
      </c>
      <c r="CN289" s="72">
        <f t="shared" si="2732"/>
        <v>178</v>
      </c>
      <c r="CO289" s="72">
        <f t="shared" si="2733"/>
        <v>192</v>
      </c>
      <c r="CP289" s="72">
        <f t="shared" si="2734"/>
        <v>231</v>
      </c>
      <c r="CQ289" s="72">
        <f t="shared" si="2735"/>
        <v>277</v>
      </c>
      <c r="CR289" s="72">
        <f t="shared" si="2736"/>
        <v>311</v>
      </c>
      <c r="CS289" s="72">
        <f t="shared" si="2737"/>
        <v>328</v>
      </c>
      <c r="CT289" s="23">
        <f t="shared" si="2738"/>
        <v>1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ref="A290" si="2739">CONCATENATE(B290,"_",C290)</f>
        <v>mtr1b_human_6ME7</v>
      </c>
      <c r="B290" s="3" t="s">
        <v>311</v>
      </c>
      <c r="C290" s="3" t="s">
        <v>1563</v>
      </c>
      <c r="D290" s="3" t="str">
        <f>IFERROR(MID(VLOOKUP($B290,Seqs!$A:$B,2,0),E290,1),"")</f>
        <v>W</v>
      </c>
      <c r="E290" s="3">
        <v>38</v>
      </c>
      <c r="F290" s="3" t="str">
        <f>IFERROR(MID(VLOOKUP($B290,Seqs!$A:$B,2,0),G290,1),"")</f>
        <v>N</v>
      </c>
      <c r="G290" s="3">
        <v>68</v>
      </c>
      <c r="H290" s="3" t="str">
        <f>IFERROR(MID(VLOOKUP($B290,Seqs!$A:$B,2,0),I290,1),"")</f>
        <v>R</v>
      </c>
      <c r="I290" s="23">
        <v>69</v>
      </c>
      <c r="J290" s="3" t="str">
        <f>IFERROR(MID(VLOOKUP($B290,Seqs!$A:$B,2,0),K290,1),"")</f>
        <v>R</v>
      </c>
      <c r="K290" s="23">
        <v>72</v>
      </c>
      <c r="L290" s="3" t="str">
        <f>IFERROR(MID(VLOOKUP($B290,Seqs!$A:$B,2,0),M290,1),"")</f>
        <v>G</v>
      </c>
      <c r="M290" s="3">
        <v>75</v>
      </c>
      <c r="N290" s="3" t="str">
        <f>IFERROR(MID(VLOOKUP($B290,Seqs!$A:$B,2,0),O290,1),"")</f>
        <v>D</v>
      </c>
      <c r="O290" s="3">
        <v>104</v>
      </c>
      <c r="P290" s="3" t="str">
        <f>IFERROR(MID(VLOOKUP($B290,Seqs!$A:$B,2,0),Q290,1),"")</f>
        <v>G</v>
      </c>
      <c r="Q290" s="3">
        <v>105</v>
      </c>
      <c r="R290" s="3" t="str">
        <f>IFERROR(MID(VLOOKUP($B290,Seqs!$A:$B,2,0),S290,1),"")</f>
        <v>L</v>
      </c>
      <c r="S290" s="3">
        <v>108</v>
      </c>
      <c r="T290" s="3" t="str">
        <f>IFERROR(MID(VLOOKUP($B290,Seqs!$A:$B,2,0),U290,1),"")</f>
        <v>G</v>
      </c>
      <c r="U290" s="3">
        <v>109</v>
      </c>
      <c r="V290" s="3" t="str">
        <f>IFERROR(MID(VLOOKUP($B290,Seqs!$A:$B,2,0),W290,1),"")</f>
        <v>H</v>
      </c>
      <c r="W290" s="3">
        <v>144</v>
      </c>
      <c r="X290" s="3" t="str">
        <f>IFERROR(MID(VLOOKUP($B290,Seqs!$A:$B,2,0),Y290,1),"")</f>
        <v>S</v>
      </c>
      <c r="Y290" s="3">
        <v>145</v>
      </c>
      <c r="Z290" s="3" t="str">
        <f>IFERROR(MID(VLOOKUP($B290,Seqs!$A:$B,2,0),AA290,1),"")</f>
        <v>Y</v>
      </c>
      <c r="AA290" s="3">
        <v>152</v>
      </c>
      <c r="AB290" s="3" t="str">
        <f>IFERROR(MID(VLOOKUP($B290,Seqs!$A:$B,2,0),AC290,1),"")</f>
        <v>R</v>
      </c>
      <c r="AC290" s="3">
        <v>153</v>
      </c>
      <c r="AD290" s="3" t="str">
        <f>IFERROR(MID(VLOOKUP($B290,Seqs!$A:$B,2,0),AE290,1),"")</f>
        <v>G</v>
      </c>
      <c r="AE290" s="3">
        <v>179</v>
      </c>
      <c r="AF290" s="3" t="str">
        <f>IFERROR(MID(VLOOKUP($B290,Seqs!$A:$B,2,0),AG290,1),"")</f>
        <v>C</v>
      </c>
      <c r="AG290" s="3">
        <v>190</v>
      </c>
      <c r="AH290" s="3" t="str">
        <f>IFERROR(MID(VLOOKUP($B290,Seqs!$A:$B,2,0),AI290,1),"")</f>
        <v>F</v>
      </c>
      <c r="AI290" s="3">
        <v>192</v>
      </c>
      <c r="AJ290" s="3" t="str">
        <f>IFERROR(MID(VLOOKUP($B290,Seqs!$A:$B,2,0),AK290,1),"")</f>
        <v>S</v>
      </c>
      <c r="AK290" s="3">
        <v>197</v>
      </c>
      <c r="AL290" s="3" t="str">
        <f>IFERROR(MID(VLOOKUP($B290,Seqs!$A:$B,2,0),AM290,1),"")</f>
        <v>A</v>
      </c>
      <c r="AM290" s="3">
        <v>230</v>
      </c>
      <c r="AN290" s="3" t="str">
        <f>IFERROR(MID(VLOOKUP($B290,Seqs!$A:$B,2,0),AO290,1),"")</f>
        <v>S</v>
      </c>
      <c r="AO290" s="3">
        <v>249</v>
      </c>
      <c r="AP290" s="3" t="str">
        <f>IFERROR(MID(VLOOKUP($B290,Seqs!$A:$B,2,0),AQ290,1),"")</f>
        <v>N</v>
      </c>
      <c r="AQ290" s="3">
        <v>277</v>
      </c>
      <c r="AR290" s="3" t="str">
        <f>IFERROR(MID(VLOOKUP($B290,Seqs!$A:$B,2,0),AS290,1),"")</f>
        <v>P</v>
      </c>
      <c r="AS290" s="3">
        <v>286</v>
      </c>
      <c r="AT290" s="3" t="str">
        <f>IFERROR(MID(VLOOKUP($B290,Seqs!$A:$B,2,0),AU290,1),"")</f>
        <v>L</v>
      </c>
      <c r="AU290" s="3">
        <v>311</v>
      </c>
      <c r="AV290" s="3" t="str">
        <f>IFERROR(MID(VLOOKUP($B290,Seqs!$A:$B,2,0),AW290,1),"")</f>
        <v>N</v>
      </c>
      <c r="AW290" s="3">
        <v>312</v>
      </c>
      <c r="AX290" s="3" t="str">
        <f>IFERROR(MID(VLOOKUP($B290,Seqs!$A:$B,2,0),AY290,1),"")</f>
        <v>N</v>
      </c>
      <c r="AY290" s="3">
        <v>328</v>
      </c>
      <c r="AZ290" s="77" t="str">
        <f>VLOOKUP(B290,Classification!A:D,2,0)</f>
        <v>A</v>
      </c>
      <c r="BA290" s="94" t="str">
        <f>VLOOKUP(B290,Classification!A:D,4,0)</f>
        <v>Melatonin</v>
      </c>
      <c r="BB290" s="27" t="b">
        <f t="shared" ref="BB290" si="2740"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>
        <f t="shared" ref="BC290" si="2741">_xlfn.AGGREGATE(9,6,CH290:CS290)-_xlfn.AGGREGATE(9,6,BV290:CG290)+12</f>
        <v>249</v>
      </c>
      <c r="BD290" s="5" t="s">
        <v>1370</v>
      </c>
      <c r="BE290" s="3" t="s">
        <v>1368</v>
      </c>
      <c r="BF290" s="118">
        <v>3.2</v>
      </c>
      <c r="BG290" s="49" t="s">
        <v>1</v>
      </c>
      <c r="BH290" s="49" t="s">
        <v>1</v>
      </c>
      <c r="BI290" s="1"/>
      <c r="BJ290" s="70" t="s">
        <v>1281</v>
      </c>
      <c r="BK290" s="57" t="s">
        <v>1281</v>
      </c>
      <c r="BL290" s="57" t="s">
        <v>1281</v>
      </c>
      <c r="BM290" s="57" t="s">
        <v>1281</v>
      </c>
      <c r="BN290" s="57" t="s">
        <v>1281</v>
      </c>
      <c r="BO290" s="57" t="s">
        <v>1281</v>
      </c>
      <c r="BP290" s="57" t="s">
        <v>1281</v>
      </c>
      <c r="BQ290" s="57" t="s">
        <v>1281</v>
      </c>
      <c r="BR290" s="57" t="s">
        <v>1281</v>
      </c>
      <c r="BS290" s="57" t="s">
        <v>1281</v>
      </c>
      <c r="BT290" s="57" t="s">
        <v>1281</v>
      </c>
      <c r="BU290" s="57" t="s">
        <v>1281</v>
      </c>
      <c r="BV290" s="70">
        <f t="shared" ref="BV290" si="2742">E290</f>
        <v>38</v>
      </c>
      <c r="BW290" s="71">
        <f t="shared" ref="BW290" si="2743">I290</f>
        <v>69</v>
      </c>
      <c r="BX290" s="72">
        <f t="shared" ref="BX290" si="2744">M290</f>
        <v>75</v>
      </c>
      <c r="BY290" s="71">
        <f t="shared" ref="BY290" si="2745">Q290</f>
        <v>105</v>
      </c>
      <c r="BZ290" s="72">
        <f t="shared" ref="BZ290" si="2746">U290</f>
        <v>109</v>
      </c>
      <c r="CA290" s="71">
        <f t="shared" ref="CA290" si="2747">Y290</f>
        <v>145</v>
      </c>
      <c r="CB290" s="72">
        <f t="shared" ref="CB290" si="2748">AC290</f>
        <v>153</v>
      </c>
      <c r="CC290" s="71">
        <f t="shared" ref="CC290" si="2749">AG290</f>
        <v>190</v>
      </c>
      <c r="CD290" s="72">
        <f t="shared" ref="CD290" si="2750">AK290</f>
        <v>197</v>
      </c>
      <c r="CE290" s="71">
        <f t="shared" ref="CE290" si="2751">AO290</f>
        <v>249</v>
      </c>
      <c r="CF290" s="72">
        <f t="shared" ref="CF290" si="2752">AS290</f>
        <v>286</v>
      </c>
      <c r="CG290" s="71">
        <f t="shared" ref="CG290" si="2753">AW290</f>
        <v>312</v>
      </c>
      <c r="CH290" s="70">
        <f t="shared" ref="CH290" si="2754">G290</f>
        <v>68</v>
      </c>
      <c r="CI290" s="71">
        <f t="shared" ref="CI290" si="2755">K290</f>
        <v>72</v>
      </c>
      <c r="CJ290" s="72">
        <f t="shared" ref="CJ290" si="2756">O290</f>
        <v>104</v>
      </c>
      <c r="CK290" s="72">
        <f t="shared" ref="CK290" si="2757">S290</f>
        <v>108</v>
      </c>
      <c r="CL290" s="72">
        <f t="shared" ref="CL290" si="2758">W290</f>
        <v>144</v>
      </c>
      <c r="CM290" s="72">
        <f t="shared" ref="CM290" si="2759">AA290</f>
        <v>152</v>
      </c>
      <c r="CN290" s="72">
        <f t="shared" ref="CN290" si="2760">AE290</f>
        <v>179</v>
      </c>
      <c r="CO290" s="72">
        <f t="shared" ref="CO290" si="2761">AI290</f>
        <v>192</v>
      </c>
      <c r="CP290" s="72">
        <f t="shared" ref="CP290" si="2762">AM290</f>
        <v>230</v>
      </c>
      <c r="CQ290" s="72">
        <f t="shared" ref="CQ290" si="2763">AQ290</f>
        <v>277</v>
      </c>
      <c r="CR290" s="72">
        <f t="shared" ref="CR290" si="2764">AU290</f>
        <v>311</v>
      </c>
      <c r="CS290" s="72">
        <f t="shared" ref="CS290" si="2765">AY290</f>
        <v>328</v>
      </c>
      <c r="CT290" s="23">
        <f t="shared" ref="CT290" si="2766">M290-K290</f>
        <v>3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 t="shared" ref="A291" si="2767">CONCATENATE(B291,"_",C291)</f>
        <v>mtr1b_human_6ME8</v>
      </c>
      <c r="B291" s="3" t="s">
        <v>311</v>
      </c>
      <c r="C291" s="3" t="s">
        <v>1564</v>
      </c>
      <c r="D291" s="3" t="str">
        <f>IFERROR(MID(VLOOKUP($B291,Seqs!$A:$B,2,0),E291,1),"")</f>
        <v>W</v>
      </c>
      <c r="E291" s="3">
        <v>38</v>
      </c>
      <c r="F291" s="3" t="str">
        <f>IFERROR(MID(VLOOKUP($B291,Seqs!$A:$B,2,0),G291,1),"")</f>
        <v>R</v>
      </c>
      <c r="G291" s="3">
        <v>67</v>
      </c>
      <c r="H291" s="3" t="str">
        <f>IFERROR(MID(VLOOKUP($B291,Seqs!$A:$B,2,0),I291,1),"")</f>
        <v>R</v>
      </c>
      <c r="I291" s="23">
        <v>69</v>
      </c>
      <c r="J291" s="3" t="str">
        <f>IFERROR(MID(VLOOKUP($B291,Seqs!$A:$B,2,0),K291,1),"")</f>
        <v>R</v>
      </c>
      <c r="K291" s="23">
        <v>72</v>
      </c>
      <c r="L291" s="3" t="str">
        <f>IFERROR(MID(VLOOKUP($B291,Seqs!$A:$B,2,0),M291,1),"")</f>
        <v>N</v>
      </c>
      <c r="M291" s="3">
        <v>73</v>
      </c>
      <c r="N291" s="3" t="str">
        <f>IFERROR(MID(VLOOKUP($B291,Seqs!$A:$B,2,0),O291,1),"")</f>
        <v>D</v>
      </c>
      <c r="O291" s="3">
        <v>104</v>
      </c>
      <c r="P291" s="3" t="str">
        <f>IFERROR(MID(VLOOKUP($B291,Seqs!$A:$B,2,0),Q291,1),"")</f>
        <v>G</v>
      </c>
      <c r="Q291" s="3">
        <v>105</v>
      </c>
      <c r="R291" s="3" t="str">
        <f>IFERROR(MID(VLOOKUP($B291,Seqs!$A:$B,2,0),S291,1),"")</f>
        <v>L</v>
      </c>
      <c r="S291" s="3">
        <v>108</v>
      </c>
      <c r="T291" s="3" t="str">
        <f>IFERROR(MID(VLOOKUP($B291,Seqs!$A:$B,2,0),U291,1),"")</f>
        <v>G</v>
      </c>
      <c r="U291" s="3">
        <v>109</v>
      </c>
      <c r="V291" s="3" t="str">
        <f>IFERROR(MID(VLOOKUP($B291,Seqs!$A:$B,2,0),W291,1),"")</f>
        <v>C</v>
      </c>
      <c r="W291" s="3">
        <v>143</v>
      </c>
      <c r="X291" s="3" t="str">
        <f>IFERROR(MID(VLOOKUP($B291,Seqs!$A:$B,2,0),Y291,1),"")</f>
        <v>S</v>
      </c>
      <c r="Y291" s="3">
        <v>145</v>
      </c>
      <c r="Z291" s="3" t="str">
        <f>IFERROR(MID(VLOOKUP($B291,Seqs!$A:$B,2,0),AA291,1),"")</f>
        <v>Y</v>
      </c>
      <c r="AA291" s="3">
        <v>152</v>
      </c>
      <c r="AB291" s="3" t="str">
        <f>IFERROR(MID(VLOOKUP($B291,Seqs!$A:$B,2,0),AC291,1),"")</f>
        <v>H</v>
      </c>
      <c r="AC291" s="3">
        <v>156</v>
      </c>
      <c r="AD291" s="3" t="str">
        <f>IFERROR(MID(VLOOKUP($B291,Seqs!$A:$B,2,0),AE291,1),"")</f>
        <v>G</v>
      </c>
      <c r="AE291" s="3">
        <v>179</v>
      </c>
      <c r="AF291" s="3" t="str">
        <f>IFERROR(MID(VLOOKUP($B291,Seqs!$A:$B,2,0),AG291,1),"")</f>
        <v>C</v>
      </c>
      <c r="AG291" s="3">
        <v>190</v>
      </c>
      <c r="AH291" s="3" t="str">
        <f>IFERROR(MID(VLOOKUP($B291,Seqs!$A:$B,2,0),AI291,1),"")</f>
        <v>F</v>
      </c>
      <c r="AI291" s="3">
        <v>192</v>
      </c>
      <c r="AJ291" s="3" t="str">
        <f>IFERROR(MID(VLOOKUP($B291,Seqs!$A:$B,2,0),AK291,1),"")</f>
        <v>S</v>
      </c>
      <c r="AK291" s="3">
        <v>197</v>
      </c>
      <c r="AL291" s="3" t="str">
        <f>IFERROR(MID(VLOOKUP($B291,Seqs!$A:$B,2,0),AM291,1),"")</f>
        <v>A</v>
      </c>
      <c r="AM291" s="3">
        <v>230</v>
      </c>
      <c r="AN291" s="3" t="str">
        <f>IFERROR(MID(VLOOKUP($B291,Seqs!$A:$B,2,0),AO291,1),"")</f>
        <v>F</v>
      </c>
      <c r="AO291" s="3">
        <v>250</v>
      </c>
      <c r="AP291" s="3" t="str">
        <f>IFERROR(MID(VLOOKUP($B291,Seqs!$A:$B,2,0),AQ291,1),"")</f>
        <v>N</v>
      </c>
      <c r="AQ291" s="3">
        <v>277</v>
      </c>
      <c r="AR291" s="3" t="str">
        <f>IFERROR(MID(VLOOKUP($B291,Seqs!$A:$B,2,0),AS291,1),"")</f>
        <v>P</v>
      </c>
      <c r="AS291" s="3">
        <v>286</v>
      </c>
      <c r="AT291" s="3" t="str">
        <f>IFERROR(MID(VLOOKUP($B291,Seqs!$A:$B,2,0),AU291,1),"")</f>
        <v>L</v>
      </c>
      <c r="AU291" s="3">
        <v>311</v>
      </c>
      <c r="AV291" s="3" t="str">
        <f>IFERROR(MID(VLOOKUP($B291,Seqs!$A:$B,2,0),AW291,1),"")</f>
        <v>N</v>
      </c>
      <c r="AW291" s="3">
        <v>312</v>
      </c>
      <c r="AX291" s="3" t="str">
        <f>IFERROR(MID(VLOOKUP($B291,Seqs!$A:$B,2,0),AY291,1),"")</f>
        <v>N</v>
      </c>
      <c r="AY291" s="3">
        <v>328</v>
      </c>
      <c r="AZ291" s="77" t="str">
        <f>VLOOKUP(B291,Classification!A:D,2,0)</f>
        <v>A</v>
      </c>
      <c r="BA291" s="94" t="str">
        <f>VLOOKUP(B291,Classification!A:D,4,0)</f>
        <v>Melatonin</v>
      </c>
      <c r="BB291" s="27" t="b">
        <f t="shared" ref="BB291" si="2768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 t="shared" ref="BC291" si="2769">_xlfn.AGGREGATE(9,6,CH291:CS291)-_xlfn.AGGREGATE(9,6,BV291:CG291)+12</f>
        <v>245</v>
      </c>
      <c r="BD291" s="5" t="s">
        <v>23</v>
      </c>
      <c r="BE291" s="3" t="s">
        <v>1368</v>
      </c>
      <c r="BF291" s="118">
        <v>3.1</v>
      </c>
      <c r="BG291" s="49" t="s">
        <v>1275</v>
      </c>
      <c r="BH291" s="49" t="s">
        <v>1275</v>
      </c>
      <c r="BI291" s="1"/>
      <c r="BJ291" s="70" t="s">
        <v>1281</v>
      </c>
      <c r="BK291" s="57" t="s">
        <v>1281</v>
      </c>
      <c r="BL291" s="57" t="s">
        <v>1281</v>
      </c>
      <c r="BM291" s="57" t="s">
        <v>1281</v>
      </c>
      <c r="BN291" s="57" t="s">
        <v>1281</v>
      </c>
      <c r="BO291" s="57" t="s">
        <v>1281</v>
      </c>
      <c r="BP291" s="57" t="s">
        <v>1281</v>
      </c>
      <c r="BQ291" s="57" t="s">
        <v>1281</v>
      </c>
      <c r="BR291" s="57" t="s">
        <v>1281</v>
      </c>
      <c r="BS291" s="57" t="s">
        <v>1281</v>
      </c>
      <c r="BT291" s="57" t="s">
        <v>1281</v>
      </c>
      <c r="BU291" s="57" t="s">
        <v>1281</v>
      </c>
      <c r="BV291" s="70">
        <f t="shared" ref="BV291" si="2770">E291</f>
        <v>38</v>
      </c>
      <c r="BW291" s="71">
        <f t="shared" ref="BW291" si="2771">I291</f>
        <v>69</v>
      </c>
      <c r="BX291" s="72">
        <f t="shared" ref="BX291" si="2772">M291</f>
        <v>73</v>
      </c>
      <c r="BY291" s="71">
        <f t="shared" ref="BY291" si="2773">Q291</f>
        <v>105</v>
      </c>
      <c r="BZ291" s="72">
        <f t="shared" ref="BZ291" si="2774">U291</f>
        <v>109</v>
      </c>
      <c r="CA291" s="71">
        <f t="shared" ref="CA291" si="2775">Y291</f>
        <v>145</v>
      </c>
      <c r="CB291" s="72">
        <f t="shared" ref="CB291" si="2776">AC291</f>
        <v>156</v>
      </c>
      <c r="CC291" s="71">
        <f t="shared" ref="CC291" si="2777">AG291</f>
        <v>190</v>
      </c>
      <c r="CD291" s="72">
        <f t="shared" ref="CD291" si="2778">AK291</f>
        <v>197</v>
      </c>
      <c r="CE291" s="71">
        <f t="shared" ref="CE291" si="2779">AO291</f>
        <v>250</v>
      </c>
      <c r="CF291" s="72">
        <f t="shared" ref="CF291" si="2780">AS291</f>
        <v>286</v>
      </c>
      <c r="CG291" s="71">
        <f t="shared" ref="CG291" si="2781">AW291</f>
        <v>312</v>
      </c>
      <c r="CH291" s="70">
        <f t="shared" ref="CH291" si="2782">G291</f>
        <v>67</v>
      </c>
      <c r="CI291" s="71">
        <f t="shared" ref="CI291" si="2783">K291</f>
        <v>72</v>
      </c>
      <c r="CJ291" s="72">
        <f t="shared" ref="CJ291" si="2784">O291</f>
        <v>104</v>
      </c>
      <c r="CK291" s="72">
        <f t="shared" ref="CK291" si="2785">S291</f>
        <v>108</v>
      </c>
      <c r="CL291" s="72">
        <f t="shared" ref="CL291" si="2786">W291</f>
        <v>143</v>
      </c>
      <c r="CM291" s="72">
        <f t="shared" ref="CM291" si="2787">AA291</f>
        <v>152</v>
      </c>
      <c r="CN291" s="72">
        <f t="shared" ref="CN291" si="2788">AE291</f>
        <v>179</v>
      </c>
      <c r="CO291" s="72">
        <f t="shared" ref="CO291" si="2789">AI291</f>
        <v>192</v>
      </c>
      <c r="CP291" s="72">
        <f t="shared" ref="CP291" si="2790">AM291</f>
        <v>230</v>
      </c>
      <c r="CQ291" s="72">
        <f t="shared" ref="CQ291" si="2791">AQ291</f>
        <v>277</v>
      </c>
      <c r="CR291" s="72">
        <f t="shared" ref="CR291" si="2792">AU291</f>
        <v>311</v>
      </c>
      <c r="CS291" s="72">
        <f t="shared" ref="CS291" si="2793">AY291</f>
        <v>328</v>
      </c>
      <c r="CT291" s="23">
        <f t="shared" ref="CT291" si="2794">M291-K291</f>
        <v>1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 t="shared" ref="A292" si="2795">CONCATENATE(B292,"_",C292)</f>
        <v>mtr1b_human_6ME9</v>
      </c>
      <c r="B292" s="3" t="s">
        <v>311</v>
      </c>
      <c r="C292" s="3" t="s">
        <v>1565</v>
      </c>
      <c r="D292" s="3" t="str">
        <f>IFERROR(MID(VLOOKUP($B292,Seqs!$A:$B,2,0),E292,1),"")</f>
        <v>W</v>
      </c>
      <c r="E292" s="3">
        <v>38</v>
      </c>
      <c r="F292" s="3" t="str">
        <f>IFERROR(MID(VLOOKUP($B292,Seqs!$A:$B,2,0),G292,1),"")</f>
        <v>R</v>
      </c>
      <c r="G292" s="3">
        <v>67</v>
      </c>
      <c r="H292" s="3" t="str">
        <f>IFERROR(MID(VLOOKUP($B292,Seqs!$A:$B,2,0),I292,1),"")</f>
        <v>R</v>
      </c>
      <c r="I292" s="23">
        <v>69</v>
      </c>
      <c r="J292" s="3" t="str">
        <f>IFERROR(MID(VLOOKUP($B292,Seqs!$A:$B,2,0),K292,1),"")</f>
        <v>R</v>
      </c>
      <c r="K292" s="23">
        <v>72</v>
      </c>
      <c r="L292" s="3" t="str">
        <f>IFERROR(MID(VLOOKUP($B292,Seqs!$A:$B,2,0),M292,1),"")</f>
        <v>N</v>
      </c>
      <c r="M292" s="3">
        <v>73</v>
      </c>
      <c r="N292" s="3" t="str">
        <f>IFERROR(MID(VLOOKUP($B292,Seqs!$A:$B,2,0),O292,1),"")</f>
        <v>D</v>
      </c>
      <c r="O292" s="3">
        <v>104</v>
      </c>
      <c r="P292" s="3" t="str">
        <f>IFERROR(MID(VLOOKUP($B292,Seqs!$A:$B,2,0),Q292,1),"")</f>
        <v>G</v>
      </c>
      <c r="Q292" s="3">
        <v>105</v>
      </c>
      <c r="R292" s="3" t="str">
        <f>IFERROR(MID(VLOOKUP($B292,Seqs!$A:$B,2,0),S292,1),"")</f>
        <v>L</v>
      </c>
      <c r="S292" s="3">
        <v>108</v>
      </c>
      <c r="T292" s="3" t="str">
        <f>IFERROR(MID(VLOOKUP($B292,Seqs!$A:$B,2,0),U292,1),"")</f>
        <v>G</v>
      </c>
      <c r="U292" s="3">
        <v>109</v>
      </c>
      <c r="V292" s="3" t="str">
        <f>IFERROR(MID(VLOOKUP($B292,Seqs!$A:$B,2,0),W292,1),"")</f>
        <v>C</v>
      </c>
      <c r="W292" s="3">
        <v>143</v>
      </c>
      <c r="X292" s="3" t="str">
        <f>IFERROR(MID(VLOOKUP($B292,Seqs!$A:$B,2,0),Y292,1),"")</f>
        <v>S</v>
      </c>
      <c r="Y292" s="3">
        <v>145</v>
      </c>
      <c r="Z292" s="3" t="str">
        <f>IFERROR(MID(VLOOKUP($B292,Seqs!$A:$B,2,0),AA292,1),"")</f>
        <v>Y</v>
      </c>
      <c r="AA292" s="3">
        <v>152</v>
      </c>
      <c r="AB292" s="3" t="str">
        <f>IFERROR(MID(VLOOKUP($B292,Seqs!$A:$B,2,0),AC292,1),"")</f>
        <v>H</v>
      </c>
      <c r="AC292" s="3">
        <v>156</v>
      </c>
      <c r="AD292" s="3" t="str">
        <f>IFERROR(MID(VLOOKUP($B292,Seqs!$A:$B,2,0),AE292,1),"")</f>
        <v>G</v>
      </c>
      <c r="AE292" s="3">
        <v>179</v>
      </c>
      <c r="AF292" s="3" t="str">
        <f>IFERROR(MID(VLOOKUP($B292,Seqs!$A:$B,2,0),AG292,1),"")</f>
        <v>C</v>
      </c>
      <c r="AG292" s="3">
        <v>190</v>
      </c>
      <c r="AH292" s="3" t="str">
        <f>IFERROR(MID(VLOOKUP($B292,Seqs!$A:$B,2,0),AI292,1),"")</f>
        <v>F</v>
      </c>
      <c r="AI292" s="3">
        <v>192</v>
      </c>
      <c r="AJ292" s="3" t="str">
        <f>IFERROR(MID(VLOOKUP($B292,Seqs!$A:$B,2,0),AK292,1),"")</f>
        <v>S</v>
      </c>
      <c r="AK292" s="3">
        <v>197</v>
      </c>
      <c r="AL292" s="3" t="str">
        <f>IFERROR(MID(VLOOKUP($B292,Seqs!$A:$B,2,0),AM292,1),"")</f>
        <v>A</v>
      </c>
      <c r="AM292" s="3">
        <v>230</v>
      </c>
      <c r="AN292" s="3" t="str">
        <f>IFERROR(MID(VLOOKUP($B292,Seqs!$A:$B,2,0),AO292,1),"")</f>
        <v>F</v>
      </c>
      <c r="AO292" s="3">
        <v>250</v>
      </c>
      <c r="AP292" s="3" t="str">
        <f>IFERROR(MID(VLOOKUP($B292,Seqs!$A:$B,2,0),AQ292,1),"")</f>
        <v>N</v>
      </c>
      <c r="AQ292" s="3">
        <v>277</v>
      </c>
      <c r="AR292" s="3" t="str">
        <f>IFERROR(MID(VLOOKUP($B292,Seqs!$A:$B,2,0),AS292,1),"")</f>
        <v>P</v>
      </c>
      <c r="AS292" s="3">
        <v>286</v>
      </c>
      <c r="AT292" s="3" t="str">
        <f>IFERROR(MID(VLOOKUP($B292,Seqs!$A:$B,2,0),AU292,1),"")</f>
        <v>L</v>
      </c>
      <c r="AU292" s="3">
        <v>311</v>
      </c>
      <c r="AV292" s="3" t="str">
        <f>IFERROR(MID(VLOOKUP($B292,Seqs!$A:$B,2,0),AW292,1),"")</f>
        <v>N</v>
      </c>
      <c r="AW292" s="3">
        <v>312</v>
      </c>
      <c r="AX292" s="3" t="str">
        <f>IFERROR(MID(VLOOKUP($B292,Seqs!$A:$B,2,0),AY292,1),"")</f>
        <v>N</v>
      </c>
      <c r="AY292" s="3">
        <v>328</v>
      </c>
      <c r="AZ292" s="77" t="str">
        <f>VLOOKUP(B292,Classification!A:D,2,0)</f>
        <v>A</v>
      </c>
      <c r="BA292" s="94" t="str">
        <f>VLOOKUP(B292,Classification!A:D,4,0)</f>
        <v>Melatonin</v>
      </c>
      <c r="BB292" s="27" t="b">
        <f t="shared" ref="BB292" si="2796"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23">
        <f t="shared" ref="BC292" si="2797">_xlfn.AGGREGATE(9,6,CH292:CS292)-_xlfn.AGGREGATE(9,6,BV292:CG292)+12</f>
        <v>245</v>
      </c>
      <c r="BD292" s="5" t="s">
        <v>23</v>
      </c>
      <c r="BE292" s="3" t="s">
        <v>1368</v>
      </c>
      <c r="BF292" s="118">
        <v>3.3</v>
      </c>
      <c r="BG292" s="49" t="s">
        <v>1275</v>
      </c>
      <c r="BH292" s="49" t="s">
        <v>1275</v>
      </c>
      <c r="BI292" s="1"/>
      <c r="BJ292" s="70" t="s">
        <v>1281</v>
      </c>
      <c r="BK292" s="57" t="s">
        <v>1281</v>
      </c>
      <c r="BL292" s="57" t="s">
        <v>1281</v>
      </c>
      <c r="BM292" s="57" t="s">
        <v>1281</v>
      </c>
      <c r="BN292" s="57" t="s">
        <v>1281</v>
      </c>
      <c r="BO292" s="57" t="s">
        <v>1281</v>
      </c>
      <c r="BP292" s="57" t="s">
        <v>1281</v>
      </c>
      <c r="BQ292" s="57" t="s">
        <v>1281</v>
      </c>
      <c r="BR292" s="57" t="s">
        <v>1281</v>
      </c>
      <c r="BS292" s="57" t="s">
        <v>1281</v>
      </c>
      <c r="BT292" s="57" t="s">
        <v>1281</v>
      </c>
      <c r="BU292" s="57" t="s">
        <v>1281</v>
      </c>
      <c r="BV292" s="70">
        <f t="shared" ref="BV292" si="2798">E292</f>
        <v>38</v>
      </c>
      <c r="BW292" s="71">
        <f t="shared" ref="BW292" si="2799">I292</f>
        <v>69</v>
      </c>
      <c r="BX292" s="72">
        <f t="shared" ref="BX292" si="2800">M292</f>
        <v>73</v>
      </c>
      <c r="BY292" s="71">
        <f t="shared" ref="BY292" si="2801">Q292</f>
        <v>105</v>
      </c>
      <c r="BZ292" s="72">
        <f t="shared" ref="BZ292" si="2802">U292</f>
        <v>109</v>
      </c>
      <c r="CA292" s="71">
        <f t="shared" ref="CA292" si="2803">Y292</f>
        <v>145</v>
      </c>
      <c r="CB292" s="72">
        <f t="shared" ref="CB292" si="2804">AC292</f>
        <v>156</v>
      </c>
      <c r="CC292" s="71">
        <f t="shared" ref="CC292" si="2805">AG292</f>
        <v>190</v>
      </c>
      <c r="CD292" s="72">
        <f t="shared" ref="CD292" si="2806">AK292</f>
        <v>197</v>
      </c>
      <c r="CE292" s="71">
        <f t="shared" ref="CE292" si="2807">AO292</f>
        <v>250</v>
      </c>
      <c r="CF292" s="72">
        <f t="shared" ref="CF292" si="2808">AS292</f>
        <v>286</v>
      </c>
      <c r="CG292" s="71">
        <f t="shared" ref="CG292" si="2809">AW292</f>
        <v>312</v>
      </c>
      <c r="CH292" s="70">
        <f t="shared" ref="CH292" si="2810">G292</f>
        <v>67</v>
      </c>
      <c r="CI292" s="71">
        <f t="shared" ref="CI292" si="2811">K292</f>
        <v>72</v>
      </c>
      <c r="CJ292" s="72">
        <f t="shared" ref="CJ292" si="2812">O292</f>
        <v>104</v>
      </c>
      <c r="CK292" s="72">
        <f t="shared" ref="CK292" si="2813">S292</f>
        <v>108</v>
      </c>
      <c r="CL292" s="72">
        <f t="shared" ref="CL292" si="2814">W292</f>
        <v>143</v>
      </c>
      <c r="CM292" s="72">
        <f t="shared" ref="CM292" si="2815">AA292</f>
        <v>152</v>
      </c>
      <c r="CN292" s="72">
        <f t="shared" ref="CN292" si="2816">AE292</f>
        <v>179</v>
      </c>
      <c r="CO292" s="72">
        <f t="shared" ref="CO292" si="2817">AI292</f>
        <v>192</v>
      </c>
      <c r="CP292" s="72">
        <f t="shared" ref="CP292" si="2818">AM292</f>
        <v>230</v>
      </c>
      <c r="CQ292" s="72">
        <f t="shared" ref="CQ292" si="2819">AQ292</f>
        <v>277</v>
      </c>
      <c r="CR292" s="72">
        <f t="shared" ref="CR292" si="2820">AU292</f>
        <v>311</v>
      </c>
      <c r="CS292" s="72">
        <f t="shared" ref="CS292" si="2821">AY292</f>
        <v>328</v>
      </c>
      <c r="CT292" s="23">
        <f t="shared" ref="CT292" si="2822">M292-K292</f>
        <v>1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x14ac:dyDescent="0.2">
      <c r="A293" s="3" t="str">
        <f t="shared" ref="A293" si="2823">CONCATENATE(B293,"_",C293)</f>
        <v>nk1r_human__wt</v>
      </c>
      <c r="B293" s="3" t="s">
        <v>313</v>
      </c>
      <c r="C293" s="129" t="s">
        <v>100</v>
      </c>
      <c r="D293" s="3" t="str">
        <f>IFERROR(MID(VLOOKUP($B293,Seqs!$A:$B,2,0),E293,1),"")</f>
        <v>P</v>
      </c>
      <c r="E293" s="3">
        <v>28</v>
      </c>
      <c r="F293" s="3" t="str">
        <f>IFERROR(MID(VLOOKUP($B293,Seqs!$A:$B,2,0),G293,1),"")</f>
        <v>H</v>
      </c>
      <c r="G293" s="3">
        <v>60</v>
      </c>
      <c r="H293" s="3" t="str">
        <f>IFERROR(MID(VLOOKUP($B293,Seqs!$A:$B,2,0),I293,1),"")</f>
        <v>K</v>
      </c>
      <c r="I293" s="23">
        <v>61</v>
      </c>
      <c r="J293" s="3" t="str">
        <f>IFERROR(MID(VLOOKUP($B293,Seqs!$A:$B,2,0),K293,1),"")</f>
        <v>R</v>
      </c>
      <c r="K293" s="23">
        <v>64</v>
      </c>
      <c r="L293" s="3" t="str">
        <f>IFERROR(MID(VLOOKUP($B293,Seqs!$A:$B,2,0),M293,1),"")</f>
        <v>T</v>
      </c>
      <c r="M293" s="3">
        <v>65</v>
      </c>
      <c r="N293" s="3" t="str">
        <f>IFERROR(MID(VLOOKUP($B293,Seqs!$A:$B,2,0),O293,1),"")</f>
        <v>N</v>
      </c>
      <c r="O293" s="3">
        <v>96</v>
      </c>
      <c r="P293" s="3" t="str">
        <f>IFERROR(MID(VLOOKUP($B293,Seqs!$A:$B,2,0),Q293,1),"")</f>
        <v>E</v>
      </c>
      <c r="Q293" s="3">
        <v>97</v>
      </c>
      <c r="R293" s="3" t="str">
        <f>IFERROR(MID(VLOOKUP($B293,Seqs!$A:$B,2,0),S293,1),"")</f>
        <v>Y</v>
      </c>
      <c r="S293" s="3">
        <v>100</v>
      </c>
      <c r="T293" s="3" t="str">
        <f>IFERROR(MID(VLOOKUP($B293,Seqs!$A:$B,2,0),U293,1),"")</f>
        <v>G</v>
      </c>
      <c r="U293" s="3">
        <v>101</v>
      </c>
      <c r="V293" s="3" t="str">
        <f>IFERROR(MID(VLOOKUP($B293,Seqs!$A:$B,2,0),W293,1),"")</f>
        <v>H</v>
      </c>
      <c r="W293" s="3">
        <v>136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S</v>
      </c>
      <c r="AC293" s="3">
        <v>143</v>
      </c>
      <c r="AD293" s="3" t="str">
        <f>IFERROR(MID(VLOOKUP($B293,Seqs!$A:$B,2,0),AE293,1),"")</f>
        <v>S</v>
      </c>
      <c r="AE293" s="3">
        <v>169</v>
      </c>
      <c r="AF293" s="3" t="str">
        <f>IFERROR(MID(VLOOKUP($B293,Seqs!$A:$B,2,0),AG293,1),"")</f>
        <v>C</v>
      </c>
      <c r="AG293" s="3">
        <v>180</v>
      </c>
      <c r="AH293" s="3" t="str">
        <f>IFERROR(MID(VLOOKUP($B293,Seqs!$A:$B,2,0),AI293,1),"")</f>
        <v>I</v>
      </c>
      <c r="AI293" s="3">
        <v>182</v>
      </c>
      <c r="AJ293" s="3" t="str">
        <f>IFERROR(MID(VLOOKUP($B293,Seqs!$A:$B,2,0),AK293,1),"")</f>
        <v>P</v>
      </c>
      <c r="AK293" s="3">
        <v>188</v>
      </c>
      <c r="AL293" s="3" t="str">
        <f>IFERROR(MID(VLOOKUP($B293,Seqs!$A:$B,2,0),AM293,1),"")</f>
        <v>D</v>
      </c>
      <c r="AM293" s="3">
        <v>231</v>
      </c>
      <c r="AN293" s="3" t="str">
        <f>IFERROR(MID(VLOOKUP($B293,Seqs!$A:$B,2,0),AO293,1),"")</f>
        <v>R</v>
      </c>
      <c r="AO293" s="3">
        <v>235</v>
      </c>
      <c r="AP293" s="3" t="str">
        <f>IFERROR(MID(VLOOKUP($B293,Seqs!$A:$B,2,0),AQ293,1),"")</f>
        <v>N</v>
      </c>
      <c r="AQ293" s="3">
        <v>274</v>
      </c>
      <c r="AR293" s="3" t="str">
        <f>IFERROR(MID(VLOOKUP($B293,Seqs!$A:$B,2,0),AS293,1),"")</f>
        <v>F</v>
      </c>
      <c r="AS293" s="3">
        <v>282</v>
      </c>
      <c r="AT293" s="3" t="str">
        <f>IFERROR(MID(VLOOKUP($B293,Seqs!$A:$B,2,0),AU293,1),"")</f>
        <v>L</v>
      </c>
      <c r="AU293" s="3">
        <v>308</v>
      </c>
      <c r="AV293" s="3" t="str">
        <f>IFERROR(MID(VLOOKUP($B293,Seqs!$A:$B,2,0),AW293,1),"")</f>
        <v>N</v>
      </c>
      <c r="AW293" s="3">
        <v>309</v>
      </c>
      <c r="AX293" s="3" t="str">
        <f>IFERROR(MID(VLOOKUP($B293,Seqs!$A:$B,2,0),AY293,1),"")</f>
        <v>F</v>
      </c>
      <c r="AY293" s="3">
        <v>320</v>
      </c>
      <c r="AZ293" s="77" t="str">
        <f>VLOOKUP(B293,Classification!A:D,2,0)</f>
        <v>A</v>
      </c>
      <c r="BA293" s="94" t="str">
        <f>VLOOKUP(B293,Classification!A:D,4,0)</f>
        <v>Tachykinin</v>
      </c>
      <c r="BB293" s="27" t="b">
        <f t="shared" ref="BB293" si="2824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23">
        <f t="shared" ref="BC293" si="2825">_xlfn.AGGREGATE(9,6,CH293:CS293)-_xlfn.AGGREGATE(9,6,BV293:CG293)+12</f>
        <v>263</v>
      </c>
      <c r="BD293" s="5" t="s">
        <v>23</v>
      </c>
      <c r="BE293" s="3" t="s">
        <v>23</v>
      </c>
      <c r="BF293" s="118" t="s">
        <v>23</v>
      </c>
      <c r="BG293" s="49" t="s">
        <v>1371</v>
      </c>
      <c r="BH293" s="49" t="s">
        <v>1371</v>
      </c>
      <c r="BI293" s="1"/>
      <c r="BJ293" s="70" t="s">
        <v>1281</v>
      </c>
      <c r="BK293" s="57" t="s">
        <v>1281</v>
      </c>
      <c r="BL293" s="57" t="s">
        <v>1281</v>
      </c>
      <c r="BM293" s="57" t="s">
        <v>1281</v>
      </c>
      <c r="BN293" s="57" t="s">
        <v>1281</v>
      </c>
      <c r="BO293" s="57" t="s">
        <v>1281</v>
      </c>
      <c r="BP293" s="57" t="s">
        <v>1281</v>
      </c>
      <c r="BQ293" s="57" t="s">
        <v>1281</v>
      </c>
      <c r="BR293" s="57" t="s">
        <v>1281</v>
      </c>
      <c r="BS293" s="57" t="s">
        <v>1281</v>
      </c>
      <c r="BT293" s="57" t="s">
        <v>1281</v>
      </c>
      <c r="BU293" s="57" t="s">
        <v>1281</v>
      </c>
      <c r="BV293" s="70">
        <f t="shared" ref="BV293" si="2826">E293</f>
        <v>28</v>
      </c>
      <c r="BW293" s="71">
        <f t="shared" ref="BW293" si="2827">I293</f>
        <v>61</v>
      </c>
      <c r="BX293" s="72">
        <f t="shared" ref="BX293" si="2828">M293</f>
        <v>65</v>
      </c>
      <c r="BY293" s="71">
        <f t="shared" ref="BY293" si="2829">Q293</f>
        <v>97</v>
      </c>
      <c r="BZ293" s="72">
        <f t="shared" ref="BZ293" si="2830">U293</f>
        <v>101</v>
      </c>
      <c r="CA293" s="71" t="str">
        <f t="shared" ref="CA293" si="2831">Y293</f>
        <v>-</v>
      </c>
      <c r="CB293" s="72">
        <f t="shared" ref="CB293" si="2832">AC293</f>
        <v>143</v>
      </c>
      <c r="CC293" s="71">
        <f t="shared" ref="CC293" si="2833">AG293</f>
        <v>180</v>
      </c>
      <c r="CD293" s="72">
        <f t="shared" ref="CD293" si="2834">AK293</f>
        <v>188</v>
      </c>
      <c r="CE293" s="71">
        <f t="shared" ref="CE293" si="2835">AO293</f>
        <v>235</v>
      </c>
      <c r="CF293" s="72">
        <f t="shared" ref="CF293" si="2836">AS293</f>
        <v>282</v>
      </c>
      <c r="CG293" s="71">
        <f t="shared" ref="CG293" si="2837">AW293</f>
        <v>309</v>
      </c>
      <c r="CH293" s="70">
        <f t="shared" ref="CH293" si="2838">G293</f>
        <v>60</v>
      </c>
      <c r="CI293" s="71">
        <f t="shared" ref="CI293" si="2839">K293</f>
        <v>64</v>
      </c>
      <c r="CJ293" s="72">
        <f t="shared" ref="CJ293" si="2840">O293</f>
        <v>96</v>
      </c>
      <c r="CK293" s="72">
        <f t="shared" ref="CK293" si="2841">S293</f>
        <v>100</v>
      </c>
      <c r="CL293" s="72">
        <f t="shared" ref="CL293" si="2842">W293</f>
        <v>136</v>
      </c>
      <c r="CM293" s="72" t="str">
        <f t="shared" ref="CM293" si="2843">AA293</f>
        <v>-</v>
      </c>
      <c r="CN293" s="72">
        <f t="shared" ref="CN293" si="2844">AE293</f>
        <v>169</v>
      </c>
      <c r="CO293" s="72">
        <f t="shared" ref="CO293" si="2845">AI293</f>
        <v>182</v>
      </c>
      <c r="CP293" s="72">
        <f t="shared" ref="CP293" si="2846">AM293</f>
        <v>231</v>
      </c>
      <c r="CQ293" s="72">
        <f t="shared" ref="CQ293" si="2847">AQ293</f>
        <v>274</v>
      </c>
      <c r="CR293" s="72">
        <f t="shared" ref="CR293" si="2848">AU293</f>
        <v>308</v>
      </c>
      <c r="CS293" s="72">
        <f t="shared" ref="CS293" si="2849">AY293</f>
        <v>320</v>
      </c>
      <c r="CT293" s="23">
        <f t="shared" ref="CT293" si="2850">M293-K293</f>
        <v>1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29" x14ac:dyDescent="0.2">
      <c r="A294" s="3" t="str">
        <f t="shared" ref="A294" si="2851">CONCATENATE(B294,"_",C294)</f>
        <v>nk1r_human_6E59</v>
      </c>
      <c r="B294" s="3" t="s">
        <v>313</v>
      </c>
      <c r="C294" s="130" t="s">
        <v>1529</v>
      </c>
      <c r="D294" s="3" t="str">
        <f>IFERROR(MID(VLOOKUP($B294,Seqs!$A:$B,2,0),E294,1),"")</f>
        <v>V</v>
      </c>
      <c r="E294" s="3">
        <v>33</v>
      </c>
      <c r="F294" s="3" t="str">
        <f>IFERROR(MID(VLOOKUP($B294,Seqs!$A:$B,2,0),G294,1),"")</f>
        <v>H</v>
      </c>
      <c r="G294" s="3">
        <v>60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T</v>
      </c>
      <c r="M294" s="3">
        <v>65</v>
      </c>
      <c r="N294" s="3" t="str">
        <f>IFERROR(MID(VLOOKUP($B294,Seqs!$A:$B,2,0),O294,1),"")</f>
        <v>V</v>
      </c>
      <c r="O294" s="3">
        <v>94</v>
      </c>
      <c r="P294" s="3" t="str">
        <f>IFERROR(MID(VLOOKUP($B294,Seqs!$A:$B,2,0),Q294,1),"")</f>
        <v>E</v>
      </c>
      <c r="Q294" s="3">
        <v>97</v>
      </c>
      <c r="R294" s="3" t="str">
        <f>IFERROR(MID(VLOOKUP($B294,Seqs!$A:$B,2,0),S294,1),"")</f>
        <v>Y</v>
      </c>
      <c r="S294" s="3">
        <v>100</v>
      </c>
      <c r="T294" s="3" t="str">
        <f>IFERROR(MID(VLOOKUP($B294,Seqs!$A:$B,2,0),U294,1),"")</f>
        <v>F</v>
      </c>
      <c r="U294" s="3">
        <v>103</v>
      </c>
      <c r="V294" s="3" t="str">
        <f>IFERROR(MID(VLOOKUP($B294,Seqs!$A:$B,2,0),W294,1),"")</f>
        <v>H</v>
      </c>
      <c r="W294" s="3">
        <v>136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S</v>
      </c>
      <c r="AC294" s="3">
        <v>143</v>
      </c>
      <c r="AD294" s="3" t="str">
        <f>IFERROR(MID(VLOOKUP($B294,Seqs!$A:$B,2,0),AE294,1),"")</f>
        <v>S</v>
      </c>
      <c r="AE294" s="3">
        <v>169</v>
      </c>
      <c r="AF294" s="3" t="str">
        <f>IFERROR(MID(VLOOKUP($B294,Seqs!$A:$B,2,0),AG294,1),"")</f>
        <v>C</v>
      </c>
      <c r="AG294" s="3">
        <v>180</v>
      </c>
      <c r="AH294" s="3" t="str">
        <f>IFERROR(MID(VLOOKUP($B294,Seqs!$A:$B,2,0),AI294,1),"")</f>
        <v>I</v>
      </c>
      <c r="AI294" s="3">
        <v>182</v>
      </c>
      <c r="AJ294" s="3" t="str">
        <f>IFERROR(MID(VLOOKUP($B294,Seqs!$A:$B,2,0),AK294,1),"")</f>
        <v>P</v>
      </c>
      <c r="AK294" s="3">
        <v>188</v>
      </c>
      <c r="AL294" s="3" t="str">
        <f>IFERROR(MID(VLOOKUP($B294,Seqs!$A:$B,2,0),AM294,1),"")</f>
        <v>W</v>
      </c>
      <c r="AM294" s="3">
        <v>224</v>
      </c>
      <c r="AN294" s="3" t="str">
        <f>IFERROR(MID(VLOOKUP($B294,Seqs!$A:$B,2,0),AO294,1),"")</f>
        <v>E</v>
      </c>
      <c r="AO294" s="3">
        <v>238</v>
      </c>
      <c r="AP294" s="3" t="str">
        <f>IFERROR(MID(VLOOKUP($B294,Seqs!$A:$B,2,0),AQ294,1),"")</f>
        <v>N</v>
      </c>
      <c r="AQ294" s="3">
        <v>274</v>
      </c>
      <c r="AR294" s="3" t="str">
        <f>IFERROR(MID(VLOOKUP($B294,Seqs!$A:$B,2,0),AS294,1),"")</f>
        <v>I</v>
      </c>
      <c r="AS294" s="3">
        <v>283</v>
      </c>
      <c r="AT294" s="3" t="str">
        <f>IFERROR(MID(VLOOKUP($B294,Seqs!$A:$B,2,0),AU294,1),"")</f>
        <v>L</v>
      </c>
      <c r="AU294" s="3">
        <v>308</v>
      </c>
      <c r="AV294" s="3" t="str">
        <f>IFERROR(MID(VLOOKUP($B294,Seqs!$A:$B,2,0),AW294,1),"")</f>
        <v>N</v>
      </c>
      <c r="AW294" s="3">
        <v>309</v>
      </c>
      <c r="AX294" s="3" t="str">
        <f>IFERROR(MID(VLOOKUP($B294,Seqs!$A:$B,2,0),AY294,1),"")</f>
        <v>H</v>
      </c>
      <c r="AY294" s="3">
        <v>318</v>
      </c>
      <c r="AZ294" s="77" t="str">
        <f>VLOOKUP(B294,Classification!A:D,2,0)</f>
        <v>A</v>
      </c>
      <c r="BA294" s="94" t="str">
        <f>VLOOKUP(B294,Classification!A:D,4,0)</f>
        <v>Tachykinin</v>
      </c>
      <c r="BB294" s="27" t="b">
        <f t="shared" ref="BB294" si="2852">AND(E294&lt;G294,OR(G294&lt;I294,I294="-"),OR(I294&lt;K294,I294="-"),OR(K294&lt;M294,K294="-"),M294&lt;O294,OR(O294&lt;Q294,Q294="-"),OR(Q294&lt;S294,Q294="-"),OR(S294&lt;U294,S294="-"),U294&lt;W294,OR(W294&lt;Y294,Y294="-"),OR(Y294&lt;AA294,Y294="-"),OR(AA294&lt;AC294,AA294="-"),AC294&lt;AE294,OR(AE294&lt;AG294,AG294="-"),OR(AG294&lt;AI294,AG294="-"),OR(AI294&lt;AK294,AI294="-"),AK294&lt;AM294,AM294&lt;AO294,AO294&lt;AQ294,AQ294&lt;AS294,AS294&lt;AU294,OR(AU294&lt;AW294,AW294="-"),OR(AW294&lt;AY294,AW294="-"))</f>
        <v>1</v>
      </c>
      <c r="BC294" s="23">
        <f t="shared" ref="BC294" si="2853">_xlfn.AGGREGATE(9,6,CH294:CS294)-_xlfn.AGGREGATE(9,6,BV294:CG294)+12</f>
        <v>238</v>
      </c>
      <c r="BD294" s="5" t="s">
        <v>23</v>
      </c>
      <c r="BE294" s="3" t="s">
        <v>1368</v>
      </c>
      <c r="BF294" s="118">
        <v>3.4</v>
      </c>
      <c r="BG294" s="49" t="s">
        <v>1</v>
      </c>
      <c r="BH294" s="49" t="s">
        <v>1</v>
      </c>
      <c r="BI294" s="1"/>
      <c r="BJ294" s="70" t="s">
        <v>1281</v>
      </c>
      <c r="BK294" s="57" t="s">
        <v>1281</v>
      </c>
      <c r="BL294" s="57" t="s">
        <v>1281</v>
      </c>
      <c r="BM294" s="57" t="s">
        <v>1281</v>
      </c>
      <c r="BN294" s="57" t="s">
        <v>1281</v>
      </c>
      <c r="BO294" s="57" t="s">
        <v>1281</v>
      </c>
      <c r="BP294" s="57" t="s">
        <v>1281</v>
      </c>
      <c r="BQ294" s="57" t="s">
        <v>1281</v>
      </c>
      <c r="BR294" s="57" t="s">
        <v>1281</v>
      </c>
      <c r="BS294" s="57" t="s">
        <v>1281</v>
      </c>
      <c r="BT294" s="57" t="s">
        <v>1281</v>
      </c>
      <c r="BU294" s="57" t="s">
        <v>1281</v>
      </c>
      <c r="BV294" s="70">
        <f t="shared" ref="BV294" si="2854">E294</f>
        <v>33</v>
      </c>
      <c r="BW294" s="71" t="str">
        <f t="shared" ref="BW294" si="2855">I294</f>
        <v>-</v>
      </c>
      <c r="BX294" s="72">
        <f t="shared" ref="BX294" si="2856">M294</f>
        <v>65</v>
      </c>
      <c r="BY294" s="71">
        <f t="shared" ref="BY294" si="2857">Q294</f>
        <v>97</v>
      </c>
      <c r="BZ294" s="72">
        <f t="shared" ref="BZ294" si="2858">U294</f>
        <v>103</v>
      </c>
      <c r="CA294" s="71" t="str">
        <f t="shared" ref="CA294" si="2859">Y294</f>
        <v>-</v>
      </c>
      <c r="CB294" s="72">
        <f t="shared" ref="CB294" si="2860">AC294</f>
        <v>143</v>
      </c>
      <c r="CC294" s="71">
        <f t="shared" ref="CC294" si="2861">AG294</f>
        <v>180</v>
      </c>
      <c r="CD294" s="72">
        <f t="shared" ref="CD294" si="2862">AK294</f>
        <v>188</v>
      </c>
      <c r="CE294" s="71">
        <f t="shared" ref="CE294" si="2863">AO294</f>
        <v>238</v>
      </c>
      <c r="CF294" s="72">
        <f t="shared" ref="CF294" si="2864">AS294</f>
        <v>283</v>
      </c>
      <c r="CG294" s="71">
        <f t="shared" ref="CG294" si="2865">AW294</f>
        <v>309</v>
      </c>
      <c r="CH294" s="70">
        <f t="shared" ref="CH294" si="2866">G294</f>
        <v>60</v>
      </c>
      <c r="CI294" s="71" t="str">
        <f t="shared" ref="CI294" si="2867">K294</f>
        <v>-</v>
      </c>
      <c r="CJ294" s="72">
        <f t="shared" ref="CJ294" si="2868">O294</f>
        <v>94</v>
      </c>
      <c r="CK294" s="72">
        <f t="shared" ref="CK294" si="2869">S294</f>
        <v>100</v>
      </c>
      <c r="CL294" s="72">
        <f t="shared" ref="CL294" si="2870">W294</f>
        <v>136</v>
      </c>
      <c r="CM294" s="72" t="str">
        <f t="shared" ref="CM294" si="2871">AA294</f>
        <v>-</v>
      </c>
      <c r="CN294" s="72">
        <f t="shared" ref="CN294" si="2872">AE294</f>
        <v>169</v>
      </c>
      <c r="CO294" s="72">
        <f t="shared" ref="CO294" si="2873">AI294</f>
        <v>182</v>
      </c>
      <c r="CP294" s="72">
        <f t="shared" ref="CP294" si="2874">AM294</f>
        <v>224</v>
      </c>
      <c r="CQ294" s="72">
        <f t="shared" ref="CQ294" si="2875">AQ294</f>
        <v>274</v>
      </c>
      <c r="CR294" s="72">
        <f t="shared" ref="CR294" si="2876">AU294</f>
        <v>308</v>
      </c>
      <c r="CS294" s="72">
        <f t="shared" ref="CS294" si="2877">AY294</f>
        <v>318</v>
      </c>
      <c r="CT294" s="23" t="e">
        <f t="shared" ref="CT294" si="2878">M294-K294</f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x14ac:dyDescent="0.2">
      <c r="A295" s="3" t="str">
        <f t="shared" ref="A295" si="2879">CONCATENATE(B295,"_",C295)</f>
        <v>nk1r_human_6HLL</v>
      </c>
      <c r="B295" s="3" t="s">
        <v>313</v>
      </c>
      <c r="C295" s="130" t="s">
        <v>1537</v>
      </c>
      <c r="D295" s="3" t="str">
        <f>IFERROR(MID(VLOOKUP($B295,Seqs!$A:$B,2,0),E295,1),"")</f>
        <v>P</v>
      </c>
      <c r="E295" s="3">
        <v>28</v>
      </c>
      <c r="F295" s="3" t="str">
        <f>IFERROR(MID(VLOOKUP($B295,Seqs!$A:$B,2,0),G295,1),"")</f>
        <v>A</v>
      </c>
      <c r="G295" s="3">
        <v>59</v>
      </c>
      <c r="H295" s="3" t="str">
        <f>IFERROR(MID(VLOOKUP($B295,Seqs!$A:$B,2,0),I295,1),"")</f>
        <v>K</v>
      </c>
      <c r="I295" s="23">
        <v>61</v>
      </c>
      <c r="J295" s="3" t="str">
        <f>IFERROR(MID(VLOOKUP($B295,Seqs!$A:$B,2,0),K295,1),"")</f>
        <v>R</v>
      </c>
      <c r="K295" s="23">
        <v>64</v>
      </c>
      <c r="L295" s="3" t="str">
        <f>IFERROR(MID(VLOOKUP($B295,Seqs!$A:$B,2,0),M295,1),"")</f>
        <v>T</v>
      </c>
      <c r="M295" s="3">
        <v>65</v>
      </c>
      <c r="N295" s="3" t="str">
        <f>IFERROR(MID(VLOOKUP($B295,Seqs!$A:$B,2,0),O295,1),"")</f>
        <v>N</v>
      </c>
      <c r="O295" s="3">
        <v>96</v>
      </c>
      <c r="P295" s="3" t="str">
        <f>IFERROR(MID(VLOOKUP($B295,Seqs!$A:$B,2,0),Q295,1),"")</f>
        <v>E</v>
      </c>
      <c r="Q295" s="3">
        <v>97</v>
      </c>
      <c r="R295" s="3" t="str">
        <f>IFERROR(MID(VLOOKUP($B295,Seqs!$A:$B,2,0),S295,1),"")</f>
        <v>Y</v>
      </c>
      <c r="S295" s="3">
        <v>100</v>
      </c>
      <c r="T295" s="3" t="str">
        <f>IFERROR(MID(VLOOKUP($B295,Seqs!$A:$B,2,0),U295,1),"")</f>
        <v>G</v>
      </c>
      <c r="U295" s="3">
        <v>101</v>
      </c>
      <c r="V295" s="3" t="str">
        <f>IFERROR(MID(VLOOKUP($B295,Seqs!$A:$B,2,0),W295,1),"")</f>
        <v>H</v>
      </c>
      <c r="W295" s="3">
        <v>136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S</v>
      </c>
      <c r="AC295" s="3">
        <v>143</v>
      </c>
      <c r="AD295" s="3" t="str">
        <f>IFERROR(MID(VLOOKUP($B295,Seqs!$A:$B,2,0),AE295,1),"")</f>
        <v>S</v>
      </c>
      <c r="AE295" s="3">
        <v>169</v>
      </c>
      <c r="AF295" s="3" t="str">
        <f>IFERROR(MID(VLOOKUP($B295,Seqs!$A:$B,2,0),AG295,1),"")</f>
        <v>C</v>
      </c>
      <c r="AG295" s="3">
        <v>180</v>
      </c>
      <c r="AH295" s="3" t="str">
        <f>IFERROR(MID(VLOOKUP($B295,Seqs!$A:$B,2,0),AI295,1),"")</f>
        <v>I</v>
      </c>
      <c r="AI295" s="3">
        <v>182</v>
      </c>
      <c r="AJ295" s="3" t="str">
        <f>IFERROR(MID(VLOOKUP($B295,Seqs!$A:$B,2,0),AK295,1),"")</f>
        <v>K</v>
      </c>
      <c r="AK295" s="3">
        <v>190</v>
      </c>
      <c r="AL295" s="3" t="str">
        <f>IFERROR(MID(VLOOKUP($B295,Seqs!$A:$B,2,0),AM295,1),"")</f>
        <v>S</v>
      </c>
      <c r="AM295" s="3">
        <v>226</v>
      </c>
      <c r="AN295" s="3" t="str">
        <f>IFERROR(MID(VLOOKUP($B295,Seqs!$A:$B,2,0),AO295,1),"")</f>
        <v>E</v>
      </c>
      <c r="AO295" s="3">
        <v>238</v>
      </c>
      <c r="AP295" s="3" t="str">
        <f>IFERROR(MID(VLOOKUP($B295,Seqs!$A:$B,2,0),AQ295,1),"")</f>
        <v>L</v>
      </c>
      <c r="AQ295" s="3">
        <v>270</v>
      </c>
      <c r="AR295" s="3" t="str">
        <f>IFERROR(MID(VLOOKUP($B295,Seqs!$A:$B,2,0),AS295,1),"")</f>
        <v>I</v>
      </c>
      <c r="AS295" s="3">
        <v>283</v>
      </c>
      <c r="AT295" s="3" t="str">
        <f>IFERROR(MID(VLOOKUP($B295,Seqs!$A:$B,2,0),AU295,1),"")</f>
        <v>L</v>
      </c>
      <c r="AU295" s="3">
        <v>308</v>
      </c>
      <c r="AV295" s="3" t="str">
        <f>IFERROR(MID(VLOOKUP($B295,Seqs!$A:$B,2,0),AW295,1),"")</f>
        <v>N</v>
      </c>
      <c r="AW295" s="3">
        <v>309</v>
      </c>
      <c r="AX295" s="3" t="str">
        <f>IFERROR(MID(VLOOKUP($B295,Seqs!$A:$B,2,0),AY295,1),"")</f>
        <v>F</v>
      </c>
      <c r="AY295" s="3">
        <v>320</v>
      </c>
      <c r="AZ295" s="77" t="str">
        <f>VLOOKUP(B295,Classification!A:D,2,0)</f>
        <v>A</v>
      </c>
      <c r="BA295" s="94" t="str">
        <f>VLOOKUP(B295,Classification!A:D,4,0)</f>
        <v>Tachykinin</v>
      </c>
      <c r="BB295" s="27" t="b">
        <f t="shared" ref="BB295" si="2880"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23">
        <f t="shared" ref="BC295" si="2881">_xlfn.AGGREGATE(9,6,CH295:CS295)-_xlfn.AGGREGATE(9,6,BV295:CG295)+12</f>
        <v>247</v>
      </c>
      <c r="BD295" s="5" t="s">
        <v>23</v>
      </c>
      <c r="BE295" s="3" t="s">
        <v>1368</v>
      </c>
      <c r="BF295" s="118">
        <v>3.27</v>
      </c>
      <c r="BG295" s="49" t="s">
        <v>1</v>
      </c>
      <c r="BH295" s="49" t="s">
        <v>1</v>
      </c>
      <c r="BI295" s="1"/>
      <c r="BJ295" s="70" t="s">
        <v>1281</v>
      </c>
      <c r="BK295" s="57" t="s">
        <v>1281</v>
      </c>
      <c r="BL295" s="57" t="s">
        <v>1281</v>
      </c>
      <c r="BM295" s="57" t="s">
        <v>1281</v>
      </c>
      <c r="BN295" s="57" t="s">
        <v>1281</v>
      </c>
      <c r="BO295" s="57" t="s">
        <v>1281</v>
      </c>
      <c r="BP295" s="57" t="s">
        <v>1281</v>
      </c>
      <c r="BQ295" s="57" t="s">
        <v>1281</v>
      </c>
      <c r="BR295" s="57" t="s">
        <v>1281</v>
      </c>
      <c r="BS295" s="57" t="s">
        <v>1281</v>
      </c>
      <c r="BT295" s="57" t="s">
        <v>1281</v>
      </c>
      <c r="BU295" s="57" t="s">
        <v>1281</v>
      </c>
      <c r="BV295" s="70">
        <f t="shared" ref="BV295" si="2882">E295</f>
        <v>28</v>
      </c>
      <c r="BW295" s="71">
        <f t="shared" ref="BW295" si="2883">I295</f>
        <v>61</v>
      </c>
      <c r="BX295" s="72">
        <f t="shared" ref="BX295" si="2884">M295</f>
        <v>65</v>
      </c>
      <c r="BY295" s="71">
        <f t="shared" ref="BY295" si="2885">Q295</f>
        <v>97</v>
      </c>
      <c r="BZ295" s="72">
        <f t="shared" ref="BZ295" si="2886">U295</f>
        <v>101</v>
      </c>
      <c r="CA295" s="71" t="str">
        <f t="shared" ref="CA295" si="2887">Y295</f>
        <v>-</v>
      </c>
      <c r="CB295" s="72">
        <f t="shared" ref="CB295" si="2888">AC295</f>
        <v>143</v>
      </c>
      <c r="CC295" s="71">
        <f t="shared" ref="CC295" si="2889">AG295</f>
        <v>180</v>
      </c>
      <c r="CD295" s="72">
        <f t="shared" ref="CD295" si="2890">AK295</f>
        <v>190</v>
      </c>
      <c r="CE295" s="71">
        <f t="shared" ref="CE295" si="2891">AO295</f>
        <v>238</v>
      </c>
      <c r="CF295" s="72">
        <f t="shared" ref="CF295" si="2892">AS295</f>
        <v>283</v>
      </c>
      <c r="CG295" s="71">
        <f t="shared" ref="CG295" si="2893">AW295</f>
        <v>309</v>
      </c>
      <c r="CH295" s="70">
        <f t="shared" ref="CH295" si="2894">G295</f>
        <v>59</v>
      </c>
      <c r="CI295" s="71">
        <f t="shared" ref="CI295" si="2895">K295</f>
        <v>64</v>
      </c>
      <c r="CJ295" s="72">
        <f t="shared" ref="CJ295" si="2896">O295</f>
        <v>96</v>
      </c>
      <c r="CK295" s="72">
        <f t="shared" ref="CK295" si="2897">S295</f>
        <v>100</v>
      </c>
      <c r="CL295" s="72">
        <f t="shared" ref="CL295" si="2898">W295</f>
        <v>136</v>
      </c>
      <c r="CM295" s="72" t="str">
        <f t="shared" ref="CM295" si="2899">AA295</f>
        <v>-</v>
      </c>
      <c r="CN295" s="72">
        <f t="shared" ref="CN295" si="2900">AE295</f>
        <v>169</v>
      </c>
      <c r="CO295" s="72">
        <f t="shared" ref="CO295" si="2901">AI295</f>
        <v>182</v>
      </c>
      <c r="CP295" s="72">
        <f t="shared" ref="CP295" si="2902">AM295</f>
        <v>226</v>
      </c>
      <c r="CQ295" s="72">
        <f t="shared" ref="CQ295" si="2903">AQ295</f>
        <v>270</v>
      </c>
      <c r="CR295" s="72">
        <f t="shared" ref="CR295" si="2904">AU295</f>
        <v>308</v>
      </c>
      <c r="CS295" s="72">
        <f t="shared" ref="CS295" si="2905">AY295</f>
        <v>320</v>
      </c>
      <c r="CT295" s="23">
        <f t="shared" ref="CT295" si="2906">M295-K295</f>
        <v>1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29" x14ac:dyDescent="0.2">
      <c r="A296" s="3" t="str">
        <f t="shared" ref="A296" si="2907">CONCATENATE(B296,"_",C296)</f>
        <v>nk1r_human_6HLO</v>
      </c>
      <c r="B296" s="3" t="s">
        <v>313</v>
      </c>
      <c r="C296" s="130" t="s">
        <v>1538</v>
      </c>
      <c r="D296" s="3" t="str">
        <f>IFERROR(MID(VLOOKUP($B296,Seqs!$A:$B,2,0),E296,1),"")</f>
        <v>P</v>
      </c>
      <c r="E296" s="3">
        <v>28</v>
      </c>
      <c r="F296" s="3" t="str">
        <f>IFERROR(MID(VLOOKUP($B296,Seqs!$A:$B,2,0),G296,1),"")</f>
        <v>H</v>
      </c>
      <c r="G296" s="3">
        <v>60</v>
      </c>
      <c r="H296" s="3" t="str">
        <f>IFERROR(MID(VLOOKUP($B296,Seqs!$A:$B,2,0),I296,1),"")</f>
        <v>K</v>
      </c>
      <c r="I296" s="23">
        <v>61</v>
      </c>
      <c r="J296" s="3" t="str">
        <f>IFERROR(MID(VLOOKUP($B296,Seqs!$A:$B,2,0),K296,1),"")</f>
        <v>R</v>
      </c>
      <c r="K296" s="23">
        <v>64</v>
      </c>
      <c r="L296" s="3" t="str">
        <f>IFERROR(MID(VLOOKUP($B296,Seqs!$A:$B,2,0),M296,1),"")</f>
        <v>T</v>
      </c>
      <c r="M296" s="3">
        <v>65</v>
      </c>
      <c r="N296" s="3" t="str">
        <f>IFERROR(MID(VLOOKUP($B296,Seqs!$A:$B,2,0),O296,1),"")</f>
        <v>H</v>
      </c>
      <c r="O296" s="3">
        <v>95</v>
      </c>
      <c r="P296" s="3" t="str">
        <f>IFERROR(MID(VLOOKUP($B296,Seqs!$A:$B,2,0),Q296,1),"")</f>
        <v>E</v>
      </c>
      <c r="Q296" s="3">
        <v>97</v>
      </c>
      <c r="R296" s="3" t="str">
        <f>IFERROR(MID(VLOOKUP($B296,Seqs!$A:$B,2,0),S296,1),"")</f>
        <v>Y</v>
      </c>
      <c r="S296" s="3">
        <v>100</v>
      </c>
      <c r="T296" s="3" t="str">
        <f>IFERROR(MID(VLOOKUP($B296,Seqs!$A:$B,2,0),U296,1),"")</f>
        <v>G</v>
      </c>
      <c r="U296" s="3">
        <v>101</v>
      </c>
      <c r="V296" s="3" t="str">
        <f>IFERROR(MID(VLOOKUP($B296,Seqs!$A:$B,2,0),W296,1),"")</f>
        <v>H</v>
      </c>
      <c r="W296" s="3">
        <v>136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S</v>
      </c>
      <c r="AC296" s="3">
        <v>143</v>
      </c>
      <c r="AD296" s="3" t="str">
        <f>IFERROR(MID(VLOOKUP($B296,Seqs!$A:$B,2,0),AE296,1),"")</f>
        <v>S</v>
      </c>
      <c r="AE296" s="3">
        <v>169</v>
      </c>
      <c r="AF296" s="3" t="str">
        <f>IFERROR(MID(VLOOKUP($B296,Seqs!$A:$B,2,0),AG296,1),"")</f>
        <v>C</v>
      </c>
      <c r="AG296" s="3">
        <v>180</v>
      </c>
      <c r="AH296" s="3" t="str">
        <f>IFERROR(MID(VLOOKUP($B296,Seqs!$A:$B,2,0),AI296,1),"")</f>
        <v>I</v>
      </c>
      <c r="AI296" s="3">
        <v>182</v>
      </c>
      <c r="AJ296" s="3" t="str">
        <f>IFERROR(MID(VLOOKUP($B296,Seqs!$A:$B,2,0),AK296,1),"")</f>
        <v>K</v>
      </c>
      <c r="AK296" s="3">
        <v>190</v>
      </c>
      <c r="AL296" s="3" t="str">
        <f>IFERROR(MID(VLOOKUP($B296,Seqs!$A:$B,2,0),AM296,1),"")</f>
        <v>S</v>
      </c>
      <c r="AM296" s="3">
        <v>226</v>
      </c>
      <c r="AN296" s="3" t="str">
        <f>IFERROR(MID(VLOOKUP($B296,Seqs!$A:$B,2,0),AO296,1),"")</f>
        <v>E</v>
      </c>
      <c r="AO296" s="3">
        <v>238</v>
      </c>
      <c r="AP296" s="3" t="str">
        <f>IFERROR(MID(VLOOKUP($B296,Seqs!$A:$B,2,0),AQ296,1),"")</f>
        <v>N</v>
      </c>
      <c r="AQ296" s="3">
        <v>274</v>
      </c>
      <c r="AR296" s="3" t="str">
        <f>IFERROR(MID(VLOOKUP($B296,Seqs!$A:$B,2,0),AS296,1),"")</f>
        <v>F</v>
      </c>
      <c r="AS296" s="3">
        <v>282</v>
      </c>
      <c r="AT296" s="3" t="str">
        <f>IFERROR(MID(VLOOKUP($B296,Seqs!$A:$B,2,0),AU296,1),"")</f>
        <v>L</v>
      </c>
      <c r="AU296" s="3">
        <v>308</v>
      </c>
      <c r="AV296" s="3" t="str">
        <f>IFERROR(MID(VLOOKUP($B296,Seqs!$A:$B,2,0),AW296,1),"")</f>
        <v>N</v>
      </c>
      <c r="AW296" s="3">
        <v>309</v>
      </c>
      <c r="AX296" s="3" t="str">
        <f>IFERROR(MID(VLOOKUP($B296,Seqs!$A:$B,2,0),AY296,1),"")</f>
        <v>F</v>
      </c>
      <c r="AY296" s="3">
        <v>320</v>
      </c>
      <c r="AZ296" s="77" t="str">
        <f>VLOOKUP(B296,Classification!A:D,2,0)</f>
        <v>A</v>
      </c>
      <c r="BA296" s="94" t="str">
        <f>VLOOKUP(B296,Classification!A:D,4,0)</f>
        <v>Tachykinin</v>
      </c>
      <c r="BB296" s="27" t="b">
        <f t="shared" ref="BB296" si="2908">AND(E296&lt;G296,OR(G296&lt;I296,I296="-"),OR(I296&lt;K296,I296="-"),OR(K296&lt;M296,K296="-"),M296&lt;O296,OR(O296&lt;Q296,Q296="-"),OR(Q296&lt;S296,Q296="-"),OR(S296&lt;U296,S296="-"),U296&lt;W296,OR(W296&lt;Y296,Y296="-"),OR(Y296&lt;AA296,Y296="-"),OR(AA296&lt;AC296,AA296="-"),AC296&lt;AE296,OR(AE296&lt;AG296,AG296="-"),OR(AG296&lt;AI296,AG296="-"),OR(AI296&lt;AK296,AI296="-"),AK296&lt;AM296,AM296&lt;AO296,AO296&lt;AQ296,AQ296&lt;AS296,AS296&lt;AU296,OR(AU296&lt;AW296,AW296="-"),OR(AW296&lt;AY296,AW296="-"))</f>
        <v>1</v>
      </c>
      <c r="BC296" s="23">
        <f t="shared" ref="BC296" si="2909">_xlfn.AGGREGATE(9,6,CH296:CS296)-_xlfn.AGGREGATE(9,6,BV296:CG296)+12</f>
        <v>252</v>
      </c>
      <c r="BD296" s="5" t="s">
        <v>23</v>
      </c>
      <c r="BE296" s="3" t="s">
        <v>1368</v>
      </c>
      <c r="BF296" s="118">
        <v>2.4</v>
      </c>
      <c r="BG296" s="49" t="s">
        <v>1</v>
      </c>
      <c r="BH296" s="49" t="s">
        <v>1</v>
      </c>
      <c r="BI296" s="1"/>
      <c r="BJ296" s="70" t="s">
        <v>1281</v>
      </c>
      <c r="BK296" s="57" t="s">
        <v>1281</v>
      </c>
      <c r="BL296" s="57" t="s">
        <v>1281</v>
      </c>
      <c r="BM296" s="57" t="s">
        <v>1281</v>
      </c>
      <c r="BN296" s="57" t="s">
        <v>1281</v>
      </c>
      <c r="BO296" s="57" t="s">
        <v>1281</v>
      </c>
      <c r="BP296" s="57" t="s">
        <v>1281</v>
      </c>
      <c r="BQ296" s="57" t="s">
        <v>1281</v>
      </c>
      <c r="BR296" s="57" t="s">
        <v>1281</v>
      </c>
      <c r="BS296" s="57" t="s">
        <v>1281</v>
      </c>
      <c r="BT296" s="57" t="s">
        <v>1281</v>
      </c>
      <c r="BU296" s="57" t="s">
        <v>1281</v>
      </c>
      <c r="BV296" s="70">
        <f t="shared" ref="BV296" si="2910">E296</f>
        <v>28</v>
      </c>
      <c r="BW296" s="71">
        <f t="shared" ref="BW296" si="2911">I296</f>
        <v>61</v>
      </c>
      <c r="BX296" s="72">
        <f t="shared" ref="BX296" si="2912">M296</f>
        <v>65</v>
      </c>
      <c r="BY296" s="71">
        <f t="shared" ref="BY296" si="2913">Q296</f>
        <v>97</v>
      </c>
      <c r="BZ296" s="72">
        <f t="shared" ref="BZ296" si="2914">U296</f>
        <v>101</v>
      </c>
      <c r="CA296" s="71" t="str">
        <f t="shared" ref="CA296" si="2915">Y296</f>
        <v>-</v>
      </c>
      <c r="CB296" s="72">
        <f t="shared" ref="CB296" si="2916">AC296</f>
        <v>143</v>
      </c>
      <c r="CC296" s="71">
        <f t="shared" ref="CC296" si="2917">AG296</f>
        <v>180</v>
      </c>
      <c r="CD296" s="72">
        <f t="shared" ref="CD296" si="2918">AK296</f>
        <v>190</v>
      </c>
      <c r="CE296" s="71">
        <f t="shared" ref="CE296" si="2919">AO296</f>
        <v>238</v>
      </c>
      <c r="CF296" s="72">
        <f t="shared" ref="CF296" si="2920">AS296</f>
        <v>282</v>
      </c>
      <c r="CG296" s="71">
        <f t="shared" ref="CG296" si="2921">AW296</f>
        <v>309</v>
      </c>
      <c r="CH296" s="70">
        <f t="shared" ref="CH296" si="2922">G296</f>
        <v>60</v>
      </c>
      <c r="CI296" s="71">
        <f t="shared" ref="CI296" si="2923">K296</f>
        <v>64</v>
      </c>
      <c r="CJ296" s="72">
        <f t="shared" ref="CJ296" si="2924">O296</f>
        <v>95</v>
      </c>
      <c r="CK296" s="72">
        <f t="shared" ref="CK296" si="2925">S296</f>
        <v>100</v>
      </c>
      <c r="CL296" s="72">
        <f t="shared" ref="CL296" si="2926">W296</f>
        <v>136</v>
      </c>
      <c r="CM296" s="72" t="str">
        <f t="shared" ref="CM296" si="2927">AA296</f>
        <v>-</v>
      </c>
      <c r="CN296" s="72">
        <f t="shared" ref="CN296" si="2928">AE296</f>
        <v>169</v>
      </c>
      <c r="CO296" s="72">
        <f t="shared" ref="CO296" si="2929">AI296</f>
        <v>182</v>
      </c>
      <c r="CP296" s="72">
        <f t="shared" ref="CP296" si="2930">AM296</f>
        <v>226</v>
      </c>
      <c r="CQ296" s="72">
        <f t="shared" ref="CQ296" si="2931">AQ296</f>
        <v>274</v>
      </c>
      <c r="CR296" s="72">
        <f t="shared" ref="CR296" si="2932">AU296</f>
        <v>308</v>
      </c>
      <c r="CS296" s="72">
        <f t="shared" ref="CS296" si="2933">AY296</f>
        <v>320</v>
      </c>
      <c r="CT296" s="23">
        <f t="shared" ref="CT296" si="2934">M296-K296</f>
        <v>1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29" x14ac:dyDescent="0.2">
      <c r="A297" s="3" t="str">
        <f t="shared" ref="A297" si="2935">CONCATENATE(B297,"_",C297)</f>
        <v>nk1r_human_6HLP</v>
      </c>
      <c r="B297" s="3" t="s">
        <v>313</v>
      </c>
      <c r="C297" s="130" t="s">
        <v>1539</v>
      </c>
      <c r="D297" s="3" t="str">
        <f>IFERROR(MID(VLOOKUP($B297,Seqs!$A:$B,2,0),E297,1),"")</f>
        <v>P</v>
      </c>
      <c r="E297" s="3">
        <v>28</v>
      </c>
      <c r="F297" s="3" t="str">
        <f>IFERROR(MID(VLOOKUP($B297,Seqs!$A:$B,2,0),G297,1),"")</f>
        <v>H</v>
      </c>
      <c r="G297" s="3">
        <v>60</v>
      </c>
      <c r="H297" s="3" t="str">
        <f>IFERROR(MID(VLOOKUP($B297,Seqs!$A:$B,2,0),I297,1),"")</f>
        <v>K</v>
      </c>
      <c r="I297" s="23">
        <v>61</v>
      </c>
      <c r="J297" s="3" t="str">
        <f>IFERROR(MID(VLOOKUP($B297,Seqs!$A:$B,2,0),K297,1),"")</f>
        <v>R</v>
      </c>
      <c r="K297" s="23">
        <v>64</v>
      </c>
      <c r="L297" s="3" t="str">
        <f>IFERROR(MID(VLOOKUP($B297,Seqs!$A:$B,2,0),M297,1),"")</f>
        <v>T</v>
      </c>
      <c r="M297" s="3">
        <v>65</v>
      </c>
      <c r="N297" s="3" t="str">
        <f>IFERROR(MID(VLOOKUP($B297,Seqs!$A:$B,2,0),O297,1),"")</f>
        <v>H</v>
      </c>
      <c r="O297" s="3">
        <v>95</v>
      </c>
      <c r="P297" s="3" t="str">
        <f>IFERROR(MID(VLOOKUP($B297,Seqs!$A:$B,2,0),Q297,1),"")</f>
        <v>E</v>
      </c>
      <c r="Q297" s="3">
        <v>97</v>
      </c>
      <c r="R297" s="3" t="str">
        <f>IFERROR(MID(VLOOKUP($B297,Seqs!$A:$B,2,0),S297,1),"")</f>
        <v>Y</v>
      </c>
      <c r="S297" s="3">
        <v>100</v>
      </c>
      <c r="T297" s="3" t="str">
        <f>IFERROR(MID(VLOOKUP($B297,Seqs!$A:$B,2,0),U297,1),"")</f>
        <v>G</v>
      </c>
      <c r="U297" s="3">
        <v>101</v>
      </c>
      <c r="V297" s="3" t="str">
        <f>IFERROR(MID(VLOOKUP($B297,Seqs!$A:$B,2,0),W297,1),"")</f>
        <v>H</v>
      </c>
      <c r="W297" s="3">
        <v>136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S</v>
      </c>
      <c r="AC297" s="3">
        <v>143</v>
      </c>
      <c r="AD297" s="3" t="str">
        <f>IFERROR(MID(VLOOKUP($B297,Seqs!$A:$B,2,0),AE297,1),"")</f>
        <v>S</v>
      </c>
      <c r="AE297" s="3">
        <v>169</v>
      </c>
      <c r="AF297" s="3" t="str">
        <f>IFERROR(MID(VLOOKUP($B297,Seqs!$A:$B,2,0),AG297,1),"")</f>
        <v>C</v>
      </c>
      <c r="AG297" s="3">
        <v>180</v>
      </c>
      <c r="AH297" s="3" t="str">
        <f>IFERROR(MID(VLOOKUP($B297,Seqs!$A:$B,2,0),AI297,1),"")</f>
        <v>I</v>
      </c>
      <c r="AI297" s="3">
        <v>182</v>
      </c>
      <c r="AJ297" s="3" t="str">
        <f>IFERROR(MID(VLOOKUP($B297,Seqs!$A:$B,2,0),AK297,1),"")</f>
        <v>K</v>
      </c>
      <c r="AK297" s="3">
        <v>190</v>
      </c>
      <c r="AL297" s="3" t="str">
        <f>IFERROR(MID(VLOOKUP($B297,Seqs!$A:$B,2,0),AM297,1),"")</f>
        <v>S</v>
      </c>
      <c r="AM297" s="3">
        <v>226</v>
      </c>
      <c r="AN297" s="3" t="str">
        <f>IFERROR(MID(VLOOKUP($B297,Seqs!$A:$B,2,0),AO297,1),"")</f>
        <v>E</v>
      </c>
      <c r="AO297" s="3">
        <v>238</v>
      </c>
      <c r="AP297" s="3" t="str">
        <f>IFERROR(MID(VLOOKUP($B297,Seqs!$A:$B,2,0),AQ297,1),"")</f>
        <v>N</v>
      </c>
      <c r="AQ297" s="3">
        <v>274</v>
      </c>
      <c r="AR297" s="3" t="str">
        <f>IFERROR(MID(VLOOKUP($B297,Seqs!$A:$B,2,0),AS297,1),"")</f>
        <v>F</v>
      </c>
      <c r="AS297" s="3">
        <v>282</v>
      </c>
      <c r="AT297" s="3" t="str">
        <f>IFERROR(MID(VLOOKUP($B297,Seqs!$A:$B,2,0),AU297,1),"")</f>
        <v>L</v>
      </c>
      <c r="AU297" s="3">
        <v>308</v>
      </c>
      <c r="AV297" s="3" t="str">
        <f>IFERROR(MID(VLOOKUP($B297,Seqs!$A:$B,2,0),AW297,1),"")</f>
        <v>N</v>
      </c>
      <c r="AW297" s="3">
        <v>309</v>
      </c>
      <c r="AX297" s="3" t="str">
        <f>IFERROR(MID(VLOOKUP($B297,Seqs!$A:$B,2,0),AY297,1),"")</f>
        <v>F</v>
      </c>
      <c r="AY297" s="3">
        <v>320</v>
      </c>
      <c r="AZ297" s="77" t="str">
        <f>VLOOKUP(B297,Classification!A:D,2,0)</f>
        <v>A</v>
      </c>
      <c r="BA297" s="94" t="str">
        <f>VLOOKUP(B297,Classification!A:D,4,0)</f>
        <v>Tachykinin</v>
      </c>
      <c r="BB297" s="27" t="b">
        <f t="shared" ref="BB297" si="2936"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23">
        <f t="shared" ref="BC297" si="2937">_xlfn.AGGREGATE(9,6,CH297:CS297)-_xlfn.AGGREGATE(9,6,BV297:CG297)+12</f>
        <v>252</v>
      </c>
      <c r="BD297" s="5" t="s">
        <v>1370</v>
      </c>
      <c r="BE297" s="3" t="s">
        <v>1368</v>
      </c>
      <c r="BF297" s="118">
        <v>2.2000000000000002</v>
      </c>
      <c r="BG297" s="49" t="s">
        <v>1</v>
      </c>
      <c r="BH297" s="49" t="s">
        <v>1</v>
      </c>
      <c r="BI297" s="1"/>
      <c r="BJ297" s="70" t="s">
        <v>1281</v>
      </c>
      <c r="BK297" s="57" t="s">
        <v>1281</v>
      </c>
      <c r="BL297" s="57" t="s">
        <v>1281</v>
      </c>
      <c r="BM297" s="57" t="s">
        <v>1281</v>
      </c>
      <c r="BN297" s="57" t="s">
        <v>1281</v>
      </c>
      <c r="BO297" s="57" t="s">
        <v>1281</v>
      </c>
      <c r="BP297" s="57" t="s">
        <v>1281</v>
      </c>
      <c r="BQ297" s="57" t="s">
        <v>1281</v>
      </c>
      <c r="BR297" s="57" t="s">
        <v>1281</v>
      </c>
      <c r="BS297" s="57" t="s">
        <v>1281</v>
      </c>
      <c r="BT297" s="57" t="s">
        <v>1281</v>
      </c>
      <c r="BU297" s="57" t="s">
        <v>1281</v>
      </c>
      <c r="BV297" s="70">
        <f t="shared" ref="BV297" si="2938">E297</f>
        <v>28</v>
      </c>
      <c r="BW297" s="71">
        <f t="shared" ref="BW297" si="2939">I297</f>
        <v>61</v>
      </c>
      <c r="BX297" s="72">
        <f t="shared" ref="BX297" si="2940">M297</f>
        <v>65</v>
      </c>
      <c r="BY297" s="71">
        <f t="shared" ref="BY297" si="2941">Q297</f>
        <v>97</v>
      </c>
      <c r="BZ297" s="72">
        <f t="shared" ref="BZ297" si="2942">U297</f>
        <v>101</v>
      </c>
      <c r="CA297" s="71" t="str">
        <f t="shared" ref="CA297" si="2943">Y297</f>
        <v>-</v>
      </c>
      <c r="CB297" s="72">
        <f t="shared" ref="CB297" si="2944">AC297</f>
        <v>143</v>
      </c>
      <c r="CC297" s="71">
        <f t="shared" ref="CC297" si="2945">AG297</f>
        <v>180</v>
      </c>
      <c r="CD297" s="72">
        <f t="shared" ref="CD297" si="2946">AK297</f>
        <v>190</v>
      </c>
      <c r="CE297" s="71">
        <f t="shared" ref="CE297" si="2947">AO297</f>
        <v>238</v>
      </c>
      <c r="CF297" s="72">
        <f t="shared" ref="CF297" si="2948">AS297</f>
        <v>282</v>
      </c>
      <c r="CG297" s="71">
        <f t="shared" ref="CG297" si="2949">AW297</f>
        <v>309</v>
      </c>
      <c r="CH297" s="70">
        <f t="shared" ref="CH297" si="2950">G297</f>
        <v>60</v>
      </c>
      <c r="CI297" s="71">
        <f t="shared" ref="CI297" si="2951">K297</f>
        <v>64</v>
      </c>
      <c r="CJ297" s="72">
        <f t="shared" ref="CJ297" si="2952">O297</f>
        <v>95</v>
      </c>
      <c r="CK297" s="72">
        <f t="shared" ref="CK297" si="2953">S297</f>
        <v>100</v>
      </c>
      <c r="CL297" s="72">
        <f t="shared" ref="CL297" si="2954">W297</f>
        <v>136</v>
      </c>
      <c r="CM297" s="72" t="str">
        <f t="shared" ref="CM297" si="2955">AA297</f>
        <v>-</v>
      </c>
      <c r="CN297" s="72">
        <f t="shared" ref="CN297" si="2956">AE297</f>
        <v>169</v>
      </c>
      <c r="CO297" s="72">
        <f t="shared" ref="CO297" si="2957">AI297</f>
        <v>182</v>
      </c>
      <c r="CP297" s="72">
        <f t="shared" ref="CP297" si="2958">AM297</f>
        <v>226</v>
      </c>
      <c r="CQ297" s="72">
        <f t="shared" ref="CQ297" si="2959">AQ297</f>
        <v>274</v>
      </c>
      <c r="CR297" s="72">
        <f t="shared" ref="CR297" si="2960">AU297</f>
        <v>308</v>
      </c>
      <c r="CS297" s="72">
        <f t="shared" ref="CS297" si="2961">AY297</f>
        <v>320</v>
      </c>
      <c r="CT297" s="23">
        <f t="shared" ref="CT297" si="2962">M297-K297</f>
        <v>1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29" x14ac:dyDescent="0.2">
      <c r="A298" s="3" t="str">
        <f t="shared" ref="A298" si="2963">CONCATENATE(B298,"_",C298)</f>
        <v>nk1r_human_6J20</v>
      </c>
      <c r="B298" s="3" t="s">
        <v>313</v>
      </c>
      <c r="C298" s="130" t="s">
        <v>1556</v>
      </c>
      <c r="D298" s="3" t="str">
        <f>IFERROR(MID(VLOOKUP($B298,Seqs!$A:$B,2,0),E298,1),"")</f>
        <v>P</v>
      </c>
      <c r="E298" s="3">
        <v>28</v>
      </c>
      <c r="F298" s="3" t="str">
        <f>IFERROR(MID(VLOOKUP($B298,Seqs!$A:$B,2,0),G298,1),"")</f>
        <v>A</v>
      </c>
      <c r="G298" s="3">
        <v>59</v>
      </c>
      <c r="H298" s="3" t="str">
        <f>IFERROR(MID(VLOOKUP($B298,Seqs!$A:$B,2,0),I298,1),"")</f>
        <v/>
      </c>
      <c r="I298" s="23" t="s">
        <v>23</v>
      </c>
      <c r="J298" s="3" t="str">
        <f>IFERROR(MID(VLOOKUP($B298,Seqs!$A:$B,2,0),K298,1),"")</f>
        <v/>
      </c>
      <c r="K298" s="23" t="s">
        <v>23</v>
      </c>
      <c r="L298" s="3" t="str">
        <f>IFERROR(MID(VLOOKUP($B298,Seqs!$A:$B,2,0),M298,1),"")</f>
        <v>V</v>
      </c>
      <c r="M298" s="3">
        <v>66</v>
      </c>
      <c r="N298" s="3" t="str">
        <f>IFERROR(MID(VLOOKUP($B298,Seqs!$A:$B,2,0),O298,1),"")</f>
        <v>N</v>
      </c>
      <c r="O298" s="3">
        <v>96</v>
      </c>
      <c r="P298" s="3" t="str">
        <f>IFERROR(MID(VLOOKUP($B298,Seqs!$A:$B,2,0),Q298,1),"")</f>
        <v>E</v>
      </c>
      <c r="Q298" s="3">
        <v>97</v>
      </c>
      <c r="R298" s="3" t="str">
        <f>IFERROR(MID(VLOOKUP($B298,Seqs!$A:$B,2,0),S298,1),"")</f>
        <v>Y</v>
      </c>
      <c r="S298" s="3">
        <v>100</v>
      </c>
      <c r="T298" s="3" t="str">
        <f>IFERROR(MID(VLOOKUP($B298,Seqs!$A:$B,2,0),U298,1),"")</f>
        <v>G</v>
      </c>
      <c r="U298" s="3">
        <v>101</v>
      </c>
      <c r="V298" s="3" t="str">
        <f>IFERROR(MID(VLOOKUP($B298,Seqs!$A:$B,2,0),W298,1),"")</f>
        <v>H</v>
      </c>
      <c r="W298" s="3">
        <v>136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S</v>
      </c>
      <c r="AC298" s="3">
        <v>143</v>
      </c>
      <c r="AD298" s="3" t="str">
        <f>IFERROR(MID(VLOOKUP($B298,Seqs!$A:$B,2,0),AE298,1),"")</f>
        <v>S</v>
      </c>
      <c r="AE298" s="3">
        <v>169</v>
      </c>
      <c r="AF298" s="3" t="str">
        <f>IFERROR(MID(VLOOKUP($B298,Seqs!$A:$B,2,0),AG298,1),"")</f>
        <v>C</v>
      </c>
      <c r="AG298" s="3">
        <v>180</v>
      </c>
      <c r="AH298" s="3" t="str">
        <f>IFERROR(MID(VLOOKUP($B298,Seqs!$A:$B,2,0),AI298,1),"")</f>
        <v>I</v>
      </c>
      <c r="AI298" s="3">
        <v>182</v>
      </c>
      <c r="AJ298" s="3" t="str">
        <f>IFERROR(MID(VLOOKUP($B298,Seqs!$A:$B,2,0),AK298,1),"")</f>
        <v>K</v>
      </c>
      <c r="AK298" s="3">
        <v>190</v>
      </c>
      <c r="AL298" s="3" t="str">
        <f>IFERROR(MID(VLOOKUP($B298,Seqs!$A:$B,2,0),AM298,1),"")</f>
        <v>A</v>
      </c>
      <c r="AM298" s="3">
        <v>225</v>
      </c>
      <c r="AN298" s="3" t="str">
        <f>IFERROR(MID(VLOOKUP($B298,Seqs!$A:$B,2,0),AO298,1),"")</f>
        <v>S</v>
      </c>
      <c r="AO298" s="3">
        <v>241</v>
      </c>
      <c r="AP298" s="3" t="str">
        <f>IFERROR(MID(VLOOKUP($B298,Seqs!$A:$B,2,0),AQ298,1),"")</f>
        <v>N</v>
      </c>
      <c r="AQ298" s="3">
        <v>274</v>
      </c>
      <c r="AR298" s="3" t="str">
        <f>IFERROR(MID(VLOOKUP($B298,Seqs!$A:$B,2,0),AS298,1),"")</f>
        <v>I</v>
      </c>
      <c r="AS298" s="3">
        <v>283</v>
      </c>
      <c r="AT298" s="3" t="str">
        <f>IFERROR(MID(VLOOKUP($B298,Seqs!$A:$B,2,0),AU298,1),"")</f>
        <v>L</v>
      </c>
      <c r="AU298" s="3">
        <v>308</v>
      </c>
      <c r="AV298" s="3" t="str">
        <f>IFERROR(MID(VLOOKUP($B298,Seqs!$A:$B,2,0),AW298,1),"")</f>
        <v>N</v>
      </c>
      <c r="AW298" s="3">
        <v>309</v>
      </c>
      <c r="AX298" s="3" t="str">
        <f>IFERROR(MID(VLOOKUP($B298,Seqs!$A:$B,2,0),AY298,1),"")</f>
        <v>A</v>
      </c>
      <c r="AY298" s="3">
        <v>319</v>
      </c>
      <c r="AZ298" s="77" t="str">
        <f>VLOOKUP(B298,Classification!A:D,2,0)</f>
        <v>A</v>
      </c>
      <c r="BA298" s="94" t="str">
        <f>VLOOKUP(B298,Classification!A:D,4,0)</f>
        <v>Tachykinin</v>
      </c>
      <c r="BB298" s="27" t="b">
        <f t="shared" ref="BB298" si="2964">AND(E298&lt;G298,OR(G298&lt;I298,I298="-"),OR(I298&lt;K298,I298="-"),OR(K298&lt;M298,K298="-"),M298&lt;O298,OR(O298&lt;Q298,Q298="-"),OR(Q298&lt;S298,Q298="-"),OR(S298&lt;U298,S298="-"),U298&lt;W298,OR(W298&lt;Y298,Y298="-"),OR(Y298&lt;AA298,Y298="-"),OR(AA298&lt;AC298,AA298="-"),AC298&lt;AE298,OR(AE298&lt;AG298,AG298="-"),OR(AG298&lt;AI298,AG298="-"),OR(AI298&lt;AK298,AI298="-"),AK298&lt;AM298,AM298&lt;AO298,AO298&lt;AQ298,AQ298&lt;AS298,AS298&lt;AU298,OR(AU298&lt;AW298,AW298="-"),OR(AW298&lt;AY298,AW298="-"))</f>
        <v>1</v>
      </c>
      <c r="BC298" s="23">
        <f t="shared" ref="BC298" si="2965">_xlfn.AGGREGATE(9,6,CH298:CS298)-_xlfn.AGGREGATE(9,6,BV298:CG298)+12</f>
        <v>242</v>
      </c>
      <c r="BD298" s="5" t="s">
        <v>23</v>
      </c>
      <c r="BE298" s="3" t="s">
        <v>1368</v>
      </c>
      <c r="BF298" s="118">
        <v>2.7</v>
      </c>
      <c r="BG298" s="49" t="s">
        <v>1</v>
      </c>
      <c r="BH298" s="49" t="s">
        <v>1</v>
      </c>
      <c r="BI298" s="1"/>
      <c r="BJ298" s="70" t="s">
        <v>1281</v>
      </c>
      <c r="BK298" s="57" t="s">
        <v>1281</v>
      </c>
      <c r="BL298" s="57" t="s">
        <v>1281</v>
      </c>
      <c r="BM298" s="57" t="s">
        <v>1281</v>
      </c>
      <c r="BN298" s="57" t="s">
        <v>1281</v>
      </c>
      <c r="BO298" s="57" t="s">
        <v>1281</v>
      </c>
      <c r="BP298" s="57" t="s">
        <v>1281</v>
      </c>
      <c r="BQ298" s="57" t="s">
        <v>1281</v>
      </c>
      <c r="BR298" s="57" t="s">
        <v>1281</v>
      </c>
      <c r="BS298" s="57" t="s">
        <v>1281</v>
      </c>
      <c r="BT298" s="57" t="s">
        <v>1281</v>
      </c>
      <c r="BU298" s="57" t="s">
        <v>1281</v>
      </c>
      <c r="BV298" s="70">
        <f t="shared" ref="BV298" si="2966">E298</f>
        <v>28</v>
      </c>
      <c r="BW298" s="71" t="str">
        <f t="shared" ref="BW298" si="2967">I298</f>
        <v>-</v>
      </c>
      <c r="BX298" s="72">
        <f t="shared" ref="BX298" si="2968">M298</f>
        <v>66</v>
      </c>
      <c r="BY298" s="71">
        <f t="shared" ref="BY298" si="2969">Q298</f>
        <v>97</v>
      </c>
      <c r="BZ298" s="72">
        <f t="shared" ref="BZ298" si="2970">U298</f>
        <v>101</v>
      </c>
      <c r="CA298" s="71" t="str">
        <f t="shared" ref="CA298" si="2971">Y298</f>
        <v>-</v>
      </c>
      <c r="CB298" s="72">
        <f t="shared" ref="CB298" si="2972">AC298</f>
        <v>143</v>
      </c>
      <c r="CC298" s="71">
        <f t="shared" ref="CC298" si="2973">AG298</f>
        <v>180</v>
      </c>
      <c r="CD298" s="72">
        <f t="shared" ref="CD298" si="2974">AK298</f>
        <v>190</v>
      </c>
      <c r="CE298" s="71">
        <f t="shared" ref="CE298" si="2975">AO298</f>
        <v>241</v>
      </c>
      <c r="CF298" s="72">
        <f t="shared" ref="CF298" si="2976">AS298</f>
        <v>283</v>
      </c>
      <c r="CG298" s="71">
        <f t="shared" ref="CG298" si="2977">AW298</f>
        <v>309</v>
      </c>
      <c r="CH298" s="70">
        <f t="shared" ref="CH298" si="2978">G298</f>
        <v>59</v>
      </c>
      <c r="CI298" s="71" t="str">
        <f t="shared" ref="CI298" si="2979">K298</f>
        <v>-</v>
      </c>
      <c r="CJ298" s="72">
        <f t="shared" ref="CJ298" si="2980">O298</f>
        <v>96</v>
      </c>
      <c r="CK298" s="72">
        <f t="shared" ref="CK298" si="2981">S298</f>
        <v>100</v>
      </c>
      <c r="CL298" s="72">
        <f t="shared" ref="CL298" si="2982">W298</f>
        <v>136</v>
      </c>
      <c r="CM298" s="72" t="str">
        <f t="shared" ref="CM298" si="2983">AA298</f>
        <v>-</v>
      </c>
      <c r="CN298" s="72">
        <f t="shared" ref="CN298" si="2984">AE298</f>
        <v>169</v>
      </c>
      <c r="CO298" s="72">
        <f t="shared" ref="CO298" si="2985">AI298</f>
        <v>182</v>
      </c>
      <c r="CP298" s="72">
        <f t="shared" ref="CP298" si="2986">AM298</f>
        <v>225</v>
      </c>
      <c r="CQ298" s="72">
        <f t="shared" ref="CQ298" si="2987">AQ298</f>
        <v>274</v>
      </c>
      <c r="CR298" s="72">
        <f t="shared" ref="CR298" si="2988">AU298</f>
        <v>308</v>
      </c>
      <c r="CS298" s="72">
        <f t="shared" ref="CS298" si="2989">AY298</f>
        <v>319</v>
      </c>
      <c r="CT298" s="23" t="e">
        <f t="shared" ref="CT298" si="2990">M298-K298</f>
        <v>#VALUE!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29" x14ac:dyDescent="0.2">
      <c r="A299" s="3" t="str">
        <f t="shared" ref="A299" si="2991">CONCATENATE(B299,"_",C299)</f>
        <v>nk1r_human_6J21</v>
      </c>
      <c r="B299" s="3" t="s">
        <v>313</v>
      </c>
      <c r="C299" s="130" t="s">
        <v>1557</v>
      </c>
      <c r="D299" s="3" t="str">
        <f>IFERROR(MID(VLOOKUP($B299,Seqs!$A:$B,2,0),E299,1),"")</f>
        <v>P</v>
      </c>
      <c r="E299" s="3">
        <v>28</v>
      </c>
      <c r="F299" s="3" t="str">
        <f>IFERROR(MID(VLOOKUP($B299,Seqs!$A:$B,2,0),G299,1),"")</f>
        <v>A</v>
      </c>
      <c r="G299" s="3">
        <v>59</v>
      </c>
      <c r="H299" s="3" t="str">
        <f>IFERROR(MID(VLOOKUP($B299,Seqs!$A:$B,2,0),I299,1),"")</f>
        <v/>
      </c>
      <c r="I299" s="23" t="s">
        <v>23</v>
      </c>
      <c r="J299" s="3" t="str">
        <f>IFERROR(MID(VLOOKUP($B299,Seqs!$A:$B,2,0),K299,1),"")</f>
        <v/>
      </c>
      <c r="K299" s="23" t="s">
        <v>23</v>
      </c>
      <c r="L299" s="3" t="str">
        <f>IFERROR(MID(VLOOKUP($B299,Seqs!$A:$B,2,0),M299,1),"")</f>
        <v>T</v>
      </c>
      <c r="M299" s="3">
        <v>65</v>
      </c>
      <c r="N299" s="3" t="str">
        <f>IFERROR(MID(VLOOKUP($B299,Seqs!$A:$B,2,0),O299,1),"")</f>
        <v>N</v>
      </c>
      <c r="O299" s="3">
        <v>96</v>
      </c>
      <c r="P299" s="3" t="str">
        <f>IFERROR(MID(VLOOKUP($B299,Seqs!$A:$B,2,0),Q299,1),"")</f>
        <v>E</v>
      </c>
      <c r="Q299" s="3">
        <v>97</v>
      </c>
      <c r="R299" s="3" t="str">
        <f>IFERROR(MID(VLOOKUP($B299,Seqs!$A:$B,2,0),S299,1),"")</f>
        <v>Y</v>
      </c>
      <c r="S299" s="3">
        <v>100</v>
      </c>
      <c r="T299" s="3" t="str">
        <f>IFERROR(MID(VLOOKUP($B299,Seqs!$A:$B,2,0),U299,1),"")</f>
        <v>G</v>
      </c>
      <c r="U299" s="3">
        <v>101</v>
      </c>
      <c r="V299" s="3" t="str">
        <f>IFERROR(MID(VLOOKUP($B299,Seqs!$A:$B,2,0),W299,1),"")</f>
        <v>H</v>
      </c>
      <c r="W299" s="3">
        <v>136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S</v>
      </c>
      <c r="AC299" s="3">
        <v>143</v>
      </c>
      <c r="AD299" s="3" t="str">
        <f>IFERROR(MID(VLOOKUP($B299,Seqs!$A:$B,2,0),AE299,1),"")</f>
        <v>S</v>
      </c>
      <c r="AE299" s="3">
        <v>169</v>
      </c>
      <c r="AF299" s="3" t="str">
        <f>IFERROR(MID(VLOOKUP($B299,Seqs!$A:$B,2,0),AG299,1),"")</f>
        <v>C</v>
      </c>
      <c r="AG299" s="3">
        <v>180</v>
      </c>
      <c r="AH299" s="3" t="str">
        <f>IFERROR(MID(VLOOKUP($B299,Seqs!$A:$B,2,0),AI299,1),"")</f>
        <v>I</v>
      </c>
      <c r="AI299" s="3">
        <v>182</v>
      </c>
      <c r="AJ299" s="3" t="str">
        <f>IFERROR(MID(VLOOKUP($B299,Seqs!$A:$B,2,0),AK299,1),"")</f>
        <v>I</v>
      </c>
      <c r="AK299" s="3">
        <v>191</v>
      </c>
      <c r="AL299" s="3" t="str">
        <f>IFERROR(MID(VLOOKUP($B299,Seqs!$A:$B,2,0),AM299,1),"")</f>
        <v>A</v>
      </c>
      <c r="AM299" s="3">
        <v>225</v>
      </c>
      <c r="AN299" s="3" t="str">
        <f>IFERROR(MID(VLOOKUP($B299,Seqs!$A:$B,2,0),AO299,1),"")</f>
        <v>A</v>
      </c>
      <c r="AO299" s="3">
        <v>242</v>
      </c>
      <c r="AP299" s="3" t="str">
        <f>IFERROR(MID(VLOOKUP($B299,Seqs!$A:$B,2,0),AQ299,1),"")</f>
        <v>N</v>
      </c>
      <c r="AQ299" s="3">
        <v>274</v>
      </c>
      <c r="AR299" s="3" t="str">
        <f>IFERROR(MID(VLOOKUP($B299,Seqs!$A:$B,2,0),AS299,1),"")</f>
        <v>F</v>
      </c>
      <c r="AS299" s="3">
        <v>282</v>
      </c>
      <c r="AT299" s="3" t="str">
        <f>IFERROR(MID(VLOOKUP($B299,Seqs!$A:$B,2,0),AU299,1),"")</f>
        <v>L</v>
      </c>
      <c r="AU299" s="3">
        <v>308</v>
      </c>
      <c r="AV299" s="3" t="str">
        <f>IFERROR(MID(VLOOKUP($B299,Seqs!$A:$B,2,0),AW299,1),"")</f>
        <v>N</v>
      </c>
      <c r="AW299" s="3">
        <v>309</v>
      </c>
      <c r="AX299" s="3" t="str">
        <f>IFERROR(MID(VLOOKUP($B299,Seqs!$A:$B,2,0),AY299,1),"")</f>
        <v>A</v>
      </c>
      <c r="AY299" s="3">
        <v>319</v>
      </c>
      <c r="AZ299" s="77" t="str">
        <f>VLOOKUP(B299,Classification!A:D,2,0)</f>
        <v>A</v>
      </c>
      <c r="BA299" s="94" t="str">
        <f>VLOOKUP(B299,Classification!A:D,4,0)</f>
        <v>Tachykinin</v>
      </c>
      <c r="BB299" s="27" t="b">
        <f t="shared" ref="BB299" si="2992"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23">
        <f t="shared" ref="BC299" si="2993">_xlfn.AGGREGATE(9,6,CH299:CS299)-_xlfn.AGGREGATE(9,6,BV299:CG299)+12</f>
        <v>242</v>
      </c>
      <c r="BD299" s="5" t="s">
        <v>23</v>
      </c>
      <c r="BE299" s="3" t="s">
        <v>1368</v>
      </c>
      <c r="BF299" s="118">
        <v>3.2</v>
      </c>
      <c r="BG299" s="49" t="s">
        <v>1</v>
      </c>
      <c r="BH299" s="49" t="s">
        <v>1</v>
      </c>
      <c r="BI299" s="1"/>
      <c r="BJ299" s="70" t="s">
        <v>1281</v>
      </c>
      <c r="BK299" s="57" t="s">
        <v>1281</v>
      </c>
      <c r="BL299" s="57" t="s">
        <v>1281</v>
      </c>
      <c r="BM299" s="57" t="s">
        <v>1281</v>
      </c>
      <c r="BN299" s="57" t="s">
        <v>1281</v>
      </c>
      <c r="BO299" s="57" t="s">
        <v>1281</v>
      </c>
      <c r="BP299" s="57" t="s">
        <v>1281</v>
      </c>
      <c r="BQ299" s="57" t="s">
        <v>1281</v>
      </c>
      <c r="BR299" s="57" t="s">
        <v>1281</v>
      </c>
      <c r="BS299" s="57" t="s">
        <v>1281</v>
      </c>
      <c r="BT299" s="57" t="s">
        <v>1281</v>
      </c>
      <c r="BU299" s="57" t="s">
        <v>1281</v>
      </c>
      <c r="BV299" s="70">
        <f t="shared" ref="BV299" si="2994">E299</f>
        <v>28</v>
      </c>
      <c r="BW299" s="71" t="str">
        <f t="shared" ref="BW299" si="2995">I299</f>
        <v>-</v>
      </c>
      <c r="BX299" s="72">
        <f t="shared" ref="BX299" si="2996">M299</f>
        <v>65</v>
      </c>
      <c r="BY299" s="71">
        <f t="shared" ref="BY299" si="2997">Q299</f>
        <v>97</v>
      </c>
      <c r="BZ299" s="72">
        <f t="shared" ref="BZ299" si="2998">U299</f>
        <v>101</v>
      </c>
      <c r="CA299" s="71" t="str">
        <f t="shared" ref="CA299" si="2999">Y299</f>
        <v>-</v>
      </c>
      <c r="CB299" s="72">
        <f t="shared" ref="CB299" si="3000">AC299</f>
        <v>143</v>
      </c>
      <c r="CC299" s="71">
        <f t="shared" ref="CC299" si="3001">AG299</f>
        <v>180</v>
      </c>
      <c r="CD299" s="72">
        <f t="shared" ref="CD299" si="3002">AK299</f>
        <v>191</v>
      </c>
      <c r="CE299" s="71">
        <f t="shared" ref="CE299" si="3003">AO299</f>
        <v>242</v>
      </c>
      <c r="CF299" s="72">
        <f t="shared" ref="CF299" si="3004">AS299</f>
        <v>282</v>
      </c>
      <c r="CG299" s="71">
        <f t="shared" ref="CG299" si="3005">AW299</f>
        <v>309</v>
      </c>
      <c r="CH299" s="70">
        <f t="shared" ref="CH299" si="3006">G299</f>
        <v>59</v>
      </c>
      <c r="CI299" s="71" t="str">
        <f t="shared" ref="CI299" si="3007">K299</f>
        <v>-</v>
      </c>
      <c r="CJ299" s="72">
        <f t="shared" ref="CJ299" si="3008">O299</f>
        <v>96</v>
      </c>
      <c r="CK299" s="72">
        <f t="shared" ref="CK299" si="3009">S299</f>
        <v>100</v>
      </c>
      <c r="CL299" s="72">
        <f t="shared" ref="CL299" si="3010">W299</f>
        <v>136</v>
      </c>
      <c r="CM299" s="72" t="str">
        <f t="shared" ref="CM299" si="3011">AA299</f>
        <v>-</v>
      </c>
      <c r="CN299" s="72">
        <f t="shared" ref="CN299" si="3012">AE299</f>
        <v>169</v>
      </c>
      <c r="CO299" s="72">
        <f t="shared" ref="CO299" si="3013">AI299</f>
        <v>182</v>
      </c>
      <c r="CP299" s="72">
        <f t="shared" ref="CP299" si="3014">AM299</f>
        <v>225</v>
      </c>
      <c r="CQ299" s="72">
        <f t="shared" ref="CQ299" si="3015">AQ299</f>
        <v>274</v>
      </c>
      <c r="CR299" s="72">
        <f t="shared" ref="CR299" si="3016">AU299</f>
        <v>308</v>
      </c>
      <c r="CS299" s="72">
        <f t="shared" ref="CS299" si="3017">AY299</f>
        <v>319</v>
      </c>
      <c r="CT299" s="23" t="e">
        <f t="shared" ref="CT299" si="3018">M299-K299</f>
        <v>#VALUE!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29" x14ac:dyDescent="0.2">
      <c r="A300" s="3" t="str">
        <f>CONCATENATE(B300,"_",C300)</f>
        <v>npy1r_human__wt</v>
      </c>
      <c r="B300" s="3" t="s">
        <v>324</v>
      </c>
      <c r="C300" s="3" t="s">
        <v>100</v>
      </c>
      <c r="D300" s="3" t="str">
        <f>IFERROR(MID(VLOOKUP($B300,Seqs!$A:$B,2,0),E300,1),"")</f>
        <v>P</v>
      </c>
      <c r="E300" s="3">
        <v>36</v>
      </c>
      <c r="F300" s="3" t="str">
        <f>IFERROR(MID(VLOOKUP($B300,Seqs!$A:$B,2,0),G300,1),"")</f>
        <v>Q</v>
      </c>
      <c r="G300" s="3">
        <v>68</v>
      </c>
      <c r="H300" s="3" t="str">
        <f>IFERROR(MID(VLOOKUP($B300,Seqs!$A:$B,2,0),I300,1),"")</f>
        <v>K</v>
      </c>
      <c r="I300" s="23">
        <v>69</v>
      </c>
      <c r="J300" s="3" t="str">
        <f>IFERROR(MID(VLOOKUP($B300,Seqs!$A:$B,2,0),K300,1),"")</f>
        <v>R</v>
      </c>
      <c r="K300" s="23">
        <v>72</v>
      </c>
      <c r="L300" s="3" t="str">
        <f>IFERROR(MID(VLOOKUP($B300,Seqs!$A:$B,2,0),M300,1),"")</f>
        <v>N</v>
      </c>
      <c r="M300" s="3">
        <v>73</v>
      </c>
      <c r="N300" s="3" t="str">
        <f>IFERROR(MID(VLOOKUP($B300,Seqs!$A:$B,2,0),O300,1),"")</f>
        <v>D</v>
      </c>
      <c r="O300" s="3">
        <v>104</v>
      </c>
      <c r="P300" s="3" t="str">
        <f>IFERROR(MID(VLOOKUP($B300,Seqs!$A:$B,2,0),Q300,1),"")</f>
        <v>H</v>
      </c>
      <c r="Q300" s="3">
        <v>105</v>
      </c>
      <c r="R300" s="3" t="str">
        <f>IFERROR(MID(VLOOKUP($B300,Seqs!$A:$B,2,0),S300,1),"")</f>
        <v>F</v>
      </c>
      <c r="S300" s="3">
        <v>108</v>
      </c>
      <c r="T300" s="3" t="str">
        <f>IFERROR(MID(VLOOKUP($B300,Seqs!$A:$B,2,0),U300,1),"")</f>
        <v>G</v>
      </c>
      <c r="U300" s="3">
        <v>109</v>
      </c>
      <c r="V300" s="3" t="str">
        <f>IFERROR(MID(VLOOKUP($B300,Seqs!$A:$B,2,0),W300,1),"")</f>
        <v>N</v>
      </c>
      <c r="W300" s="3">
        <v>144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N</v>
      </c>
      <c r="AC300" s="3">
        <v>151</v>
      </c>
      <c r="AD300" s="3" t="str">
        <f>IFERROR(MID(VLOOKUP($B300,Seqs!$A:$B,2,0),AE300,1),"")</f>
        <v>Q</v>
      </c>
      <c r="AE300" s="3">
        <v>177</v>
      </c>
      <c r="AF300" s="3" t="str">
        <f>IFERROR(MID(VLOOKUP($B300,Seqs!$A:$B,2,0),AG300,1),"")</f>
        <v>C</v>
      </c>
      <c r="AG300" s="3">
        <v>198</v>
      </c>
      <c r="AH300" s="3" t="str">
        <f>IFERROR(MID(VLOOKUP($B300,Seqs!$A:$B,2,0),AI300,1),"")</f>
        <v>D</v>
      </c>
      <c r="AI300" s="3">
        <v>200</v>
      </c>
      <c r="AJ300" s="3" t="str">
        <f>IFERROR(MID(VLOOKUP($B300,Seqs!$A:$B,2,0),AK300,1),"")</f>
        <v>S</v>
      </c>
      <c r="AK300" s="3">
        <v>204</v>
      </c>
      <c r="AL300" s="3" t="str">
        <f>IFERROR(MID(VLOOKUP($B300,Seqs!$A:$B,2,0),AM300,1),"")</f>
        <v>M</v>
      </c>
      <c r="AM300" s="3">
        <v>245</v>
      </c>
      <c r="AN300" s="3" t="str">
        <f>IFERROR(MID(VLOOKUP($B300,Seqs!$A:$B,2,0),AO300,1),"")</f>
        <v>D</v>
      </c>
      <c r="AO300" s="3">
        <v>250</v>
      </c>
      <c r="AP300" s="3" t="str">
        <f>IFERROR(MID(VLOOKUP($B300,Seqs!$A:$B,2,0),AQ300,1),"")</f>
        <v>N</v>
      </c>
      <c r="AQ300" s="3">
        <v>289</v>
      </c>
      <c r="AR300" s="3" t="str">
        <f>IFERROR(MID(VLOOKUP($B300,Seqs!$A:$B,2,0),AS300,1),"")</f>
        <v>T</v>
      </c>
      <c r="AS300" s="3">
        <v>295</v>
      </c>
      <c r="AT300" s="3" t="str">
        <f>IFERROR(MID(VLOOKUP($B300,Seqs!$A:$B,2,0),AU300,1),"")</f>
        <v>L</v>
      </c>
      <c r="AU300" s="3">
        <v>323</v>
      </c>
      <c r="AV300" s="3" t="str">
        <f>IFERROR(MID(VLOOKUP($B300,Seqs!$A:$B,2,0),AW300,1),"")</f>
        <v>N</v>
      </c>
      <c r="AW300" s="3">
        <v>324</v>
      </c>
      <c r="AX300" s="3" t="str">
        <f>IFERROR(MID(VLOOKUP($B300,Seqs!$A:$B,2,0),AY300,1),"")</f>
        <v>F</v>
      </c>
      <c r="AY300" s="3">
        <v>335</v>
      </c>
      <c r="AZ300" s="77" t="str">
        <f>VLOOKUP(B300,Classification!A:D,2,0)</f>
        <v>A</v>
      </c>
      <c r="BA300" s="94" t="str">
        <f>VLOOKUP(B300,Classification!A:D,4,0)</f>
        <v>NeuropeptideY</v>
      </c>
      <c r="BB300" s="27" t="b">
        <f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23">
        <f>_xlfn.AGGREGATE(9,6,CH300:CS300)-_xlfn.AGGREGATE(9,6,BV300:CG300)+12</f>
        <v>263</v>
      </c>
      <c r="BD300" s="5" t="s">
        <v>23</v>
      </c>
      <c r="BE300" s="3" t="s">
        <v>1368</v>
      </c>
      <c r="BF300" s="118" t="s">
        <v>23</v>
      </c>
      <c r="BG300" s="49" t="s">
        <v>1371</v>
      </c>
      <c r="BH300" s="49" t="s">
        <v>1371</v>
      </c>
      <c r="BI300" s="1"/>
      <c r="BJ300" s="70" t="s">
        <v>1281</v>
      </c>
      <c r="BK300" s="57" t="s">
        <v>1281</v>
      </c>
      <c r="BL300" s="57" t="s">
        <v>1281</v>
      </c>
      <c r="BM300" s="57" t="s">
        <v>1281</v>
      </c>
      <c r="BN300" s="57" t="s">
        <v>1281</v>
      </c>
      <c r="BO300" s="57" t="s">
        <v>1281</v>
      </c>
      <c r="BP300" s="57" t="s">
        <v>1281</v>
      </c>
      <c r="BQ300" s="57" t="s">
        <v>1281</v>
      </c>
      <c r="BR300" s="57" t="s">
        <v>1281</v>
      </c>
      <c r="BS300" s="57" t="s">
        <v>1281</v>
      </c>
      <c r="BT300" s="57" t="s">
        <v>1281</v>
      </c>
      <c r="BU300" s="57" t="s">
        <v>1281</v>
      </c>
      <c r="BV300" s="70">
        <f>E300</f>
        <v>36</v>
      </c>
      <c r="BW300" s="71">
        <f>I300</f>
        <v>69</v>
      </c>
      <c r="BX300" s="72">
        <f>M300</f>
        <v>73</v>
      </c>
      <c r="BY300" s="71">
        <f>Q300</f>
        <v>105</v>
      </c>
      <c r="BZ300" s="72">
        <f>U300</f>
        <v>109</v>
      </c>
      <c r="CA300" s="71" t="str">
        <f>Y300</f>
        <v>-</v>
      </c>
      <c r="CB300" s="72">
        <f>AC300</f>
        <v>151</v>
      </c>
      <c r="CC300" s="71">
        <f>AG300</f>
        <v>198</v>
      </c>
      <c r="CD300" s="72">
        <f>AK300</f>
        <v>204</v>
      </c>
      <c r="CE300" s="71">
        <f>AO300</f>
        <v>250</v>
      </c>
      <c r="CF300" s="72">
        <f>AS300</f>
        <v>295</v>
      </c>
      <c r="CG300" s="71">
        <f>AW300</f>
        <v>324</v>
      </c>
      <c r="CH300" s="70">
        <f>G300</f>
        <v>68</v>
      </c>
      <c r="CI300" s="71">
        <f>K300</f>
        <v>72</v>
      </c>
      <c r="CJ300" s="72">
        <f>O300</f>
        <v>104</v>
      </c>
      <c r="CK300" s="72">
        <f>S300</f>
        <v>108</v>
      </c>
      <c r="CL300" s="72">
        <f>W300</f>
        <v>144</v>
      </c>
      <c r="CM300" s="72" t="str">
        <f>AA300</f>
        <v>-</v>
      </c>
      <c r="CN300" s="72">
        <f>AE300</f>
        <v>177</v>
      </c>
      <c r="CO300" s="72">
        <f>AI300</f>
        <v>200</v>
      </c>
      <c r="CP300" s="72">
        <f>AM300</f>
        <v>245</v>
      </c>
      <c r="CQ300" s="72">
        <f>AQ300</f>
        <v>289</v>
      </c>
      <c r="CR300" s="72">
        <f>AU300</f>
        <v>323</v>
      </c>
      <c r="CS300" s="72">
        <f>AY300</f>
        <v>335</v>
      </c>
      <c r="CT300" s="23">
        <f>M300-K300</f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x14ac:dyDescent="0.2">
      <c r="A301" s="3" t="str">
        <f>CONCATENATE(B301,"_",C301)</f>
        <v>npy1r_human_5ZBH</v>
      </c>
      <c r="B301" s="3" t="s">
        <v>324</v>
      </c>
      <c r="C301" s="3" t="s">
        <v>1484</v>
      </c>
      <c r="D301" s="3" t="str">
        <f>IFERROR(MID(VLOOKUP($B301,Seqs!$A:$B,2,0),E301,1),"")</f>
        <v>P</v>
      </c>
      <c r="E301" s="3">
        <v>36</v>
      </c>
      <c r="F301" s="3" t="str">
        <f>IFERROR(MID(VLOOKUP($B301,Seqs!$A:$B,2,0),G301,1),"")</f>
        <v>Q</v>
      </c>
      <c r="G301" s="3">
        <v>68</v>
      </c>
      <c r="H301" s="3" t="str">
        <f>IFERROR(MID(VLOOKUP($B301,Seqs!$A:$B,2,0),I301,1),"")</f>
        <v>K</v>
      </c>
      <c r="I301" s="23">
        <v>69</v>
      </c>
      <c r="J301" s="3" t="str">
        <f>IFERROR(MID(VLOOKUP($B301,Seqs!$A:$B,2,0),K301,1),"")</f>
        <v>R</v>
      </c>
      <c r="K301" s="23">
        <v>72</v>
      </c>
      <c r="L301" s="3" t="str">
        <f>IFERROR(MID(VLOOKUP($B301,Seqs!$A:$B,2,0),M301,1),"")</f>
        <v>N</v>
      </c>
      <c r="M301" s="3">
        <v>73</v>
      </c>
      <c r="N301" s="3" t="str">
        <f>IFERROR(MID(VLOOKUP($B301,Seqs!$A:$B,2,0),O301,1),"")</f>
        <v>M</v>
      </c>
      <c r="O301" s="3">
        <v>103</v>
      </c>
      <c r="P301" s="3" t="str">
        <f>IFERROR(MID(VLOOKUP($B301,Seqs!$A:$B,2,0),Q301,1),"")</f>
        <v>H</v>
      </c>
      <c r="Q301" s="3">
        <v>105</v>
      </c>
      <c r="R301" s="3" t="str">
        <f>IFERROR(MID(VLOOKUP($B301,Seqs!$A:$B,2,0),S301,1),"")</f>
        <v>F</v>
      </c>
      <c r="S301" s="3">
        <v>108</v>
      </c>
      <c r="T301" s="3" t="str">
        <f>IFERROR(MID(VLOOKUP($B301,Seqs!$A:$B,2,0),U301,1),"")</f>
        <v>G</v>
      </c>
      <c r="U301" s="3">
        <v>109</v>
      </c>
      <c r="V301" s="3" t="str">
        <f>IFERROR(MID(VLOOKUP($B301,Seqs!$A:$B,2,0),W301,1),"")</f>
        <v>N</v>
      </c>
      <c r="W301" s="3">
        <v>144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N</v>
      </c>
      <c r="AC301" s="3">
        <v>151</v>
      </c>
      <c r="AD301" s="3" t="str">
        <f>IFERROR(MID(VLOOKUP($B301,Seqs!$A:$B,2,0),AE301,1),"")</f>
        <v>Y</v>
      </c>
      <c r="AE301" s="3">
        <v>176</v>
      </c>
      <c r="AF301" s="3" t="str">
        <f>IFERROR(MID(VLOOKUP($B301,Seqs!$A:$B,2,0),AG301,1),"")</f>
        <v>C</v>
      </c>
      <c r="AG301" s="3">
        <v>198</v>
      </c>
      <c r="AH301" s="3" t="str">
        <f>IFERROR(MID(VLOOKUP($B301,Seqs!$A:$B,2,0),AI301,1),"")</f>
        <v>D</v>
      </c>
      <c r="AI301" s="3">
        <v>200</v>
      </c>
      <c r="AJ301" s="3" t="str">
        <f>IFERROR(MID(VLOOKUP($B301,Seqs!$A:$B,2,0),AK301,1),"")</f>
        <v>S</v>
      </c>
      <c r="AK301" s="3">
        <v>204</v>
      </c>
      <c r="AL301" s="3" t="str">
        <f>IFERROR(MID(VLOOKUP($B301,Seqs!$A:$B,2,0),AM301,1),"")</f>
        <v>R</v>
      </c>
      <c r="AM301" s="3">
        <v>241</v>
      </c>
      <c r="AN301" s="3" t="str">
        <f>IFERROR(MID(VLOOKUP($B301,Seqs!$A:$B,2,0),AO301,1),"")</f>
        <v>Y</v>
      </c>
      <c r="AO301" s="3">
        <v>253</v>
      </c>
      <c r="AP301" s="3" t="str">
        <f>IFERROR(MID(VLOOKUP($B301,Seqs!$A:$B,2,0),AQ301,1),"")</f>
        <v>N</v>
      </c>
      <c r="AQ301" s="3">
        <v>289</v>
      </c>
      <c r="AR301" s="3" t="str">
        <f>IFERROR(MID(VLOOKUP($B301,Seqs!$A:$B,2,0),AS301,1),"")</f>
        <v>T</v>
      </c>
      <c r="AS301" s="3">
        <v>295</v>
      </c>
      <c r="AT301" s="3" t="str">
        <f>IFERROR(MID(VLOOKUP($B301,Seqs!$A:$B,2,0),AU301,1),"")</f>
        <v>L</v>
      </c>
      <c r="AU301" s="3">
        <v>323</v>
      </c>
      <c r="AV301" s="3" t="str">
        <f>IFERROR(MID(VLOOKUP($B301,Seqs!$A:$B,2,0),AW301,1),"")</f>
        <v>N</v>
      </c>
      <c r="AW301" s="3">
        <v>324</v>
      </c>
      <c r="AX301" s="3" t="str">
        <f>IFERROR(MID(VLOOKUP($B301,Seqs!$A:$B,2,0),AY301,1),"")</f>
        <v>F</v>
      </c>
      <c r="AY301" s="3">
        <v>335</v>
      </c>
      <c r="AZ301" s="77" t="str">
        <f>VLOOKUP(B301,Classification!A:D,2,0)</f>
        <v>A</v>
      </c>
      <c r="BA301" s="94" t="str">
        <f>VLOOKUP(B301,Classification!A:D,4,0)</f>
        <v>NeuropeptideY</v>
      </c>
      <c r="BB301" s="27" t="b">
        <f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23">
        <f>_xlfn.AGGREGATE(9,6,CH301:CS301)-_xlfn.AGGREGATE(9,6,BV301:CG301)+12</f>
        <v>254</v>
      </c>
      <c r="BD301" s="5" t="s">
        <v>1370</v>
      </c>
      <c r="BE301" s="3" t="s">
        <v>1368</v>
      </c>
      <c r="BF301" s="118">
        <v>3</v>
      </c>
      <c r="BG301" s="49" t="s">
        <v>1</v>
      </c>
      <c r="BH301" s="49" t="s">
        <v>1</v>
      </c>
      <c r="BI301" s="1"/>
      <c r="BJ301" s="70" t="s">
        <v>1281</v>
      </c>
      <c r="BK301" s="57" t="s">
        <v>1281</v>
      </c>
      <c r="BL301" s="57" t="s">
        <v>1281</v>
      </c>
      <c r="BM301" s="57" t="s">
        <v>1281</v>
      </c>
      <c r="BN301" s="57" t="s">
        <v>1281</v>
      </c>
      <c r="BO301" s="57" t="s">
        <v>1281</v>
      </c>
      <c r="BP301" s="57" t="s">
        <v>1281</v>
      </c>
      <c r="BQ301" s="57" t="s">
        <v>1281</v>
      </c>
      <c r="BR301" s="57" t="s">
        <v>1281</v>
      </c>
      <c r="BS301" s="57" t="s">
        <v>1281</v>
      </c>
      <c r="BT301" s="57" t="s">
        <v>1281</v>
      </c>
      <c r="BU301" s="57" t="s">
        <v>1281</v>
      </c>
      <c r="BV301" s="70">
        <f>E301</f>
        <v>36</v>
      </c>
      <c r="BW301" s="71">
        <f>I301</f>
        <v>69</v>
      </c>
      <c r="BX301" s="72">
        <f>M301</f>
        <v>73</v>
      </c>
      <c r="BY301" s="71">
        <f>Q301</f>
        <v>105</v>
      </c>
      <c r="BZ301" s="72">
        <f>U301</f>
        <v>109</v>
      </c>
      <c r="CA301" s="71" t="str">
        <f>Y301</f>
        <v>-</v>
      </c>
      <c r="CB301" s="72">
        <f>AC301</f>
        <v>151</v>
      </c>
      <c r="CC301" s="71">
        <f>AG301</f>
        <v>198</v>
      </c>
      <c r="CD301" s="72">
        <f>AK301</f>
        <v>204</v>
      </c>
      <c r="CE301" s="71">
        <f>AO301</f>
        <v>253</v>
      </c>
      <c r="CF301" s="72">
        <f>AS301</f>
        <v>295</v>
      </c>
      <c r="CG301" s="71">
        <f>AW301</f>
        <v>324</v>
      </c>
      <c r="CH301" s="70">
        <f>G301</f>
        <v>68</v>
      </c>
      <c r="CI301" s="71">
        <f>K301</f>
        <v>72</v>
      </c>
      <c r="CJ301" s="72">
        <f>O301</f>
        <v>103</v>
      </c>
      <c r="CK301" s="72">
        <f>S301</f>
        <v>108</v>
      </c>
      <c r="CL301" s="72">
        <f>W301</f>
        <v>144</v>
      </c>
      <c r="CM301" s="72" t="str">
        <f>AA301</f>
        <v>-</v>
      </c>
      <c r="CN301" s="72">
        <f>AE301</f>
        <v>176</v>
      </c>
      <c r="CO301" s="72">
        <f>AI301</f>
        <v>200</v>
      </c>
      <c r="CP301" s="72">
        <f>AM301</f>
        <v>241</v>
      </c>
      <c r="CQ301" s="72">
        <f>AQ301</f>
        <v>289</v>
      </c>
      <c r="CR301" s="72">
        <f>AU301</f>
        <v>323</v>
      </c>
      <c r="CS301" s="72">
        <f>AY301</f>
        <v>335</v>
      </c>
      <c r="CT301" s="23">
        <f>M301-K301</f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29" x14ac:dyDescent="0.2">
      <c r="A302" s="3" t="str">
        <f>CONCATENATE(B302,"_",C302)</f>
        <v>npy1r_human_5ZBQ</v>
      </c>
      <c r="B302" s="3" t="s">
        <v>324</v>
      </c>
      <c r="C302" s="3" t="s">
        <v>1483</v>
      </c>
      <c r="D302" s="3" t="str">
        <f>IFERROR(MID(VLOOKUP($B302,Seqs!$A:$B,2,0),E302,1),"")</f>
        <v>P</v>
      </c>
      <c r="E302" s="3">
        <v>36</v>
      </c>
      <c r="F302" s="3" t="str">
        <f>IFERROR(MID(VLOOKUP($B302,Seqs!$A:$B,2,0),G302,1),"")</f>
        <v>Q</v>
      </c>
      <c r="G302" s="3">
        <v>68</v>
      </c>
      <c r="H302" s="3" t="str">
        <f>IFERROR(MID(VLOOKUP($B302,Seqs!$A:$B,2,0),I302,1),"")</f>
        <v/>
      </c>
      <c r="I302" s="23" t="s">
        <v>23</v>
      </c>
      <c r="J302" s="3" t="str">
        <f>IFERROR(MID(VLOOKUP($B302,Seqs!$A:$B,2,0),K302,1),"")</f>
        <v/>
      </c>
      <c r="K302" s="23" t="s">
        <v>23</v>
      </c>
      <c r="L302" s="3" t="str">
        <f>IFERROR(MID(VLOOKUP($B302,Seqs!$A:$B,2,0),M302,1),"")</f>
        <v>V</v>
      </c>
      <c r="M302" s="3">
        <v>74</v>
      </c>
      <c r="N302" s="3" t="str">
        <f>IFERROR(MID(VLOOKUP($B302,Seqs!$A:$B,2,0),O302,1),"")</f>
        <v>D</v>
      </c>
      <c r="O302" s="3">
        <v>104</v>
      </c>
      <c r="P302" s="3" t="str">
        <f>IFERROR(MID(VLOOKUP($B302,Seqs!$A:$B,2,0),Q302,1),"")</f>
        <v>W</v>
      </c>
      <c r="Q302" s="3">
        <v>106</v>
      </c>
      <c r="R302" s="3" t="str">
        <f>IFERROR(MID(VLOOKUP($B302,Seqs!$A:$B,2,0),S302,1),"")</f>
        <v>F</v>
      </c>
      <c r="S302" s="3">
        <v>108</v>
      </c>
      <c r="T302" s="3" t="str">
        <f>IFERROR(MID(VLOOKUP($B302,Seqs!$A:$B,2,0),U302,1),"")</f>
        <v>G</v>
      </c>
      <c r="U302" s="3">
        <v>109</v>
      </c>
      <c r="V302" s="3" t="str">
        <f>IFERROR(MID(VLOOKUP($B302,Seqs!$A:$B,2,0),W302,1),"")</f>
        <v>I</v>
      </c>
      <c r="W302" s="3">
        <v>143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N</v>
      </c>
      <c r="AC302" s="3">
        <v>151</v>
      </c>
      <c r="AD302" s="3" t="str">
        <f>IFERROR(MID(VLOOKUP($B302,Seqs!$A:$B,2,0),AE302,1),"")</f>
        <v>Q</v>
      </c>
      <c r="AE302" s="3">
        <v>177</v>
      </c>
      <c r="AF302" s="3" t="str">
        <f>IFERROR(MID(VLOOKUP($B302,Seqs!$A:$B,2,0),AG302,1),"")</f>
        <v>C</v>
      </c>
      <c r="AG302" s="3">
        <v>198</v>
      </c>
      <c r="AH302" s="3" t="str">
        <f>IFERROR(MID(VLOOKUP($B302,Seqs!$A:$B,2,0),AI302,1),"")</f>
        <v>D</v>
      </c>
      <c r="AI302" s="3">
        <v>200</v>
      </c>
      <c r="AJ302" s="3" t="str">
        <f>IFERROR(MID(VLOOKUP($B302,Seqs!$A:$B,2,0),AK302,1),"")</f>
        <v>S</v>
      </c>
      <c r="AK302" s="3">
        <v>204</v>
      </c>
      <c r="AL302" s="3" t="str">
        <f>IFERROR(MID(VLOOKUP($B302,Seqs!$A:$B,2,0),AM302,1),"")</f>
        <v>R</v>
      </c>
      <c r="AM302" s="3">
        <v>241</v>
      </c>
      <c r="AN302" s="3" t="str">
        <f>IFERROR(MID(VLOOKUP($B302,Seqs!$A:$B,2,0),AO302,1),"")</f>
        <v>T</v>
      </c>
      <c r="AO302" s="3">
        <v>258</v>
      </c>
      <c r="AP302" s="3" t="str">
        <f>IFERROR(MID(VLOOKUP($B302,Seqs!$A:$B,2,0),AQ302,1),"")</f>
        <v>N</v>
      </c>
      <c r="AQ302" s="3">
        <v>289</v>
      </c>
      <c r="AR302" s="3" t="str">
        <f>IFERROR(MID(VLOOKUP($B302,Seqs!$A:$B,2,0),AS302,1),"")</f>
        <v>T</v>
      </c>
      <c r="AS302" s="3">
        <v>295</v>
      </c>
      <c r="AT302" s="3" t="str">
        <f>IFERROR(MID(VLOOKUP($B302,Seqs!$A:$B,2,0),AU302,1),"")</f>
        <v>L</v>
      </c>
      <c r="AU302" s="3">
        <v>323</v>
      </c>
      <c r="AV302" s="3" t="str">
        <f>IFERROR(MID(VLOOKUP($B302,Seqs!$A:$B,2,0),AW302,1),"")</f>
        <v>N</v>
      </c>
      <c r="AW302" s="3">
        <v>324</v>
      </c>
      <c r="AX302" s="3" t="str">
        <f>IFERROR(MID(VLOOKUP($B302,Seqs!$A:$B,2,0),AY302,1),"")</f>
        <v>F</v>
      </c>
      <c r="AY302" s="3">
        <v>335</v>
      </c>
      <c r="AZ302" s="77" t="str">
        <f>VLOOKUP(B302,Classification!A:D,2,0)</f>
        <v>A</v>
      </c>
      <c r="BA302" s="94" t="str">
        <f>VLOOKUP(B302,Classification!A:D,4,0)</f>
        <v>NeuropeptideY</v>
      </c>
      <c r="BB302" s="27" t="b">
        <f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>_xlfn.AGGREGATE(9,6,CH302:CS302)-_xlfn.AGGREGATE(9,6,BV302:CG302)+12</f>
        <v>245</v>
      </c>
      <c r="BD302" s="5" t="s">
        <v>23</v>
      </c>
      <c r="BE302" s="3" t="s">
        <v>1368</v>
      </c>
      <c r="BF302" s="118">
        <v>2.7</v>
      </c>
      <c r="BG302" s="49" t="s">
        <v>1</v>
      </c>
      <c r="BH302" s="49" t="s">
        <v>1</v>
      </c>
      <c r="BI302" s="1"/>
      <c r="BJ302" s="70" t="s">
        <v>1281</v>
      </c>
      <c r="BK302" s="57" t="s">
        <v>1281</v>
      </c>
      <c r="BL302" s="57" t="s">
        <v>1281</v>
      </c>
      <c r="BM302" s="57" t="s">
        <v>1281</v>
      </c>
      <c r="BN302" s="57" t="s">
        <v>1281</v>
      </c>
      <c r="BO302" s="57" t="s">
        <v>1281</v>
      </c>
      <c r="BP302" s="57" t="s">
        <v>1281</v>
      </c>
      <c r="BQ302" s="57" t="s">
        <v>1281</v>
      </c>
      <c r="BR302" s="57" t="s">
        <v>1281</v>
      </c>
      <c r="BS302" s="57" t="s">
        <v>1281</v>
      </c>
      <c r="BT302" s="57" t="s">
        <v>1281</v>
      </c>
      <c r="BU302" s="57" t="s">
        <v>1281</v>
      </c>
      <c r="BV302" s="70">
        <f>E302</f>
        <v>36</v>
      </c>
      <c r="BW302" s="71" t="str">
        <f>I302</f>
        <v>-</v>
      </c>
      <c r="BX302" s="72">
        <f>M302</f>
        <v>74</v>
      </c>
      <c r="BY302" s="71">
        <f>Q302</f>
        <v>106</v>
      </c>
      <c r="BZ302" s="72">
        <f>U302</f>
        <v>109</v>
      </c>
      <c r="CA302" s="71" t="str">
        <f>Y302</f>
        <v>-</v>
      </c>
      <c r="CB302" s="72">
        <f>AC302</f>
        <v>151</v>
      </c>
      <c r="CC302" s="71">
        <f>AG302</f>
        <v>198</v>
      </c>
      <c r="CD302" s="72">
        <f>AK302</f>
        <v>204</v>
      </c>
      <c r="CE302" s="71">
        <f>AO302</f>
        <v>258</v>
      </c>
      <c r="CF302" s="72">
        <f>AS302</f>
        <v>295</v>
      </c>
      <c r="CG302" s="71">
        <f>AW302</f>
        <v>324</v>
      </c>
      <c r="CH302" s="70">
        <f>G302</f>
        <v>68</v>
      </c>
      <c r="CI302" s="71" t="str">
        <f>K302</f>
        <v>-</v>
      </c>
      <c r="CJ302" s="72">
        <f>O302</f>
        <v>104</v>
      </c>
      <c r="CK302" s="72">
        <f>S302</f>
        <v>108</v>
      </c>
      <c r="CL302" s="72">
        <f>W302</f>
        <v>143</v>
      </c>
      <c r="CM302" s="72" t="str">
        <f>AA302</f>
        <v>-</v>
      </c>
      <c r="CN302" s="72">
        <f>AE302</f>
        <v>177</v>
      </c>
      <c r="CO302" s="72">
        <f>AI302</f>
        <v>200</v>
      </c>
      <c r="CP302" s="72">
        <f>AM302</f>
        <v>241</v>
      </c>
      <c r="CQ302" s="72">
        <f>AQ302</f>
        <v>289</v>
      </c>
      <c r="CR302" s="72">
        <f>AU302</f>
        <v>323</v>
      </c>
      <c r="CS302" s="72">
        <f>AY302</f>
        <v>335</v>
      </c>
      <c r="CT302" s="23" t="e">
        <f>M302-K302</f>
        <v>#VALUE!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29" x14ac:dyDescent="0.2">
      <c r="A303" s="3" t="str">
        <f t="shared" ref="A303" si="3019">CONCATENATE(B303,"_",C303)</f>
        <v>ntr1_human__wt</v>
      </c>
      <c r="B303" s="3" t="s">
        <v>127</v>
      </c>
      <c r="C303" s="3" t="s">
        <v>100</v>
      </c>
      <c r="D303" s="3" t="str">
        <f>IFERROR(MID(VLOOKUP($B303,Seqs!$A:$B,2,0),E303,1),"")</f>
        <v>D</v>
      </c>
      <c r="E303" s="3">
        <v>59</v>
      </c>
      <c r="F303" s="3" t="str">
        <f>IFERROR(MID(VLOOKUP($B303,Seqs!$A:$B,2,0),G303,1),"")</f>
        <v>K</v>
      </c>
      <c r="G303" s="3">
        <v>91</v>
      </c>
      <c r="H303" s="3" t="str">
        <f>IFERROR(MID(VLOOKUP($B303,Seqs!$A:$B,2,0),I303,1),"")</f>
        <v>K</v>
      </c>
      <c r="I303" s="23">
        <v>92</v>
      </c>
      <c r="J303" s="3" t="str">
        <f>IFERROR(MID(VLOOKUP($B303,Seqs!$A:$B,2,0),K303,1),"")</f>
        <v>Q</v>
      </c>
      <c r="K303" s="23">
        <v>95</v>
      </c>
      <c r="L303" s="3" t="str">
        <f>IFERROR(MID(VLOOKUP($B303,Seqs!$A:$B,2,0),M303,1),"")</f>
        <v>S</v>
      </c>
      <c r="M303" s="3">
        <v>96</v>
      </c>
      <c r="N303" s="3" t="str">
        <f>IFERROR(MID(VLOOKUP($B303,Seqs!$A:$B,2,0),O303,1),"")</f>
        <v>V</v>
      </c>
      <c r="O303" s="3">
        <v>130</v>
      </c>
      <c r="P303" s="3" t="str">
        <f>IFERROR(MID(VLOOKUP($B303,Seqs!$A:$B,2,0),Q303,1),"")</f>
        <v>P</v>
      </c>
      <c r="Q303" s="3">
        <v>133</v>
      </c>
      <c r="R303" s="3" t="str">
        <f>IFERROR(MID(VLOOKUP($B303,Seqs!$A:$B,2,0),S303,1),"")</f>
        <v>F</v>
      </c>
      <c r="S303" s="3">
        <v>136</v>
      </c>
      <c r="T303" s="3" t="str">
        <f>IFERROR(MID(VLOOKUP($B303,Seqs!$A:$B,2,0),U303,1),"")</f>
        <v>G</v>
      </c>
      <c r="U303" s="3">
        <v>137</v>
      </c>
      <c r="V303" s="3" t="str">
        <f>IFERROR(MID(VLOOKUP($B303,Seqs!$A:$B,2,0),W303,1),"")</f>
        <v>H</v>
      </c>
      <c r="W303" s="3">
        <v>172</v>
      </c>
      <c r="X303" s="3" t="str">
        <f>IFERROR(MID(VLOOKUP($B303,Seqs!$A:$B,2,0),Y303,1),"")</f>
        <v>P</v>
      </c>
      <c r="Y303" s="3">
        <v>173</v>
      </c>
      <c r="Z303" s="3" t="str">
        <f>IFERROR(MID(VLOOKUP($B303,Seqs!$A:$B,2,0),AA303,1),"")</f>
        <v>M</v>
      </c>
      <c r="AA303" s="3">
        <v>180</v>
      </c>
      <c r="AB303" s="3" t="str">
        <f>IFERROR(MID(VLOOKUP($B303,Seqs!$A:$B,2,0),AC303,1),"")</f>
        <v>S</v>
      </c>
      <c r="AC303" s="3">
        <v>181</v>
      </c>
      <c r="AD303" s="3" t="str">
        <f>IFERROR(MID(VLOOKUP($B303,Seqs!$A:$B,2,0),AE303,1),"")</f>
        <v>M</v>
      </c>
      <c r="AE303" s="3">
        <v>207</v>
      </c>
      <c r="AF303" s="3" t="str">
        <f>IFERROR(MID(VLOOKUP($B303,Seqs!$A:$B,2,0),AG303,1),"")</f>
        <v>C</v>
      </c>
      <c r="AG303" s="3">
        <v>224</v>
      </c>
      <c r="AH303" s="3" t="str">
        <f>IFERROR(MID(VLOOKUP($B303,Seqs!$A:$B,2,0),AI303,1),"")</f>
        <v>P</v>
      </c>
      <c r="AI303" s="3">
        <v>226</v>
      </c>
      <c r="AJ303" s="3" t="str">
        <f>IFERROR(MID(VLOOKUP($B303,Seqs!$A:$B,2,0),AK303,1),"")</f>
        <v>H</v>
      </c>
      <c r="AK303" s="3">
        <v>229</v>
      </c>
      <c r="AL303" s="3" t="str">
        <f>IFERROR(MID(VLOOKUP($B303,Seqs!$A:$B,2,0),AM303,1),"")</f>
        <v>G</v>
      </c>
      <c r="AM303" s="3">
        <v>274</v>
      </c>
      <c r="AN303" s="3" t="str">
        <f>IFERROR(MID(VLOOKUP($B303,Seqs!$A:$B,2,0),AO303,1),"")</f>
        <v>P</v>
      </c>
      <c r="AO303" s="3">
        <v>292</v>
      </c>
      <c r="AP303" s="3" t="str">
        <f>IFERROR(MID(VLOOKUP($B303,Seqs!$A:$B,2,0),AQ303,1),"")</f>
        <v>I</v>
      </c>
      <c r="AQ303" s="3">
        <v>329</v>
      </c>
      <c r="AR303" s="3" t="str">
        <f>IFERROR(MID(VLOOKUP($B303,Seqs!$A:$B,2,0),AS303,1),"")</f>
        <v>T</v>
      </c>
      <c r="AS303" s="3">
        <v>335</v>
      </c>
      <c r="AT303" s="3" t="str">
        <f>IFERROR(MID(VLOOKUP($B303,Seqs!$A:$B,2,0),AU303,1),"")</f>
        <v>V</v>
      </c>
      <c r="AU303" s="3">
        <v>367</v>
      </c>
      <c r="AV303" s="3" t="str">
        <f>IFERROR(MID(VLOOKUP($B303,Seqs!$A:$B,2,0),AW303,1),"")</f>
        <v>S</v>
      </c>
      <c r="AW303" s="3">
        <v>368</v>
      </c>
      <c r="AX303" s="3" t="str">
        <f>IFERROR(MID(VLOOKUP($B303,Seqs!$A:$B,2,0),AY303,1),"")</f>
        <v>C</v>
      </c>
      <c r="AY303" s="3">
        <v>383</v>
      </c>
      <c r="AZ303" s="77" t="str">
        <f>VLOOKUP(B303,Classification!A:D,2,0)</f>
        <v>A</v>
      </c>
      <c r="BA303" s="94" t="str">
        <f>VLOOKUP(B303,Classification!A:D,4,0)</f>
        <v>Neurotensin</v>
      </c>
      <c r="BB303" s="27" t="b">
        <f t="shared" ref="BB303" si="3020"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23" t="s">
        <v>23</v>
      </c>
      <c r="BD303" s="56" t="s">
        <v>23</v>
      </c>
      <c r="BE303" s="3" t="s">
        <v>23</v>
      </c>
      <c r="BF303" s="118" t="s">
        <v>23</v>
      </c>
      <c r="BG303" s="49" t="s">
        <v>1366</v>
      </c>
      <c r="BH303" s="49" t="s">
        <v>1371</v>
      </c>
      <c r="BJ303" s="70" t="s">
        <v>1281</v>
      </c>
      <c r="BK303" s="57" t="s">
        <v>1281</v>
      </c>
      <c r="BL303" s="57" t="s">
        <v>1281</v>
      </c>
      <c r="BM303" s="57" t="s">
        <v>1281</v>
      </c>
      <c r="BN303" s="57" t="s">
        <v>1281</v>
      </c>
      <c r="BO303" s="57" t="s">
        <v>1281</v>
      </c>
      <c r="BP303" s="57" t="s">
        <v>1281</v>
      </c>
      <c r="BQ303" s="57" t="s">
        <v>1281</v>
      </c>
      <c r="BR303" s="57" t="s">
        <v>1281</v>
      </c>
      <c r="BS303" s="57" t="s">
        <v>1281</v>
      </c>
      <c r="BT303" s="57" t="s">
        <v>1281</v>
      </c>
      <c r="BU303" s="57" t="s">
        <v>1281</v>
      </c>
      <c r="BV303" s="70">
        <f t="shared" ref="BV303" si="3021">E303</f>
        <v>59</v>
      </c>
      <c r="BW303" s="71">
        <f t="shared" ref="BW303" si="3022">I303</f>
        <v>92</v>
      </c>
      <c r="BX303" s="72">
        <f t="shared" ref="BX303" si="3023">M303</f>
        <v>96</v>
      </c>
      <c r="BY303" s="71">
        <f t="shared" ref="BY303" si="3024">Q303</f>
        <v>133</v>
      </c>
      <c r="BZ303" s="72">
        <f t="shared" ref="BZ303" si="3025">U303</f>
        <v>137</v>
      </c>
      <c r="CA303" s="71">
        <f t="shared" ref="CA303" si="3026">Y303</f>
        <v>173</v>
      </c>
      <c r="CB303" s="72">
        <f t="shared" ref="CB303" si="3027">AC303</f>
        <v>181</v>
      </c>
      <c r="CC303" s="71">
        <f t="shared" ref="CC303" si="3028">AG303</f>
        <v>224</v>
      </c>
      <c r="CD303" s="72">
        <f t="shared" ref="CD303" si="3029">AK303</f>
        <v>229</v>
      </c>
      <c r="CE303" s="71">
        <f t="shared" ref="CE303" si="3030">AO303</f>
        <v>292</v>
      </c>
      <c r="CF303" s="72">
        <f t="shared" ref="CF303" si="3031">AS303</f>
        <v>335</v>
      </c>
      <c r="CG303" s="71">
        <f t="shared" ref="CG303" si="3032">AW303</f>
        <v>368</v>
      </c>
      <c r="CH303" s="70">
        <f t="shared" ref="CH303" si="3033">G303</f>
        <v>91</v>
      </c>
      <c r="CI303" s="71">
        <f t="shared" ref="CI303" si="3034">K303</f>
        <v>95</v>
      </c>
      <c r="CJ303" s="72">
        <f t="shared" ref="CJ303" si="3035">O303</f>
        <v>130</v>
      </c>
      <c r="CK303" s="72">
        <f t="shared" ref="CK303" si="3036">S303</f>
        <v>136</v>
      </c>
      <c r="CL303" s="72">
        <f t="shared" ref="CL303" si="3037">W303</f>
        <v>172</v>
      </c>
      <c r="CM303" s="72">
        <f t="shared" ref="CM303" si="3038">AA303</f>
        <v>180</v>
      </c>
      <c r="CN303" s="72">
        <f t="shared" ref="CN303" si="3039">AE303</f>
        <v>207</v>
      </c>
      <c r="CO303" s="72">
        <f t="shared" ref="CO303" si="3040">AI303</f>
        <v>226</v>
      </c>
      <c r="CP303" s="72">
        <f t="shared" ref="CP303" si="3041">AM303</f>
        <v>274</v>
      </c>
      <c r="CQ303" s="72">
        <f t="shared" ref="CQ303" si="3042">AQ303</f>
        <v>329</v>
      </c>
      <c r="CR303" s="72">
        <f t="shared" ref="CR303" si="3043">AU303</f>
        <v>367</v>
      </c>
      <c r="CS303" s="72">
        <f t="shared" ref="CS303" si="3044">AY303</f>
        <v>383</v>
      </c>
      <c r="CT303" s="23">
        <f t="shared" ref="CT303" si="3045">M303-K303</f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29" x14ac:dyDescent="0.2">
      <c r="A304" s="3" t="str">
        <f t="shared" ref="A304" si="3046">CONCATENATE(B304,"_",C304)</f>
        <v>ntr1_human_6OS9</v>
      </c>
      <c r="B304" s="3" t="s">
        <v>127</v>
      </c>
      <c r="C304" s="3" t="s">
        <v>1577</v>
      </c>
      <c r="D304" s="3" t="str">
        <f>IFERROR(MID(VLOOKUP($B304,Seqs!$A:$B,2,0),E304,1),"")</f>
        <v>D</v>
      </c>
      <c r="E304" s="3">
        <v>59</v>
      </c>
      <c r="F304" s="3" t="str">
        <f>IFERROR(MID(VLOOKUP($B304,Seqs!$A:$B,2,0),G304,1),"")</f>
        <v>K</v>
      </c>
      <c r="G304" s="3">
        <v>91</v>
      </c>
      <c r="H304" s="3" t="str">
        <f>IFERROR(MID(VLOOKUP($B304,Seqs!$A:$B,2,0),I304,1),"")</f>
        <v/>
      </c>
      <c r="I304" s="23" t="s">
        <v>23</v>
      </c>
      <c r="J304" s="3" t="str">
        <f>IFERROR(MID(VLOOKUP($B304,Seqs!$A:$B,2,0),K304,1),"")</f>
        <v/>
      </c>
      <c r="K304" s="23" t="s">
        <v>23</v>
      </c>
      <c r="L304" s="3" t="str">
        <f>IFERROR(MID(VLOOKUP($B304,Seqs!$A:$B,2,0),M304,1),"")</f>
        <v>Q</v>
      </c>
      <c r="M304" s="3">
        <v>98</v>
      </c>
      <c r="N304" s="3" t="str">
        <f>IFERROR(MID(VLOOKUP($B304,Seqs!$A:$B,2,0),O304,1),"")</f>
        <v>V</v>
      </c>
      <c r="O304" s="3">
        <v>130</v>
      </c>
      <c r="P304" s="3" t="str">
        <f>IFERROR(MID(VLOOKUP($B304,Seqs!$A:$B,2,0),Q304,1),"")</f>
        <v>P</v>
      </c>
      <c r="Q304" s="3">
        <v>133</v>
      </c>
      <c r="R304" s="3" t="str">
        <f>IFERROR(MID(VLOOKUP($B304,Seqs!$A:$B,2,0),S304,1),"")</f>
        <v>F</v>
      </c>
      <c r="S304" s="3">
        <v>136</v>
      </c>
      <c r="T304" s="3" t="str">
        <f>IFERROR(MID(VLOOKUP($B304,Seqs!$A:$B,2,0),U304,1),"")</f>
        <v>G</v>
      </c>
      <c r="U304" s="3">
        <v>137</v>
      </c>
      <c r="V304" s="3" t="str">
        <f>IFERROR(MID(VLOOKUP($B304,Seqs!$A:$B,2,0),W304,1),"")</f>
        <v>H</v>
      </c>
      <c r="W304" s="3">
        <v>172</v>
      </c>
      <c r="X304" s="3" t="str">
        <f>IFERROR(MID(VLOOKUP($B304,Seqs!$A:$B,2,0),Y304,1),"")</f>
        <v>P</v>
      </c>
      <c r="Y304" s="3">
        <v>173</v>
      </c>
      <c r="Z304" s="3" t="str">
        <f>IFERROR(MID(VLOOKUP($B304,Seqs!$A:$B,2,0),AA304,1),"")</f>
        <v>M</v>
      </c>
      <c r="AA304" s="3">
        <v>180</v>
      </c>
      <c r="AB304" s="3" t="str">
        <f>IFERROR(MID(VLOOKUP($B304,Seqs!$A:$B,2,0),AC304,1),"")</f>
        <v>S</v>
      </c>
      <c r="AC304" s="3">
        <v>181</v>
      </c>
      <c r="AD304" s="3" t="str">
        <f>IFERROR(MID(VLOOKUP($B304,Seqs!$A:$B,2,0),AE304,1),"")</f>
        <v>L</v>
      </c>
      <c r="AE304" s="3">
        <v>204</v>
      </c>
      <c r="AF304" s="3" t="str">
        <f>IFERROR(MID(VLOOKUP($B304,Seqs!$A:$B,2,0),AG304,1),"")</f>
        <v>C</v>
      </c>
      <c r="AG304" s="3">
        <v>224</v>
      </c>
      <c r="AH304" s="3" t="str">
        <f>IFERROR(MID(VLOOKUP($B304,Seqs!$A:$B,2,0),AI304,1),"")</f>
        <v>P</v>
      </c>
      <c r="AI304" s="3">
        <v>226</v>
      </c>
      <c r="AJ304" s="3" t="str">
        <f>IFERROR(MID(VLOOKUP($B304,Seqs!$A:$B,2,0),AK304,1),"")</f>
        <v>H</v>
      </c>
      <c r="AK304" s="3">
        <v>229</v>
      </c>
      <c r="AL304" s="3" t="str">
        <f>IFERROR(MID(VLOOKUP($B304,Seqs!$A:$B,2,0),AM304,1),"")</f>
        <v>E</v>
      </c>
      <c r="AM304" s="3">
        <v>272</v>
      </c>
      <c r="AN304" s="3" t="str">
        <f>IFERROR(MID(VLOOKUP($B304,Seqs!$A:$B,2,0),AO304,1),"")</f>
        <v>V</v>
      </c>
      <c r="AO304" s="3">
        <v>295</v>
      </c>
      <c r="AP304" s="3" t="str">
        <f>IFERROR(MID(VLOOKUP($B304,Seqs!$A:$B,2,0),AQ304,1),"")</f>
        <v>I</v>
      </c>
      <c r="AQ304" s="3">
        <v>329</v>
      </c>
      <c r="AR304" s="3" t="str">
        <f>IFERROR(MID(VLOOKUP($B304,Seqs!$A:$B,2,0),AS304,1),"")</f>
        <v>T</v>
      </c>
      <c r="AS304" s="3">
        <v>335</v>
      </c>
      <c r="AT304" s="3" t="str">
        <f>IFERROR(MID(VLOOKUP($B304,Seqs!$A:$B,2,0),AU304,1),"")</f>
        <v>L</v>
      </c>
      <c r="AU304" s="3">
        <v>366</v>
      </c>
      <c r="AV304" s="3" t="str">
        <f>IFERROR(MID(VLOOKUP($B304,Seqs!$A:$B,2,0),AW304,1),"")</f>
        <v/>
      </c>
      <c r="AW304" s="3" t="s">
        <v>23</v>
      </c>
      <c r="AX304" s="3" t="str">
        <f>IFERROR(MID(VLOOKUP($B304,Seqs!$A:$B,2,0),AY304,1),"")</f>
        <v/>
      </c>
      <c r="AY304" s="3" t="s">
        <v>23</v>
      </c>
      <c r="AZ304" s="77" t="str">
        <f>VLOOKUP(B304,Classification!A:D,2,0)</f>
        <v>A</v>
      </c>
      <c r="BA304" s="94" t="str">
        <f>VLOOKUP(B304,Classification!A:D,4,0)</f>
        <v>Neurotensin</v>
      </c>
      <c r="BB304" s="27" t="b">
        <f t="shared" ref="BB304" si="3047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23">
        <f t="shared" ref="BC304" si="3048">_xlfn.AGGREGATE(9,6,CH304:CS304)-_xlfn.AGGREGATE(9,6,BV304:CG304)+12</f>
        <v>254</v>
      </c>
      <c r="BD304" s="56" t="s">
        <v>23</v>
      </c>
      <c r="BE304" s="3" t="s">
        <v>1422</v>
      </c>
      <c r="BF304" s="118">
        <v>3</v>
      </c>
      <c r="BG304" s="49" t="s">
        <v>1416</v>
      </c>
      <c r="BH304" s="49" t="s">
        <v>1416</v>
      </c>
      <c r="BJ304" s="70" t="s">
        <v>1281</v>
      </c>
      <c r="BK304" s="57" t="s">
        <v>1281</v>
      </c>
      <c r="BL304" s="57" t="s">
        <v>1281</v>
      </c>
      <c r="BM304" s="57" t="s">
        <v>1281</v>
      </c>
      <c r="BN304" s="57" t="s">
        <v>1281</v>
      </c>
      <c r="BO304" s="57" t="s">
        <v>1281</v>
      </c>
      <c r="BP304" s="57" t="s">
        <v>1281</v>
      </c>
      <c r="BQ304" s="57" t="s">
        <v>1281</v>
      </c>
      <c r="BR304" s="57" t="s">
        <v>1281</v>
      </c>
      <c r="BS304" s="57" t="s">
        <v>1281</v>
      </c>
      <c r="BT304" s="57" t="s">
        <v>1281</v>
      </c>
      <c r="BU304" s="57" t="s">
        <v>1281</v>
      </c>
      <c r="BV304" s="70">
        <f t="shared" ref="BV304" si="3049">E304</f>
        <v>59</v>
      </c>
      <c r="BW304" s="71" t="str">
        <f t="shared" ref="BW304" si="3050">I304</f>
        <v>-</v>
      </c>
      <c r="BX304" s="72">
        <f t="shared" ref="BX304" si="3051">M304</f>
        <v>98</v>
      </c>
      <c r="BY304" s="71">
        <f t="shared" ref="BY304" si="3052">Q304</f>
        <v>133</v>
      </c>
      <c r="BZ304" s="72">
        <f t="shared" ref="BZ304" si="3053">U304</f>
        <v>137</v>
      </c>
      <c r="CA304" s="71">
        <f t="shared" ref="CA304" si="3054">Y304</f>
        <v>173</v>
      </c>
      <c r="CB304" s="72">
        <f t="shared" ref="CB304" si="3055">AC304</f>
        <v>181</v>
      </c>
      <c r="CC304" s="71">
        <f t="shared" ref="CC304" si="3056">AG304</f>
        <v>224</v>
      </c>
      <c r="CD304" s="72">
        <f t="shared" ref="CD304" si="3057">AK304</f>
        <v>229</v>
      </c>
      <c r="CE304" s="71">
        <f t="shared" ref="CE304" si="3058">AO304</f>
        <v>295</v>
      </c>
      <c r="CF304" s="72">
        <f t="shared" ref="CF304" si="3059">AS304</f>
        <v>335</v>
      </c>
      <c r="CG304" s="71" t="str">
        <f t="shared" ref="CG304" si="3060">AW304</f>
        <v>-</v>
      </c>
      <c r="CH304" s="70">
        <f t="shared" ref="CH304" si="3061">G304</f>
        <v>91</v>
      </c>
      <c r="CI304" s="71" t="str">
        <f t="shared" ref="CI304" si="3062">K304</f>
        <v>-</v>
      </c>
      <c r="CJ304" s="72">
        <f t="shared" ref="CJ304" si="3063">O304</f>
        <v>130</v>
      </c>
      <c r="CK304" s="72">
        <f t="shared" ref="CK304" si="3064">S304</f>
        <v>136</v>
      </c>
      <c r="CL304" s="72">
        <f t="shared" ref="CL304" si="3065">W304</f>
        <v>172</v>
      </c>
      <c r="CM304" s="72">
        <f t="shared" ref="CM304" si="3066">AA304</f>
        <v>180</v>
      </c>
      <c r="CN304" s="72">
        <f t="shared" ref="CN304" si="3067">AE304</f>
        <v>204</v>
      </c>
      <c r="CO304" s="72">
        <f t="shared" ref="CO304" si="3068">AI304</f>
        <v>226</v>
      </c>
      <c r="CP304" s="72">
        <f t="shared" ref="CP304" si="3069">AM304</f>
        <v>272</v>
      </c>
      <c r="CQ304" s="72">
        <f t="shared" ref="CQ304" si="3070">AQ304</f>
        <v>329</v>
      </c>
      <c r="CR304" s="72">
        <f t="shared" ref="CR304" si="3071">AU304</f>
        <v>366</v>
      </c>
      <c r="CS304" s="72" t="str">
        <f t="shared" ref="CS304" si="3072">AY304</f>
        <v>-</v>
      </c>
      <c r="CT304" s="23" t="e">
        <f t="shared" ref="CT304" si="3073">M304-K304</f>
        <v>#VALUE!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 t="shared" ref="A305" si="3074">CONCATENATE(B305,"_",C305)</f>
        <v>ntr1_human_6OSA</v>
      </c>
      <c r="B305" s="3" t="s">
        <v>127</v>
      </c>
      <c r="C305" s="3" t="s">
        <v>1578</v>
      </c>
      <c r="D305" s="3" t="str">
        <f>IFERROR(MID(VLOOKUP($B305,Seqs!$A:$B,2,0),E305,1),"")</f>
        <v>D</v>
      </c>
      <c r="E305" s="3">
        <v>59</v>
      </c>
      <c r="F305" s="3" t="str">
        <f>IFERROR(MID(VLOOKUP($B305,Seqs!$A:$B,2,0),G305,1),"")</f>
        <v>K</v>
      </c>
      <c r="G305" s="3">
        <v>91</v>
      </c>
      <c r="H305" s="3" t="str">
        <f>IFERROR(MID(VLOOKUP($B305,Seqs!$A:$B,2,0),I305,1),"")</f>
        <v/>
      </c>
      <c r="I305" s="23" t="s">
        <v>23</v>
      </c>
      <c r="J305" s="3" t="str">
        <f>IFERROR(MID(VLOOKUP($B305,Seqs!$A:$B,2,0),K305,1),"")</f>
        <v/>
      </c>
      <c r="K305" s="23" t="s">
        <v>23</v>
      </c>
      <c r="L305" s="3" t="str">
        <f>IFERROR(MID(VLOOKUP($B305,Seqs!$A:$B,2,0),M305,1),"")</f>
        <v>L</v>
      </c>
      <c r="M305" s="3">
        <v>97</v>
      </c>
      <c r="N305" s="3" t="str">
        <f>IFERROR(MID(VLOOKUP($B305,Seqs!$A:$B,2,0),O305,1),"")</f>
        <v>V</v>
      </c>
      <c r="O305" s="3">
        <v>130</v>
      </c>
      <c r="P305" s="3" t="str">
        <f>IFERROR(MID(VLOOKUP($B305,Seqs!$A:$B,2,0),Q305,1),"")</f>
        <v>P</v>
      </c>
      <c r="Q305" s="3">
        <v>133</v>
      </c>
      <c r="R305" s="3" t="str">
        <f>IFERROR(MID(VLOOKUP($B305,Seqs!$A:$B,2,0),S305,1),"")</f>
        <v>F</v>
      </c>
      <c r="S305" s="3">
        <v>136</v>
      </c>
      <c r="T305" s="3" t="str">
        <f>IFERROR(MID(VLOOKUP($B305,Seqs!$A:$B,2,0),U305,1),"")</f>
        <v>A</v>
      </c>
      <c r="U305" s="3">
        <v>139</v>
      </c>
      <c r="V305" s="3" t="str">
        <f>IFERROR(MID(VLOOKUP($B305,Seqs!$A:$B,2,0),W305,1),"")</f>
        <v>C</v>
      </c>
      <c r="W305" s="3">
        <v>171</v>
      </c>
      <c r="X305" s="3" t="str">
        <f>IFERROR(MID(VLOOKUP($B305,Seqs!$A:$B,2,0),Y305,1),"")</f>
        <v>P</v>
      </c>
      <c r="Y305" s="3">
        <v>173</v>
      </c>
      <c r="Z305" s="3" t="str">
        <f>IFERROR(MID(VLOOKUP($B305,Seqs!$A:$B,2,0),AA305,1),"")</f>
        <v>M</v>
      </c>
      <c r="AA305" s="3">
        <v>180</v>
      </c>
      <c r="AB305" s="3" t="str">
        <f>IFERROR(MID(VLOOKUP($B305,Seqs!$A:$B,2,0),AC305,1),"")</f>
        <v>S</v>
      </c>
      <c r="AC305" s="3">
        <v>181</v>
      </c>
      <c r="AD305" s="3" t="str">
        <f>IFERROR(MID(VLOOKUP($B305,Seqs!$A:$B,2,0),AE305,1),"")</f>
        <v>M</v>
      </c>
      <c r="AE305" s="3">
        <v>207</v>
      </c>
      <c r="AF305" s="3" t="str">
        <f>IFERROR(MID(VLOOKUP($B305,Seqs!$A:$B,2,0),AG305,1),"")</f>
        <v>C</v>
      </c>
      <c r="AG305" s="3">
        <v>224</v>
      </c>
      <c r="AH305" s="3" t="str">
        <f>IFERROR(MID(VLOOKUP($B305,Seqs!$A:$B,2,0),AI305,1),"")</f>
        <v>P</v>
      </c>
      <c r="AI305" s="3">
        <v>226</v>
      </c>
      <c r="AJ305" s="3" t="str">
        <f>IFERROR(MID(VLOOKUP($B305,Seqs!$A:$B,2,0),AK305,1),"")</f>
        <v>H</v>
      </c>
      <c r="AK305" s="3">
        <v>229</v>
      </c>
      <c r="AL305" s="3" t="str">
        <f>IFERROR(MID(VLOOKUP($B305,Seqs!$A:$B,2,0),AM305,1),"")</f>
        <v>Q</v>
      </c>
      <c r="AM305" s="3">
        <v>273</v>
      </c>
      <c r="AN305" s="3" t="str">
        <f>IFERROR(MID(VLOOKUP($B305,Seqs!$A:$B,2,0),AO305,1),"")</f>
        <v>G</v>
      </c>
      <c r="AO305" s="3">
        <v>280</v>
      </c>
      <c r="AP305" s="3" t="str">
        <f>IFERROR(MID(VLOOKUP($B305,Seqs!$A:$B,2,0),AQ305,1),"")</f>
        <v>Y</v>
      </c>
      <c r="AQ305" s="3">
        <v>328</v>
      </c>
      <c r="AR305" s="3" t="str">
        <f>IFERROR(MID(VLOOKUP($B305,Seqs!$A:$B,2,0),AS305,1),"")</f>
        <v>T</v>
      </c>
      <c r="AS305" s="3">
        <v>335</v>
      </c>
      <c r="AT305" s="3" t="str">
        <f>IFERROR(MID(VLOOKUP($B305,Seqs!$A:$B,2,0),AU305,1),"")</f>
        <v>V</v>
      </c>
      <c r="AU305" s="3">
        <v>367</v>
      </c>
      <c r="AV305" s="3" t="str">
        <f>IFERROR(MID(VLOOKUP($B305,Seqs!$A:$B,2,0),AW305,1),"")</f>
        <v>S</v>
      </c>
      <c r="AW305" s="3">
        <v>368</v>
      </c>
      <c r="AX305" s="3" t="str">
        <f>IFERROR(MID(VLOOKUP($B305,Seqs!$A:$B,2,0),AY305,1),"")</f>
        <v>C</v>
      </c>
      <c r="AY305" s="3">
        <v>383</v>
      </c>
      <c r="AZ305" s="77" t="str">
        <f>VLOOKUP(B305,Classification!A:D,2,0)</f>
        <v>A</v>
      </c>
      <c r="BA305" s="94" t="str">
        <f>VLOOKUP(B305,Classification!A:D,4,0)</f>
        <v>Neurotensin</v>
      </c>
      <c r="BB305" s="27" t="b">
        <f t="shared" ref="BB305" si="3075"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23">
        <f t="shared" ref="BC305" si="3076">_xlfn.AGGREGATE(9,6,CH305:CS305)-_xlfn.AGGREGATE(9,6,BV305:CG305)+12</f>
        <v>286</v>
      </c>
      <c r="BD305" s="56" t="s">
        <v>1423</v>
      </c>
      <c r="BE305" s="3" t="s">
        <v>1422</v>
      </c>
      <c r="BF305" s="118">
        <v>3</v>
      </c>
      <c r="BG305" s="49" t="s">
        <v>1416</v>
      </c>
      <c r="BH305" s="49" t="s">
        <v>1416</v>
      </c>
      <c r="BJ305" s="70" t="s">
        <v>1281</v>
      </c>
      <c r="BK305" s="57" t="s">
        <v>1281</v>
      </c>
      <c r="BL305" s="57" t="s">
        <v>1281</v>
      </c>
      <c r="BM305" s="57" t="s">
        <v>1281</v>
      </c>
      <c r="BN305" s="57" t="s">
        <v>1281</v>
      </c>
      <c r="BO305" s="57" t="s">
        <v>1281</v>
      </c>
      <c r="BP305" s="57" t="s">
        <v>1281</v>
      </c>
      <c r="BQ305" s="57" t="s">
        <v>1281</v>
      </c>
      <c r="BR305" s="57" t="s">
        <v>1281</v>
      </c>
      <c r="BS305" s="57" t="s">
        <v>1281</v>
      </c>
      <c r="BT305" s="57" t="s">
        <v>1281</v>
      </c>
      <c r="BU305" s="57" t="s">
        <v>1281</v>
      </c>
      <c r="BV305" s="70">
        <f t="shared" ref="BV305" si="3077">E305</f>
        <v>59</v>
      </c>
      <c r="BW305" s="71" t="str">
        <f t="shared" ref="BW305" si="3078">I305</f>
        <v>-</v>
      </c>
      <c r="BX305" s="72">
        <f t="shared" ref="BX305" si="3079">M305</f>
        <v>97</v>
      </c>
      <c r="BY305" s="71">
        <f t="shared" ref="BY305" si="3080">Q305</f>
        <v>133</v>
      </c>
      <c r="BZ305" s="72">
        <f t="shared" ref="BZ305" si="3081">U305</f>
        <v>139</v>
      </c>
      <c r="CA305" s="71">
        <f t="shared" ref="CA305" si="3082">Y305</f>
        <v>173</v>
      </c>
      <c r="CB305" s="72">
        <f t="shared" ref="CB305" si="3083">AC305</f>
        <v>181</v>
      </c>
      <c r="CC305" s="71">
        <f t="shared" ref="CC305" si="3084">AG305</f>
        <v>224</v>
      </c>
      <c r="CD305" s="72">
        <f t="shared" ref="CD305" si="3085">AK305</f>
        <v>229</v>
      </c>
      <c r="CE305" s="71">
        <f t="shared" ref="CE305" si="3086">AO305</f>
        <v>280</v>
      </c>
      <c r="CF305" s="72">
        <f t="shared" ref="CF305" si="3087">AS305</f>
        <v>335</v>
      </c>
      <c r="CG305" s="71">
        <f t="shared" ref="CG305" si="3088">AW305</f>
        <v>368</v>
      </c>
      <c r="CH305" s="70">
        <f t="shared" ref="CH305" si="3089">G305</f>
        <v>91</v>
      </c>
      <c r="CI305" s="71" t="str">
        <f t="shared" ref="CI305" si="3090">K305</f>
        <v>-</v>
      </c>
      <c r="CJ305" s="72">
        <f t="shared" ref="CJ305" si="3091">O305</f>
        <v>130</v>
      </c>
      <c r="CK305" s="72">
        <f t="shared" ref="CK305" si="3092">S305</f>
        <v>136</v>
      </c>
      <c r="CL305" s="72">
        <f t="shared" ref="CL305" si="3093">W305</f>
        <v>171</v>
      </c>
      <c r="CM305" s="72">
        <f t="shared" ref="CM305" si="3094">AA305</f>
        <v>180</v>
      </c>
      <c r="CN305" s="72">
        <f t="shared" ref="CN305" si="3095">AE305</f>
        <v>207</v>
      </c>
      <c r="CO305" s="72">
        <f t="shared" ref="CO305" si="3096">AI305</f>
        <v>226</v>
      </c>
      <c r="CP305" s="72">
        <f t="shared" ref="CP305" si="3097">AM305</f>
        <v>273</v>
      </c>
      <c r="CQ305" s="72">
        <f t="shared" ref="CQ305" si="3098">AQ305</f>
        <v>328</v>
      </c>
      <c r="CR305" s="72">
        <f t="shared" ref="CR305" si="3099">AU305</f>
        <v>367</v>
      </c>
      <c r="CS305" s="72">
        <f t="shared" ref="CS305" si="3100">AY305</f>
        <v>383</v>
      </c>
      <c r="CT305" s="23" t="e">
        <f t="shared" ref="CT305" si="3101">M305-K305</f>
        <v>#VALUE!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ref="A306" si="3102">CONCATENATE(B306,"_",C306)</f>
        <v>ntr1_human_6PWC</v>
      </c>
      <c r="B306" s="3" t="s">
        <v>127</v>
      </c>
      <c r="C306" s="3" t="s">
        <v>1612</v>
      </c>
      <c r="D306" s="3" t="str">
        <f>IFERROR(MID(VLOOKUP($B306,Seqs!$A:$B,2,0),E306,1),"")</f>
        <v>D</v>
      </c>
      <c r="E306" s="3">
        <v>59</v>
      </c>
      <c r="F306" s="3" t="str">
        <f>IFERROR(MID(VLOOKUP($B306,Seqs!$A:$B,2,0),G306,1),"")</f>
        <v>K</v>
      </c>
      <c r="G306" s="3">
        <v>91</v>
      </c>
      <c r="H306" s="3" t="str">
        <f>IFERROR(MID(VLOOKUP($B306,Seqs!$A:$B,2,0),I306,1),"")</f>
        <v/>
      </c>
      <c r="I306" s="23" t="s">
        <v>23</v>
      </c>
      <c r="J306" s="3" t="str">
        <f>IFERROR(MID(VLOOKUP($B306,Seqs!$A:$B,2,0),K306,1),"")</f>
        <v/>
      </c>
      <c r="K306" s="23" t="s">
        <v>23</v>
      </c>
      <c r="L306" s="3" t="str">
        <f>IFERROR(MID(VLOOKUP($B306,Seqs!$A:$B,2,0),M306,1),"")</f>
        <v>Q</v>
      </c>
      <c r="M306" s="3">
        <v>98</v>
      </c>
      <c r="N306" s="3" t="str">
        <f>IFERROR(MID(VLOOKUP($B306,Seqs!$A:$B,2,0),O306,1),"")</f>
        <v>W</v>
      </c>
      <c r="O306" s="3">
        <v>129</v>
      </c>
      <c r="P306" s="3" t="str">
        <f>IFERROR(MID(VLOOKUP($B306,Seqs!$A:$B,2,0),Q306,1),"")</f>
        <v>P</v>
      </c>
      <c r="Q306" s="3">
        <v>133</v>
      </c>
      <c r="R306" s="3" t="str">
        <f>IFERROR(MID(VLOOKUP($B306,Seqs!$A:$B,2,0),S306,1),"")</f>
        <v>F</v>
      </c>
      <c r="S306" s="3">
        <v>136</v>
      </c>
      <c r="T306" s="3" t="str">
        <f>IFERROR(MID(VLOOKUP($B306,Seqs!$A:$B,2,0),U306,1),"")</f>
        <v>G</v>
      </c>
      <c r="U306" s="3">
        <v>137</v>
      </c>
      <c r="V306" s="3" t="str">
        <f>IFERROR(MID(VLOOKUP($B306,Seqs!$A:$B,2,0),W306,1),"")</f>
        <v>H</v>
      </c>
      <c r="W306" s="3">
        <v>172</v>
      </c>
      <c r="X306" s="3" t="str">
        <f>IFERROR(MID(VLOOKUP($B306,Seqs!$A:$B,2,0),Y306,1),"")</f>
        <v>P</v>
      </c>
      <c r="Y306" s="3">
        <v>173</v>
      </c>
      <c r="Z306" s="3" t="str">
        <f>IFERROR(MID(VLOOKUP($B306,Seqs!$A:$B,2,0),AA306,1),"")</f>
        <v>M</v>
      </c>
      <c r="AA306" s="3">
        <v>180</v>
      </c>
      <c r="AB306" s="3" t="str">
        <f>IFERROR(MID(VLOOKUP($B306,Seqs!$A:$B,2,0),AC306,1),"")</f>
        <v>S</v>
      </c>
      <c r="AC306" s="3">
        <v>181</v>
      </c>
      <c r="AD306" s="3" t="str">
        <f>IFERROR(MID(VLOOKUP($B306,Seqs!$A:$B,2,0),AE306,1),"")</f>
        <v>T</v>
      </c>
      <c r="AE306" s="3">
        <v>206</v>
      </c>
      <c r="AF306" s="3" t="str">
        <f>IFERROR(MID(VLOOKUP($B306,Seqs!$A:$B,2,0),AG306,1),"")</f>
        <v>C</v>
      </c>
      <c r="AG306" s="3">
        <v>224</v>
      </c>
      <c r="AH306" s="3" t="str">
        <f>IFERROR(MID(VLOOKUP($B306,Seqs!$A:$B,2,0),AI306,1),"")</f>
        <v>P</v>
      </c>
      <c r="AI306" s="3">
        <v>226</v>
      </c>
      <c r="AJ306" s="3" t="str">
        <f>IFERROR(MID(VLOOKUP($B306,Seqs!$A:$B,2,0),AK306,1),"")</f>
        <v>H</v>
      </c>
      <c r="AK306" s="3">
        <v>229</v>
      </c>
      <c r="AL306" s="3" t="str">
        <f>IFERROR(MID(VLOOKUP($B306,Seqs!$A:$B,2,0),AM306,1),"")</f>
        <v>Q</v>
      </c>
      <c r="AM306" s="3">
        <v>269</v>
      </c>
      <c r="AN306" s="3" t="str">
        <f>IFERROR(MID(VLOOKUP($B306,Seqs!$A:$B,2,0),AO306,1),"")</f>
        <v>G</v>
      </c>
      <c r="AO306" s="3">
        <v>293</v>
      </c>
      <c r="AP306" s="3" t="str">
        <f>IFERROR(MID(VLOOKUP($B306,Seqs!$A:$B,2,0),AQ306,1),"")</f>
        <v>I</v>
      </c>
      <c r="AQ306" s="3">
        <v>329</v>
      </c>
      <c r="AR306" s="3" t="str">
        <f>IFERROR(MID(VLOOKUP($B306,Seqs!$A:$B,2,0),AS306,1),"")</f>
        <v>T</v>
      </c>
      <c r="AS306" s="3">
        <v>335</v>
      </c>
      <c r="AT306" s="3" t="str">
        <f>IFERROR(MID(VLOOKUP($B306,Seqs!$A:$B,2,0),AU306,1),"")</f>
        <v>V</v>
      </c>
      <c r="AU306" s="3">
        <v>367</v>
      </c>
      <c r="AV306" s="3" t="str">
        <f>IFERROR(MID(VLOOKUP($B306,Seqs!$A:$B,2,0),AW306,1),"")</f>
        <v>S</v>
      </c>
      <c r="AW306" s="3">
        <v>368</v>
      </c>
      <c r="AX306" s="3" t="str">
        <f>IFERROR(MID(VLOOKUP($B306,Seqs!$A:$B,2,0),AY306,1),"")</f>
        <v>C</v>
      </c>
      <c r="AY306" s="3">
        <v>383</v>
      </c>
      <c r="AZ306" s="77" t="str">
        <f>VLOOKUP(B306,Classification!A:D,2,0)</f>
        <v>A</v>
      </c>
      <c r="BA306" s="94" t="str">
        <f>VLOOKUP(B306,Classification!A:D,4,0)</f>
        <v>Neurotensin</v>
      </c>
      <c r="BB306" s="27" t="b">
        <f t="shared" ref="BB306" si="3103">AND(E306&lt;G306,OR(G306&lt;I306,I306="-"),OR(I306&lt;K306,I306="-"),OR(K306&lt;M306,K306="-"),M306&lt;O306,OR(O306&lt;Q306,Q306="-"),OR(Q306&lt;S306,Q306="-"),OR(S306&lt;U306,S306="-"),U306&lt;W306,OR(W306&lt;Y306,Y306="-"),OR(Y306&lt;AA306,Y306="-"),OR(AA306&lt;AC306,AA306="-"),AC306&lt;AE306,OR(AE306&lt;AG306,AG306="-"),OR(AG306&lt;AI306,AG306="-"),OR(AI306&lt;AK306,AI306="-"),AK306&lt;AM306,AM306&lt;AO306,AO306&lt;AQ306,AQ306&lt;AS306,AS306&lt;AU306,OR(AU306&lt;AW306,AW306="-"),OR(AW306&lt;AY306,AW306="-"))</f>
        <v>1</v>
      </c>
      <c r="BC306" s="23">
        <f t="shared" ref="BC306" si="3104">_xlfn.AGGREGATE(9,6,CH306:CS306)-_xlfn.AGGREGATE(9,6,BV306:CG306)+12</f>
        <v>270</v>
      </c>
      <c r="BD306" s="56" t="s">
        <v>1369</v>
      </c>
      <c r="BE306" s="3" t="s">
        <v>1285</v>
      </c>
      <c r="BF306" s="118">
        <v>4.9000000000000004</v>
      </c>
      <c r="BG306" s="49" t="s">
        <v>1416</v>
      </c>
      <c r="BH306" s="49" t="s">
        <v>1416</v>
      </c>
      <c r="BJ306" s="70" t="s">
        <v>1281</v>
      </c>
      <c r="BK306" s="57" t="s">
        <v>1281</v>
      </c>
      <c r="BL306" s="57" t="s">
        <v>1281</v>
      </c>
      <c r="BM306" s="57" t="s">
        <v>1281</v>
      </c>
      <c r="BN306" s="57" t="s">
        <v>1281</v>
      </c>
      <c r="BO306" s="57" t="s">
        <v>1281</v>
      </c>
      <c r="BP306" s="57" t="s">
        <v>1281</v>
      </c>
      <c r="BQ306" s="57" t="s">
        <v>1281</v>
      </c>
      <c r="BR306" s="57" t="s">
        <v>1281</v>
      </c>
      <c r="BS306" s="57" t="s">
        <v>1281</v>
      </c>
      <c r="BT306" s="57" t="s">
        <v>1281</v>
      </c>
      <c r="BU306" s="57" t="s">
        <v>1281</v>
      </c>
      <c r="BV306" s="70">
        <f t="shared" ref="BV306" si="3105">E306</f>
        <v>59</v>
      </c>
      <c r="BW306" s="71" t="str">
        <f t="shared" ref="BW306" si="3106">I306</f>
        <v>-</v>
      </c>
      <c r="BX306" s="72">
        <f t="shared" ref="BX306" si="3107">M306</f>
        <v>98</v>
      </c>
      <c r="BY306" s="71">
        <f t="shared" ref="BY306" si="3108">Q306</f>
        <v>133</v>
      </c>
      <c r="BZ306" s="72">
        <f t="shared" ref="BZ306" si="3109">U306</f>
        <v>137</v>
      </c>
      <c r="CA306" s="71">
        <f t="shared" ref="CA306" si="3110">Y306</f>
        <v>173</v>
      </c>
      <c r="CB306" s="72">
        <f t="shared" ref="CB306" si="3111">AC306</f>
        <v>181</v>
      </c>
      <c r="CC306" s="71">
        <f t="shared" ref="CC306" si="3112">AG306</f>
        <v>224</v>
      </c>
      <c r="CD306" s="72">
        <f t="shared" ref="CD306" si="3113">AK306</f>
        <v>229</v>
      </c>
      <c r="CE306" s="71">
        <f t="shared" ref="CE306" si="3114">AO306</f>
        <v>293</v>
      </c>
      <c r="CF306" s="72">
        <f t="shared" ref="CF306" si="3115">AS306</f>
        <v>335</v>
      </c>
      <c r="CG306" s="71">
        <f t="shared" ref="CG306" si="3116">AW306</f>
        <v>368</v>
      </c>
      <c r="CH306" s="70">
        <f t="shared" ref="CH306" si="3117">G306</f>
        <v>91</v>
      </c>
      <c r="CI306" s="71" t="str">
        <f t="shared" ref="CI306" si="3118">K306</f>
        <v>-</v>
      </c>
      <c r="CJ306" s="72">
        <f t="shared" ref="CJ306" si="3119">O306</f>
        <v>129</v>
      </c>
      <c r="CK306" s="72">
        <f t="shared" ref="CK306" si="3120">S306</f>
        <v>136</v>
      </c>
      <c r="CL306" s="72">
        <f t="shared" ref="CL306" si="3121">W306</f>
        <v>172</v>
      </c>
      <c r="CM306" s="72">
        <f t="shared" ref="CM306" si="3122">AA306</f>
        <v>180</v>
      </c>
      <c r="CN306" s="72">
        <f t="shared" ref="CN306" si="3123">AE306</f>
        <v>206</v>
      </c>
      <c r="CO306" s="72">
        <f t="shared" ref="CO306" si="3124">AI306</f>
        <v>226</v>
      </c>
      <c r="CP306" s="72">
        <f t="shared" ref="CP306" si="3125">AM306</f>
        <v>269</v>
      </c>
      <c r="CQ306" s="72">
        <f t="shared" ref="CQ306" si="3126">AQ306</f>
        <v>329</v>
      </c>
      <c r="CR306" s="72">
        <f t="shared" ref="CR306" si="3127">AU306</f>
        <v>367</v>
      </c>
      <c r="CS306" s="72">
        <f t="shared" ref="CS306" si="3128">AY306</f>
        <v>383</v>
      </c>
      <c r="CT306" s="23" t="e">
        <f t="shared" ref="CT306" si="3129">M306-K306</f>
        <v>#VALUE!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 t="shared" ref="A307" si="3130">CONCATENATE(B307,"_",C307)</f>
        <v>ntr1_human_6UP7</v>
      </c>
      <c r="B307" s="3" t="s">
        <v>127</v>
      </c>
      <c r="C307" s="3" t="s">
        <v>1658</v>
      </c>
      <c r="D307" s="3" t="str">
        <f>IFERROR(MID(VLOOKUP($B307,Seqs!$A:$B,2,0),E307,1),"")</f>
        <v>D</v>
      </c>
      <c r="E307" s="3">
        <v>59</v>
      </c>
      <c r="F307" s="3" t="str">
        <f>IFERROR(MID(VLOOKUP($B307,Seqs!$A:$B,2,0),G307,1),"")</f>
        <v>S</v>
      </c>
      <c r="G307" s="3">
        <v>93</v>
      </c>
      <c r="H307" s="3" t="str">
        <f>IFERROR(MID(VLOOKUP($B307,Seqs!$A:$B,2,0),I307,1),"")</f>
        <v/>
      </c>
      <c r="I307" s="23" t="s">
        <v>23</v>
      </c>
      <c r="J307" s="3" t="str">
        <f>IFERROR(MID(VLOOKUP($B307,Seqs!$A:$B,2,0),K307,1),"")</f>
        <v/>
      </c>
      <c r="K307" s="23" t="s">
        <v>23</v>
      </c>
      <c r="L307" s="3" t="str">
        <f>IFERROR(MID(VLOOKUP($B307,Seqs!$A:$B,2,0),M307,1),"")</f>
        <v>V</v>
      </c>
      <c r="M307" s="3">
        <v>101</v>
      </c>
      <c r="N307" s="3" t="str">
        <f>IFERROR(MID(VLOOKUP($B307,Seqs!$A:$B,2,0),O307,1),"")</f>
        <v>V</v>
      </c>
      <c r="O307" s="3">
        <v>130</v>
      </c>
      <c r="P307" s="3" t="str">
        <f>IFERROR(MID(VLOOKUP($B307,Seqs!$A:$B,2,0),Q307,1),"")</f>
        <v>P</v>
      </c>
      <c r="Q307" s="3">
        <v>133</v>
      </c>
      <c r="R307" s="3" t="str">
        <f>IFERROR(MID(VLOOKUP($B307,Seqs!$A:$B,2,0),S307,1),"")</f>
        <v>F</v>
      </c>
      <c r="S307" s="3">
        <v>136</v>
      </c>
      <c r="T307" s="3" t="str">
        <f>IFERROR(MID(VLOOKUP($B307,Seqs!$A:$B,2,0),U307,1),"")</f>
        <v>G</v>
      </c>
      <c r="U307" s="3">
        <v>137</v>
      </c>
      <c r="V307" s="3" t="str">
        <f>IFERROR(MID(VLOOKUP($B307,Seqs!$A:$B,2,0),W307,1),"")</f>
        <v>H</v>
      </c>
      <c r="W307" s="3">
        <v>172</v>
      </c>
      <c r="X307" s="3" t="str">
        <f>IFERROR(MID(VLOOKUP($B307,Seqs!$A:$B,2,0),Y307,1),"")</f>
        <v>P</v>
      </c>
      <c r="Y307" s="3">
        <v>173</v>
      </c>
      <c r="Z307" s="3" t="str">
        <f>IFERROR(MID(VLOOKUP($B307,Seqs!$A:$B,2,0),AA307,1),"")</f>
        <v>M</v>
      </c>
      <c r="AA307" s="3">
        <v>180</v>
      </c>
      <c r="AB307" s="3" t="str">
        <f>IFERROR(MID(VLOOKUP($B307,Seqs!$A:$B,2,0),AC307,1),"")</f>
        <v>S</v>
      </c>
      <c r="AC307" s="3">
        <v>181</v>
      </c>
      <c r="AD307" s="3" t="str">
        <f>IFERROR(MID(VLOOKUP($B307,Seqs!$A:$B,2,0),AE307,1),"")</f>
        <v>M</v>
      </c>
      <c r="AE307" s="3">
        <v>207</v>
      </c>
      <c r="AF307" s="3" t="str">
        <f>IFERROR(MID(VLOOKUP($B307,Seqs!$A:$B,2,0),AG307,1),"")</f>
        <v>C</v>
      </c>
      <c r="AG307" s="3">
        <v>224</v>
      </c>
      <c r="AH307" s="3" t="str">
        <f>IFERROR(MID(VLOOKUP($B307,Seqs!$A:$B,2,0),AI307,1),"")</f>
        <v>P</v>
      </c>
      <c r="AI307" s="3">
        <v>226</v>
      </c>
      <c r="AJ307" s="3" t="str">
        <f>IFERROR(MID(VLOOKUP($B307,Seqs!$A:$B,2,0),AK307,1),"")</f>
        <v>H</v>
      </c>
      <c r="AK307" s="3">
        <v>229</v>
      </c>
      <c r="AL307" s="3" t="str">
        <f>IFERROR(MID(VLOOKUP($B307,Seqs!$A:$B,2,0),AM307,1),"")</f>
        <v>A</v>
      </c>
      <c r="AM307" s="3">
        <v>270</v>
      </c>
      <c r="AN307" s="3" t="str">
        <f>IFERROR(MID(VLOOKUP($B307,Seqs!$A:$B,2,0),AO307,1),"")</f>
        <v>G</v>
      </c>
      <c r="AO307" s="3">
        <v>293</v>
      </c>
      <c r="AP307" s="3" t="str">
        <f>IFERROR(MID(VLOOKUP($B307,Seqs!$A:$B,2,0),AQ307,1),"")</f>
        <v>Y</v>
      </c>
      <c r="AQ307" s="3">
        <v>328</v>
      </c>
      <c r="AR307" s="3" t="str">
        <f>IFERROR(MID(VLOOKUP($B307,Seqs!$A:$B,2,0),AS307,1),"")</f>
        <v>P</v>
      </c>
      <c r="AS307" s="3">
        <v>336</v>
      </c>
      <c r="AT307" s="3" t="str">
        <f>IFERROR(MID(VLOOKUP($B307,Seqs!$A:$B,2,0),AU307,1),"")</f>
        <v>N</v>
      </c>
      <c r="AU307" s="3">
        <v>365</v>
      </c>
      <c r="AV307" s="3" t="str">
        <f>IFERROR(MID(VLOOKUP($B307,Seqs!$A:$B,2,0),AW307,1),"")</f>
        <v>S</v>
      </c>
      <c r="AW307" s="3">
        <v>368</v>
      </c>
      <c r="AX307" s="3" t="str">
        <f>IFERROR(MID(VLOOKUP($B307,Seqs!$A:$B,2,0),AY307,1),"")</f>
        <v>L</v>
      </c>
      <c r="AY307" s="3">
        <v>382</v>
      </c>
      <c r="AZ307" s="77" t="str">
        <f>VLOOKUP(B307,Classification!A:D,2,0)</f>
        <v>A</v>
      </c>
      <c r="BA307" s="94" t="str">
        <f>VLOOKUP(B307,Classification!A:D,4,0)</f>
        <v>Neurotensin</v>
      </c>
      <c r="BB307" s="27" t="b">
        <f t="shared" ref="BB307" si="3131">AND(E307&lt;G307,OR(G307&lt;I307,I307="-"),OR(I307&lt;K307,I307="-"),OR(K307&lt;M307,K307="-"),M307&lt;O307,OR(O307&lt;Q307,Q307="-"),OR(Q307&lt;S307,Q307="-"),OR(S307&lt;U307,S307="-"),U307&lt;W307,OR(W307&lt;Y307,Y307="-"),OR(Y307&lt;AA307,Y307="-"),OR(AA307&lt;AC307,AA307="-"),AC307&lt;AE307,OR(AE307&lt;AG307,AG307="-"),OR(AG307&lt;AI307,AG307="-"),OR(AI307&lt;AK307,AI307="-"),AK307&lt;AM307,AM307&lt;AO307,AO307&lt;AQ307,AQ307&lt;AS307,AS307&lt;AU307,OR(AU307&lt;AW307,AW307="-"),OR(AW307&lt;AY307,AW307="-"))</f>
        <v>1</v>
      </c>
      <c r="BC307" s="23">
        <f t="shared" ref="BC307" si="3132">_xlfn.AGGREGATE(9,6,CH307:CS307)-_xlfn.AGGREGATE(9,6,BV307:CG307)+12</f>
        <v>267</v>
      </c>
      <c r="BD307" s="56" t="s">
        <v>23</v>
      </c>
      <c r="BE307" s="3" t="s">
        <v>1285</v>
      </c>
      <c r="BF307" s="118">
        <v>4.2</v>
      </c>
      <c r="BG307" s="49" t="s">
        <v>1416</v>
      </c>
      <c r="BH307" s="49" t="s">
        <v>1416</v>
      </c>
      <c r="BJ307" s="70" t="s">
        <v>1281</v>
      </c>
      <c r="BK307" s="57" t="s">
        <v>1281</v>
      </c>
      <c r="BL307" s="57" t="s">
        <v>1281</v>
      </c>
      <c r="BM307" s="57" t="s">
        <v>1281</v>
      </c>
      <c r="BN307" s="57" t="s">
        <v>1281</v>
      </c>
      <c r="BO307" s="57" t="s">
        <v>1281</v>
      </c>
      <c r="BP307" s="57" t="s">
        <v>1281</v>
      </c>
      <c r="BQ307" s="57" t="s">
        <v>1281</v>
      </c>
      <c r="BR307" s="57" t="s">
        <v>1281</v>
      </c>
      <c r="BS307" s="57" t="s">
        <v>1281</v>
      </c>
      <c r="BT307" s="57" t="s">
        <v>1281</v>
      </c>
      <c r="BU307" s="57" t="s">
        <v>1281</v>
      </c>
      <c r="BV307" s="70">
        <f t="shared" ref="BV307" si="3133">E307</f>
        <v>59</v>
      </c>
      <c r="BW307" s="71" t="str">
        <f t="shared" ref="BW307" si="3134">I307</f>
        <v>-</v>
      </c>
      <c r="BX307" s="72">
        <f t="shared" ref="BX307" si="3135">M307</f>
        <v>101</v>
      </c>
      <c r="BY307" s="71">
        <f t="shared" ref="BY307" si="3136">Q307</f>
        <v>133</v>
      </c>
      <c r="BZ307" s="72">
        <f t="shared" ref="BZ307" si="3137">U307</f>
        <v>137</v>
      </c>
      <c r="CA307" s="71">
        <f t="shared" ref="CA307" si="3138">Y307</f>
        <v>173</v>
      </c>
      <c r="CB307" s="72">
        <f t="shared" ref="CB307" si="3139">AC307</f>
        <v>181</v>
      </c>
      <c r="CC307" s="71">
        <f t="shared" ref="CC307" si="3140">AG307</f>
        <v>224</v>
      </c>
      <c r="CD307" s="72">
        <f t="shared" ref="CD307" si="3141">AK307</f>
        <v>229</v>
      </c>
      <c r="CE307" s="71">
        <f t="shared" ref="CE307" si="3142">AO307</f>
        <v>293</v>
      </c>
      <c r="CF307" s="72">
        <f t="shared" ref="CF307" si="3143">AS307</f>
        <v>336</v>
      </c>
      <c r="CG307" s="71">
        <f t="shared" ref="CG307" si="3144">AW307</f>
        <v>368</v>
      </c>
      <c r="CH307" s="70">
        <f t="shared" ref="CH307" si="3145">G307</f>
        <v>93</v>
      </c>
      <c r="CI307" s="71" t="str">
        <f t="shared" ref="CI307" si="3146">K307</f>
        <v>-</v>
      </c>
      <c r="CJ307" s="72">
        <f t="shared" ref="CJ307" si="3147">O307</f>
        <v>130</v>
      </c>
      <c r="CK307" s="72">
        <f t="shared" ref="CK307" si="3148">S307</f>
        <v>136</v>
      </c>
      <c r="CL307" s="72">
        <f t="shared" ref="CL307" si="3149">W307</f>
        <v>172</v>
      </c>
      <c r="CM307" s="72">
        <f t="shared" ref="CM307" si="3150">AA307</f>
        <v>180</v>
      </c>
      <c r="CN307" s="72">
        <f t="shared" ref="CN307" si="3151">AE307</f>
        <v>207</v>
      </c>
      <c r="CO307" s="72">
        <f t="shared" ref="CO307" si="3152">AI307</f>
        <v>226</v>
      </c>
      <c r="CP307" s="72">
        <f t="shared" ref="CP307" si="3153">AM307</f>
        <v>270</v>
      </c>
      <c r="CQ307" s="72">
        <f t="shared" ref="CQ307" si="3154">AQ307</f>
        <v>328</v>
      </c>
      <c r="CR307" s="72">
        <f t="shared" ref="CR307" si="3155">AU307</f>
        <v>365</v>
      </c>
      <c r="CS307" s="72">
        <f t="shared" ref="CS307" si="3156">AY307</f>
        <v>382</v>
      </c>
      <c r="CT307" s="23" t="e">
        <f t="shared" ref="CT307" si="3157">M307-K307</f>
        <v>#VALUE!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 t="shared" si="2570"/>
        <v>ntr1_rat__wt</v>
      </c>
      <c r="B308" s="3" t="s">
        <v>907</v>
      </c>
      <c r="C308" s="3" t="s">
        <v>100</v>
      </c>
      <c r="D308" s="3" t="str">
        <f>IFERROR(MID(VLOOKUP($B308,Seqs!$A:$B,2,0),E308,1),"")</f>
        <v>I</v>
      </c>
      <c r="E308" s="3">
        <v>61</v>
      </c>
      <c r="F308" s="3" t="str">
        <f>IFERROR(MID(VLOOKUP($B308,Seqs!$A:$B,2,0),G308,1),"")</f>
        <v>K</v>
      </c>
      <c r="G308" s="3">
        <v>92</v>
      </c>
      <c r="H308" s="3" t="str">
        <f>IFERROR(MID(VLOOKUP($B308,Seqs!$A:$B,2,0),I308,1),"")</f>
        <v>K</v>
      </c>
      <c r="I308" s="23">
        <v>93</v>
      </c>
      <c r="J308" s="3" t="str">
        <f>IFERROR(MID(VLOOKUP($B308,Seqs!$A:$B,2,0),K308,1),"")</f>
        <v>Q</v>
      </c>
      <c r="K308" s="23">
        <v>96</v>
      </c>
      <c r="L308" s="3" t="str">
        <f>IFERROR(MID(VLOOKUP($B308,Seqs!$A:$B,2,0),M308,1),"")</f>
        <v>S</v>
      </c>
      <c r="M308" s="3">
        <v>97</v>
      </c>
      <c r="N308" s="3" t="str">
        <f>IFERROR(MID(VLOOKUP($B308,Seqs!$A:$B,2,0),O308,1),"")</f>
        <v>V</v>
      </c>
      <c r="O308" s="3">
        <v>131</v>
      </c>
      <c r="P308" s="3" t="str">
        <f>IFERROR(MID(VLOOKUP($B308,Seqs!$A:$B,2,0),Q308,1),"")</f>
        <v>P</v>
      </c>
      <c r="Q308" s="3">
        <v>134</v>
      </c>
      <c r="R308" s="3" t="str">
        <f>IFERROR(MID(VLOOKUP($B308,Seqs!$A:$B,2,0),S308,1),"")</f>
        <v>F</v>
      </c>
      <c r="S308" s="3">
        <v>137</v>
      </c>
      <c r="T308" s="3" t="str">
        <f>IFERROR(MID(VLOOKUP($B308,Seqs!$A:$B,2,0),U308,1),"")</f>
        <v>G</v>
      </c>
      <c r="U308" s="3">
        <v>138</v>
      </c>
      <c r="V308" s="3" t="str">
        <f>IFERROR(MID(VLOOKUP($B308,Seqs!$A:$B,2,0),W308,1),"")</f>
        <v>H</v>
      </c>
      <c r="W308" s="3">
        <v>173</v>
      </c>
      <c r="X308" s="3" t="str">
        <f>IFERROR(MID(VLOOKUP($B308,Seqs!$A:$B,2,0),Y308,1),"")</f>
        <v>P</v>
      </c>
      <c r="Y308" s="3">
        <v>174</v>
      </c>
      <c r="Z308" s="3" t="str">
        <f>IFERROR(MID(VLOOKUP($B308,Seqs!$A:$B,2,0),AA308,1),"")</f>
        <v>M</v>
      </c>
      <c r="AA308" s="3">
        <v>181</v>
      </c>
      <c r="AB308" s="3" t="str">
        <f>IFERROR(MID(VLOOKUP($B308,Seqs!$A:$B,2,0),AC308,1),"")</f>
        <v>S</v>
      </c>
      <c r="AC308" s="3">
        <v>182</v>
      </c>
      <c r="AD308" s="3" t="str">
        <f>IFERROR(MID(VLOOKUP($B308,Seqs!$A:$B,2,0),AE308,1),"")</f>
        <v>M</v>
      </c>
      <c r="AE308" s="3">
        <v>208</v>
      </c>
      <c r="AF308" s="3" t="str">
        <f>IFERROR(MID(VLOOKUP($B308,Seqs!$A:$B,2,0),AG308,1),"")</f>
        <v>C</v>
      </c>
      <c r="AG308" s="3">
        <v>225</v>
      </c>
      <c r="AH308" s="3" t="str">
        <f>IFERROR(MID(VLOOKUP($B308,Seqs!$A:$B,2,0),AI308,1),"")</f>
        <v>P</v>
      </c>
      <c r="AI308" s="3">
        <v>227</v>
      </c>
      <c r="AJ308" s="3" t="str">
        <f>IFERROR(MID(VLOOKUP($B308,Seqs!$A:$B,2,0),AK308,1),"")</f>
        <v>T</v>
      </c>
      <c r="AK308" s="3">
        <v>231</v>
      </c>
      <c r="AL308" s="3" t="str">
        <f>IFERROR(MID(VLOOKUP($B308,Seqs!$A:$B,2,0),AM308,1),"")</f>
        <v>G</v>
      </c>
      <c r="AM308" s="3">
        <v>275</v>
      </c>
      <c r="AN308" s="3" t="str">
        <f>IFERROR(MID(VLOOKUP($B308,Seqs!$A:$B,2,0),AO308,1),"")</f>
        <v>P</v>
      </c>
      <c r="AO308" s="3">
        <v>297</v>
      </c>
      <c r="AP308" s="3" t="str">
        <f>IFERROR(MID(VLOOKUP($B308,Seqs!$A:$B,2,0),AQ308,1),"")</f>
        <v>I</v>
      </c>
      <c r="AQ308" s="3">
        <v>334</v>
      </c>
      <c r="AR308" s="3" t="str">
        <f>IFERROR(MID(VLOOKUP($B308,Seqs!$A:$B,2,0),AS308,1),"")</f>
        <v>T</v>
      </c>
      <c r="AS308" s="3">
        <v>340</v>
      </c>
      <c r="AT308" s="3" t="str">
        <f>IFERROR(MID(VLOOKUP($B308,Seqs!$A:$B,2,0),AU308,1),"")</f>
        <v>V</v>
      </c>
      <c r="AU308" s="3">
        <v>372</v>
      </c>
      <c r="AV308" s="3" t="str">
        <f>IFERROR(MID(VLOOKUP($B308,Seqs!$A:$B,2,0),AW308,1),"")</f>
        <v>S</v>
      </c>
      <c r="AW308" s="3">
        <v>373</v>
      </c>
      <c r="AX308" s="3" t="str">
        <f>IFERROR(MID(VLOOKUP($B308,Seqs!$A:$B,2,0),AY308,1),"")</f>
        <v>C</v>
      </c>
      <c r="AY308" s="3">
        <v>388</v>
      </c>
      <c r="AZ308" s="77" t="str">
        <f>VLOOKUP(B308,Classification!A:D,2,0)</f>
        <v>A</v>
      </c>
      <c r="BA308" s="94" t="str">
        <f>VLOOKUP(B308,Classification!A:D,4,0)</f>
        <v>Neurotensin</v>
      </c>
      <c r="BB308" s="27" t="b">
        <f t="shared" si="2571"/>
        <v>1</v>
      </c>
      <c r="BC308" s="23">
        <f t="shared" si="2208"/>
        <v>281</v>
      </c>
      <c r="BD308" s="56" t="s">
        <v>23</v>
      </c>
      <c r="BE308" s="3" t="s">
        <v>23</v>
      </c>
      <c r="BF308" s="118" t="s">
        <v>23</v>
      </c>
      <c r="BG308" s="49" t="s">
        <v>1366</v>
      </c>
      <c r="BH308" s="49" t="s">
        <v>1371</v>
      </c>
      <c r="BI308" s="3" t="s">
        <v>1163</v>
      </c>
      <c r="BJ308" s="70" t="s">
        <v>1281</v>
      </c>
      <c r="BK308" s="57" t="s">
        <v>1281</v>
      </c>
      <c r="BL308" s="57" t="s">
        <v>1281</v>
      </c>
      <c r="BM308" s="57" t="s">
        <v>1281</v>
      </c>
      <c r="BN308" s="57" t="s">
        <v>1281</v>
      </c>
      <c r="BO308" s="57" t="s">
        <v>1281</v>
      </c>
      <c r="BP308" s="57" t="s">
        <v>1281</v>
      </c>
      <c r="BQ308" s="57" t="s">
        <v>1281</v>
      </c>
      <c r="BR308" s="57" t="s">
        <v>1281</v>
      </c>
      <c r="BS308" s="57" t="s">
        <v>1281</v>
      </c>
      <c r="BT308" s="57" t="s">
        <v>1281</v>
      </c>
      <c r="BU308" s="57" t="s">
        <v>1281</v>
      </c>
      <c r="BV308" s="70">
        <f t="shared" si="2209"/>
        <v>61</v>
      </c>
      <c r="BW308" s="71">
        <f t="shared" si="2210"/>
        <v>93</v>
      </c>
      <c r="BX308" s="72">
        <f t="shared" si="2211"/>
        <v>97</v>
      </c>
      <c r="BY308" s="71">
        <f t="shared" si="2212"/>
        <v>134</v>
      </c>
      <c r="BZ308" s="72">
        <f t="shared" si="2213"/>
        <v>138</v>
      </c>
      <c r="CA308" s="71">
        <f t="shared" si="2214"/>
        <v>174</v>
      </c>
      <c r="CB308" s="72">
        <f t="shared" si="2215"/>
        <v>182</v>
      </c>
      <c r="CC308" s="71">
        <f t="shared" si="2216"/>
        <v>225</v>
      </c>
      <c r="CD308" s="72">
        <f t="shared" si="2217"/>
        <v>231</v>
      </c>
      <c r="CE308" s="71">
        <f t="shared" si="2218"/>
        <v>297</v>
      </c>
      <c r="CF308" s="72">
        <f t="shared" si="2219"/>
        <v>340</v>
      </c>
      <c r="CG308" s="71">
        <f t="shared" si="2220"/>
        <v>373</v>
      </c>
      <c r="CH308" s="70">
        <f t="shared" si="2221"/>
        <v>92</v>
      </c>
      <c r="CI308" s="71">
        <f t="shared" si="2222"/>
        <v>96</v>
      </c>
      <c r="CJ308" s="72">
        <f t="shared" si="2223"/>
        <v>131</v>
      </c>
      <c r="CK308" s="72">
        <f t="shared" si="2224"/>
        <v>137</v>
      </c>
      <c r="CL308" s="72">
        <f t="shared" si="2225"/>
        <v>173</v>
      </c>
      <c r="CM308" s="72">
        <f t="shared" si="2226"/>
        <v>181</v>
      </c>
      <c r="CN308" s="72">
        <f t="shared" si="2227"/>
        <v>208</v>
      </c>
      <c r="CO308" s="72">
        <f t="shared" si="2228"/>
        <v>227</v>
      </c>
      <c r="CP308" s="72">
        <f t="shared" si="2229"/>
        <v>275</v>
      </c>
      <c r="CQ308" s="72">
        <f t="shared" si="2230"/>
        <v>334</v>
      </c>
      <c r="CR308" s="72">
        <f t="shared" si="2231"/>
        <v>372</v>
      </c>
      <c r="CS308" s="72">
        <f t="shared" si="2232"/>
        <v>388</v>
      </c>
      <c r="CT308" s="23">
        <f t="shared" si="2233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 t="shared" si="2570"/>
        <v>ntr1_rat_4BUO</v>
      </c>
      <c r="B309" s="3" t="s">
        <v>907</v>
      </c>
      <c r="C309" s="3" t="s">
        <v>1326</v>
      </c>
      <c r="D309" s="3" t="str">
        <f>IFERROR(MID(VLOOKUP($B309,Seqs!$A:$B,2,0),E309,1),"")</f>
        <v>I</v>
      </c>
      <c r="E309" s="3">
        <v>61</v>
      </c>
      <c r="F309" s="3" t="str">
        <f>IFERROR(MID(VLOOKUP($B309,Seqs!$A:$B,2,0),G309,1),"")</f>
        <v>R</v>
      </c>
      <c r="G309" s="3">
        <v>91</v>
      </c>
      <c r="H309" s="3" t="str">
        <f>IFERROR(MID(VLOOKUP($B309,Seqs!$A:$B,2,0),I309,1),"")</f>
        <v/>
      </c>
      <c r="I309" s="23" t="s">
        <v>23</v>
      </c>
      <c r="J309" s="3" t="str">
        <f>IFERROR(MID(VLOOKUP($B309,Seqs!$A:$B,2,0),K309,1),"")</f>
        <v/>
      </c>
      <c r="K309" s="23" t="s">
        <v>23</v>
      </c>
      <c r="L309" s="3" t="str">
        <f>IFERROR(MID(VLOOKUP($B309,Seqs!$A:$B,2,0),M309,1),"")</f>
        <v>S</v>
      </c>
      <c r="M309" s="3">
        <v>97</v>
      </c>
      <c r="N309" s="3" t="str">
        <f>IFERROR(MID(VLOOKUP($B309,Seqs!$A:$B,2,0),O309,1),"")</f>
        <v>V</v>
      </c>
      <c r="O309" s="3">
        <v>131</v>
      </c>
      <c r="P309" s="3" t="str">
        <f>IFERROR(MID(VLOOKUP($B309,Seqs!$A:$B,2,0),Q309,1),"")</f>
        <v>P</v>
      </c>
      <c r="Q309" s="3">
        <v>134</v>
      </c>
      <c r="R309" s="3" t="str">
        <f>IFERROR(MID(VLOOKUP($B309,Seqs!$A:$B,2,0),S309,1),"")</f>
        <v>F</v>
      </c>
      <c r="S309" s="3">
        <v>137</v>
      </c>
      <c r="T309" s="3" t="str">
        <f>IFERROR(MID(VLOOKUP($B309,Seqs!$A:$B,2,0),U309,1),"")</f>
        <v>G</v>
      </c>
      <c r="U309" s="3">
        <v>138</v>
      </c>
      <c r="V309" s="3" t="str">
        <f>IFERROR(MID(VLOOKUP($B309,Seqs!$A:$B,2,0),W309,1),"")</f>
        <v>H</v>
      </c>
      <c r="W309" s="3">
        <v>173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S</v>
      </c>
      <c r="AC309" s="3">
        <v>182</v>
      </c>
      <c r="AD309" s="3" t="str">
        <f>IFERROR(MID(VLOOKUP($B309,Seqs!$A:$B,2,0),AE309,1),"")</f>
        <v>M</v>
      </c>
      <c r="AE309" s="3">
        <v>208</v>
      </c>
      <c r="AF309" s="3" t="str">
        <f>IFERROR(MID(VLOOKUP($B309,Seqs!$A:$B,2,0),AG309,1),"")</f>
        <v>C</v>
      </c>
      <c r="AG309" s="3">
        <v>225</v>
      </c>
      <c r="AH309" s="3" t="str">
        <f>IFERROR(MID(VLOOKUP($B309,Seqs!$A:$B,2,0),AI309,1),"")</f>
        <v>P</v>
      </c>
      <c r="AI309" s="3">
        <v>227</v>
      </c>
      <c r="AJ309" s="3" t="str">
        <f>IFERROR(MID(VLOOKUP($B309,Seqs!$A:$B,2,0),AK309,1),"")</f>
        <v>T</v>
      </c>
      <c r="AK309" s="3">
        <v>231</v>
      </c>
      <c r="AL309" s="3" t="str">
        <f>IFERROR(MID(VLOOKUP($B309,Seqs!$A:$B,2,0),AM309,1),"")</f>
        <v>Q</v>
      </c>
      <c r="AM309" s="3">
        <v>270</v>
      </c>
      <c r="AN309" s="3" t="str">
        <f>IFERROR(MID(VLOOKUP($B309,Seqs!$A:$B,2,0),AO309,1),"")</f>
        <v>G</v>
      </c>
      <c r="AO309" s="3">
        <v>298</v>
      </c>
      <c r="AP309" s="3" t="str">
        <f>IFERROR(MID(VLOOKUP($B309,Seqs!$A:$B,2,0),AQ309,1),"")</f>
        <v>I</v>
      </c>
      <c r="AQ309" s="3">
        <v>334</v>
      </c>
      <c r="AR309" s="3" t="str">
        <f>IFERROR(MID(VLOOKUP($B309,Seqs!$A:$B,2,0),AS309,1),"")</f>
        <v>T</v>
      </c>
      <c r="AS309" s="3">
        <v>340</v>
      </c>
      <c r="AT309" s="3" t="str">
        <f>IFERROR(MID(VLOOKUP($B309,Seqs!$A:$B,2,0),AU309,1),"")</f>
        <v>V</v>
      </c>
      <c r="AU309" s="3">
        <v>372</v>
      </c>
      <c r="AV309" s="3" t="str">
        <f>IFERROR(MID(VLOOKUP($B309,Seqs!$A:$B,2,0),AW309,1),"")</f>
        <v>S</v>
      </c>
      <c r="AW309" s="3">
        <v>373</v>
      </c>
      <c r="AX309" s="3" t="str">
        <f>IFERROR(MID(VLOOKUP($B309,Seqs!$A:$B,2,0),AY309,1),"")</f>
        <v>L</v>
      </c>
      <c r="AY309" s="3">
        <v>384</v>
      </c>
      <c r="AZ309" s="77" t="str">
        <f>VLOOKUP(B309,Classification!A:D,2,0)</f>
        <v>A</v>
      </c>
      <c r="BA309" s="94" t="str">
        <f>VLOOKUP(B309,Classification!A:D,4,0)</f>
        <v>Neurotensin</v>
      </c>
      <c r="BB309" s="27" t="b">
        <f t="shared" si="2571"/>
        <v>1</v>
      </c>
      <c r="BC309" s="23">
        <f t="shared" si="2208"/>
        <v>260</v>
      </c>
      <c r="BD309" s="16" t="s">
        <v>1370</v>
      </c>
      <c r="BE309" s="3" t="s">
        <v>1368</v>
      </c>
      <c r="BF309" s="118">
        <v>2.75</v>
      </c>
      <c r="BG309" s="49" t="s">
        <v>1371</v>
      </c>
      <c r="BH309" s="49" t="s">
        <v>1371</v>
      </c>
      <c r="BI309" s="1"/>
      <c r="BJ309" s="70" t="s">
        <v>1281</v>
      </c>
      <c r="BK309" s="57" t="s">
        <v>1281</v>
      </c>
      <c r="BL309" s="57" t="s">
        <v>1281</v>
      </c>
      <c r="BM309" s="57" t="s">
        <v>1281</v>
      </c>
      <c r="BN309" s="57" t="s">
        <v>1281</v>
      </c>
      <c r="BO309" s="57" t="s">
        <v>1281</v>
      </c>
      <c r="BP309" s="57" t="s">
        <v>1281</v>
      </c>
      <c r="BQ309" s="57" t="s">
        <v>1281</v>
      </c>
      <c r="BR309" s="57" t="s">
        <v>1281</v>
      </c>
      <c r="BS309" s="57" t="s">
        <v>1281</v>
      </c>
      <c r="BT309" s="57" t="s">
        <v>1281</v>
      </c>
      <c r="BU309" s="57" t="s">
        <v>1281</v>
      </c>
      <c r="BV309" s="70">
        <f t="shared" si="2209"/>
        <v>61</v>
      </c>
      <c r="BW309" s="71" t="str">
        <f t="shared" si="2210"/>
        <v>-</v>
      </c>
      <c r="BX309" s="72">
        <f t="shared" si="2211"/>
        <v>97</v>
      </c>
      <c r="BY309" s="71">
        <f t="shared" si="2212"/>
        <v>134</v>
      </c>
      <c r="BZ309" s="72">
        <f t="shared" si="2213"/>
        <v>138</v>
      </c>
      <c r="CA309" s="71" t="str">
        <f t="shared" si="2214"/>
        <v>-</v>
      </c>
      <c r="CB309" s="72">
        <f t="shared" si="2215"/>
        <v>182</v>
      </c>
      <c r="CC309" s="71">
        <f t="shared" si="2216"/>
        <v>225</v>
      </c>
      <c r="CD309" s="72">
        <f t="shared" si="2217"/>
        <v>231</v>
      </c>
      <c r="CE309" s="71">
        <f t="shared" si="2218"/>
        <v>298</v>
      </c>
      <c r="CF309" s="72">
        <f t="shared" si="2219"/>
        <v>340</v>
      </c>
      <c r="CG309" s="71">
        <f t="shared" si="2220"/>
        <v>373</v>
      </c>
      <c r="CH309" s="70">
        <f t="shared" si="2221"/>
        <v>91</v>
      </c>
      <c r="CI309" s="71" t="str">
        <f t="shared" si="2222"/>
        <v>-</v>
      </c>
      <c r="CJ309" s="72">
        <f t="shared" si="2223"/>
        <v>131</v>
      </c>
      <c r="CK309" s="72">
        <f t="shared" si="2224"/>
        <v>137</v>
      </c>
      <c r="CL309" s="72">
        <f t="shared" si="2225"/>
        <v>173</v>
      </c>
      <c r="CM309" s="72" t="str">
        <f t="shared" si="2226"/>
        <v>-</v>
      </c>
      <c r="CN309" s="72">
        <f t="shared" si="2227"/>
        <v>208</v>
      </c>
      <c r="CO309" s="72">
        <f t="shared" si="2228"/>
        <v>227</v>
      </c>
      <c r="CP309" s="72">
        <f t="shared" si="2229"/>
        <v>270</v>
      </c>
      <c r="CQ309" s="72">
        <f t="shared" si="2230"/>
        <v>334</v>
      </c>
      <c r="CR309" s="72">
        <f t="shared" si="2231"/>
        <v>372</v>
      </c>
      <c r="CS309" s="72">
        <f t="shared" si="2232"/>
        <v>384</v>
      </c>
      <c r="CT309" s="23" t="e">
        <f t="shared" si="2233"/>
        <v>#VALUE!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 t="shared" si="2570"/>
        <v>ntr1_rat_4GRV</v>
      </c>
      <c r="B310" s="3" t="s">
        <v>907</v>
      </c>
      <c r="C310" s="3" t="s">
        <v>50</v>
      </c>
      <c r="D310" s="3" t="str">
        <f>IFERROR(MID(VLOOKUP($B310,Seqs!$A:$B,2,0),E310,1),"")</f>
        <v>I</v>
      </c>
      <c r="E310" s="3">
        <v>61</v>
      </c>
      <c r="F310" s="3" t="str">
        <f>IFERROR(MID(VLOOKUP($B310,Seqs!$A:$B,2,0),G310,1),"")</f>
        <v>T</v>
      </c>
      <c r="G310" s="3">
        <v>88</v>
      </c>
      <c r="H310" s="3" t="str">
        <f>IFERROR(MID(VLOOKUP($B310,Seqs!$A:$B,2,0),I310,1),"")</f>
        <v/>
      </c>
      <c r="I310" s="23" t="s">
        <v>23</v>
      </c>
      <c r="J310" s="3" t="str">
        <f>IFERROR(MID(VLOOKUP($B310,Seqs!$A:$B,2,0),K310,1),"")</f>
        <v/>
      </c>
      <c r="K310" s="23" t="s">
        <v>23</v>
      </c>
      <c r="L310" s="3" t="str">
        <f>IFERROR(MID(VLOOKUP($B310,Seqs!$A:$B,2,0),M310,1),"")</f>
        <v>Q</v>
      </c>
      <c r="M310" s="3">
        <v>99</v>
      </c>
      <c r="N310" s="3" t="str">
        <f>IFERROR(MID(VLOOKUP($B310,Seqs!$A:$B,2,0),O310,1),"")</f>
        <v>V</v>
      </c>
      <c r="O310" s="3">
        <v>131</v>
      </c>
      <c r="P310" s="3" t="str">
        <f>IFERROR(MID(VLOOKUP($B310,Seqs!$A:$B,2,0),Q310,1),"")</f>
        <v>P</v>
      </c>
      <c r="Q310" s="3">
        <v>134</v>
      </c>
      <c r="R310" s="3" t="str">
        <f>IFERROR(MID(VLOOKUP($B310,Seqs!$A:$B,2,0),S310,1),"")</f>
        <v>F</v>
      </c>
      <c r="S310" s="3">
        <v>137</v>
      </c>
      <c r="T310" s="3" t="str">
        <f>IFERROR(MID(VLOOKUP($B310,Seqs!$A:$B,2,0),U310,1),"")</f>
        <v>G</v>
      </c>
      <c r="U310" s="3">
        <v>138</v>
      </c>
      <c r="V310" s="3" t="str">
        <f>IFERROR(MID(VLOOKUP($B310,Seqs!$A:$B,2,0),W310,1),"")</f>
        <v>H</v>
      </c>
      <c r="W310" s="3">
        <v>173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T</v>
      </c>
      <c r="AC310" s="3">
        <v>186</v>
      </c>
      <c r="AD310" s="3" t="str">
        <f>IFERROR(MID(VLOOKUP($B310,Seqs!$A:$B,2,0),AE310,1),"")</f>
        <v>M</v>
      </c>
      <c r="AE310" s="3">
        <v>208</v>
      </c>
      <c r="AF310" s="3" t="str">
        <f>IFERROR(MID(VLOOKUP($B310,Seqs!$A:$B,2,0),AG310,1),"")</f>
        <v>C</v>
      </c>
      <c r="AG310" s="3">
        <v>225</v>
      </c>
      <c r="AH310" s="3" t="str">
        <f>IFERROR(MID(VLOOKUP($B310,Seqs!$A:$B,2,0),AI310,1),"")</f>
        <v>P</v>
      </c>
      <c r="AI310" s="3">
        <v>227</v>
      </c>
      <c r="AJ310" s="3" t="str">
        <f>IFERROR(MID(VLOOKUP($B310,Seqs!$A:$B,2,0),AK310,1),"")</f>
        <v>T</v>
      </c>
      <c r="AK310" s="3">
        <v>231</v>
      </c>
      <c r="AL310" s="3" t="str">
        <f>IFERROR(MID(VLOOKUP($B310,Seqs!$A:$B,2,0),AM310,1),"")</f>
        <v>T</v>
      </c>
      <c r="AM310" s="3">
        <v>265</v>
      </c>
      <c r="AN310" s="3" t="str">
        <f>IFERROR(MID(VLOOKUP($B310,Seqs!$A:$B,2,0),AO310,1),"")</f>
        <v>A</v>
      </c>
      <c r="AO310" s="3">
        <v>302</v>
      </c>
      <c r="AP310" s="3" t="str">
        <f>IFERROR(MID(VLOOKUP($B310,Seqs!$A:$B,2,0),AQ310,1),"")</f>
        <v>I</v>
      </c>
      <c r="AQ310" s="3">
        <v>334</v>
      </c>
      <c r="AR310" s="3" t="str">
        <f>IFERROR(MID(VLOOKUP($B310,Seqs!$A:$B,2,0),AS310,1),"")</f>
        <v>T</v>
      </c>
      <c r="AS310" s="3">
        <v>340</v>
      </c>
      <c r="AT310" s="3" t="str">
        <f>IFERROR(MID(VLOOKUP($B310,Seqs!$A:$B,2,0),AU310,1),"")</f>
        <v>S</v>
      </c>
      <c r="AU310" s="3">
        <v>361</v>
      </c>
      <c r="AV310" s="3" t="str">
        <f>IFERROR(MID(VLOOKUP($B310,Seqs!$A:$B,2,0),AW310,1),"")</f>
        <v/>
      </c>
      <c r="AW310" s="3" t="s">
        <v>23</v>
      </c>
      <c r="AX310" s="3" t="str">
        <f>IFERROR(MID(VLOOKUP($B310,Seqs!$A:$B,2,0),AY310,1),"")</f>
        <v/>
      </c>
      <c r="AY310" s="3" t="s">
        <v>23</v>
      </c>
      <c r="AZ310" s="77" t="str">
        <f>VLOOKUP(B310,Classification!A:D,2,0)</f>
        <v>A</v>
      </c>
      <c r="BA310" s="94" t="str">
        <f>VLOOKUP(B310,Classification!A:D,4,0)</f>
        <v>Neurotensin</v>
      </c>
      <c r="BB310" s="27" t="b">
        <f t="shared" si="2571"/>
        <v>1</v>
      </c>
      <c r="BC310" s="23">
        <f t="shared" si="2208"/>
        <v>220</v>
      </c>
      <c r="BD310" s="5" t="s">
        <v>23</v>
      </c>
      <c r="BE310" s="3" t="s">
        <v>1422</v>
      </c>
      <c r="BF310" s="118">
        <v>2.8</v>
      </c>
      <c r="BG310" s="49" t="s">
        <v>1371</v>
      </c>
      <c r="BH310" s="49" t="s">
        <v>1371</v>
      </c>
      <c r="BI310" s="1"/>
      <c r="BJ310" s="70" t="s">
        <v>1281</v>
      </c>
      <c r="BK310" s="57" t="s">
        <v>1281</v>
      </c>
      <c r="BL310" s="57" t="s">
        <v>1281</v>
      </c>
      <c r="BM310" s="57" t="s">
        <v>1281</v>
      </c>
      <c r="BN310" s="57" t="s">
        <v>1281</v>
      </c>
      <c r="BO310" s="57" t="s">
        <v>1281</v>
      </c>
      <c r="BP310" s="57" t="s">
        <v>1281</v>
      </c>
      <c r="BQ310" s="57" t="s">
        <v>1281</v>
      </c>
      <c r="BR310" s="57" t="s">
        <v>1281</v>
      </c>
      <c r="BS310" s="57" t="s">
        <v>1281</v>
      </c>
      <c r="BT310" s="57" t="s">
        <v>1281</v>
      </c>
      <c r="BU310" s="57" t="s">
        <v>1281</v>
      </c>
      <c r="BV310" s="70">
        <f t="shared" si="2209"/>
        <v>61</v>
      </c>
      <c r="BW310" s="71" t="str">
        <f t="shared" si="2210"/>
        <v>-</v>
      </c>
      <c r="BX310" s="72">
        <f t="shared" si="2211"/>
        <v>99</v>
      </c>
      <c r="BY310" s="71">
        <f t="shared" si="2212"/>
        <v>134</v>
      </c>
      <c r="BZ310" s="72">
        <f t="shared" si="2213"/>
        <v>138</v>
      </c>
      <c r="CA310" s="71" t="str">
        <f t="shared" si="2214"/>
        <v>-</v>
      </c>
      <c r="CB310" s="72">
        <f t="shared" si="2215"/>
        <v>186</v>
      </c>
      <c r="CC310" s="71">
        <f t="shared" si="2216"/>
        <v>225</v>
      </c>
      <c r="CD310" s="72">
        <f t="shared" si="2217"/>
        <v>231</v>
      </c>
      <c r="CE310" s="71">
        <f t="shared" si="2218"/>
        <v>302</v>
      </c>
      <c r="CF310" s="72">
        <f t="shared" si="2219"/>
        <v>340</v>
      </c>
      <c r="CG310" s="71" t="str">
        <f t="shared" si="2220"/>
        <v>-</v>
      </c>
      <c r="CH310" s="70">
        <f t="shared" si="2221"/>
        <v>88</v>
      </c>
      <c r="CI310" s="71" t="str">
        <f t="shared" si="2222"/>
        <v>-</v>
      </c>
      <c r="CJ310" s="72">
        <f t="shared" si="2223"/>
        <v>131</v>
      </c>
      <c r="CK310" s="72">
        <f t="shared" si="2224"/>
        <v>137</v>
      </c>
      <c r="CL310" s="72">
        <f t="shared" si="2225"/>
        <v>173</v>
      </c>
      <c r="CM310" s="72" t="str">
        <f t="shared" si="2226"/>
        <v>-</v>
      </c>
      <c r="CN310" s="72">
        <f t="shared" si="2227"/>
        <v>208</v>
      </c>
      <c r="CO310" s="72">
        <f t="shared" si="2228"/>
        <v>227</v>
      </c>
      <c r="CP310" s="72">
        <f t="shared" si="2229"/>
        <v>265</v>
      </c>
      <c r="CQ310" s="72">
        <f t="shared" si="2230"/>
        <v>334</v>
      </c>
      <c r="CR310" s="72">
        <f t="shared" si="2231"/>
        <v>361</v>
      </c>
      <c r="CS310" s="72" t="str">
        <f t="shared" si="2232"/>
        <v>-</v>
      </c>
      <c r="CT310" s="23" t="e">
        <f t="shared" si="2233"/>
        <v>#VALUE!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 t="shared" si="2570"/>
        <v>ntr1_rat_4XEE</v>
      </c>
      <c r="B311" s="3" t="s">
        <v>907</v>
      </c>
      <c r="C311" s="3" t="s">
        <v>1344</v>
      </c>
      <c r="D311" s="3" t="str">
        <f>IFERROR(MID(VLOOKUP($B311,Seqs!$A:$B,2,0),E311,1),"")</f>
        <v>I</v>
      </c>
      <c r="E311" s="3">
        <v>61</v>
      </c>
      <c r="F311" s="3" t="str">
        <f>IFERROR(MID(VLOOKUP($B311,Seqs!$A:$B,2,0),G311,1),"")</f>
        <v>R</v>
      </c>
      <c r="G311" s="3">
        <v>91</v>
      </c>
      <c r="H311" s="3" t="str">
        <f>IFERROR(MID(VLOOKUP($B311,Seqs!$A:$B,2,0),I311,1),"")</f>
        <v/>
      </c>
      <c r="I311" s="23" t="s">
        <v>23</v>
      </c>
      <c r="J311" s="3" t="str">
        <f>IFERROR(MID(VLOOKUP($B311,Seqs!$A:$B,2,0),K311,1),"")</f>
        <v/>
      </c>
      <c r="K311" s="23" t="s">
        <v>23</v>
      </c>
      <c r="L311" s="3" t="str">
        <f>IFERROR(MID(VLOOKUP($B311,Seqs!$A:$B,2,0),M311,1),"")</f>
        <v>S</v>
      </c>
      <c r="M311" s="3">
        <v>100</v>
      </c>
      <c r="N311" s="3" t="str">
        <f>IFERROR(MID(VLOOKUP($B311,Seqs!$A:$B,2,0),O311,1),"")</f>
        <v>V</v>
      </c>
      <c r="O311" s="3">
        <v>131</v>
      </c>
      <c r="P311" s="3" t="str">
        <f>IFERROR(MID(VLOOKUP($B311,Seqs!$A:$B,2,0),Q311,1),"")</f>
        <v>P</v>
      </c>
      <c r="Q311" s="3">
        <v>134</v>
      </c>
      <c r="R311" s="3" t="str">
        <f>IFERROR(MID(VLOOKUP($B311,Seqs!$A:$B,2,0),S311,1),"")</f>
        <v>F</v>
      </c>
      <c r="S311" s="3">
        <v>137</v>
      </c>
      <c r="T311" s="3" t="str">
        <f>IFERROR(MID(VLOOKUP($B311,Seqs!$A:$B,2,0),U311,1),"")</f>
        <v>G</v>
      </c>
      <c r="U311" s="3">
        <v>138</v>
      </c>
      <c r="V311" s="3" t="str">
        <f>IFERROR(MID(VLOOKUP($B311,Seqs!$A:$B,2,0),W311,1),"")</f>
        <v>H</v>
      </c>
      <c r="W311" s="3">
        <v>173</v>
      </c>
      <c r="X311" s="3" t="str">
        <f>IFERROR(MID(VLOOKUP($B311,Seqs!$A:$B,2,0),Y311,1),"")</f>
        <v>P</v>
      </c>
      <c r="Y311" s="3">
        <v>174</v>
      </c>
      <c r="Z311" s="3" t="str">
        <f>IFERROR(MID(VLOOKUP($B311,Seqs!$A:$B,2,0),AA311,1),"")</f>
        <v>M</v>
      </c>
      <c r="AA311" s="3">
        <v>181</v>
      </c>
      <c r="AB311" s="3" t="str">
        <f>IFERROR(MID(VLOOKUP($B311,Seqs!$A:$B,2,0),AC311,1),"")</f>
        <v>S</v>
      </c>
      <c r="AC311" s="3">
        <v>182</v>
      </c>
      <c r="AD311" s="3" t="str">
        <f>IFERROR(MID(VLOOKUP($B311,Seqs!$A:$B,2,0),AE311,1),"")</f>
        <v>M</v>
      </c>
      <c r="AE311" s="3">
        <v>208</v>
      </c>
      <c r="AF311" s="3" t="str">
        <f>IFERROR(MID(VLOOKUP($B311,Seqs!$A:$B,2,0),AG311,1),"")</f>
        <v>C</v>
      </c>
      <c r="AG311" s="3">
        <v>225</v>
      </c>
      <c r="AH311" s="3" t="str">
        <f>IFERROR(MID(VLOOKUP($B311,Seqs!$A:$B,2,0),AI311,1),"")</f>
        <v>P</v>
      </c>
      <c r="AI311" s="3">
        <v>227</v>
      </c>
      <c r="AJ311" s="3" t="str">
        <f>IFERROR(MID(VLOOKUP($B311,Seqs!$A:$B,2,0),AK311,1),"")</f>
        <v>T</v>
      </c>
      <c r="AK311" s="3">
        <v>231</v>
      </c>
      <c r="AL311" s="3" t="str">
        <f>IFERROR(MID(VLOOKUP($B311,Seqs!$A:$B,2,0),AM311,1),"")</f>
        <v>V</v>
      </c>
      <c r="AM311" s="3">
        <v>268</v>
      </c>
      <c r="AN311" s="3" t="str">
        <f>IFERROR(MID(VLOOKUP($B311,Seqs!$A:$B,2,0),AO311,1),"")</f>
        <v>Q</v>
      </c>
      <c r="AO311" s="3">
        <v>301</v>
      </c>
      <c r="AP311" s="3" t="str">
        <f>IFERROR(MID(VLOOKUP($B311,Seqs!$A:$B,2,0),AQ311,1),"")</f>
        <v>I</v>
      </c>
      <c r="AQ311" s="3">
        <v>334</v>
      </c>
      <c r="AR311" s="3" t="str">
        <f>IFERROR(MID(VLOOKUP($B311,Seqs!$A:$B,2,0),AS311,1),"")</f>
        <v>T</v>
      </c>
      <c r="AS311" s="3">
        <v>340</v>
      </c>
      <c r="AT311" s="3" t="str">
        <f>IFERROR(MID(VLOOKUP($B311,Seqs!$A:$B,2,0),AU311,1),"")</f>
        <v>V</v>
      </c>
      <c r="AU311" s="3">
        <v>372</v>
      </c>
      <c r="AV311" s="3" t="str">
        <f>IFERROR(MID(VLOOKUP($B311,Seqs!$A:$B,2,0),AW311,1),"")</f>
        <v>S</v>
      </c>
      <c r="AW311" s="3">
        <v>373</v>
      </c>
      <c r="AX311" s="3" t="str">
        <f>IFERROR(MID(VLOOKUP($B311,Seqs!$A:$B,2,0),AY311,1),"")</f>
        <v>S</v>
      </c>
      <c r="AY311" s="3">
        <v>382</v>
      </c>
      <c r="AZ311" s="77" t="str">
        <f>VLOOKUP(B311,Classification!A:D,2,0)</f>
        <v>A</v>
      </c>
      <c r="BA311" s="94" t="str">
        <f>VLOOKUP(B311,Classification!A:D,4,0)</f>
        <v>Neurotensin</v>
      </c>
      <c r="BB311" s="27" t="b">
        <f t="shared" si="2571"/>
        <v>1</v>
      </c>
      <c r="BC311" s="23">
        <f t="shared" si="2208"/>
        <v>257</v>
      </c>
      <c r="BD311" s="4" t="s">
        <v>23</v>
      </c>
      <c r="BE311" s="3" t="s">
        <v>1422</v>
      </c>
      <c r="BF311" s="118">
        <v>2.9</v>
      </c>
      <c r="BG311" s="49" t="s">
        <v>1371</v>
      </c>
      <c r="BH311" s="49" t="s">
        <v>1371</v>
      </c>
      <c r="BI311" s="1"/>
      <c r="BJ311" s="70" t="s">
        <v>1281</v>
      </c>
      <c r="BK311" s="57" t="s">
        <v>1281</v>
      </c>
      <c r="BL311" s="57" t="s">
        <v>1281</v>
      </c>
      <c r="BM311" s="57" t="s">
        <v>1281</v>
      </c>
      <c r="BN311" s="57" t="s">
        <v>1281</v>
      </c>
      <c r="BO311" s="57" t="s">
        <v>1281</v>
      </c>
      <c r="BP311" s="57" t="s">
        <v>1281</v>
      </c>
      <c r="BQ311" s="57" t="s">
        <v>1281</v>
      </c>
      <c r="BR311" s="57" t="s">
        <v>1281</v>
      </c>
      <c r="BS311" s="57" t="s">
        <v>1281</v>
      </c>
      <c r="BT311" s="57" t="s">
        <v>1281</v>
      </c>
      <c r="BU311" s="57" t="s">
        <v>1281</v>
      </c>
      <c r="BV311" s="70">
        <f t="shared" si="2209"/>
        <v>61</v>
      </c>
      <c r="BW311" s="71" t="str">
        <f t="shared" si="2210"/>
        <v>-</v>
      </c>
      <c r="BX311" s="72">
        <f t="shared" si="2211"/>
        <v>100</v>
      </c>
      <c r="BY311" s="71">
        <f t="shared" si="2212"/>
        <v>134</v>
      </c>
      <c r="BZ311" s="72">
        <f t="shared" si="2213"/>
        <v>138</v>
      </c>
      <c r="CA311" s="71">
        <f t="shared" si="2214"/>
        <v>174</v>
      </c>
      <c r="CB311" s="72">
        <f t="shared" si="2215"/>
        <v>182</v>
      </c>
      <c r="CC311" s="71">
        <f t="shared" si="2216"/>
        <v>225</v>
      </c>
      <c r="CD311" s="72">
        <f t="shared" si="2217"/>
        <v>231</v>
      </c>
      <c r="CE311" s="71">
        <f t="shared" si="2218"/>
        <v>301</v>
      </c>
      <c r="CF311" s="72">
        <f t="shared" si="2219"/>
        <v>340</v>
      </c>
      <c r="CG311" s="71">
        <f t="shared" si="2220"/>
        <v>373</v>
      </c>
      <c r="CH311" s="70">
        <f t="shared" si="2221"/>
        <v>91</v>
      </c>
      <c r="CI311" s="71" t="str">
        <f t="shared" si="2222"/>
        <v>-</v>
      </c>
      <c r="CJ311" s="72">
        <f t="shared" si="2223"/>
        <v>131</v>
      </c>
      <c r="CK311" s="72">
        <f t="shared" si="2224"/>
        <v>137</v>
      </c>
      <c r="CL311" s="72">
        <f t="shared" si="2225"/>
        <v>173</v>
      </c>
      <c r="CM311" s="72">
        <f t="shared" si="2226"/>
        <v>181</v>
      </c>
      <c r="CN311" s="72">
        <f t="shared" si="2227"/>
        <v>208</v>
      </c>
      <c r="CO311" s="72">
        <f t="shared" si="2228"/>
        <v>227</v>
      </c>
      <c r="CP311" s="72">
        <f t="shared" si="2229"/>
        <v>268</v>
      </c>
      <c r="CQ311" s="72">
        <f t="shared" si="2230"/>
        <v>334</v>
      </c>
      <c r="CR311" s="72">
        <f t="shared" si="2231"/>
        <v>372</v>
      </c>
      <c r="CS311" s="72">
        <f t="shared" si="2232"/>
        <v>382</v>
      </c>
      <c r="CT311" s="23" t="e">
        <f t="shared" si="2233"/>
        <v>#VALUE!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si="2570"/>
        <v>ntr1_rat_4XES</v>
      </c>
      <c r="B312" s="3" t="s">
        <v>907</v>
      </c>
      <c r="C312" s="3" t="s">
        <v>1345</v>
      </c>
      <c r="D312" s="3" t="str">
        <f>IFERROR(MID(VLOOKUP($B312,Seqs!$A:$B,2,0),E312,1),"")</f>
        <v>I</v>
      </c>
      <c r="E312" s="3">
        <v>61</v>
      </c>
      <c r="F312" s="3" t="str">
        <f>IFERROR(MID(VLOOKUP($B312,Seqs!$A:$B,2,0),G312,1),"")</f>
        <v>K</v>
      </c>
      <c r="G312" s="3">
        <v>92</v>
      </c>
      <c r="H312" s="3" t="str">
        <f>IFERROR(MID(VLOOKUP($B312,Seqs!$A:$B,2,0),I312,1),"")</f>
        <v/>
      </c>
      <c r="I312" s="23" t="s">
        <v>23</v>
      </c>
      <c r="J312" s="3" t="str">
        <f>IFERROR(MID(VLOOKUP($B312,Seqs!$A:$B,2,0),K312,1),"")</f>
        <v/>
      </c>
      <c r="K312" s="23" t="s">
        <v>23</v>
      </c>
      <c r="L312" s="3" t="str">
        <f>IFERROR(MID(VLOOKUP($B312,Seqs!$A:$B,2,0),M312,1),"")</f>
        <v>S</v>
      </c>
      <c r="M312" s="3">
        <v>97</v>
      </c>
      <c r="N312" s="3" t="str">
        <f>IFERROR(MID(VLOOKUP($B312,Seqs!$A:$B,2,0),O312,1),"")</f>
        <v>V</v>
      </c>
      <c r="O312" s="3">
        <v>131</v>
      </c>
      <c r="P312" s="3" t="str">
        <f>IFERROR(MID(VLOOKUP($B312,Seqs!$A:$B,2,0),Q312,1),"")</f>
        <v>P</v>
      </c>
      <c r="Q312" s="3">
        <v>134</v>
      </c>
      <c r="R312" s="3" t="str">
        <f>IFERROR(MID(VLOOKUP($B312,Seqs!$A:$B,2,0),S312,1),"")</f>
        <v>F</v>
      </c>
      <c r="S312" s="3">
        <v>137</v>
      </c>
      <c r="T312" s="3" t="str">
        <f>IFERROR(MID(VLOOKUP($B312,Seqs!$A:$B,2,0),U312,1),"")</f>
        <v>G</v>
      </c>
      <c r="U312" s="3">
        <v>138</v>
      </c>
      <c r="V312" s="3" t="str">
        <f>IFERROR(MID(VLOOKUP($B312,Seqs!$A:$B,2,0),W312,1),"")</f>
        <v>H</v>
      </c>
      <c r="W312" s="3">
        <v>173</v>
      </c>
      <c r="X312" s="3" t="str">
        <f>IFERROR(MID(VLOOKUP($B312,Seqs!$A:$B,2,0),Y312,1),"")</f>
        <v>P</v>
      </c>
      <c r="Y312" s="3">
        <v>174</v>
      </c>
      <c r="Z312" s="3" t="str">
        <f>IFERROR(MID(VLOOKUP($B312,Seqs!$A:$B,2,0),AA312,1),"")</f>
        <v>M</v>
      </c>
      <c r="AA312" s="3">
        <v>181</v>
      </c>
      <c r="AB312" s="3" t="str">
        <f>IFERROR(MID(VLOOKUP($B312,Seqs!$A:$B,2,0),AC312,1),"")</f>
        <v>S</v>
      </c>
      <c r="AC312" s="3">
        <v>182</v>
      </c>
      <c r="AD312" s="3" t="str">
        <f>IFERROR(MID(VLOOKUP($B312,Seqs!$A:$B,2,0),AE312,1),"")</f>
        <v>M</v>
      </c>
      <c r="AE312" s="3">
        <v>208</v>
      </c>
      <c r="AF312" s="3" t="str">
        <f>IFERROR(MID(VLOOKUP($B312,Seqs!$A:$B,2,0),AG312,1),"")</f>
        <v>C</v>
      </c>
      <c r="AG312" s="3">
        <v>225</v>
      </c>
      <c r="AH312" s="3" t="str">
        <f>IFERROR(MID(VLOOKUP($B312,Seqs!$A:$B,2,0),AI312,1),"")</f>
        <v>P</v>
      </c>
      <c r="AI312" s="3">
        <v>227</v>
      </c>
      <c r="AJ312" s="3" t="str">
        <f>IFERROR(MID(VLOOKUP($B312,Seqs!$A:$B,2,0),AK312,1),"")</f>
        <v>T</v>
      </c>
      <c r="AK312" s="3">
        <v>231</v>
      </c>
      <c r="AL312" s="3" t="str">
        <f>IFERROR(MID(VLOOKUP($B312,Seqs!$A:$B,2,0),AM312,1),"")</f>
        <v>V</v>
      </c>
      <c r="AM312" s="3">
        <v>268</v>
      </c>
      <c r="AN312" s="3" t="str">
        <f>IFERROR(MID(VLOOKUP($B312,Seqs!$A:$B,2,0),AO312,1),"")</f>
        <v>A</v>
      </c>
      <c r="AO312" s="3">
        <v>302</v>
      </c>
      <c r="AP312" s="3" t="str">
        <f>IFERROR(MID(VLOOKUP($B312,Seqs!$A:$B,2,0),AQ312,1),"")</f>
        <v>I</v>
      </c>
      <c r="AQ312" s="3">
        <v>334</v>
      </c>
      <c r="AR312" s="3" t="str">
        <f>IFERROR(MID(VLOOKUP($B312,Seqs!$A:$B,2,0),AS312,1),"")</f>
        <v>T</v>
      </c>
      <c r="AS312" s="3">
        <v>340</v>
      </c>
      <c r="AT312" s="3" t="str">
        <f>IFERROR(MID(VLOOKUP($B312,Seqs!$A:$B,2,0),AU312,1),"")</f>
        <v>V</v>
      </c>
      <c r="AU312" s="3">
        <v>372</v>
      </c>
      <c r="AV312" s="3" t="str">
        <f>IFERROR(MID(VLOOKUP($B312,Seqs!$A:$B,2,0),AW312,1),"")</f>
        <v>S</v>
      </c>
      <c r="AW312" s="3">
        <v>373</v>
      </c>
      <c r="AX312" s="3" t="str">
        <f>IFERROR(MID(VLOOKUP($B312,Seqs!$A:$B,2,0),AY312,1),"")</f>
        <v>S</v>
      </c>
      <c r="AY312" s="3">
        <v>382</v>
      </c>
      <c r="AZ312" s="77" t="str">
        <f>VLOOKUP(B312,Classification!A:D,2,0)</f>
        <v>A</v>
      </c>
      <c r="BA312" s="94" t="str">
        <f>VLOOKUP(B312,Classification!A:D,4,0)</f>
        <v>Neurotensin</v>
      </c>
      <c r="BB312" s="27" t="b">
        <f t="shared" si="2571"/>
        <v>1</v>
      </c>
      <c r="BC312" s="23">
        <f t="shared" si="2208"/>
        <v>260</v>
      </c>
      <c r="BD312" s="5" t="s">
        <v>23</v>
      </c>
      <c r="BE312" s="3" t="s">
        <v>1422</v>
      </c>
      <c r="BF312" s="118">
        <v>2.6</v>
      </c>
      <c r="BG312" s="49" t="s">
        <v>1371</v>
      </c>
      <c r="BH312" s="49" t="s">
        <v>1371</v>
      </c>
      <c r="BI312" s="1"/>
      <c r="BJ312" s="70" t="s">
        <v>1281</v>
      </c>
      <c r="BK312" s="57" t="s">
        <v>1281</v>
      </c>
      <c r="BL312" s="57" t="s">
        <v>1281</v>
      </c>
      <c r="BM312" s="57" t="s">
        <v>1281</v>
      </c>
      <c r="BN312" s="57" t="s">
        <v>1281</v>
      </c>
      <c r="BO312" s="57" t="s">
        <v>1281</v>
      </c>
      <c r="BP312" s="57" t="s">
        <v>1281</v>
      </c>
      <c r="BQ312" s="57" t="s">
        <v>1281</v>
      </c>
      <c r="BR312" s="57" t="s">
        <v>1281</v>
      </c>
      <c r="BS312" s="57" t="s">
        <v>1281</v>
      </c>
      <c r="BT312" s="57" t="s">
        <v>1281</v>
      </c>
      <c r="BU312" s="57" t="s">
        <v>1281</v>
      </c>
      <c r="BV312" s="70">
        <f t="shared" si="2209"/>
        <v>61</v>
      </c>
      <c r="BW312" s="71" t="str">
        <f t="shared" si="2210"/>
        <v>-</v>
      </c>
      <c r="BX312" s="72">
        <f t="shared" si="2211"/>
        <v>97</v>
      </c>
      <c r="BY312" s="71">
        <f t="shared" si="2212"/>
        <v>134</v>
      </c>
      <c r="BZ312" s="72">
        <f t="shared" si="2213"/>
        <v>138</v>
      </c>
      <c r="CA312" s="71">
        <f t="shared" si="2214"/>
        <v>174</v>
      </c>
      <c r="CB312" s="72">
        <f t="shared" si="2215"/>
        <v>182</v>
      </c>
      <c r="CC312" s="71">
        <f t="shared" si="2216"/>
        <v>225</v>
      </c>
      <c r="CD312" s="72">
        <f t="shared" si="2217"/>
        <v>231</v>
      </c>
      <c r="CE312" s="71">
        <f t="shared" si="2218"/>
        <v>302</v>
      </c>
      <c r="CF312" s="72">
        <f t="shared" si="2219"/>
        <v>340</v>
      </c>
      <c r="CG312" s="71">
        <f t="shared" si="2220"/>
        <v>373</v>
      </c>
      <c r="CH312" s="70">
        <f t="shared" si="2221"/>
        <v>92</v>
      </c>
      <c r="CI312" s="71" t="str">
        <f t="shared" si="2222"/>
        <v>-</v>
      </c>
      <c r="CJ312" s="72">
        <f t="shared" si="2223"/>
        <v>131</v>
      </c>
      <c r="CK312" s="72">
        <f t="shared" si="2224"/>
        <v>137</v>
      </c>
      <c r="CL312" s="72">
        <f t="shared" si="2225"/>
        <v>173</v>
      </c>
      <c r="CM312" s="72">
        <f t="shared" si="2226"/>
        <v>181</v>
      </c>
      <c r="CN312" s="72">
        <f t="shared" si="2227"/>
        <v>208</v>
      </c>
      <c r="CO312" s="72">
        <f t="shared" si="2228"/>
        <v>227</v>
      </c>
      <c r="CP312" s="72">
        <f t="shared" si="2229"/>
        <v>268</v>
      </c>
      <c r="CQ312" s="72">
        <f t="shared" si="2230"/>
        <v>334</v>
      </c>
      <c r="CR312" s="72">
        <f t="shared" si="2231"/>
        <v>372</v>
      </c>
      <c r="CS312" s="72">
        <f t="shared" si="2232"/>
        <v>382</v>
      </c>
      <c r="CT312" s="23" t="e">
        <f t="shared" si="2233"/>
        <v>#VALUE!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>CONCATENATE(B313,"_",C313)</f>
        <v>ntr1_rat_5T04</v>
      </c>
      <c r="B313" s="3" t="s">
        <v>907</v>
      </c>
      <c r="C313" s="3" t="s">
        <v>1379</v>
      </c>
      <c r="D313" s="3" t="str">
        <f>IFERROR(MID(VLOOKUP($B313,Seqs!$A:$B,2,0),E313,1),"")</f>
        <v>I</v>
      </c>
      <c r="E313" s="3">
        <v>61</v>
      </c>
      <c r="F313" s="3" t="str">
        <f>IFERROR(MID(VLOOKUP($B313,Seqs!$A:$B,2,0),G313,1),"")</f>
        <v>T</v>
      </c>
      <c r="G313" s="3">
        <v>88</v>
      </c>
      <c r="H313" s="3" t="str">
        <f>IFERROR(MID(VLOOKUP($B313,Seqs!$A:$B,2,0),I313,1),"")</f>
        <v/>
      </c>
      <c r="I313" s="23" t="s">
        <v>23</v>
      </c>
      <c r="J313" s="3" t="str">
        <f>IFERROR(MID(VLOOKUP($B313,Seqs!$A:$B,2,0),K313,1),"")</f>
        <v/>
      </c>
      <c r="K313" s="23" t="s">
        <v>23</v>
      </c>
      <c r="L313" s="3" t="str">
        <f>IFERROR(MID(VLOOKUP($B313,Seqs!$A:$B,2,0),M313,1),"")</f>
        <v>H</v>
      </c>
      <c r="M313" s="3">
        <v>103</v>
      </c>
      <c r="N313" s="3" t="str">
        <f>IFERROR(MID(VLOOKUP($B313,Seqs!$A:$B,2,0),O313,1),"")</f>
        <v>V</v>
      </c>
      <c r="O313" s="3">
        <v>131</v>
      </c>
      <c r="P313" s="3" t="str">
        <f>IFERROR(MID(VLOOKUP($B313,Seqs!$A:$B,2,0),Q313,1),"")</f>
        <v>P</v>
      </c>
      <c r="Q313" s="3">
        <v>134</v>
      </c>
      <c r="R313" s="3" t="str">
        <f>IFERROR(MID(VLOOKUP($B313,Seqs!$A:$B,2,0),S313,1),"")</f>
        <v>F</v>
      </c>
      <c r="S313" s="3">
        <v>137</v>
      </c>
      <c r="T313" s="3" t="str">
        <f>IFERROR(MID(VLOOKUP($B313,Seqs!$A:$B,2,0),U313,1),"")</f>
        <v>G</v>
      </c>
      <c r="U313" s="3">
        <v>138</v>
      </c>
      <c r="V313" s="3" t="str">
        <f>IFERROR(MID(VLOOKUP($B313,Seqs!$A:$B,2,0),W313,1),"")</f>
        <v>H</v>
      </c>
      <c r="W313" s="3">
        <v>173</v>
      </c>
      <c r="X313" s="3" t="str">
        <f>IFERROR(MID(VLOOKUP($B313,Seqs!$A:$B,2,0),Y313,1),"")</f>
        <v>P</v>
      </c>
      <c r="Y313" s="3">
        <v>174</v>
      </c>
      <c r="Z313" s="3" t="str">
        <f>IFERROR(MID(VLOOKUP($B313,Seqs!$A:$B,2,0),AA313,1),"")</f>
        <v>M</v>
      </c>
      <c r="AA313" s="3">
        <v>181</v>
      </c>
      <c r="AB313" s="3" t="str">
        <f>IFERROR(MID(VLOOKUP($B313,Seqs!$A:$B,2,0),AC313,1),"")</f>
        <v>S</v>
      </c>
      <c r="AC313" s="3">
        <v>182</v>
      </c>
      <c r="AD313" s="3" t="str">
        <f>IFERROR(MID(VLOOKUP($B313,Seqs!$A:$B,2,0),AE313,1),"")</f>
        <v>M</v>
      </c>
      <c r="AE313" s="3">
        <v>208</v>
      </c>
      <c r="AF313" s="3" t="str">
        <f>IFERROR(MID(VLOOKUP($B313,Seqs!$A:$B,2,0),AG313,1),"")</f>
        <v>C</v>
      </c>
      <c r="AG313" s="3">
        <v>225</v>
      </c>
      <c r="AH313" s="3" t="str">
        <f>IFERROR(MID(VLOOKUP($B313,Seqs!$A:$B,2,0),AI313,1),"")</f>
        <v>P</v>
      </c>
      <c r="AI313" s="3">
        <v>227</v>
      </c>
      <c r="AJ313" s="3" t="str">
        <f>IFERROR(MID(VLOOKUP($B313,Seqs!$A:$B,2,0),AK313,1),"")</f>
        <v>T</v>
      </c>
      <c r="AK313" s="3">
        <v>231</v>
      </c>
      <c r="AL313" s="3" t="str">
        <f>IFERROR(MID(VLOOKUP($B313,Seqs!$A:$B,2,0),AM313,1),"")</f>
        <v>V</v>
      </c>
      <c r="AM313" s="3">
        <v>268</v>
      </c>
      <c r="AN313" s="3" t="str">
        <f>IFERROR(MID(VLOOKUP($B313,Seqs!$A:$B,2,0),AO313,1),"")</f>
        <v>P</v>
      </c>
      <c r="AO313" s="3">
        <v>297</v>
      </c>
      <c r="AP313" s="3" t="str">
        <f>IFERROR(MID(VLOOKUP($B313,Seqs!$A:$B,2,0),AQ313,1),"")</f>
        <v>I</v>
      </c>
      <c r="AQ313" s="3">
        <v>334</v>
      </c>
      <c r="AR313" s="3" t="str">
        <f>IFERROR(MID(VLOOKUP($B313,Seqs!$A:$B,2,0),AS313,1),"")</f>
        <v>T</v>
      </c>
      <c r="AS313" s="3">
        <v>340</v>
      </c>
      <c r="AT313" s="3" t="str">
        <f>IFERROR(MID(VLOOKUP($B313,Seqs!$A:$B,2,0),AU313,1),"")</f>
        <v>I</v>
      </c>
      <c r="AU313" s="3">
        <v>364</v>
      </c>
      <c r="AV313" s="3" t="str">
        <f>IFERROR(MID(VLOOKUP($B313,Seqs!$A:$B,2,0),AW313,1),"")</f>
        <v/>
      </c>
      <c r="AW313" s="3" t="s">
        <v>23</v>
      </c>
      <c r="AX313" s="3" t="str">
        <f>IFERROR(MID(VLOOKUP($B313,Seqs!$A:$B,2,0),AY313,1),"")</f>
        <v/>
      </c>
      <c r="AY313" s="3" t="s">
        <v>23</v>
      </c>
      <c r="AZ313" s="77" t="str">
        <f>VLOOKUP(B313,Classification!A:D,2,0)</f>
        <v>A</v>
      </c>
      <c r="BA313" s="94" t="str">
        <f>VLOOKUP(B313,Classification!A:D,4,0)</f>
        <v>Neurotensin</v>
      </c>
      <c r="BB313" s="27" t="b">
        <f>AND(E313&lt;G313,OR(G313&lt;I313,I313="-"),OR(I313&lt;K313,I313="-"),OR(K313&lt;M313,K313="-"),M313&lt;O313,OR(O313&lt;Q313,Q313="-"),OR(Q313&lt;S313,Q313="-"),OR(S313&lt;U313,S313="-"),U313&lt;W313,OR(W313&lt;Y313,Y313="-"),OR(Y313&lt;AA313,Y313="-"),OR(AA313&lt;AC313,AA313="-"),AC313&lt;AE313,OR(AE313&lt;AG313,AG313="-"),OR(AG313&lt;AI313,AG313="-"),OR(AI313&lt;AK313,AI313="-"),AK313&lt;AM313,AM313&lt;AO313,AO313&lt;AQ313,AQ313&lt;AS313,AS313&lt;AU313,OR(AU313&lt;AW313,AW313="-"),OR(AW313&lt;AY313,AW313="-"))</f>
        <v>1</v>
      </c>
      <c r="BC313" s="23">
        <f>_xlfn.AGGREGATE(9,6,CH313:CS313)-_xlfn.AGGREGATE(9,6,BV313:CG313)+12</f>
        <v>238</v>
      </c>
      <c r="BD313" s="5" t="s">
        <v>23</v>
      </c>
      <c r="BE313" s="3" t="s">
        <v>1285</v>
      </c>
      <c r="BF313" s="118">
        <v>3.3</v>
      </c>
      <c r="BG313" s="49" t="s">
        <v>1371</v>
      </c>
      <c r="BH313" s="49" t="s">
        <v>1371</v>
      </c>
      <c r="BI313" s="1"/>
      <c r="BJ313" s="70" t="s">
        <v>1281</v>
      </c>
      <c r="BK313" s="57" t="s">
        <v>1281</v>
      </c>
      <c r="BL313" s="57" t="s">
        <v>1281</v>
      </c>
      <c r="BM313" s="57" t="s">
        <v>1281</v>
      </c>
      <c r="BN313" s="57" t="s">
        <v>1281</v>
      </c>
      <c r="BO313" s="57" t="s">
        <v>1281</v>
      </c>
      <c r="BP313" s="57" t="s">
        <v>1281</v>
      </c>
      <c r="BQ313" s="57" t="s">
        <v>1281</v>
      </c>
      <c r="BR313" s="57" t="s">
        <v>1281</v>
      </c>
      <c r="BS313" s="57" t="s">
        <v>1281</v>
      </c>
      <c r="BT313" s="57" t="s">
        <v>1281</v>
      </c>
      <c r="BU313" s="57" t="s">
        <v>1281</v>
      </c>
      <c r="BV313" s="70">
        <f>E313</f>
        <v>61</v>
      </c>
      <c r="BW313" s="71" t="str">
        <f>I313</f>
        <v>-</v>
      </c>
      <c r="BX313" s="72">
        <f>M313</f>
        <v>103</v>
      </c>
      <c r="BY313" s="71">
        <f>Q313</f>
        <v>134</v>
      </c>
      <c r="BZ313" s="72">
        <f>U313</f>
        <v>138</v>
      </c>
      <c r="CA313" s="71">
        <f>Y313</f>
        <v>174</v>
      </c>
      <c r="CB313" s="72">
        <f>AC313</f>
        <v>182</v>
      </c>
      <c r="CC313" s="71">
        <f>AG313</f>
        <v>225</v>
      </c>
      <c r="CD313" s="72">
        <f>AK313</f>
        <v>231</v>
      </c>
      <c r="CE313" s="71">
        <f>AO313</f>
        <v>297</v>
      </c>
      <c r="CF313" s="72">
        <f>AS313</f>
        <v>340</v>
      </c>
      <c r="CG313" s="71" t="str">
        <f>AW313</f>
        <v>-</v>
      </c>
      <c r="CH313" s="70">
        <f>G313</f>
        <v>88</v>
      </c>
      <c r="CI313" s="71" t="str">
        <f>K313</f>
        <v>-</v>
      </c>
      <c r="CJ313" s="72">
        <f>O313</f>
        <v>131</v>
      </c>
      <c r="CK313" s="72">
        <f>S313</f>
        <v>137</v>
      </c>
      <c r="CL313" s="72">
        <f>W313</f>
        <v>173</v>
      </c>
      <c r="CM313" s="72">
        <f>AA313</f>
        <v>181</v>
      </c>
      <c r="CN313" s="72">
        <f>AE313</f>
        <v>208</v>
      </c>
      <c r="CO313" s="72">
        <f>AI313</f>
        <v>227</v>
      </c>
      <c r="CP313" s="72">
        <f>AM313</f>
        <v>268</v>
      </c>
      <c r="CQ313" s="72">
        <f>AQ313</f>
        <v>334</v>
      </c>
      <c r="CR313" s="72">
        <f>AU313</f>
        <v>364</v>
      </c>
      <c r="CS313" s="72" t="str">
        <f>AY313</f>
        <v>-</v>
      </c>
      <c r="CT313" s="23" t="e">
        <f>M313-K313</f>
        <v>#VALUE!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30" x14ac:dyDescent="0.2">
      <c r="A314" s="3" t="str">
        <f t="shared" si="2570"/>
        <v>oprd_human__wt</v>
      </c>
      <c r="B314" s="3" t="s">
        <v>334</v>
      </c>
      <c r="C314" s="3" t="s">
        <v>100</v>
      </c>
      <c r="D314" s="3" t="str">
        <f>IFERROR(MID(VLOOKUP($B314,Seqs!$A:$B,2,0),E314,1),"")</f>
        <v>G</v>
      </c>
      <c r="E314" s="3">
        <v>39</v>
      </c>
      <c r="F314" s="3" t="str">
        <f>IFERROR(MID(VLOOKUP($B314,Seqs!$A:$B,2,0),G314,1),"")</f>
        <v>Y</v>
      </c>
      <c r="G314" s="3">
        <v>77</v>
      </c>
      <c r="H314" s="3" t="str">
        <f>IFERROR(MID(VLOOKUP($B314,Seqs!$A:$B,2,0),I314,1),"")</f>
        <v>T</v>
      </c>
      <c r="I314" s="23">
        <v>78</v>
      </c>
      <c r="J314" s="3" t="str">
        <f>IFERROR(MID(VLOOKUP($B314,Seqs!$A:$B,2,0),K314,1),"")</f>
        <v>K</v>
      </c>
      <c r="K314" s="23">
        <v>81</v>
      </c>
      <c r="L314" s="3" t="str">
        <f>IFERROR(MID(VLOOKUP($B314,Seqs!$A:$B,2,0),M314,1),"")</f>
        <v>T</v>
      </c>
      <c r="M314" s="3">
        <v>82</v>
      </c>
      <c r="N314" s="3" t="str">
        <f>IFERROR(MID(VLOOKUP($B314,Seqs!$A:$B,2,0),O314,1),"")</f>
        <v>E</v>
      </c>
      <c r="O314" s="105">
        <v>112</v>
      </c>
      <c r="P314" s="3" t="str">
        <f>IFERROR(MID(VLOOKUP($B314,Seqs!$A:$B,2,0),Q314,1),"")</f>
        <v>T</v>
      </c>
      <c r="Q314" s="3">
        <v>113</v>
      </c>
      <c r="R314" s="3" t="str">
        <f>IFERROR(MID(VLOOKUP($B314,Seqs!$A:$B,2,0),S314,1),"")</f>
        <v>F</v>
      </c>
      <c r="S314" s="3">
        <v>116</v>
      </c>
      <c r="T314" s="3" t="str">
        <f>IFERROR(MID(VLOOKUP($B314,Seqs!$A:$B,2,0),U314,1),"")</f>
        <v>G</v>
      </c>
      <c r="U314" s="3">
        <v>117</v>
      </c>
      <c r="V314" s="3" t="str">
        <f>IFERROR(MID(VLOOKUP($B314,Seqs!$A:$B,2,0),W314,1),"")</f>
        <v>H</v>
      </c>
      <c r="W314" s="3">
        <v>152</v>
      </c>
      <c r="X314" s="3" t="str">
        <f>IFERROR(MID(VLOOKUP($B314,Seqs!$A:$B,2,0),Y314,1),"")</f>
        <v>P</v>
      </c>
      <c r="Y314" s="3">
        <v>153</v>
      </c>
      <c r="Z314" s="3" t="str">
        <f>IFERROR(MID(VLOOKUP($B314,Seqs!$A:$B,2,0),AA314,1),"")</f>
        <v>R</v>
      </c>
      <c r="AA314" s="3">
        <v>160</v>
      </c>
      <c r="AB314" s="3" t="str">
        <f>IFERROR(MID(VLOOKUP($B314,Seqs!$A:$B,2,0),AC314,1),"")</f>
        <v>T</v>
      </c>
      <c r="AC314" s="3">
        <v>161</v>
      </c>
      <c r="AD314" s="3" t="str">
        <f>IFERROR(MID(VLOOKUP($B314,Seqs!$A:$B,2,0),AE314,1),"")</f>
        <v>A</v>
      </c>
      <c r="AE314" s="3">
        <v>187</v>
      </c>
      <c r="AF314" s="3" t="str">
        <f>IFERROR(MID(VLOOKUP($B314,Seqs!$A:$B,2,0),AG314,1),"")</f>
        <v>C</v>
      </c>
      <c r="AG314" s="3">
        <v>198</v>
      </c>
      <c r="AH314" s="3" t="str">
        <f>IFERROR(MID(VLOOKUP($B314,Seqs!$A:$B,2,0),AI314,1),"")</f>
        <v>L</v>
      </c>
      <c r="AI314" s="3">
        <v>200</v>
      </c>
      <c r="AJ314" s="3" t="str">
        <f>IFERROR(MID(VLOOKUP($B314,Seqs!$A:$B,2,0),AK314,1),"")</f>
        <v>P</v>
      </c>
      <c r="AK314" s="105">
        <v>205</v>
      </c>
      <c r="AL314" s="3" t="str">
        <f>IFERROR(MID(VLOOKUP($B314,Seqs!$A:$B,2,0),AM314,1),"")</f>
        <v>V</v>
      </c>
      <c r="AM314" s="3">
        <v>243</v>
      </c>
      <c r="AN314" s="3" t="str">
        <f>IFERROR(MID(VLOOKUP($B314,Seqs!$A:$B,2,0),AO314,1),"")</f>
        <v>S</v>
      </c>
      <c r="AO314" s="3">
        <v>249</v>
      </c>
      <c r="AP314" s="3" t="str">
        <f>IFERROR(MID(VLOOKUP($B314,Seqs!$A:$B,2,0),AQ314,1),"")</f>
        <v>V</v>
      </c>
      <c r="AQ314" s="3">
        <v>287</v>
      </c>
      <c r="AR314" s="3" t="str">
        <f>IFERROR(MID(VLOOKUP($B314,Seqs!$A:$B,2,0),AS314,1),"")</f>
        <v>D</v>
      </c>
      <c r="AS314" s="3">
        <v>293</v>
      </c>
      <c r="AT314" s="3" t="str">
        <f>IFERROR(MID(VLOOKUP($B314,Seqs!$A:$B,2,0),AU314,1),"")</f>
        <v>L</v>
      </c>
      <c r="AU314" s="3">
        <v>321</v>
      </c>
      <c r="AV314" s="3" t="str">
        <f>IFERROR(MID(VLOOKUP($B314,Seqs!$A:$B,2,0),AW314,1),"")</f>
        <v>D</v>
      </c>
      <c r="AW314" s="3">
        <v>322</v>
      </c>
      <c r="AX314" s="3" t="str">
        <f>IFERROR(MID(VLOOKUP($B314,Seqs!$A:$B,2,0),AY314,1),"")</f>
        <v>K</v>
      </c>
      <c r="AY314" s="3">
        <v>335</v>
      </c>
      <c r="AZ314" s="77" t="str">
        <f>VLOOKUP(B314,Classification!A:D,2,0)</f>
        <v>A</v>
      </c>
      <c r="BA314" s="94" t="str">
        <f>VLOOKUP(B314,Classification!A:D,4,0)</f>
        <v>Opioid</v>
      </c>
      <c r="BB314" s="27" t="b">
        <f t="shared" si="2571"/>
        <v>1</v>
      </c>
      <c r="BC314" s="23">
        <f t="shared" si="2208"/>
        <v>273</v>
      </c>
      <c r="BD314" s="56" t="s">
        <v>23</v>
      </c>
      <c r="BE314" s="3" t="s">
        <v>23</v>
      </c>
      <c r="BF314" s="118" t="s">
        <v>23</v>
      </c>
      <c r="BG314" s="49" t="s">
        <v>1366</v>
      </c>
      <c r="BH314" s="49" t="s">
        <v>1371</v>
      </c>
      <c r="BI314" s="1"/>
      <c r="BJ314" s="70" t="s">
        <v>1281</v>
      </c>
      <c r="BK314" s="57" t="s">
        <v>1281</v>
      </c>
      <c r="BL314" s="57" t="s">
        <v>1281</v>
      </c>
      <c r="BM314" s="57" t="s">
        <v>1281</v>
      </c>
      <c r="BN314" s="57" t="s">
        <v>1281</v>
      </c>
      <c r="BO314" s="57" t="s">
        <v>1281</v>
      </c>
      <c r="BP314" s="57" t="s">
        <v>1281</v>
      </c>
      <c r="BQ314" s="57" t="s">
        <v>1281</v>
      </c>
      <c r="BR314" s="57" t="s">
        <v>1281</v>
      </c>
      <c r="BS314" s="57" t="s">
        <v>1281</v>
      </c>
      <c r="BT314" s="57" t="s">
        <v>1281</v>
      </c>
      <c r="BU314" s="57" t="s">
        <v>1281</v>
      </c>
      <c r="BV314" s="70">
        <f t="shared" si="2209"/>
        <v>39</v>
      </c>
      <c r="BW314" s="71">
        <f t="shared" si="2210"/>
        <v>78</v>
      </c>
      <c r="BX314" s="72">
        <f t="shared" si="2211"/>
        <v>82</v>
      </c>
      <c r="BY314" s="71">
        <f t="shared" si="2212"/>
        <v>113</v>
      </c>
      <c r="BZ314" s="72">
        <f t="shared" si="2213"/>
        <v>117</v>
      </c>
      <c r="CA314" s="71">
        <f t="shared" si="2214"/>
        <v>153</v>
      </c>
      <c r="CB314" s="72">
        <f t="shared" si="2215"/>
        <v>161</v>
      </c>
      <c r="CC314" s="71">
        <f t="shared" si="2216"/>
        <v>198</v>
      </c>
      <c r="CD314" s="72">
        <f t="shared" si="2217"/>
        <v>205</v>
      </c>
      <c r="CE314" s="71">
        <f t="shared" si="2218"/>
        <v>249</v>
      </c>
      <c r="CF314" s="72">
        <f t="shared" si="2219"/>
        <v>293</v>
      </c>
      <c r="CG314" s="71">
        <f t="shared" si="2220"/>
        <v>322</v>
      </c>
      <c r="CH314" s="70">
        <f t="shared" si="2221"/>
        <v>77</v>
      </c>
      <c r="CI314" s="71">
        <f t="shared" si="2222"/>
        <v>81</v>
      </c>
      <c r="CJ314" s="72">
        <f t="shared" si="2223"/>
        <v>112</v>
      </c>
      <c r="CK314" s="72">
        <f t="shared" si="2224"/>
        <v>116</v>
      </c>
      <c r="CL314" s="72">
        <f t="shared" si="2225"/>
        <v>152</v>
      </c>
      <c r="CM314" s="72">
        <f t="shared" si="2226"/>
        <v>160</v>
      </c>
      <c r="CN314" s="72">
        <f t="shared" si="2227"/>
        <v>187</v>
      </c>
      <c r="CO314" s="72">
        <f t="shared" si="2228"/>
        <v>200</v>
      </c>
      <c r="CP314" s="72">
        <f t="shared" si="2229"/>
        <v>243</v>
      </c>
      <c r="CQ314" s="72">
        <f t="shared" si="2230"/>
        <v>287</v>
      </c>
      <c r="CR314" s="72">
        <f t="shared" si="2231"/>
        <v>321</v>
      </c>
      <c r="CS314" s="72">
        <f t="shared" si="2232"/>
        <v>335</v>
      </c>
      <c r="CT314" s="23">
        <f t="shared" si="2233"/>
        <v>1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30" x14ac:dyDescent="0.2">
      <c r="A315" s="3" t="str">
        <f t="shared" si="2570"/>
        <v>oprd_human_4N6H</v>
      </c>
      <c r="B315" s="3" t="s">
        <v>334</v>
      </c>
      <c r="C315" s="3" t="s">
        <v>87</v>
      </c>
      <c r="D315" s="3" t="str">
        <f>IFERROR(MID(VLOOKUP($B315,Seqs!$A:$B,2,0),E315,1),"")</f>
        <v>G</v>
      </c>
      <c r="E315" s="3">
        <v>39</v>
      </c>
      <c r="F315" s="3" t="str">
        <f>IFERROR(MID(VLOOKUP($B315,Seqs!$A:$B,2,0),G315,1),"")</f>
        <v>Y</v>
      </c>
      <c r="G315" s="3">
        <v>77</v>
      </c>
      <c r="H315" s="3" t="str">
        <f>IFERROR(MID(VLOOKUP($B315,Seqs!$A:$B,2,0),I315,1),"")</f>
        <v>T</v>
      </c>
      <c r="I315" s="23">
        <v>78</v>
      </c>
      <c r="J315" s="3" t="str">
        <f>IFERROR(MID(VLOOKUP($B315,Seqs!$A:$B,2,0),K315,1),"")</f>
        <v>K</v>
      </c>
      <c r="K315" s="23">
        <v>81</v>
      </c>
      <c r="L315" s="3" t="str">
        <f>IFERROR(MID(VLOOKUP($B315,Seqs!$A:$B,2,0),M315,1),"")</f>
        <v>T</v>
      </c>
      <c r="M315" s="3">
        <v>82</v>
      </c>
      <c r="N315" s="3" t="str">
        <f>IFERROR(MID(VLOOKUP($B315,Seqs!$A:$B,2,0),O315,1),"")</f>
        <v>M</v>
      </c>
      <c r="O315" s="3">
        <v>111</v>
      </c>
      <c r="P315" s="3" t="str">
        <f>IFERROR(MID(VLOOKUP($B315,Seqs!$A:$B,2,0),Q315,1),"")</f>
        <v>T</v>
      </c>
      <c r="Q315" s="3">
        <v>113</v>
      </c>
      <c r="R315" s="3" t="str">
        <f>IFERROR(MID(VLOOKUP($B315,Seqs!$A:$B,2,0),S315,1),"")</f>
        <v>F</v>
      </c>
      <c r="S315" s="3">
        <v>116</v>
      </c>
      <c r="T315" s="3" t="str">
        <f>IFERROR(MID(VLOOKUP($B315,Seqs!$A:$B,2,0),U315,1),"")</f>
        <v>G</v>
      </c>
      <c r="U315" s="3">
        <v>117</v>
      </c>
      <c r="V315" s="3" t="str">
        <f>IFERROR(MID(VLOOKUP($B315,Seqs!$A:$B,2,0),W315,1),"")</f>
        <v>H</v>
      </c>
      <c r="W315" s="3">
        <v>152</v>
      </c>
      <c r="X315" s="3" t="str">
        <f>IFERROR(MID(VLOOKUP($B315,Seqs!$A:$B,2,0),Y315,1),"")</f>
        <v>P</v>
      </c>
      <c r="Y315" s="3">
        <v>153</v>
      </c>
      <c r="Z315" s="3" t="str">
        <f>IFERROR(MID(VLOOKUP($B315,Seqs!$A:$B,2,0),AA315,1),"")</f>
        <v>R</v>
      </c>
      <c r="AA315" s="3">
        <v>160</v>
      </c>
      <c r="AB315" s="3" t="str">
        <f>IFERROR(MID(VLOOKUP($B315,Seqs!$A:$B,2,0),AC315,1),"")</f>
        <v>T</v>
      </c>
      <c r="AC315" s="3">
        <v>161</v>
      </c>
      <c r="AD315" s="3" t="str">
        <f>IFERROR(MID(VLOOKUP($B315,Seqs!$A:$B,2,0),AE315,1),"")</f>
        <v>A</v>
      </c>
      <c r="AE315" s="3">
        <v>187</v>
      </c>
      <c r="AF315" s="3" t="str">
        <f>IFERROR(MID(VLOOKUP($B315,Seqs!$A:$B,2,0),AG315,1),"")</f>
        <v>C</v>
      </c>
      <c r="AG315" s="3">
        <v>198</v>
      </c>
      <c r="AH315" s="3" t="str">
        <f>IFERROR(MID(VLOOKUP($B315,Seqs!$A:$B,2,0),AI315,1),"")</f>
        <v>L</v>
      </c>
      <c r="AI315" s="3">
        <v>200</v>
      </c>
      <c r="AJ315" s="3" t="str">
        <f>IFERROR(MID(VLOOKUP($B315,Seqs!$A:$B,2,0),AK315,1),"")</f>
        <v>P</v>
      </c>
      <c r="AK315" s="3">
        <v>205</v>
      </c>
      <c r="AL315" s="3" t="str">
        <f>IFERROR(MID(VLOOKUP($B315,Seqs!$A:$B,2,0),AM315,1),"")</f>
        <v>V</v>
      </c>
      <c r="AM315" s="3">
        <v>243</v>
      </c>
      <c r="AN315" s="3" t="str">
        <f>IFERROR(MID(VLOOKUP($B315,Seqs!$A:$B,2,0),AO315,1),"")</f>
        <v>S</v>
      </c>
      <c r="AO315" s="3">
        <v>249</v>
      </c>
      <c r="AP315" s="3" t="str">
        <f>IFERROR(MID(VLOOKUP($B315,Seqs!$A:$B,2,0),AQ315,1),"")</f>
        <v>V</v>
      </c>
      <c r="AQ315" s="3">
        <v>287</v>
      </c>
      <c r="AR315" s="3" t="str">
        <f>IFERROR(MID(VLOOKUP($B315,Seqs!$A:$B,2,0),AS315,1),"")</f>
        <v>D</v>
      </c>
      <c r="AS315" s="3">
        <v>293</v>
      </c>
      <c r="AT315" s="3" t="str">
        <f>IFERROR(MID(VLOOKUP($B315,Seqs!$A:$B,2,0),AU315,1),"")</f>
        <v>L</v>
      </c>
      <c r="AU315" s="3">
        <v>321</v>
      </c>
      <c r="AV315" s="3" t="str">
        <f>IFERROR(MID(VLOOKUP($B315,Seqs!$A:$B,2,0),AW315,1),"")</f>
        <v>D</v>
      </c>
      <c r="AW315" s="3">
        <v>322</v>
      </c>
      <c r="AX315" s="3" t="str">
        <f>IFERROR(MID(VLOOKUP($B315,Seqs!$A:$B,2,0),AY315,1),"")</f>
        <v>K</v>
      </c>
      <c r="AY315" s="3">
        <v>335</v>
      </c>
      <c r="AZ315" s="77" t="str">
        <f>VLOOKUP(B315,Classification!A:D,2,0)</f>
        <v>A</v>
      </c>
      <c r="BA315" s="94" t="str">
        <f>VLOOKUP(B315,Classification!A:D,4,0)</f>
        <v>Opioid</v>
      </c>
      <c r="BB315" s="27" t="b">
        <f t="shared" si="2571"/>
        <v>1</v>
      </c>
      <c r="BC315" s="23">
        <f t="shared" si="2208"/>
        <v>272</v>
      </c>
      <c r="BD315" s="16" t="s">
        <v>1370</v>
      </c>
      <c r="BE315" s="3" t="s">
        <v>1368</v>
      </c>
      <c r="BF315" s="118">
        <v>1.8</v>
      </c>
      <c r="BG315" s="49" t="s">
        <v>1371</v>
      </c>
      <c r="BH315" s="49" t="s">
        <v>1371</v>
      </c>
      <c r="BJ315" s="70" t="s">
        <v>1281</v>
      </c>
      <c r="BK315" s="57" t="s">
        <v>1281</v>
      </c>
      <c r="BL315" s="57" t="s">
        <v>1281</v>
      </c>
      <c r="BM315" s="57" t="s">
        <v>1281</v>
      </c>
      <c r="BN315" s="57" t="s">
        <v>1281</v>
      </c>
      <c r="BO315" s="57" t="s">
        <v>1281</v>
      </c>
      <c r="BP315" s="57" t="s">
        <v>1281</v>
      </c>
      <c r="BQ315" s="57" t="s">
        <v>1281</v>
      </c>
      <c r="BR315" s="57" t="s">
        <v>1281</v>
      </c>
      <c r="BS315" s="57" t="s">
        <v>1281</v>
      </c>
      <c r="BT315" s="57" t="s">
        <v>1281</v>
      </c>
      <c r="BU315" s="57" t="s">
        <v>1281</v>
      </c>
      <c r="BV315" s="70">
        <f t="shared" si="2209"/>
        <v>39</v>
      </c>
      <c r="BW315" s="71">
        <f t="shared" si="2210"/>
        <v>78</v>
      </c>
      <c r="BX315" s="72">
        <f t="shared" si="2211"/>
        <v>82</v>
      </c>
      <c r="BY315" s="71">
        <f t="shared" si="2212"/>
        <v>113</v>
      </c>
      <c r="BZ315" s="72">
        <f t="shared" si="2213"/>
        <v>117</v>
      </c>
      <c r="CA315" s="71">
        <f t="shared" si="2214"/>
        <v>153</v>
      </c>
      <c r="CB315" s="72">
        <f t="shared" si="2215"/>
        <v>161</v>
      </c>
      <c r="CC315" s="71">
        <f t="shared" si="2216"/>
        <v>198</v>
      </c>
      <c r="CD315" s="72">
        <f t="shared" si="2217"/>
        <v>205</v>
      </c>
      <c r="CE315" s="71">
        <f t="shared" si="2218"/>
        <v>249</v>
      </c>
      <c r="CF315" s="72">
        <f t="shared" si="2219"/>
        <v>293</v>
      </c>
      <c r="CG315" s="71">
        <f t="shared" si="2220"/>
        <v>322</v>
      </c>
      <c r="CH315" s="70">
        <f t="shared" si="2221"/>
        <v>77</v>
      </c>
      <c r="CI315" s="71">
        <f t="shared" si="2222"/>
        <v>81</v>
      </c>
      <c r="CJ315" s="72">
        <f t="shared" si="2223"/>
        <v>111</v>
      </c>
      <c r="CK315" s="72">
        <f t="shared" si="2224"/>
        <v>116</v>
      </c>
      <c r="CL315" s="72">
        <f t="shared" si="2225"/>
        <v>152</v>
      </c>
      <c r="CM315" s="72">
        <f t="shared" si="2226"/>
        <v>160</v>
      </c>
      <c r="CN315" s="72">
        <f t="shared" si="2227"/>
        <v>187</v>
      </c>
      <c r="CO315" s="72">
        <f t="shared" si="2228"/>
        <v>200</v>
      </c>
      <c r="CP315" s="72">
        <f t="shared" si="2229"/>
        <v>243</v>
      </c>
      <c r="CQ315" s="72">
        <f t="shared" si="2230"/>
        <v>287</v>
      </c>
      <c r="CR315" s="72">
        <f t="shared" si="2231"/>
        <v>321</v>
      </c>
      <c r="CS315" s="72">
        <f t="shared" si="2232"/>
        <v>335</v>
      </c>
      <c r="CT315" s="23">
        <f t="shared" si="2233"/>
        <v>1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30" s="2" customFormat="1" x14ac:dyDescent="0.2">
      <c r="A316" s="3" t="str">
        <f t="shared" si="2570"/>
        <v>oprd_human_4RWD</v>
      </c>
      <c r="B316" s="1" t="s">
        <v>334</v>
      </c>
      <c r="C316" s="1" t="s">
        <v>1332</v>
      </c>
      <c r="D316" s="3" t="str">
        <f>IFERROR(MID(VLOOKUP($B316,Seqs!$A:$B,2,0),E316,1),"")</f>
        <v>A</v>
      </c>
      <c r="E316" s="3">
        <v>43</v>
      </c>
      <c r="F316" s="3" t="str">
        <f>IFERROR(MID(VLOOKUP($B316,Seqs!$A:$B,2,0),G316,1),"")</f>
        <v>Y</v>
      </c>
      <c r="G316" s="3">
        <v>77</v>
      </c>
      <c r="H316" s="3" t="str">
        <f>IFERROR(MID(VLOOKUP($B316,Seqs!$A:$B,2,0),I316,1),"")</f>
        <v>T</v>
      </c>
      <c r="I316" s="23">
        <v>78</v>
      </c>
      <c r="J316" s="3" t="str">
        <f>IFERROR(MID(VLOOKUP($B316,Seqs!$A:$B,2,0),K316,1),"")</f>
        <v>K</v>
      </c>
      <c r="K316" s="23">
        <v>81</v>
      </c>
      <c r="L316" s="3" t="str">
        <f>IFERROR(MID(VLOOKUP($B316,Seqs!$A:$B,2,0),M316,1),"")</f>
        <v>T</v>
      </c>
      <c r="M316" s="3">
        <v>82</v>
      </c>
      <c r="N316" s="3" t="str">
        <f>IFERROR(MID(VLOOKUP($B316,Seqs!$A:$B,2,0),O316,1),"")</f>
        <v>E</v>
      </c>
      <c r="O316" s="3">
        <v>112</v>
      </c>
      <c r="P316" s="3" t="str">
        <f>IFERROR(MID(VLOOKUP($B316,Seqs!$A:$B,2,0),Q316,1),"")</f>
        <v>T</v>
      </c>
      <c r="Q316" s="3">
        <v>113</v>
      </c>
      <c r="R316" s="3" t="str">
        <f>IFERROR(MID(VLOOKUP($B316,Seqs!$A:$B,2,0),S316,1),"")</f>
        <v>F</v>
      </c>
      <c r="S316" s="3">
        <v>116</v>
      </c>
      <c r="T316" s="3" t="str">
        <f>IFERROR(MID(VLOOKUP($B316,Seqs!$A:$B,2,0),U316,1),"")</f>
        <v>G</v>
      </c>
      <c r="U316" s="3">
        <v>117</v>
      </c>
      <c r="V316" s="3" t="str">
        <f>IFERROR(MID(VLOOKUP($B316,Seqs!$A:$B,2,0),W316,1),"")</f>
        <v>H</v>
      </c>
      <c r="W316" s="3">
        <v>152</v>
      </c>
      <c r="X316" s="3" t="str">
        <f>IFERROR(MID(VLOOKUP($B316,Seqs!$A:$B,2,0),Y316,1),"")</f>
        <v>P</v>
      </c>
      <c r="Y316" s="3">
        <v>153</v>
      </c>
      <c r="Z316" s="3" t="str">
        <f>IFERROR(MID(VLOOKUP($B316,Seqs!$A:$B,2,0),AA316,1),"")</f>
        <v>R</v>
      </c>
      <c r="AA316" s="3">
        <v>160</v>
      </c>
      <c r="AB316" s="3" t="str">
        <f>IFERROR(MID(VLOOKUP($B316,Seqs!$A:$B,2,0),AC316,1),"")</f>
        <v>T</v>
      </c>
      <c r="AC316" s="3">
        <v>161</v>
      </c>
      <c r="AD316" s="3" t="str">
        <f>IFERROR(MID(VLOOKUP($B316,Seqs!$A:$B,2,0),AE316,1),"")</f>
        <v>A</v>
      </c>
      <c r="AE316" s="3">
        <v>187</v>
      </c>
      <c r="AF316" s="3" t="str">
        <f>IFERROR(MID(VLOOKUP($B316,Seqs!$A:$B,2,0),AG316,1),"")</f>
        <v>C</v>
      </c>
      <c r="AG316" s="3">
        <v>198</v>
      </c>
      <c r="AH316" s="3" t="str">
        <f>IFERROR(MID(VLOOKUP($B316,Seqs!$A:$B,2,0),AI316,1),"")</f>
        <v>L</v>
      </c>
      <c r="AI316" s="3">
        <v>200</v>
      </c>
      <c r="AJ316" s="3" t="str">
        <f>IFERROR(MID(VLOOKUP($B316,Seqs!$A:$B,2,0),AK316,1),"")</f>
        <v>P</v>
      </c>
      <c r="AK316" s="3">
        <v>205</v>
      </c>
      <c r="AL316" s="3" t="str">
        <f>IFERROR(MID(VLOOKUP($B316,Seqs!$A:$B,2,0),AM316,1),"")</f>
        <v>V</v>
      </c>
      <c r="AM316" s="3">
        <v>243</v>
      </c>
      <c r="AN316" s="3" t="str">
        <f>IFERROR(MID(VLOOKUP($B316,Seqs!$A:$B,2,0),AO316,1),"")</f>
        <v>S</v>
      </c>
      <c r="AO316" s="3">
        <v>249</v>
      </c>
      <c r="AP316" s="3" t="str">
        <f>IFERROR(MID(VLOOKUP($B316,Seqs!$A:$B,2,0),AQ316,1),"")</f>
        <v>V</v>
      </c>
      <c r="AQ316" s="3">
        <v>287</v>
      </c>
      <c r="AR316" s="3" t="str">
        <f>IFERROR(MID(VLOOKUP($B316,Seqs!$A:$B,2,0),AS316,1),"")</f>
        <v>D</v>
      </c>
      <c r="AS316" s="3">
        <v>293</v>
      </c>
      <c r="AT316" s="3" t="str">
        <f>IFERROR(MID(VLOOKUP($B316,Seqs!$A:$B,2,0),AU316,1),"")</f>
        <v>L</v>
      </c>
      <c r="AU316" s="3">
        <v>321</v>
      </c>
      <c r="AV316" s="3" t="str">
        <f>IFERROR(MID(VLOOKUP($B316,Seqs!$A:$B,2,0),AW316,1),"")</f>
        <v>D</v>
      </c>
      <c r="AW316" s="3">
        <v>322</v>
      </c>
      <c r="AX316" s="3" t="str">
        <f>IFERROR(MID(VLOOKUP($B316,Seqs!$A:$B,2,0),AY316,1),"")</f>
        <v>C</v>
      </c>
      <c r="AY316" s="3">
        <v>333</v>
      </c>
      <c r="AZ316" s="77" t="str">
        <f>VLOOKUP(B316,Classification!A:D,2,0)</f>
        <v>A</v>
      </c>
      <c r="BA316" s="94" t="str">
        <f>VLOOKUP(B316,Classification!A:D,4,0)</f>
        <v>Opioid</v>
      </c>
      <c r="BB316" s="27" t="b">
        <f t="shared" si="2571"/>
        <v>1</v>
      </c>
      <c r="BC316" s="23">
        <f t="shared" si="2208"/>
        <v>267</v>
      </c>
      <c r="BD316" s="16" t="s">
        <v>23</v>
      </c>
      <c r="BE316" s="3" t="s">
        <v>1368</v>
      </c>
      <c r="BF316" s="118">
        <v>2.7</v>
      </c>
      <c r="BG316" s="49" t="s">
        <v>1371</v>
      </c>
      <c r="BH316" s="49" t="s">
        <v>1371</v>
      </c>
      <c r="BI316" s="3"/>
      <c r="BJ316" s="70" t="s">
        <v>1281</v>
      </c>
      <c r="BK316" s="57" t="s">
        <v>1281</v>
      </c>
      <c r="BL316" s="57" t="s">
        <v>1281</v>
      </c>
      <c r="BM316" s="57" t="s">
        <v>1281</v>
      </c>
      <c r="BN316" s="57" t="s">
        <v>1281</v>
      </c>
      <c r="BO316" s="57" t="s">
        <v>1281</v>
      </c>
      <c r="BP316" s="57" t="s">
        <v>1281</v>
      </c>
      <c r="BQ316" s="57" t="s">
        <v>1281</v>
      </c>
      <c r="BR316" s="57" t="s">
        <v>1281</v>
      </c>
      <c r="BS316" s="57" t="s">
        <v>1281</v>
      </c>
      <c r="BT316" s="57" t="s">
        <v>1281</v>
      </c>
      <c r="BU316" s="57" t="s">
        <v>1281</v>
      </c>
      <c r="BV316" s="70">
        <f t="shared" si="2209"/>
        <v>43</v>
      </c>
      <c r="BW316" s="71">
        <f t="shared" si="2210"/>
        <v>78</v>
      </c>
      <c r="BX316" s="72">
        <f t="shared" si="2211"/>
        <v>82</v>
      </c>
      <c r="BY316" s="71">
        <f t="shared" si="2212"/>
        <v>113</v>
      </c>
      <c r="BZ316" s="72">
        <f t="shared" si="2213"/>
        <v>117</v>
      </c>
      <c r="CA316" s="71">
        <f t="shared" si="2214"/>
        <v>153</v>
      </c>
      <c r="CB316" s="72">
        <f t="shared" si="2215"/>
        <v>161</v>
      </c>
      <c r="CC316" s="71">
        <f t="shared" si="2216"/>
        <v>198</v>
      </c>
      <c r="CD316" s="72">
        <f t="shared" si="2217"/>
        <v>205</v>
      </c>
      <c r="CE316" s="71">
        <f t="shared" si="2218"/>
        <v>249</v>
      </c>
      <c r="CF316" s="72">
        <f t="shared" si="2219"/>
        <v>293</v>
      </c>
      <c r="CG316" s="71">
        <f t="shared" si="2220"/>
        <v>322</v>
      </c>
      <c r="CH316" s="70">
        <f t="shared" si="2221"/>
        <v>77</v>
      </c>
      <c r="CI316" s="71">
        <f t="shared" si="2222"/>
        <v>81</v>
      </c>
      <c r="CJ316" s="72">
        <f t="shared" si="2223"/>
        <v>112</v>
      </c>
      <c r="CK316" s="72">
        <f t="shared" si="2224"/>
        <v>116</v>
      </c>
      <c r="CL316" s="72">
        <f t="shared" si="2225"/>
        <v>152</v>
      </c>
      <c r="CM316" s="72">
        <f t="shared" si="2226"/>
        <v>160</v>
      </c>
      <c r="CN316" s="72">
        <f t="shared" si="2227"/>
        <v>187</v>
      </c>
      <c r="CO316" s="72">
        <f t="shared" si="2228"/>
        <v>200</v>
      </c>
      <c r="CP316" s="72">
        <f t="shared" si="2229"/>
        <v>243</v>
      </c>
      <c r="CQ316" s="72">
        <f t="shared" si="2230"/>
        <v>287</v>
      </c>
      <c r="CR316" s="72">
        <f t="shared" si="2231"/>
        <v>321</v>
      </c>
      <c r="CS316" s="72">
        <f t="shared" si="2232"/>
        <v>333</v>
      </c>
      <c r="CT316" s="23">
        <f t="shared" si="2233"/>
        <v>1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  <c r="AMP316" s="1"/>
    </row>
    <row r="317" spans="1:1030" s="40" customFormat="1" x14ac:dyDescent="0.2">
      <c r="A317" s="9" t="str">
        <f t="shared" ref="A317" si="3158">CONCATENATE(B317,"_",C317)</f>
        <v>oprd_human_6PT2</v>
      </c>
      <c r="B317" s="12" t="s">
        <v>334</v>
      </c>
      <c r="C317" s="12" t="s">
        <v>1706</v>
      </c>
      <c r="D317" s="9" t="str">
        <f>IFERROR(MID(VLOOKUP($B317,Seqs!$A:$B,2,0),E317,1),"")</f>
        <v>S</v>
      </c>
      <c r="E317" s="9">
        <v>45</v>
      </c>
      <c r="F317" s="9" t="str">
        <f>IFERROR(MID(VLOOKUP($B317,Seqs!$A:$B,2,0),G317,1),"")</f>
        <v>Y</v>
      </c>
      <c r="G317" s="9">
        <v>77</v>
      </c>
      <c r="H317" s="9" t="str">
        <f>IFERROR(MID(VLOOKUP($B317,Seqs!$A:$B,2,0),I317,1),"")</f>
        <v/>
      </c>
      <c r="I317" s="109" t="s">
        <v>23</v>
      </c>
      <c r="J317" s="9" t="str">
        <f>IFERROR(MID(VLOOKUP($B317,Seqs!$A:$B,2,0),K317,1),"")</f>
        <v/>
      </c>
      <c r="K317" s="109" t="s">
        <v>23</v>
      </c>
      <c r="L317" s="9" t="str">
        <f>IFERROR(MID(VLOOKUP($B317,Seqs!$A:$B,2,0),M317,1),"")</f>
        <v>T</v>
      </c>
      <c r="M317" s="9">
        <v>82</v>
      </c>
      <c r="N317" s="9" t="str">
        <f>IFERROR(MID(VLOOKUP($B317,Seqs!$A:$B,2,0),O317,1),"")</f>
        <v>E</v>
      </c>
      <c r="O317" s="9">
        <v>112</v>
      </c>
      <c r="P317" s="9" t="str">
        <f>IFERROR(MID(VLOOKUP($B317,Seqs!$A:$B,2,0),Q317,1),"")</f>
        <v>T</v>
      </c>
      <c r="Q317" s="9">
        <v>113</v>
      </c>
      <c r="R317" s="9" t="str">
        <f>IFERROR(MID(VLOOKUP($B317,Seqs!$A:$B,2,0),S317,1),"")</f>
        <v>F</v>
      </c>
      <c r="S317" s="9">
        <v>116</v>
      </c>
      <c r="T317" s="9" t="str">
        <f>IFERROR(MID(VLOOKUP($B317,Seqs!$A:$B,2,0),U317,1),"")</f>
        <v>G</v>
      </c>
      <c r="U317" s="9">
        <v>117</v>
      </c>
      <c r="V317" s="9" t="str">
        <f>IFERROR(MID(VLOOKUP($B317,Seqs!$A:$B,2,0),W317,1),"")</f>
        <v>H</v>
      </c>
      <c r="W317" s="9">
        <v>152</v>
      </c>
      <c r="X317" s="9" t="str">
        <f>IFERROR(MID(VLOOKUP($B317,Seqs!$A:$B,2,0),Y317,1),"")</f>
        <v>P</v>
      </c>
      <c r="Y317" s="9">
        <v>153</v>
      </c>
      <c r="Z317" s="9" t="str">
        <f>IFERROR(MID(VLOOKUP($B317,Seqs!$A:$B,2,0),AA317,1),"")</f>
        <v>R</v>
      </c>
      <c r="AA317" s="9">
        <v>160</v>
      </c>
      <c r="AB317" s="9" t="str">
        <f>IFERROR(MID(VLOOKUP($B317,Seqs!$A:$B,2,0),AC317,1),"")</f>
        <v>T</v>
      </c>
      <c r="AC317" s="9">
        <v>161</v>
      </c>
      <c r="AD317" s="9" t="str">
        <f>IFERROR(MID(VLOOKUP($B317,Seqs!$A:$B,2,0),AE317,1),"")</f>
        <v>A</v>
      </c>
      <c r="AE317" s="9">
        <v>187</v>
      </c>
      <c r="AF317" s="9" t="str">
        <f>IFERROR(MID(VLOOKUP($B317,Seqs!$A:$B,2,0),AG317,1),"")</f>
        <v>C</v>
      </c>
      <c r="AG317" s="9">
        <v>198</v>
      </c>
      <c r="AH317" s="9" t="str">
        <f>IFERROR(MID(VLOOKUP($B317,Seqs!$A:$B,2,0),AI317,1),"")</f>
        <v>L</v>
      </c>
      <c r="AI317" s="9">
        <v>200</v>
      </c>
      <c r="AJ317" s="9" t="str">
        <f>IFERROR(MID(VLOOKUP($B317,Seqs!$A:$B,2,0),AK317,1),"")</f>
        <v>P</v>
      </c>
      <c r="AK317" s="9">
        <v>205</v>
      </c>
      <c r="AL317" s="9" t="str">
        <f>IFERROR(MID(VLOOKUP($B317,Seqs!$A:$B,2,0),AM317,1),"")</f>
        <v>S</v>
      </c>
      <c r="AM317" s="9">
        <v>247</v>
      </c>
      <c r="AN317" s="9" t="str">
        <f>IFERROR(MID(VLOOKUP($B317,Seqs!$A:$B,2,0),AO317,1),"")</f>
        <v>K</v>
      </c>
      <c r="AO317" s="9">
        <v>250</v>
      </c>
      <c r="AP317" s="9" t="str">
        <f>IFERROR(MID(VLOOKUP($B317,Seqs!$A:$B,2,0),AQ317,1),"")</f>
        <v>V</v>
      </c>
      <c r="AQ317" s="9">
        <v>287</v>
      </c>
      <c r="AR317" s="9" t="str">
        <f>IFERROR(MID(VLOOKUP($B317,Seqs!$A:$B,2,0),AS317,1),"")</f>
        <v>D</v>
      </c>
      <c r="AS317" s="9">
        <v>293</v>
      </c>
      <c r="AT317" s="9" t="str">
        <f>IFERROR(MID(VLOOKUP($B317,Seqs!$A:$B,2,0),AU317,1),"")</f>
        <v>L</v>
      </c>
      <c r="AU317" s="9">
        <v>321</v>
      </c>
      <c r="AV317" s="9" t="str">
        <f>IFERROR(MID(VLOOKUP($B317,Seqs!$A:$B,2,0),AW317,1),"")</f>
        <v>D</v>
      </c>
      <c r="AW317" s="9">
        <v>322</v>
      </c>
      <c r="AX317" s="9" t="str">
        <f>IFERROR(MID(VLOOKUP($B317,Seqs!$A:$B,2,0),AY317,1),"")</f>
        <v>F</v>
      </c>
      <c r="AY317" s="9">
        <v>329</v>
      </c>
      <c r="AZ317" s="110" t="str">
        <f>VLOOKUP(B317,Classification!A:D,2,0)</f>
        <v>A</v>
      </c>
      <c r="BA317" s="98" t="str">
        <f>VLOOKUP(B317,Classification!A:D,4,0)</f>
        <v>Opioid</v>
      </c>
      <c r="BB317" s="36" t="b">
        <f t="shared" ref="BB317" si="3159">AND(E317&lt;G317,OR(G317&lt;I317,I317="-"),OR(I317&lt;K317,I317="-"),OR(K317&lt;M317,K317="-"),M317&lt;O317,OR(O317&lt;Q317,Q317="-"),OR(Q317&lt;S317,Q317="-"),OR(S317&lt;U317,S317="-"),U317&lt;W317,OR(W317&lt;Y317,Y317="-"),OR(Y317&lt;AA317,Y317="-"),OR(AA317&lt;AC317,AA317="-"),AC317&lt;AE317,OR(AE317&lt;AG317,AG317="-"),OR(AG317&lt;AI317,AG317="-"),OR(AI317&lt;AK317,AI317="-"),AK317&lt;AM317,AM317&lt;AO317,AO317&lt;AQ317,AQ317&lt;AS317,AS317&lt;AU317,OR(AU317&lt;AW317,AW317="-"),OR(AW317&lt;AY317,AW317="-"))</f>
        <v>1</v>
      </c>
      <c r="BC317" s="109">
        <f t="shared" ref="BC317" si="3160">_xlfn.AGGREGATE(9,6,CH317:CS317)-_xlfn.AGGREGATE(9,6,BV317:CG317)+12</f>
        <v>261</v>
      </c>
      <c r="BD317" s="125" t="s">
        <v>1423</v>
      </c>
      <c r="BE317" s="9" t="s">
        <v>1422</v>
      </c>
      <c r="BF317" s="119">
        <v>2.8</v>
      </c>
      <c r="BG317" s="51" t="s">
        <v>1</v>
      </c>
      <c r="BH317" s="51" t="s">
        <v>1</v>
      </c>
      <c r="BI317" s="9"/>
      <c r="BJ317" s="111" t="s">
        <v>1281</v>
      </c>
      <c r="BK317" s="112" t="s">
        <v>1281</v>
      </c>
      <c r="BL317" s="112" t="s">
        <v>1281</v>
      </c>
      <c r="BM317" s="112" t="s">
        <v>1281</v>
      </c>
      <c r="BN317" s="112" t="s">
        <v>1281</v>
      </c>
      <c r="BO317" s="112" t="s">
        <v>1281</v>
      </c>
      <c r="BP317" s="112" t="s">
        <v>1281</v>
      </c>
      <c r="BQ317" s="112" t="s">
        <v>1281</v>
      </c>
      <c r="BR317" s="112" t="s">
        <v>1281</v>
      </c>
      <c r="BS317" s="112" t="s">
        <v>1281</v>
      </c>
      <c r="BT317" s="112" t="s">
        <v>1281</v>
      </c>
      <c r="BU317" s="112" t="s">
        <v>1281</v>
      </c>
      <c r="BV317" s="111">
        <f t="shared" ref="BV317" si="3161">E317</f>
        <v>45</v>
      </c>
      <c r="BW317" s="113" t="str">
        <f t="shared" ref="BW317" si="3162">I317</f>
        <v>-</v>
      </c>
      <c r="BX317" s="114">
        <f t="shared" ref="BX317" si="3163">M317</f>
        <v>82</v>
      </c>
      <c r="BY317" s="113">
        <f t="shared" ref="BY317" si="3164">Q317</f>
        <v>113</v>
      </c>
      <c r="BZ317" s="114">
        <f t="shared" ref="BZ317" si="3165">U317</f>
        <v>117</v>
      </c>
      <c r="CA317" s="113">
        <f t="shared" ref="CA317" si="3166">Y317</f>
        <v>153</v>
      </c>
      <c r="CB317" s="114">
        <f t="shared" ref="CB317" si="3167">AC317</f>
        <v>161</v>
      </c>
      <c r="CC317" s="113">
        <f t="shared" ref="CC317" si="3168">AG317</f>
        <v>198</v>
      </c>
      <c r="CD317" s="114">
        <f t="shared" ref="CD317" si="3169">AK317</f>
        <v>205</v>
      </c>
      <c r="CE317" s="113">
        <f t="shared" ref="CE317" si="3170">AO317</f>
        <v>250</v>
      </c>
      <c r="CF317" s="114">
        <f t="shared" ref="CF317" si="3171">AS317</f>
        <v>293</v>
      </c>
      <c r="CG317" s="113">
        <f t="shared" ref="CG317" si="3172">AW317</f>
        <v>322</v>
      </c>
      <c r="CH317" s="111">
        <f t="shared" ref="CH317" si="3173">G317</f>
        <v>77</v>
      </c>
      <c r="CI317" s="113" t="str">
        <f t="shared" ref="CI317" si="3174">K317</f>
        <v>-</v>
      </c>
      <c r="CJ317" s="114">
        <f t="shared" ref="CJ317" si="3175">O317</f>
        <v>112</v>
      </c>
      <c r="CK317" s="114">
        <f t="shared" ref="CK317" si="3176">S317</f>
        <v>116</v>
      </c>
      <c r="CL317" s="114">
        <f t="shared" ref="CL317" si="3177">W317</f>
        <v>152</v>
      </c>
      <c r="CM317" s="114">
        <f t="shared" ref="CM317" si="3178">AA317</f>
        <v>160</v>
      </c>
      <c r="CN317" s="114">
        <f t="shared" ref="CN317" si="3179">AE317</f>
        <v>187</v>
      </c>
      <c r="CO317" s="114">
        <f t="shared" ref="CO317" si="3180">AI317</f>
        <v>200</v>
      </c>
      <c r="CP317" s="114">
        <f t="shared" ref="CP317" si="3181">AM317</f>
        <v>247</v>
      </c>
      <c r="CQ317" s="114">
        <f t="shared" ref="CQ317" si="3182">AQ317</f>
        <v>287</v>
      </c>
      <c r="CR317" s="114">
        <f t="shared" ref="CR317" si="3183">AU317</f>
        <v>321</v>
      </c>
      <c r="CS317" s="114">
        <f t="shared" ref="CS317" si="3184">AY317</f>
        <v>329</v>
      </c>
      <c r="CT317" s="109" t="e">
        <f t="shared" ref="CT317" si="3185">M317-K317</f>
        <v>#VALUE!</v>
      </c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  <c r="HW317" s="12"/>
      <c r="HX317" s="12"/>
      <c r="HY317" s="12"/>
      <c r="HZ317" s="12"/>
      <c r="IA317" s="12"/>
      <c r="IB317" s="12"/>
      <c r="IC317" s="12"/>
      <c r="ID317" s="12"/>
      <c r="IE317" s="12"/>
      <c r="IF317" s="12"/>
      <c r="IG317" s="12"/>
      <c r="IH317" s="12"/>
      <c r="II317" s="12"/>
      <c r="IJ317" s="12"/>
      <c r="IK317" s="12"/>
      <c r="IL317" s="12"/>
      <c r="IM317" s="12"/>
      <c r="IN317" s="12"/>
      <c r="IO317" s="12"/>
      <c r="IP317" s="12"/>
      <c r="IQ317" s="12"/>
      <c r="IR317" s="12"/>
      <c r="IS317" s="12"/>
      <c r="IT317" s="12"/>
      <c r="IU317" s="12"/>
      <c r="IV317" s="12"/>
      <c r="IW317" s="12"/>
      <c r="IX317" s="12"/>
      <c r="IY317" s="12"/>
      <c r="IZ317" s="12"/>
      <c r="JA317" s="12"/>
      <c r="JB317" s="12"/>
      <c r="JC317" s="12"/>
      <c r="JD317" s="12"/>
      <c r="JE317" s="12"/>
      <c r="JF317" s="12"/>
      <c r="JG317" s="12"/>
      <c r="JH317" s="12"/>
      <c r="JI317" s="12"/>
      <c r="JJ317" s="12"/>
      <c r="JK317" s="12"/>
      <c r="JL317" s="12"/>
      <c r="JM317" s="12"/>
      <c r="JN317" s="12"/>
      <c r="JO317" s="12"/>
      <c r="JP317" s="12"/>
      <c r="JQ317" s="12"/>
      <c r="JR317" s="12"/>
      <c r="JS317" s="12"/>
      <c r="JT317" s="12"/>
      <c r="JU317" s="12"/>
      <c r="JV317" s="12"/>
      <c r="JW317" s="12"/>
      <c r="JX317" s="12"/>
      <c r="JY317" s="12"/>
      <c r="JZ317" s="12"/>
      <c r="KA317" s="12"/>
      <c r="KB317" s="12"/>
      <c r="KC317" s="12"/>
      <c r="KD317" s="12"/>
      <c r="KE317" s="12"/>
      <c r="KF317" s="12"/>
      <c r="KG317" s="12"/>
      <c r="KH317" s="12"/>
      <c r="KI317" s="12"/>
      <c r="KJ317" s="12"/>
      <c r="KK317" s="12"/>
      <c r="KL317" s="12"/>
      <c r="KM317" s="12"/>
      <c r="KN317" s="12"/>
      <c r="KO317" s="12"/>
      <c r="KP317" s="12"/>
      <c r="KQ317" s="12"/>
      <c r="KR317" s="12"/>
      <c r="KS317" s="12"/>
      <c r="KT317" s="12"/>
      <c r="KU317" s="12"/>
      <c r="KV317" s="12"/>
      <c r="KW317" s="12"/>
      <c r="KX317" s="12"/>
      <c r="KY317" s="12"/>
      <c r="KZ317" s="12"/>
      <c r="LA317" s="12"/>
      <c r="LB317" s="12"/>
      <c r="LC317" s="12"/>
      <c r="LD317" s="12"/>
      <c r="LE317" s="12"/>
      <c r="LF317" s="12"/>
      <c r="LG317" s="12"/>
      <c r="LH317" s="12"/>
      <c r="LI317" s="12"/>
      <c r="LJ317" s="12"/>
      <c r="LK317" s="12"/>
      <c r="LL317" s="12"/>
      <c r="LM317" s="12"/>
      <c r="LN317" s="12"/>
      <c r="LO317" s="12"/>
      <c r="LP317" s="12"/>
      <c r="LQ317" s="12"/>
      <c r="LR317" s="12"/>
      <c r="LS317" s="12"/>
      <c r="LT317" s="12"/>
      <c r="LU317" s="12"/>
      <c r="LV317" s="12"/>
      <c r="LW317" s="12"/>
      <c r="LX317" s="12"/>
      <c r="LY317" s="12"/>
      <c r="LZ317" s="12"/>
      <c r="MA317" s="12"/>
      <c r="MB317" s="12"/>
      <c r="MC317" s="12"/>
      <c r="MD317" s="12"/>
      <c r="ME317" s="12"/>
      <c r="MF317" s="12"/>
      <c r="MG317" s="12"/>
      <c r="MH317" s="12"/>
      <c r="MI317" s="12"/>
      <c r="MJ317" s="12"/>
      <c r="MK317" s="12"/>
      <c r="ML317" s="12"/>
      <c r="MM317" s="12"/>
      <c r="MN317" s="12"/>
      <c r="MO317" s="12"/>
      <c r="MP317" s="12"/>
      <c r="MQ317" s="12"/>
      <c r="MR317" s="12"/>
      <c r="MS317" s="12"/>
      <c r="MT317" s="12"/>
      <c r="MU317" s="12"/>
      <c r="MV317" s="12"/>
      <c r="MW317" s="12"/>
      <c r="MX317" s="12"/>
      <c r="MY317" s="12"/>
      <c r="MZ317" s="12"/>
      <c r="NA317" s="12"/>
      <c r="NB317" s="12"/>
      <c r="NC317" s="12"/>
      <c r="ND317" s="12"/>
      <c r="NE317" s="12"/>
      <c r="NF317" s="12"/>
      <c r="NG317" s="12"/>
      <c r="NH317" s="12"/>
      <c r="NI317" s="12"/>
      <c r="NJ317" s="12"/>
      <c r="NK317" s="12"/>
      <c r="NL317" s="12"/>
      <c r="NM317" s="12"/>
      <c r="NN317" s="12"/>
      <c r="NO317" s="12"/>
      <c r="NP317" s="12"/>
      <c r="NQ317" s="12"/>
      <c r="NR317" s="12"/>
      <c r="NS317" s="12"/>
      <c r="NT317" s="12"/>
      <c r="NU317" s="12"/>
      <c r="NV317" s="12"/>
      <c r="NW317" s="12"/>
      <c r="NX317" s="12"/>
      <c r="NY317" s="12"/>
      <c r="NZ317" s="12"/>
      <c r="OA317" s="12"/>
      <c r="OB317" s="12"/>
      <c r="OC317" s="12"/>
      <c r="OD317" s="12"/>
      <c r="OE317" s="12"/>
      <c r="OF317" s="12"/>
      <c r="OG317" s="12"/>
      <c r="OH317" s="12"/>
      <c r="OI317" s="12"/>
      <c r="OJ317" s="12"/>
      <c r="OK317" s="12"/>
      <c r="OL317" s="12"/>
      <c r="OM317" s="12"/>
      <c r="ON317" s="12"/>
      <c r="OO317" s="12"/>
      <c r="OP317" s="12"/>
      <c r="OQ317" s="12"/>
      <c r="OR317" s="12"/>
      <c r="OS317" s="12"/>
      <c r="OT317" s="12"/>
      <c r="OU317" s="12"/>
      <c r="OV317" s="12"/>
      <c r="OW317" s="12"/>
      <c r="OX317" s="12"/>
      <c r="OY317" s="12"/>
      <c r="OZ317" s="12"/>
      <c r="PA317" s="12"/>
      <c r="PB317" s="12"/>
      <c r="PC317" s="12"/>
      <c r="PD317" s="12"/>
      <c r="PE317" s="12"/>
      <c r="PF317" s="12"/>
      <c r="PG317" s="12"/>
      <c r="PH317" s="12"/>
      <c r="PI317" s="12"/>
      <c r="PJ317" s="12"/>
      <c r="PK317" s="12"/>
      <c r="PL317" s="12"/>
      <c r="PM317" s="12"/>
      <c r="PN317" s="12"/>
      <c r="PO317" s="12"/>
      <c r="PP317" s="12"/>
      <c r="PQ317" s="12"/>
      <c r="PR317" s="12"/>
      <c r="PS317" s="12"/>
      <c r="PT317" s="12"/>
      <c r="PU317" s="12"/>
      <c r="PV317" s="12"/>
      <c r="PW317" s="12"/>
      <c r="PX317" s="12"/>
      <c r="PY317" s="12"/>
      <c r="PZ317" s="12"/>
      <c r="QA317" s="12"/>
      <c r="QB317" s="12"/>
      <c r="QC317" s="12"/>
      <c r="QD317" s="12"/>
      <c r="QE317" s="12"/>
      <c r="QF317" s="12"/>
      <c r="QG317" s="12"/>
      <c r="QH317" s="12"/>
      <c r="QI317" s="12"/>
      <c r="QJ317" s="12"/>
      <c r="QK317" s="12"/>
      <c r="QL317" s="12"/>
      <c r="QM317" s="12"/>
      <c r="QN317" s="12"/>
      <c r="QO317" s="12"/>
      <c r="QP317" s="12"/>
      <c r="QQ317" s="12"/>
      <c r="QR317" s="12"/>
      <c r="QS317" s="12"/>
      <c r="QT317" s="12"/>
      <c r="QU317" s="12"/>
      <c r="QV317" s="12"/>
      <c r="QW317" s="12"/>
      <c r="QX317" s="12"/>
      <c r="QY317" s="12"/>
      <c r="QZ317" s="12"/>
      <c r="RA317" s="12"/>
      <c r="RB317" s="12"/>
      <c r="RC317" s="12"/>
      <c r="RD317" s="12"/>
      <c r="RE317" s="12"/>
      <c r="RF317" s="12"/>
      <c r="RG317" s="12"/>
      <c r="RH317" s="12"/>
      <c r="RI317" s="12"/>
      <c r="RJ317" s="12"/>
      <c r="RK317" s="12"/>
      <c r="RL317" s="12"/>
      <c r="RM317" s="12"/>
      <c r="RN317" s="12"/>
      <c r="RO317" s="12"/>
      <c r="RP317" s="12"/>
      <c r="RQ317" s="12"/>
      <c r="RR317" s="12"/>
      <c r="RS317" s="12"/>
      <c r="RT317" s="12"/>
      <c r="RU317" s="12"/>
      <c r="RV317" s="12"/>
      <c r="RW317" s="12"/>
      <c r="RX317" s="12"/>
      <c r="RY317" s="12"/>
      <c r="RZ317" s="12"/>
      <c r="SA317" s="12"/>
      <c r="SB317" s="12"/>
      <c r="SC317" s="12"/>
      <c r="SD317" s="12"/>
      <c r="SE317" s="12"/>
      <c r="SF317" s="12"/>
      <c r="SG317" s="12"/>
      <c r="SH317" s="12"/>
      <c r="SI317" s="12"/>
      <c r="SJ317" s="12"/>
      <c r="SK317" s="12"/>
      <c r="SL317" s="12"/>
      <c r="SM317" s="12"/>
      <c r="SN317" s="12"/>
      <c r="SO317" s="12"/>
      <c r="SP317" s="12"/>
      <c r="SQ317" s="12"/>
      <c r="SR317" s="12"/>
      <c r="SS317" s="12"/>
      <c r="ST317" s="12"/>
      <c r="SU317" s="12"/>
      <c r="SV317" s="12"/>
      <c r="SW317" s="12"/>
      <c r="SX317" s="12"/>
      <c r="SY317" s="12"/>
      <c r="SZ317" s="12"/>
      <c r="TA317" s="12"/>
      <c r="TB317" s="12"/>
      <c r="TC317" s="12"/>
      <c r="TD317" s="12"/>
      <c r="TE317" s="12"/>
      <c r="TF317" s="12"/>
      <c r="TG317" s="12"/>
      <c r="TH317" s="12"/>
      <c r="TI317" s="12"/>
      <c r="TJ317" s="12"/>
      <c r="TK317" s="12"/>
      <c r="TL317" s="12"/>
      <c r="TM317" s="12"/>
      <c r="TN317" s="12"/>
      <c r="TO317" s="12"/>
      <c r="TP317" s="12"/>
      <c r="TQ317" s="12"/>
      <c r="TR317" s="12"/>
      <c r="TS317" s="12"/>
      <c r="TT317" s="12"/>
      <c r="TU317" s="12"/>
      <c r="TV317" s="12"/>
      <c r="TW317" s="12"/>
      <c r="TX317" s="12"/>
      <c r="TY317" s="12"/>
      <c r="TZ317" s="12"/>
      <c r="UA317" s="12"/>
      <c r="UB317" s="12"/>
      <c r="UC317" s="12"/>
      <c r="UD317" s="12"/>
      <c r="UE317" s="12"/>
      <c r="UF317" s="12"/>
      <c r="UG317" s="12"/>
      <c r="UH317" s="12"/>
      <c r="UI317" s="12"/>
      <c r="UJ317" s="12"/>
      <c r="UK317" s="12"/>
      <c r="UL317" s="12"/>
      <c r="UM317" s="12"/>
      <c r="UN317" s="12"/>
      <c r="UO317" s="12"/>
      <c r="UP317" s="12"/>
      <c r="UQ317" s="12"/>
      <c r="UR317" s="12"/>
      <c r="US317" s="12"/>
      <c r="UT317" s="12"/>
      <c r="UU317" s="12"/>
      <c r="UV317" s="12"/>
      <c r="UW317" s="12"/>
      <c r="UX317" s="12"/>
      <c r="UY317" s="12"/>
      <c r="UZ317" s="12"/>
      <c r="VA317" s="12"/>
      <c r="VB317" s="12"/>
      <c r="VC317" s="12"/>
      <c r="VD317" s="12"/>
      <c r="VE317" s="12"/>
      <c r="VF317" s="12"/>
      <c r="VG317" s="12"/>
      <c r="VH317" s="12"/>
      <c r="VI317" s="12"/>
      <c r="VJ317" s="12"/>
      <c r="VK317" s="12"/>
      <c r="VL317" s="12"/>
      <c r="VM317" s="12"/>
      <c r="VN317" s="12"/>
      <c r="VO317" s="12"/>
      <c r="VP317" s="12"/>
      <c r="VQ317" s="12"/>
      <c r="VR317" s="12"/>
      <c r="VS317" s="12"/>
      <c r="VT317" s="12"/>
      <c r="VU317" s="12"/>
      <c r="VV317" s="12"/>
      <c r="VW317" s="12"/>
      <c r="VX317" s="12"/>
      <c r="VY317" s="12"/>
      <c r="VZ317" s="12"/>
      <c r="WA317" s="12"/>
      <c r="WB317" s="12"/>
      <c r="WC317" s="12"/>
      <c r="WD317" s="12"/>
      <c r="WE317" s="12"/>
      <c r="WF317" s="12"/>
      <c r="WG317" s="12"/>
      <c r="WH317" s="12"/>
      <c r="WI317" s="12"/>
      <c r="WJ317" s="12"/>
      <c r="WK317" s="12"/>
      <c r="WL317" s="12"/>
      <c r="WM317" s="12"/>
      <c r="WN317" s="12"/>
      <c r="WO317" s="12"/>
      <c r="WP317" s="12"/>
      <c r="WQ317" s="12"/>
      <c r="WR317" s="12"/>
      <c r="WS317" s="12"/>
      <c r="WT317" s="12"/>
      <c r="WU317" s="12"/>
      <c r="WV317" s="12"/>
      <c r="WW317" s="12"/>
      <c r="WX317" s="12"/>
      <c r="WY317" s="12"/>
      <c r="WZ317" s="12"/>
      <c r="XA317" s="12"/>
      <c r="XB317" s="12"/>
      <c r="XC317" s="12"/>
      <c r="XD317" s="12"/>
      <c r="XE317" s="12"/>
      <c r="XF317" s="12"/>
      <c r="XG317" s="12"/>
      <c r="XH317" s="12"/>
      <c r="XI317" s="12"/>
      <c r="XJ317" s="12"/>
      <c r="XK317" s="12"/>
      <c r="XL317" s="12"/>
      <c r="XM317" s="12"/>
      <c r="XN317" s="12"/>
      <c r="XO317" s="12"/>
      <c r="XP317" s="12"/>
      <c r="XQ317" s="12"/>
      <c r="XR317" s="12"/>
      <c r="XS317" s="12"/>
      <c r="XT317" s="12"/>
      <c r="XU317" s="12"/>
      <c r="XV317" s="12"/>
      <c r="XW317" s="12"/>
      <c r="XX317" s="12"/>
      <c r="XY317" s="12"/>
      <c r="XZ317" s="12"/>
      <c r="YA317" s="12"/>
      <c r="YB317" s="12"/>
      <c r="YC317" s="12"/>
      <c r="YD317" s="12"/>
      <c r="YE317" s="12"/>
      <c r="YF317" s="12"/>
      <c r="YG317" s="12"/>
      <c r="YH317" s="12"/>
      <c r="YI317" s="12"/>
      <c r="YJ317" s="12"/>
      <c r="YK317" s="12"/>
      <c r="YL317" s="12"/>
      <c r="YM317" s="12"/>
      <c r="YN317" s="12"/>
      <c r="YO317" s="12"/>
      <c r="YP317" s="12"/>
      <c r="YQ317" s="12"/>
      <c r="YR317" s="12"/>
      <c r="YS317" s="12"/>
      <c r="YT317" s="12"/>
      <c r="YU317" s="12"/>
      <c r="YV317" s="12"/>
      <c r="YW317" s="12"/>
      <c r="YX317" s="12"/>
      <c r="YY317" s="12"/>
      <c r="YZ317" s="12"/>
      <c r="ZA317" s="12"/>
      <c r="ZB317" s="12"/>
      <c r="ZC317" s="12"/>
      <c r="ZD317" s="12"/>
      <c r="ZE317" s="12"/>
      <c r="ZF317" s="12"/>
      <c r="ZG317" s="12"/>
      <c r="ZH317" s="12"/>
      <c r="ZI317" s="12"/>
      <c r="ZJ317" s="12"/>
      <c r="ZK317" s="12"/>
      <c r="ZL317" s="12"/>
      <c r="ZM317" s="12"/>
      <c r="ZN317" s="12"/>
      <c r="ZO317" s="12"/>
      <c r="ZP317" s="12"/>
      <c r="ZQ317" s="12"/>
      <c r="ZR317" s="12"/>
      <c r="ZS317" s="12"/>
      <c r="ZT317" s="12"/>
      <c r="ZU317" s="12"/>
      <c r="ZV317" s="12"/>
      <c r="ZW317" s="12"/>
      <c r="ZX317" s="12"/>
      <c r="ZY317" s="12"/>
      <c r="ZZ317" s="12"/>
      <c r="AAA317" s="12"/>
      <c r="AAB317" s="12"/>
      <c r="AAC317" s="12"/>
      <c r="AAD317" s="12"/>
      <c r="AAE317" s="12"/>
      <c r="AAF317" s="12"/>
      <c r="AAG317" s="12"/>
      <c r="AAH317" s="12"/>
      <c r="AAI317" s="12"/>
      <c r="AAJ317" s="12"/>
      <c r="AAK317" s="12"/>
      <c r="AAL317" s="12"/>
      <c r="AAM317" s="12"/>
      <c r="AAN317" s="12"/>
      <c r="AAO317" s="12"/>
      <c r="AAP317" s="12"/>
      <c r="AAQ317" s="12"/>
      <c r="AAR317" s="12"/>
      <c r="AAS317" s="12"/>
      <c r="AAT317" s="12"/>
      <c r="AAU317" s="12"/>
      <c r="AAV317" s="12"/>
      <c r="AAW317" s="12"/>
      <c r="AAX317" s="12"/>
      <c r="AAY317" s="12"/>
      <c r="AAZ317" s="12"/>
      <c r="ABA317" s="12"/>
      <c r="ABB317" s="12"/>
      <c r="ABC317" s="12"/>
      <c r="ABD317" s="12"/>
      <c r="ABE317" s="12"/>
      <c r="ABF317" s="12"/>
      <c r="ABG317" s="12"/>
      <c r="ABH317" s="12"/>
      <c r="ABI317" s="12"/>
      <c r="ABJ317" s="12"/>
      <c r="ABK317" s="12"/>
      <c r="ABL317" s="12"/>
      <c r="ABM317" s="12"/>
      <c r="ABN317" s="12"/>
      <c r="ABO317" s="12"/>
      <c r="ABP317" s="12"/>
      <c r="ABQ317" s="12"/>
      <c r="ABR317" s="12"/>
      <c r="ABS317" s="12"/>
      <c r="ABT317" s="12"/>
      <c r="ABU317" s="12"/>
      <c r="ABV317" s="12"/>
      <c r="ABW317" s="12"/>
      <c r="ABX317" s="12"/>
      <c r="ABY317" s="12"/>
      <c r="ABZ317" s="12"/>
      <c r="ACA317" s="12"/>
      <c r="ACB317" s="12"/>
      <c r="ACC317" s="12"/>
      <c r="ACD317" s="12"/>
      <c r="ACE317" s="12"/>
      <c r="ACF317" s="12"/>
      <c r="ACG317" s="12"/>
      <c r="ACH317" s="12"/>
      <c r="ACI317" s="12"/>
      <c r="ACJ317" s="12"/>
      <c r="ACK317" s="12"/>
      <c r="ACL317" s="12"/>
      <c r="ACM317" s="12"/>
      <c r="ACN317" s="12"/>
      <c r="ACO317" s="12"/>
      <c r="ACP317" s="12"/>
      <c r="ACQ317" s="12"/>
      <c r="ACR317" s="12"/>
      <c r="ACS317" s="12"/>
      <c r="ACT317" s="12"/>
      <c r="ACU317" s="12"/>
      <c r="ACV317" s="12"/>
      <c r="ACW317" s="12"/>
      <c r="ACX317" s="12"/>
      <c r="ACY317" s="12"/>
      <c r="ACZ317" s="12"/>
      <c r="ADA317" s="12"/>
      <c r="ADB317" s="12"/>
      <c r="ADC317" s="12"/>
      <c r="ADD317" s="12"/>
      <c r="ADE317" s="12"/>
      <c r="ADF317" s="12"/>
      <c r="ADG317" s="12"/>
      <c r="ADH317" s="12"/>
      <c r="ADI317" s="12"/>
      <c r="ADJ317" s="12"/>
      <c r="ADK317" s="12"/>
      <c r="ADL317" s="12"/>
      <c r="ADM317" s="12"/>
      <c r="ADN317" s="12"/>
      <c r="ADO317" s="12"/>
      <c r="ADP317" s="12"/>
      <c r="ADQ317" s="12"/>
      <c r="ADR317" s="12"/>
      <c r="ADS317" s="12"/>
      <c r="ADT317" s="12"/>
      <c r="ADU317" s="12"/>
      <c r="ADV317" s="12"/>
      <c r="ADW317" s="12"/>
      <c r="ADX317" s="12"/>
      <c r="ADY317" s="12"/>
      <c r="ADZ317" s="12"/>
      <c r="AEA317" s="12"/>
      <c r="AEB317" s="12"/>
      <c r="AEC317" s="12"/>
      <c r="AED317" s="12"/>
      <c r="AEE317" s="12"/>
      <c r="AEF317" s="12"/>
      <c r="AEG317" s="12"/>
      <c r="AEH317" s="12"/>
      <c r="AEI317" s="12"/>
      <c r="AEJ317" s="12"/>
      <c r="AEK317" s="12"/>
      <c r="AEL317" s="12"/>
      <c r="AEM317" s="12"/>
      <c r="AEN317" s="12"/>
      <c r="AEO317" s="12"/>
      <c r="AEP317" s="12"/>
      <c r="AEQ317" s="12"/>
      <c r="AER317" s="12"/>
      <c r="AES317" s="12"/>
      <c r="AET317" s="12"/>
      <c r="AEU317" s="12"/>
      <c r="AEV317" s="12"/>
      <c r="AEW317" s="12"/>
      <c r="AEX317" s="12"/>
      <c r="AEY317" s="12"/>
      <c r="AEZ317" s="12"/>
      <c r="AFA317" s="12"/>
      <c r="AFB317" s="12"/>
      <c r="AFC317" s="12"/>
      <c r="AFD317" s="12"/>
      <c r="AFE317" s="12"/>
      <c r="AFF317" s="12"/>
      <c r="AFG317" s="12"/>
      <c r="AFH317" s="12"/>
      <c r="AFI317" s="12"/>
      <c r="AFJ317" s="12"/>
      <c r="AFK317" s="12"/>
      <c r="AFL317" s="12"/>
      <c r="AFM317" s="12"/>
      <c r="AFN317" s="12"/>
      <c r="AFO317" s="12"/>
      <c r="AFP317" s="12"/>
      <c r="AFQ317" s="12"/>
      <c r="AFR317" s="12"/>
      <c r="AFS317" s="12"/>
      <c r="AFT317" s="12"/>
      <c r="AFU317" s="12"/>
      <c r="AFV317" s="12"/>
      <c r="AFW317" s="12"/>
      <c r="AFX317" s="12"/>
      <c r="AFY317" s="12"/>
      <c r="AFZ317" s="12"/>
      <c r="AGA317" s="12"/>
      <c r="AGB317" s="12"/>
      <c r="AGC317" s="12"/>
      <c r="AGD317" s="12"/>
      <c r="AGE317" s="12"/>
      <c r="AGF317" s="12"/>
      <c r="AGG317" s="12"/>
      <c r="AGH317" s="12"/>
      <c r="AGI317" s="12"/>
      <c r="AGJ317" s="12"/>
      <c r="AGK317" s="12"/>
      <c r="AGL317" s="12"/>
      <c r="AGM317" s="12"/>
      <c r="AGN317" s="12"/>
      <c r="AGO317" s="12"/>
      <c r="AGP317" s="12"/>
      <c r="AGQ317" s="12"/>
      <c r="AGR317" s="12"/>
      <c r="AGS317" s="12"/>
      <c r="AGT317" s="12"/>
      <c r="AGU317" s="12"/>
      <c r="AGV317" s="12"/>
      <c r="AGW317" s="12"/>
      <c r="AGX317" s="12"/>
      <c r="AGY317" s="12"/>
      <c r="AGZ317" s="12"/>
      <c r="AHA317" s="12"/>
      <c r="AHB317" s="12"/>
      <c r="AHC317" s="12"/>
      <c r="AHD317" s="12"/>
      <c r="AHE317" s="12"/>
      <c r="AHF317" s="12"/>
      <c r="AHG317" s="12"/>
      <c r="AHH317" s="12"/>
      <c r="AHI317" s="12"/>
      <c r="AHJ317" s="12"/>
      <c r="AHK317" s="12"/>
      <c r="AHL317" s="12"/>
      <c r="AHM317" s="12"/>
      <c r="AHN317" s="12"/>
      <c r="AHO317" s="12"/>
      <c r="AHP317" s="12"/>
      <c r="AHQ317" s="12"/>
      <c r="AHR317" s="12"/>
      <c r="AHS317" s="12"/>
      <c r="AHT317" s="12"/>
      <c r="AHU317" s="12"/>
      <c r="AHV317" s="12"/>
      <c r="AHW317" s="12"/>
      <c r="AHX317" s="12"/>
      <c r="AHY317" s="12"/>
      <c r="AHZ317" s="12"/>
      <c r="AIA317" s="12"/>
      <c r="AIB317" s="12"/>
      <c r="AIC317" s="12"/>
      <c r="AID317" s="12"/>
      <c r="AIE317" s="12"/>
      <c r="AIF317" s="12"/>
      <c r="AIG317" s="12"/>
      <c r="AIH317" s="12"/>
      <c r="AII317" s="12"/>
      <c r="AIJ317" s="12"/>
      <c r="AIK317" s="12"/>
      <c r="AIL317" s="12"/>
      <c r="AIM317" s="12"/>
      <c r="AIN317" s="12"/>
      <c r="AIO317" s="12"/>
      <c r="AIP317" s="12"/>
      <c r="AIQ317" s="12"/>
      <c r="AIR317" s="12"/>
      <c r="AIS317" s="12"/>
      <c r="AIT317" s="12"/>
      <c r="AIU317" s="12"/>
      <c r="AIV317" s="12"/>
      <c r="AIW317" s="12"/>
      <c r="AIX317" s="12"/>
      <c r="AIY317" s="12"/>
      <c r="AIZ317" s="12"/>
      <c r="AJA317" s="12"/>
      <c r="AJB317" s="12"/>
      <c r="AJC317" s="12"/>
      <c r="AJD317" s="12"/>
      <c r="AJE317" s="12"/>
      <c r="AJF317" s="12"/>
      <c r="AJG317" s="12"/>
      <c r="AJH317" s="12"/>
      <c r="AJI317" s="12"/>
      <c r="AJJ317" s="12"/>
      <c r="AJK317" s="12"/>
      <c r="AJL317" s="12"/>
      <c r="AJM317" s="12"/>
      <c r="AJN317" s="12"/>
      <c r="AJO317" s="12"/>
      <c r="AJP317" s="12"/>
      <c r="AJQ317" s="12"/>
      <c r="AJR317" s="12"/>
      <c r="AJS317" s="12"/>
      <c r="AJT317" s="12"/>
      <c r="AJU317" s="12"/>
      <c r="AJV317" s="12"/>
      <c r="AJW317" s="12"/>
      <c r="AJX317" s="12"/>
      <c r="AJY317" s="12"/>
      <c r="AJZ317" s="12"/>
      <c r="AKA317" s="12"/>
      <c r="AKB317" s="12"/>
      <c r="AKC317" s="12"/>
      <c r="AKD317" s="12"/>
      <c r="AKE317" s="12"/>
      <c r="AKF317" s="12"/>
      <c r="AKG317" s="12"/>
      <c r="AKH317" s="12"/>
      <c r="AKI317" s="12"/>
      <c r="AKJ317" s="12"/>
      <c r="AKK317" s="12"/>
      <c r="AKL317" s="12"/>
      <c r="AKM317" s="12"/>
      <c r="AKN317" s="12"/>
      <c r="AKO317" s="12"/>
      <c r="AKP317" s="12"/>
      <c r="AKQ317" s="12"/>
      <c r="AKR317" s="12"/>
      <c r="AKS317" s="12"/>
      <c r="AKT317" s="12"/>
      <c r="AKU317" s="12"/>
      <c r="AKV317" s="12"/>
      <c r="AKW317" s="12"/>
      <c r="AKX317" s="12"/>
      <c r="AKY317" s="12"/>
      <c r="AKZ317" s="12"/>
      <c r="ALA317" s="12"/>
      <c r="ALB317" s="12"/>
      <c r="ALC317" s="12"/>
      <c r="ALD317" s="12"/>
      <c r="ALE317" s="12"/>
      <c r="ALF317" s="12"/>
      <c r="ALG317" s="12"/>
      <c r="ALH317" s="12"/>
      <c r="ALI317" s="12"/>
      <c r="ALJ317" s="12"/>
      <c r="ALK317" s="12"/>
      <c r="ALL317" s="12"/>
      <c r="ALM317" s="12"/>
      <c r="ALN317" s="12"/>
      <c r="ALO317" s="12"/>
      <c r="ALP317" s="12"/>
      <c r="ALQ317" s="12"/>
      <c r="ALR317" s="12"/>
      <c r="ALS317" s="12"/>
      <c r="ALT317" s="12"/>
      <c r="ALU317" s="12"/>
      <c r="ALV317" s="12"/>
      <c r="ALW317" s="12"/>
      <c r="ALX317" s="12"/>
      <c r="ALY317" s="12"/>
      <c r="ALZ317" s="12"/>
      <c r="AMA317" s="12"/>
      <c r="AMB317" s="12"/>
      <c r="AMC317" s="12"/>
      <c r="AMD317" s="12"/>
      <c r="AME317" s="12"/>
      <c r="AMF317" s="12"/>
      <c r="AMG317" s="12"/>
      <c r="AMH317" s="12"/>
      <c r="AMI317" s="12"/>
      <c r="AMJ317" s="12"/>
      <c r="AMK317" s="12"/>
      <c r="AML317" s="12"/>
      <c r="AMM317" s="12"/>
      <c r="AMN317" s="12"/>
      <c r="AMO317" s="12"/>
      <c r="AMP317" s="12"/>
    </row>
    <row r="318" spans="1:1030" s="40" customFormat="1" x14ac:dyDescent="0.2">
      <c r="A318" s="9" t="str">
        <f t="shared" ref="A318" si="3186">CONCATENATE(B318,"_",C318)</f>
        <v>oprd_human_6PT3</v>
      </c>
      <c r="B318" s="12" t="s">
        <v>334</v>
      </c>
      <c r="C318" s="12" t="s">
        <v>1715</v>
      </c>
      <c r="D318" s="9" t="str">
        <f>IFERROR(MID(VLOOKUP($B318,Seqs!$A:$B,2,0),E318,1),"")</f>
        <v>S</v>
      </c>
      <c r="E318" s="9">
        <v>45</v>
      </c>
      <c r="F318" s="9" t="str">
        <f>IFERROR(MID(VLOOKUP($B318,Seqs!$A:$B,2,0),G318,1),"")</f>
        <v>Y</v>
      </c>
      <c r="G318" s="9">
        <v>77</v>
      </c>
      <c r="H318" s="9" t="str">
        <f>IFERROR(MID(VLOOKUP($B318,Seqs!$A:$B,2,0),I318,1),"")</f>
        <v/>
      </c>
      <c r="I318" s="109" t="s">
        <v>23</v>
      </c>
      <c r="J318" s="9" t="str">
        <f>IFERROR(MID(VLOOKUP($B318,Seqs!$A:$B,2,0),K318,1),"")</f>
        <v/>
      </c>
      <c r="K318" s="109" t="s">
        <v>23</v>
      </c>
      <c r="L318" s="9" t="str">
        <f>IFERROR(MID(VLOOKUP($B318,Seqs!$A:$B,2,0),M318,1),"")</f>
        <v>T</v>
      </c>
      <c r="M318" s="9">
        <v>82</v>
      </c>
      <c r="N318" s="9" t="str">
        <f>IFERROR(MID(VLOOKUP($B318,Seqs!$A:$B,2,0),O318,1),"")</f>
        <v>E</v>
      </c>
      <c r="O318" s="9">
        <v>112</v>
      </c>
      <c r="P318" s="9" t="str">
        <f>IFERROR(MID(VLOOKUP($B318,Seqs!$A:$B,2,0),Q318,1),"")</f>
        <v>T</v>
      </c>
      <c r="Q318" s="9">
        <v>113</v>
      </c>
      <c r="R318" s="9" t="str">
        <f>IFERROR(MID(VLOOKUP($B318,Seqs!$A:$B,2,0),S318,1),"")</f>
        <v>F</v>
      </c>
      <c r="S318" s="9">
        <v>116</v>
      </c>
      <c r="T318" s="9" t="str">
        <f>IFERROR(MID(VLOOKUP($B318,Seqs!$A:$B,2,0),U318,1),"")</f>
        <v>G</v>
      </c>
      <c r="U318" s="9">
        <v>117</v>
      </c>
      <c r="V318" s="9" t="str">
        <f>IFERROR(MID(VLOOKUP($B318,Seqs!$A:$B,2,0),W318,1),"")</f>
        <v>H</v>
      </c>
      <c r="W318" s="9">
        <v>152</v>
      </c>
      <c r="X318" s="9" t="str">
        <f>IFERROR(MID(VLOOKUP($B318,Seqs!$A:$B,2,0),Y318,1),"")</f>
        <v>P</v>
      </c>
      <c r="Y318" s="9">
        <v>153</v>
      </c>
      <c r="Z318" s="9" t="str">
        <f>IFERROR(MID(VLOOKUP($B318,Seqs!$A:$B,2,0),AA318,1),"")</f>
        <v>R</v>
      </c>
      <c r="AA318" s="9">
        <v>160</v>
      </c>
      <c r="AB318" s="9" t="str">
        <f>IFERROR(MID(VLOOKUP($B318,Seqs!$A:$B,2,0),AC318,1),"")</f>
        <v>T</v>
      </c>
      <c r="AC318" s="9">
        <v>161</v>
      </c>
      <c r="AD318" s="9" t="str">
        <f>IFERROR(MID(VLOOKUP($B318,Seqs!$A:$B,2,0),AE318,1),"")</f>
        <v>A</v>
      </c>
      <c r="AE318" s="9">
        <v>187</v>
      </c>
      <c r="AF318" s="9" t="str">
        <f>IFERROR(MID(VLOOKUP($B318,Seqs!$A:$B,2,0),AG318,1),"")</f>
        <v>C</v>
      </c>
      <c r="AG318" s="9">
        <v>198</v>
      </c>
      <c r="AH318" s="9" t="str">
        <f>IFERROR(MID(VLOOKUP($B318,Seqs!$A:$B,2,0),AI318,1),"")</f>
        <v>L</v>
      </c>
      <c r="AI318" s="9">
        <v>200</v>
      </c>
      <c r="AJ318" s="9" t="str">
        <f>IFERROR(MID(VLOOKUP($B318,Seqs!$A:$B,2,0),AK318,1),"")</f>
        <v>P</v>
      </c>
      <c r="AK318" s="9">
        <v>205</v>
      </c>
      <c r="AL318" s="9" t="str">
        <f>IFERROR(MID(VLOOKUP($B318,Seqs!$A:$B,2,0),AM318,1),"")</f>
        <v>S</v>
      </c>
      <c r="AM318" s="9">
        <v>247</v>
      </c>
      <c r="AN318" s="9" t="str">
        <f>IFERROR(MID(VLOOKUP($B318,Seqs!$A:$B,2,0),AO318,1),"")</f>
        <v>K</v>
      </c>
      <c r="AO318" s="9">
        <v>250</v>
      </c>
      <c r="AP318" s="9" t="str">
        <f>IFERROR(MID(VLOOKUP($B318,Seqs!$A:$B,2,0),AQ318,1),"")</f>
        <v>V</v>
      </c>
      <c r="AQ318" s="9">
        <v>287</v>
      </c>
      <c r="AR318" s="9" t="str">
        <f>IFERROR(MID(VLOOKUP($B318,Seqs!$A:$B,2,0),AS318,1),"")</f>
        <v>D</v>
      </c>
      <c r="AS318" s="9">
        <v>293</v>
      </c>
      <c r="AT318" s="9" t="str">
        <f>IFERROR(MID(VLOOKUP($B318,Seqs!$A:$B,2,0),AU318,1),"")</f>
        <v>L</v>
      </c>
      <c r="AU318" s="9">
        <v>321</v>
      </c>
      <c r="AV318" s="9" t="str">
        <f>IFERROR(MID(VLOOKUP($B318,Seqs!$A:$B,2,0),AW318,1),"")</f>
        <v>D</v>
      </c>
      <c r="AW318" s="9">
        <v>322</v>
      </c>
      <c r="AX318" s="9" t="str">
        <f>IFERROR(MID(VLOOKUP($B318,Seqs!$A:$B,2,0),AY318,1),"")</f>
        <v>F</v>
      </c>
      <c r="AY318" s="9">
        <v>329</v>
      </c>
      <c r="AZ318" s="110" t="str">
        <f>VLOOKUP(B318,Classification!A:D,2,0)</f>
        <v>A</v>
      </c>
      <c r="BA318" s="98" t="str">
        <f>VLOOKUP(B318,Classification!A:D,4,0)</f>
        <v>Opioid</v>
      </c>
      <c r="BB318" s="36" t="b">
        <f t="shared" ref="BB318" si="3187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109">
        <f t="shared" ref="BC318" si="3188">_xlfn.AGGREGATE(9,6,CH318:CS318)-_xlfn.AGGREGATE(9,6,BV318:CG318)+12</f>
        <v>261</v>
      </c>
      <c r="BD318" s="125" t="s">
        <v>23</v>
      </c>
      <c r="BE318" s="9" t="s">
        <v>1422</v>
      </c>
      <c r="BF318" s="119">
        <v>3.3</v>
      </c>
      <c r="BG318" s="51" t="s">
        <v>1</v>
      </c>
      <c r="BH318" s="51" t="s">
        <v>1</v>
      </c>
      <c r="BI318" s="9"/>
      <c r="BJ318" s="111" t="s">
        <v>1281</v>
      </c>
      <c r="BK318" s="112" t="s">
        <v>1281</v>
      </c>
      <c r="BL318" s="112" t="s">
        <v>1281</v>
      </c>
      <c r="BM318" s="112" t="s">
        <v>1281</v>
      </c>
      <c r="BN318" s="112" t="s">
        <v>1281</v>
      </c>
      <c r="BO318" s="112" t="s">
        <v>1281</v>
      </c>
      <c r="BP318" s="112" t="s">
        <v>1281</v>
      </c>
      <c r="BQ318" s="112" t="s">
        <v>1281</v>
      </c>
      <c r="BR318" s="112" t="s">
        <v>1281</v>
      </c>
      <c r="BS318" s="112" t="s">
        <v>1281</v>
      </c>
      <c r="BT318" s="112" t="s">
        <v>1281</v>
      </c>
      <c r="BU318" s="112" t="s">
        <v>1281</v>
      </c>
      <c r="BV318" s="111">
        <f t="shared" ref="BV318" si="3189">E318</f>
        <v>45</v>
      </c>
      <c r="BW318" s="113" t="str">
        <f t="shared" ref="BW318" si="3190">I318</f>
        <v>-</v>
      </c>
      <c r="BX318" s="114">
        <f t="shared" ref="BX318" si="3191">M318</f>
        <v>82</v>
      </c>
      <c r="BY318" s="113">
        <f t="shared" ref="BY318" si="3192">Q318</f>
        <v>113</v>
      </c>
      <c r="BZ318" s="114">
        <f t="shared" ref="BZ318" si="3193">U318</f>
        <v>117</v>
      </c>
      <c r="CA318" s="113">
        <f t="shared" ref="CA318" si="3194">Y318</f>
        <v>153</v>
      </c>
      <c r="CB318" s="114">
        <f t="shared" ref="CB318" si="3195">AC318</f>
        <v>161</v>
      </c>
      <c r="CC318" s="113">
        <f t="shared" ref="CC318" si="3196">AG318</f>
        <v>198</v>
      </c>
      <c r="CD318" s="114">
        <f t="shared" ref="CD318" si="3197">AK318</f>
        <v>205</v>
      </c>
      <c r="CE318" s="113">
        <f t="shared" ref="CE318" si="3198">AO318</f>
        <v>250</v>
      </c>
      <c r="CF318" s="114">
        <f t="shared" ref="CF318" si="3199">AS318</f>
        <v>293</v>
      </c>
      <c r="CG318" s="113">
        <f t="shared" ref="CG318" si="3200">AW318</f>
        <v>322</v>
      </c>
      <c r="CH318" s="111">
        <f t="shared" ref="CH318" si="3201">G318</f>
        <v>77</v>
      </c>
      <c r="CI318" s="113" t="str">
        <f t="shared" ref="CI318" si="3202">K318</f>
        <v>-</v>
      </c>
      <c r="CJ318" s="114">
        <f t="shared" ref="CJ318" si="3203">O318</f>
        <v>112</v>
      </c>
      <c r="CK318" s="114">
        <f t="shared" ref="CK318" si="3204">S318</f>
        <v>116</v>
      </c>
      <c r="CL318" s="114">
        <f t="shared" ref="CL318" si="3205">W318</f>
        <v>152</v>
      </c>
      <c r="CM318" s="114">
        <f t="shared" ref="CM318" si="3206">AA318</f>
        <v>160</v>
      </c>
      <c r="CN318" s="114">
        <f t="shared" ref="CN318" si="3207">AE318</f>
        <v>187</v>
      </c>
      <c r="CO318" s="114">
        <f t="shared" ref="CO318" si="3208">AI318</f>
        <v>200</v>
      </c>
      <c r="CP318" s="114">
        <f t="shared" ref="CP318" si="3209">AM318</f>
        <v>247</v>
      </c>
      <c r="CQ318" s="114">
        <f t="shared" ref="CQ318" si="3210">AQ318</f>
        <v>287</v>
      </c>
      <c r="CR318" s="114">
        <f t="shared" ref="CR318" si="3211">AU318</f>
        <v>321</v>
      </c>
      <c r="CS318" s="114">
        <f t="shared" ref="CS318" si="3212">AY318</f>
        <v>329</v>
      </c>
      <c r="CT318" s="109" t="e">
        <f t="shared" ref="CT318" si="3213">M318-K318</f>
        <v>#VALUE!</v>
      </c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  <c r="HW318" s="12"/>
      <c r="HX318" s="12"/>
      <c r="HY318" s="12"/>
      <c r="HZ318" s="12"/>
      <c r="IA318" s="12"/>
      <c r="IB318" s="12"/>
      <c r="IC318" s="12"/>
      <c r="ID318" s="12"/>
      <c r="IE318" s="12"/>
      <c r="IF318" s="12"/>
      <c r="IG318" s="12"/>
      <c r="IH318" s="12"/>
      <c r="II318" s="12"/>
      <c r="IJ318" s="12"/>
      <c r="IK318" s="12"/>
      <c r="IL318" s="12"/>
      <c r="IM318" s="12"/>
      <c r="IN318" s="12"/>
      <c r="IO318" s="12"/>
      <c r="IP318" s="12"/>
      <c r="IQ318" s="12"/>
      <c r="IR318" s="12"/>
      <c r="IS318" s="12"/>
      <c r="IT318" s="12"/>
      <c r="IU318" s="12"/>
      <c r="IV318" s="12"/>
      <c r="IW318" s="12"/>
      <c r="IX318" s="12"/>
      <c r="IY318" s="12"/>
      <c r="IZ318" s="12"/>
      <c r="JA318" s="12"/>
      <c r="JB318" s="12"/>
      <c r="JC318" s="12"/>
      <c r="JD318" s="12"/>
      <c r="JE318" s="12"/>
      <c r="JF318" s="12"/>
      <c r="JG318" s="12"/>
      <c r="JH318" s="12"/>
      <c r="JI318" s="12"/>
      <c r="JJ318" s="12"/>
      <c r="JK318" s="12"/>
      <c r="JL318" s="12"/>
      <c r="JM318" s="12"/>
      <c r="JN318" s="12"/>
      <c r="JO318" s="12"/>
      <c r="JP318" s="12"/>
      <c r="JQ318" s="12"/>
      <c r="JR318" s="12"/>
      <c r="JS318" s="12"/>
      <c r="JT318" s="12"/>
      <c r="JU318" s="12"/>
      <c r="JV318" s="12"/>
      <c r="JW318" s="12"/>
      <c r="JX318" s="12"/>
      <c r="JY318" s="12"/>
      <c r="JZ318" s="12"/>
      <c r="KA318" s="12"/>
      <c r="KB318" s="12"/>
      <c r="KC318" s="12"/>
      <c r="KD318" s="12"/>
      <c r="KE318" s="12"/>
      <c r="KF318" s="12"/>
      <c r="KG318" s="12"/>
      <c r="KH318" s="12"/>
      <c r="KI318" s="12"/>
      <c r="KJ318" s="12"/>
      <c r="KK318" s="12"/>
      <c r="KL318" s="12"/>
      <c r="KM318" s="12"/>
      <c r="KN318" s="12"/>
      <c r="KO318" s="12"/>
      <c r="KP318" s="12"/>
      <c r="KQ318" s="12"/>
      <c r="KR318" s="12"/>
      <c r="KS318" s="12"/>
      <c r="KT318" s="12"/>
      <c r="KU318" s="12"/>
      <c r="KV318" s="12"/>
      <c r="KW318" s="12"/>
      <c r="KX318" s="12"/>
      <c r="KY318" s="12"/>
      <c r="KZ318" s="12"/>
      <c r="LA318" s="12"/>
      <c r="LB318" s="12"/>
      <c r="LC318" s="12"/>
      <c r="LD318" s="12"/>
      <c r="LE318" s="12"/>
      <c r="LF318" s="12"/>
      <c r="LG318" s="12"/>
      <c r="LH318" s="12"/>
      <c r="LI318" s="12"/>
      <c r="LJ318" s="12"/>
      <c r="LK318" s="12"/>
      <c r="LL318" s="12"/>
      <c r="LM318" s="12"/>
      <c r="LN318" s="12"/>
      <c r="LO318" s="12"/>
      <c r="LP318" s="12"/>
      <c r="LQ318" s="12"/>
      <c r="LR318" s="12"/>
      <c r="LS318" s="12"/>
      <c r="LT318" s="12"/>
      <c r="LU318" s="12"/>
      <c r="LV318" s="12"/>
      <c r="LW318" s="12"/>
      <c r="LX318" s="12"/>
      <c r="LY318" s="12"/>
      <c r="LZ318" s="12"/>
      <c r="MA318" s="12"/>
      <c r="MB318" s="12"/>
      <c r="MC318" s="12"/>
      <c r="MD318" s="12"/>
      <c r="ME318" s="12"/>
      <c r="MF318" s="12"/>
      <c r="MG318" s="12"/>
      <c r="MH318" s="12"/>
      <c r="MI318" s="12"/>
      <c r="MJ318" s="12"/>
      <c r="MK318" s="12"/>
      <c r="ML318" s="12"/>
      <c r="MM318" s="12"/>
      <c r="MN318" s="12"/>
      <c r="MO318" s="12"/>
      <c r="MP318" s="12"/>
      <c r="MQ318" s="12"/>
      <c r="MR318" s="12"/>
      <c r="MS318" s="12"/>
      <c r="MT318" s="12"/>
      <c r="MU318" s="12"/>
      <c r="MV318" s="12"/>
      <c r="MW318" s="12"/>
      <c r="MX318" s="12"/>
      <c r="MY318" s="12"/>
      <c r="MZ318" s="12"/>
      <c r="NA318" s="12"/>
      <c r="NB318" s="12"/>
      <c r="NC318" s="12"/>
      <c r="ND318" s="12"/>
      <c r="NE318" s="12"/>
      <c r="NF318" s="12"/>
      <c r="NG318" s="12"/>
      <c r="NH318" s="12"/>
      <c r="NI318" s="12"/>
      <c r="NJ318" s="12"/>
      <c r="NK318" s="12"/>
      <c r="NL318" s="12"/>
      <c r="NM318" s="12"/>
      <c r="NN318" s="12"/>
      <c r="NO318" s="12"/>
      <c r="NP318" s="12"/>
      <c r="NQ318" s="12"/>
      <c r="NR318" s="12"/>
      <c r="NS318" s="12"/>
      <c r="NT318" s="12"/>
      <c r="NU318" s="12"/>
      <c r="NV318" s="12"/>
      <c r="NW318" s="12"/>
      <c r="NX318" s="12"/>
      <c r="NY318" s="12"/>
      <c r="NZ318" s="12"/>
      <c r="OA318" s="12"/>
      <c r="OB318" s="12"/>
      <c r="OC318" s="12"/>
      <c r="OD318" s="12"/>
      <c r="OE318" s="12"/>
      <c r="OF318" s="12"/>
      <c r="OG318" s="12"/>
      <c r="OH318" s="12"/>
      <c r="OI318" s="12"/>
      <c r="OJ318" s="12"/>
      <c r="OK318" s="12"/>
      <c r="OL318" s="12"/>
      <c r="OM318" s="12"/>
      <c r="ON318" s="12"/>
      <c r="OO318" s="12"/>
      <c r="OP318" s="12"/>
      <c r="OQ318" s="12"/>
      <c r="OR318" s="12"/>
      <c r="OS318" s="12"/>
      <c r="OT318" s="12"/>
      <c r="OU318" s="12"/>
      <c r="OV318" s="12"/>
      <c r="OW318" s="12"/>
      <c r="OX318" s="12"/>
      <c r="OY318" s="12"/>
      <c r="OZ318" s="12"/>
      <c r="PA318" s="12"/>
      <c r="PB318" s="12"/>
      <c r="PC318" s="12"/>
      <c r="PD318" s="12"/>
      <c r="PE318" s="12"/>
      <c r="PF318" s="12"/>
      <c r="PG318" s="12"/>
      <c r="PH318" s="12"/>
      <c r="PI318" s="12"/>
      <c r="PJ318" s="12"/>
      <c r="PK318" s="12"/>
      <c r="PL318" s="12"/>
      <c r="PM318" s="12"/>
      <c r="PN318" s="12"/>
      <c r="PO318" s="12"/>
      <c r="PP318" s="12"/>
      <c r="PQ318" s="12"/>
      <c r="PR318" s="12"/>
      <c r="PS318" s="12"/>
      <c r="PT318" s="12"/>
      <c r="PU318" s="12"/>
      <c r="PV318" s="12"/>
      <c r="PW318" s="12"/>
      <c r="PX318" s="12"/>
      <c r="PY318" s="12"/>
      <c r="PZ318" s="12"/>
      <c r="QA318" s="12"/>
      <c r="QB318" s="12"/>
      <c r="QC318" s="12"/>
      <c r="QD318" s="12"/>
      <c r="QE318" s="12"/>
      <c r="QF318" s="12"/>
      <c r="QG318" s="12"/>
      <c r="QH318" s="12"/>
      <c r="QI318" s="12"/>
      <c r="QJ318" s="12"/>
      <c r="QK318" s="12"/>
      <c r="QL318" s="12"/>
      <c r="QM318" s="12"/>
      <c r="QN318" s="12"/>
      <c r="QO318" s="12"/>
      <c r="QP318" s="12"/>
      <c r="QQ318" s="12"/>
      <c r="QR318" s="12"/>
      <c r="QS318" s="12"/>
      <c r="QT318" s="12"/>
      <c r="QU318" s="12"/>
      <c r="QV318" s="12"/>
      <c r="QW318" s="12"/>
      <c r="QX318" s="12"/>
      <c r="QY318" s="12"/>
      <c r="QZ318" s="12"/>
      <c r="RA318" s="12"/>
      <c r="RB318" s="12"/>
      <c r="RC318" s="12"/>
      <c r="RD318" s="12"/>
      <c r="RE318" s="12"/>
      <c r="RF318" s="12"/>
      <c r="RG318" s="12"/>
      <c r="RH318" s="12"/>
      <c r="RI318" s="12"/>
      <c r="RJ318" s="12"/>
      <c r="RK318" s="12"/>
      <c r="RL318" s="12"/>
      <c r="RM318" s="12"/>
      <c r="RN318" s="12"/>
      <c r="RO318" s="12"/>
      <c r="RP318" s="12"/>
      <c r="RQ318" s="12"/>
      <c r="RR318" s="12"/>
      <c r="RS318" s="12"/>
      <c r="RT318" s="12"/>
      <c r="RU318" s="12"/>
      <c r="RV318" s="12"/>
      <c r="RW318" s="12"/>
      <c r="RX318" s="12"/>
      <c r="RY318" s="12"/>
      <c r="RZ318" s="12"/>
      <c r="SA318" s="12"/>
      <c r="SB318" s="12"/>
      <c r="SC318" s="12"/>
      <c r="SD318" s="12"/>
      <c r="SE318" s="12"/>
      <c r="SF318" s="12"/>
      <c r="SG318" s="12"/>
      <c r="SH318" s="12"/>
      <c r="SI318" s="12"/>
      <c r="SJ318" s="12"/>
      <c r="SK318" s="12"/>
      <c r="SL318" s="12"/>
      <c r="SM318" s="12"/>
      <c r="SN318" s="12"/>
      <c r="SO318" s="12"/>
      <c r="SP318" s="12"/>
      <c r="SQ318" s="12"/>
      <c r="SR318" s="12"/>
      <c r="SS318" s="12"/>
      <c r="ST318" s="12"/>
      <c r="SU318" s="12"/>
      <c r="SV318" s="12"/>
      <c r="SW318" s="12"/>
      <c r="SX318" s="12"/>
      <c r="SY318" s="12"/>
      <c r="SZ318" s="12"/>
      <c r="TA318" s="12"/>
      <c r="TB318" s="12"/>
      <c r="TC318" s="12"/>
      <c r="TD318" s="12"/>
      <c r="TE318" s="12"/>
      <c r="TF318" s="12"/>
      <c r="TG318" s="12"/>
      <c r="TH318" s="12"/>
      <c r="TI318" s="12"/>
      <c r="TJ318" s="12"/>
      <c r="TK318" s="12"/>
      <c r="TL318" s="12"/>
      <c r="TM318" s="12"/>
      <c r="TN318" s="12"/>
      <c r="TO318" s="12"/>
      <c r="TP318" s="12"/>
      <c r="TQ318" s="12"/>
      <c r="TR318" s="12"/>
      <c r="TS318" s="12"/>
      <c r="TT318" s="12"/>
      <c r="TU318" s="12"/>
      <c r="TV318" s="12"/>
      <c r="TW318" s="12"/>
      <c r="TX318" s="12"/>
      <c r="TY318" s="12"/>
      <c r="TZ318" s="12"/>
      <c r="UA318" s="12"/>
      <c r="UB318" s="12"/>
      <c r="UC318" s="12"/>
      <c r="UD318" s="12"/>
      <c r="UE318" s="12"/>
      <c r="UF318" s="12"/>
      <c r="UG318" s="12"/>
      <c r="UH318" s="12"/>
      <c r="UI318" s="12"/>
      <c r="UJ318" s="12"/>
      <c r="UK318" s="12"/>
      <c r="UL318" s="12"/>
      <c r="UM318" s="12"/>
      <c r="UN318" s="12"/>
      <c r="UO318" s="12"/>
      <c r="UP318" s="12"/>
      <c r="UQ318" s="12"/>
      <c r="UR318" s="12"/>
      <c r="US318" s="12"/>
      <c r="UT318" s="12"/>
      <c r="UU318" s="12"/>
      <c r="UV318" s="12"/>
      <c r="UW318" s="12"/>
      <c r="UX318" s="12"/>
      <c r="UY318" s="12"/>
      <c r="UZ318" s="12"/>
      <c r="VA318" s="12"/>
      <c r="VB318" s="12"/>
      <c r="VC318" s="12"/>
      <c r="VD318" s="12"/>
      <c r="VE318" s="12"/>
      <c r="VF318" s="12"/>
      <c r="VG318" s="12"/>
      <c r="VH318" s="12"/>
      <c r="VI318" s="12"/>
      <c r="VJ318" s="12"/>
      <c r="VK318" s="12"/>
      <c r="VL318" s="12"/>
      <c r="VM318" s="12"/>
      <c r="VN318" s="12"/>
      <c r="VO318" s="12"/>
      <c r="VP318" s="12"/>
      <c r="VQ318" s="12"/>
      <c r="VR318" s="12"/>
      <c r="VS318" s="12"/>
      <c r="VT318" s="12"/>
      <c r="VU318" s="12"/>
      <c r="VV318" s="12"/>
      <c r="VW318" s="12"/>
      <c r="VX318" s="12"/>
      <c r="VY318" s="12"/>
      <c r="VZ318" s="12"/>
      <c r="WA318" s="12"/>
      <c r="WB318" s="12"/>
      <c r="WC318" s="12"/>
      <c r="WD318" s="12"/>
      <c r="WE318" s="12"/>
      <c r="WF318" s="12"/>
      <c r="WG318" s="12"/>
      <c r="WH318" s="12"/>
      <c r="WI318" s="12"/>
      <c r="WJ318" s="12"/>
      <c r="WK318" s="12"/>
      <c r="WL318" s="12"/>
      <c r="WM318" s="12"/>
      <c r="WN318" s="12"/>
      <c r="WO318" s="12"/>
      <c r="WP318" s="12"/>
      <c r="WQ318" s="12"/>
      <c r="WR318" s="12"/>
      <c r="WS318" s="12"/>
      <c r="WT318" s="12"/>
      <c r="WU318" s="12"/>
      <c r="WV318" s="12"/>
      <c r="WW318" s="12"/>
      <c r="WX318" s="12"/>
      <c r="WY318" s="12"/>
      <c r="WZ318" s="12"/>
      <c r="XA318" s="12"/>
      <c r="XB318" s="12"/>
      <c r="XC318" s="12"/>
      <c r="XD318" s="12"/>
      <c r="XE318" s="12"/>
      <c r="XF318" s="12"/>
      <c r="XG318" s="12"/>
      <c r="XH318" s="12"/>
      <c r="XI318" s="12"/>
      <c r="XJ318" s="12"/>
      <c r="XK318" s="12"/>
      <c r="XL318" s="12"/>
      <c r="XM318" s="12"/>
      <c r="XN318" s="12"/>
      <c r="XO318" s="12"/>
      <c r="XP318" s="12"/>
      <c r="XQ318" s="12"/>
      <c r="XR318" s="12"/>
      <c r="XS318" s="12"/>
      <c r="XT318" s="12"/>
      <c r="XU318" s="12"/>
      <c r="XV318" s="12"/>
      <c r="XW318" s="12"/>
      <c r="XX318" s="12"/>
      <c r="XY318" s="12"/>
      <c r="XZ318" s="12"/>
      <c r="YA318" s="12"/>
      <c r="YB318" s="12"/>
      <c r="YC318" s="12"/>
      <c r="YD318" s="12"/>
      <c r="YE318" s="12"/>
      <c r="YF318" s="12"/>
      <c r="YG318" s="12"/>
      <c r="YH318" s="12"/>
      <c r="YI318" s="12"/>
      <c r="YJ318" s="12"/>
      <c r="YK318" s="12"/>
      <c r="YL318" s="12"/>
      <c r="YM318" s="12"/>
      <c r="YN318" s="12"/>
      <c r="YO318" s="12"/>
      <c r="YP318" s="12"/>
      <c r="YQ318" s="12"/>
      <c r="YR318" s="12"/>
      <c r="YS318" s="12"/>
      <c r="YT318" s="12"/>
      <c r="YU318" s="12"/>
      <c r="YV318" s="12"/>
      <c r="YW318" s="12"/>
      <c r="YX318" s="12"/>
      <c r="YY318" s="12"/>
      <c r="YZ318" s="12"/>
      <c r="ZA318" s="12"/>
      <c r="ZB318" s="12"/>
      <c r="ZC318" s="12"/>
      <c r="ZD318" s="12"/>
      <c r="ZE318" s="12"/>
      <c r="ZF318" s="12"/>
      <c r="ZG318" s="12"/>
      <c r="ZH318" s="12"/>
      <c r="ZI318" s="12"/>
      <c r="ZJ318" s="12"/>
      <c r="ZK318" s="12"/>
      <c r="ZL318" s="12"/>
      <c r="ZM318" s="12"/>
      <c r="ZN318" s="12"/>
      <c r="ZO318" s="12"/>
      <c r="ZP318" s="12"/>
      <c r="ZQ318" s="12"/>
      <c r="ZR318" s="12"/>
      <c r="ZS318" s="12"/>
      <c r="ZT318" s="12"/>
      <c r="ZU318" s="12"/>
      <c r="ZV318" s="12"/>
      <c r="ZW318" s="12"/>
      <c r="ZX318" s="12"/>
      <c r="ZY318" s="12"/>
      <c r="ZZ318" s="12"/>
      <c r="AAA318" s="12"/>
      <c r="AAB318" s="12"/>
      <c r="AAC318" s="12"/>
      <c r="AAD318" s="12"/>
      <c r="AAE318" s="12"/>
      <c r="AAF318" s="12"/>
      <c r="AAG318" s="12"/>
      <c r="AAH318" s="12"/>
      <c r="AAI318" s="12"/>
      <c r="AAJ318" s="12"/>
      <c r="AAK318" s="12"/>
      <c r="AAL318" s="12"/>
      <c r="AAM318" s="12"/>
      <c r="AAN318" s="12"/>
      <c r="AAO318" s="12"/>
      <c r="AAP318" s="12"/>
      <c r="AAQ318" s="12"/>
      <c r="AAR318" s="12"/>
      <c r="AAS318" s="12"/>
      <c r="AAT318" s="12"/>
      <c r="AAU318" s="12"/>
      <c r="AAV318" s="12"/>
      <c r="AAW318" s="12"/>
      <c r="AAX318" s="12"/>
      <c r="AAY318" s="12"/>
      <c r="AAZ318" s="12"/>
      <c r="ABA318" s="12"/>
      <c r="ABB318" s="12"/>
      <c r="ABC318" s="12"/>
      <c r="ABD318" s="12"/>
      <c r="ABE318" s="12"/>
      <c r="ABF318" s="12"/>
      <c r="ABG318" s="12"/>
      <c r="ABH318" s="12"/>
      <c r="ABI318" s="12"/>
      <c r="ABJ318" s="12"/>
      <c r="ABK318" s="12"/>
      <c r="ABL318" s="12"/>
      <c r="ABM318" s="12"/>
      <c r="ABN318" s="12"/>
      <c r="ABO318" s="12"/>
      <c r="ABP318" s="12"/>
      <c r="ABQ318" s="12"/>
      <c r="ABR318" s="12"/>
      <c r="ABS318" s="12"/>
      <c r="ABT318" s="12"/>
      <c r="ABU318" s="12"/>
      <c r="ABV318" s="12"/>
      <c r="ABW318" s="12"/>
      <c r="ABX318" s="12"/>
      <c r="ABY318" s="12"/>
      <c r="ABZ318" s="12"/>
      <c r="ACA318" s="12"/>
      <c r="ACB318" s="12"/>
      <c r="ACC318" s="12"/>
      <c r="ACD318" s="12"/>
      <c r="ACE318" s="12"/>
      <c r="ACF318" s="12"/>
      <c r="ACG318" s="12"/>
      <c r="ACH318" s="12"/>
      <c r="ACI318" s="12"/>
      <c r="ACJ318" s="12"/>
      <c r="ACK318" s="12"/>
      <c r="ACL318" s="12"/>
      <c r="ACM318" s="12"/>
      <c r="ACN318" s="12"/>
      <c r="ACO318" s="12"/>
      <c r="ACP318" s="12"/>
      <c r="ACQ318" s="12"/>
      <c r="ACR318" s="12"/>
      <c r="ACS318" s="12"/>
      <c r="ACT318" s="12"/>
      <c r="ACU318" s="12"/>
      <c r="ACV318" s="12"/>
      <c r="ACW318" s="12"/>
      <c r="ACX318" s="12"/>
      <c r="ACY318" s="12"/>
      <c r="ACZ318" s="12"/>
      <c r="ADA318" s="12"/>
      <c r="ADB318" s="12"/>
      <c r="ADC318" s="12"/>
      <c r="ADD318" s="12"/>
      <c r="ADE318" s="12"/>
      <c r="ADF318" s="12"/>
      <c r="ADG318" s="12"/>
      <c r="ADH318" s="12"/>
      <c r="ADI318" s="12"/>
      <c r="ADJ318" s="12"/>
      <c r="ADK318" s="12"/>
      <c r="ADL318" s="12"/>
      <c r="ADM318" s="12"/>
      <c r="ADN318" s="12"/>
      <c r="ADO318" s="12"/>
      <c r="ADP318" s="12"/>
      <c r="ADQ318" s="12"/>
      <c r="ADR318" s="12"/>
      <c r="ADS318" s="12"/>
      <c r="ADT318" s="12"/>
      <c r="ADU318" s="12"/>
      <c r="ADV318" s="12"/>
      <c r="ADW318" s="12"/>
      <c r="ADX318" s="12"/>
      <c r="ADY318" s="12"/>
      <c r="ADZ318" s="12"/>
      <c r="AEA318" s="12"/>
      <c r="AEB318" s="12"/>
      <c r="AEC318" s="12"/>
      <c r="AED318" s="12"/>
      <c r="AEE318" s="12"/>
      <c r="AEF318" s="12"/>
      <c r="AEG318" s="12"/>
      <c r="AEH318" s="12"/>
      <c r="AEI318" s="12"/>
      <c r="AEJ318" s="12"/>
      <c r="AEK318" s="12"/>
      <c r="AEL318" s="12"/>
      <c r="AEM318" s="12"/>
      <c r="AEN318" s="12"/>
      <c r="AEO318" s="12"/>
      <c r="AEP318" s="12"/>
      <c r="AEQ318" s="12"/>
      <c r="AER318" s="12"/>
      <c r="AES318" s="12"/>
      <c r="AET318" s="12"/>
      <c r="AEU318" s="12"/>
      <c r="AEV318" s="12"/>
      <c r="AEW318" s="12"/>
      <c r="AEX318" s="12"/>
      <c r="AEY318" s="12"/>
      <c r="AEZ318" s="12"/>
      <c r="AFA318" s="12"/>
      <c r="AFB318" s="12"/>
      <c r="AFC318" s="12"/>
      <c r="AFD318" s="12"/>
      <c r="AFE318" s="12"/>
      <c r="AFF318" s="12"/>
      <c r="AFG318" s="12"/>
      <c r="AFH318" s="12"/>
      <c r="AFI318" s="12"/>
      <c r="AFJ318" s="12"/>
      <c r="AFK318" s="12"/>
      <c r="AFL318" s="12"/>
      <c r="AFM318" s="12"/>
      <c r="AFN318" s="12"/>
      <c r="AFO318" s="12"/>
      <c r="AFP318" s="12"/>
      <c r="AFQ318" s="12"/>
      <c r="AFR318" s="12"/>
      <c r="AFS318" s="12"/>
      <c r="AFT318" s="12"/>
      <c r="AFU318" s="12"/>
      <c r="AFV318" s="12"/>
      <c r="AFW318" s="12"/>
      <c r="AFX318" s="12"/>
      <c r="AFY318" s="12"/>
      <c r="AFZ318" s="12"/>
      <c r="AGA318" s="12"/>
      <c r="AGB318" s="12"/>
      <c r="AGC318" s="12"/>
      <c r="AGD318" s="12"/>
      <c r="AGE318" s="12"/>
      <c r="AGF318" s="12"/>
      <c r="AGG318" s="12"/>
      <c r="AGH318" s="12"/>
      <c r="AGI318" s="12"/>
      <c r="AGJ318" s="12"/>
      <c r="AGK318" s="12"/>
      <c r="AGL318" s="12"/>
      <c r="AGM318" s="12"/>
      <c r="AGN318" s="12"/>
      <c r="AGO318" s="12"/>
      <c r="AGP318" s="12"/>
      <c r="AGQ318" s="12"/>
      <c r="AGR318" s="12"/>
      <c r="AGS318" s="12"/>
      <c r="AGT318" s="12"/>
      <c r="AGU318" s="12"/>
      <c r="AGV318" s="12"/>
      <c r="AGW318" s="12"/>
      <c r="AGX318" s="12"/>
      <c r="AGY318" s="12"/>
      <c r="AGZ318" s="12"/>
      <c r="AHA318" s="12"/>
      <c r="AHB318" s="12"/>
      <c r="AHC318" s="12"/>
      <c r="AHD318" s="12"/>
      <c r="AHE318" s="12"/>
      <c r="AHF318" s="12"/>
      <c r="AHG318" s="12"/>
      <c r="AHH318" s="12"/>
      <c r="AHI318" s="12"/>
      <c r="AHJ318" s="12"/>
      <c r="AHK318" s="12"/>
      <c r="AHL318" s="12"/>
      <c r="AHM318" s="12"/>
      <c r="AHN318" s="12"/>
      <c r="AHO318" s="12"/>
      <c r="AHP318" s="12"/>
      <c r="AHQ318" s="12"/>
      <c r="AHR318" s="12"/>
      <c r="AHS318" s="12"/>
      <c r="AHT318" s="12"/>
      <c r="AHU318" s="12"/>
      <c r="AHV318" s="12"/>
      <c r="AHW318" s="12"/>
      <c r="AHX318" s="12"/>
      <c r="AHY318" s="12"/>
      <c r="AHZ318" s="12"/>
      <c r="AIA318" s="12"/>
      <c r="AIB318" s="12"/>
      <c r="AIC318" s="12"/>
      <c r="AID318" s="12"/>
      <c r="AIE318" s="12"/>
      <c r="AIF318" s="12"/>
      <c r="AIG318" s="12"/>
      <c r="AIH318" s="12"/>
      <c r="AII318" s="12"/>
      <c r="AIJ318" s="12"/>
      <c r="AIK318" s="12"/>
      <c r="AIL318" s="12"/>
      <c r="AIM318" s="12"/>
      <c r="AIN318" s="12"/>
      <c r="AIO318" s="12"/>
      <c r="AIP318" s="12"/>
      <c r="AIQ318" s="12"/>
      <c r="AIR318" s="12"/>
      <c r="AIS318" s="12"/>
      <c r="AIT318" s="12"/>
      <c r="AIU318" s="12"/>
      <c r="AIV318" s="12"/>
      <c r="AIW318" s="12"/>
      <c r="AIX318" s="12"/>
      <c r="AIY318" s="12"/>
      <c r="AIZ318" s="12"/>
      <c r="AJA318" s="12"/>
      <c r="AJB318" s="12"/>
      <c r="AJC318" s="12"/>
      <c r="AJD318" s="12"/>
      <c r="AJE318" s="12"/>
      <c r="AJF318" s="12"/>
      <c r="AJG318" s="12"/>
      <c r="AJH318" s="12"/>
      <c r="AJI318" s="12"/>
      <c r="AJJ318" s="12"/>
      <c r="AJK318" s="12"/>
      <c r="AJL318" s="12"/>
      <c r="AJM318" s="12"/>
      <c r="AJN318" s="12"/>
      <c r="AJO318" s="12"/>
      <c r="AJP318" s="12"/>
      <c r="AJQ318" s="12"/>
      <c r="AJR318" s="12"/>
      <c r="AJS318" s="12"/>
      <c r="AJT318" s="12"/>
      <c r="AJU318" s="12"/>
      <c r="AJV318" s="12"/>
      <c r="AJW318" s="12"/>
      <c r="AJX318" s="12"/>
      <c r="AJY318" s="12"/>
      <c r="AJZ318" s="12"/>
      <c r="AKA318" s="12"/>
      <c r="AKB318" s="12"/>
      <c r="AKC318" s="12"/>
      <c r="AKD318" s="12"/>
      <c r="AKE318" s="12"/>
      <c r="AKF318" s="12"/>
      <c r="AKG318" s="12"/>
      <c r="AKH318" s="12"/>
      <c r="AKI318" s="12"/>
      <c r="AKJ318" s="12"/>
      <c r="AKK318" s="12"/>
      <c r="AKL318" s="12"/>
      <c r="AKM318" s="12"/>
      <c r="AKN318" s="12"/>
      <c r="AKO318" s="12"/>
      <c r="AKP318" s="12"/>
      <c r="AKQ318" s="12"/>
      <c r="AKR318" s="12"/>
      <c r="AKS318" s="12"/>
      <c r="AKT318" s="12"/>
      <c r="AKU318" s="12"/>
      <c r="AKV318" s="12"/>
      <c r="AKW318" s="12"/>
      <c r="AKX318" s="12"/>
      <c r="AKY318" s="12"/>
      <c r="AKZ318" s="12"/>
      <c r="ALA318" s="12"/>
      <c r="ALB318" s="12"/>
      <c r="ALC318" s="12"/>
      <c r="ALD318" s="12"/>
      <c r="ALE318" s="12"/>
      <c r="ALF318" s="12"/>
      <c r="ALG318" s="12"/>
      <c r="ALH318" s="12"/>
      <c r="ALI318" s="12"/>
      <c r="ALJ318" s="12"/>
      <c r="ALK318" s="12"/>
      <c r="ALL318" s="12"/>
      <c r="ALM318" s="12"/>
      <c r="ALN318" s="12"/>
      <c r="ALO318" s="12"/>
      <c r="ALP318" s="12"/>
      <c r="ALQ318" s="12"/>
      <c r="ALR318" s="12"/>
      <c r="ALS318" s="12"/>
      <c r="ALT318" s="12"/>
      <c r="ALU318" s="12"/>
      <c r="ALV318" s="12"/>
      <c r="ALW318" s="12"/>
      <c r="ALX318" s="12"/>
      <c r="ALY318" s="12"/>
      <c r="ALZ318" s="12"/>
      <c r="AMA318" s="12"/>
      <c r="AMB318" s="12"/>
      <c r="AMC318" s="12"/>
      <c r="AMD318" s="12"/>
      <c r="AME318" s="12"/>
      <c r="AMF318" s="12"/>
      <c r="AMG318" s="12"/>
      <c r="AMH318" s="12"/>
      <c r="AMI318" s="12"/>
      <c r="AMJ318" s="12"/>
      <c r="AMK318" s="12"/>
      <c r="AML318" s="12"/>
      <c r="AMM318" s="12"/>
      <c r="AMN318" s="12"/>
      <c r="AMO318" s="12"/>
      <c r="AMP318" s="12"/>
    </row>
    <row r="319" spans="1:1030" s="2" customFormat="1" x14ac:dyDescent="0.2">
      <c r="A319" s="3" t="str">
        <f t="shared" si="2570"/>
        <v>oprd_mouse__wt</v>
      </c>
      <c r="B319" s="3" t="s">
        <v>909</v>
      </c>
      <c r="C319" s="3" t="s">
        <v>100</v>
      </c>
      <c r="D319" s="3" t="str">
        <f>IFERROR(MID(VLOOKUP($B319,Seqs!$A:$B,2,0),E319,1),"")</f>
        <v>R</v>
      </c>
      <c r="E319" s="3">
        <v>41</v>
      </c>
      <c r="F319" s="3" t="str">
        <f>IFERROR(MID(VLOOKUP($B319,Seqs!$A:$B,2,0),G319,1),"")</f>
        <v>Y</v>
      </c>
      <c r="G319" s="3">
        <v>77</v>
      </c>
      <c r="H319" s="3" t="str">
        <f>IFERROR(MID(VLOOKUP($B319,Seqs!$A:$B,2,0),I319,1),"")</f>
        <v>T</v>
      </c>
      <c r="I319" s="23">
        <v>78</v>
      </c>
      <c r="J319" s="3" t="str">
        <f>IFERROR(MID(VLOOKUP($B319,Seqs!$A:$B,2,0),K319,1),"")</f>
        <v>K</v>
      </c>
      <c r="K319" s="23">
        <v>81</v>
      </c>
      <c r="L319" s="3" t="str">
        <f>IFERROR(MID(VLOOKUP($B319,Seqs!$A:$B,2,0),M319,1),"")</f>
        <v>T</v>
      </c>
      <c r="M319" s="3">
        <v>82</v>
      </c>
      <c r="N319" s="3" t="str">
        <f>IFERROR(MID(VLOOKUP($B319,Seqs!$A:$B,2,0),O319,1),"")</f>
        <v>E</v>
      </c>
      <c r="O319" s="105">
        <v>112</v>
      </c>
      <c r="P319" s="3" t="str">
        <f>IFERROR(MID(VLOOKUP($B319,Seqs!$A:$B,2,0),Q319,1),"")</f>
        <v>T</v>
      </c>
      <c r="Q319" s="3">
        <v>113</v>
      </c>
      <c r="R319" s="3" t="str">
        <f>IFERROR(MID(VLOOKUP($B319,Seqs!$A:$B,2,0),S319,1),"")</f>
        <v>F</v>
      </c>
      <c r="S319" s="3">
        <v>116</v>
      </c>
      <c r="T319" s="3" t="str">
        <f>IFERROR(MID(VLOOKUP($B319,Seqs!$A:$B,2,0),U319,1),"")</f>
        <v>G</v>
      </c>
      <c r="U319" s="3">
        <v>117</v>
      </c>
      <c r="V319" s="3" t="str">
        <f>IFERROR(MID(VLOOKUP($B319,Seqs!$A:$B,2,0),W319,1),"")</f>
        <v>H</v>
      </c>
      <c r="W319" s="3">
        <v>152</v>
      </c>
      <c r="X319" s="3" t="str">
        <f>IFERROR(MID(VLOOKUP($B319,Seqs!$A:$B,2,0),Y319,1),"")</f>
        <v>P</v>
      </c>
      <c r="Y319" s="3">
        <v>153</v>
      </c>
      <c r="Z319" s="3" t="str">
        <f>IFERROR(MID(VLOOKUP($B319,Seqs!$A:$B,2,0),AA319,1),"")</f>
        <v>R</v>
      </c>
      <c r="AA319" s="3">
        <v>160</v>
      </c>
      <c r="AB319" s="3" t="str">
        <f>IFERROR(MID(VLOOKUP($B319,Seqs!$A:$B,2,0),AC319,1),"")</f>
        <v>T</v>
      </c>
      <c r="AC319" s="3">
        <v>161</v>
      </c>
      <c r="AD319" s="3" t="str">
        <f>IFERROR(MID(VLOOKUP($B319,Seqs!$A:$B,2,0),AE319,1),"")</f>
        <v>A</v>
      </c>
      <c r="AE319" s="3">
        <v>187</v>
      </c>
      <c r="AF319" s="3" t="str">
        <f>IFERROR(MID(VLOOKUP($B319,Seqs!$A:$B,2,0),AG319,1),"")</f>
        <v>C</v>
      </c>
      <c r="AG319" s="3">
        <v>198</v>
      </c>
      <c r="AH319" s="3" t="str">
        <f>IFERROR(MID(VLOOKUP($B319,Seqs!$A:$B,2,0),AI319,1),"")</f>
        <v>L</v>
      </c>
      <c r="AI319" s="3">
        <v>200</v>
      </c>
      <c r="AJ319" s="3" t="str">
        <f>IFERROR(MID(VLOOKUP($B319,Seqs!$A:$B,2,0),AK319,1),"")</f>
        <v>P</v>
      </c>
      <c r="AK319" s="105">
        <v>205</v>
      </c>
      <c r="AL319" s="3" t="str">
        <f>IFERROR(MID(VLOOKUP($B319,Seqs!$A:$B,2,0),AM319,1),"")</f>
        <v>V</v>
      </c>
      <c r="AM319" s="3">
        <v>243</v>
      </c>
      <c r="AN319" s="3" t="str">
        <f>IFERROR(MID(VLOOKUP($B319,Seqs!$A:$B,2,0),AO319,1),"")</f>
        <v>S</v>
      </c>
      <c r="AO319" s="3">
        <v>249</v>
      </c>
      <c r="AP319" s="3" t="str">
        <f>IFERROR(MID(VLOOKUP($B319,Seqs!$A:$B,2,0),AQ319,1),"")</f>
        <v>V</v>
      </c>
      <c r="AQ319" s="3">
        <v>287</v>
      </c>
      <c r="AR319" s="3" t="str">
        <f>IFERROR(MID(VLOOKUP($B319,Seqs!$A:$B,2,0),AS319,1),"")</f>
        <v>D</v>
      </c>
      <c r="AS319" s="3">
        <v>293</v>
      </c>
      <c r="AT319" s="3" t="str">
        <f>IFERROR(MID(VLOOKUP($B319,Seqs!$A:$B,2,0),AU319,1),"")</f>
        <v>L</v>
      </c>
      <c r="AU319" s="3">
        <v>321</v>
      </c>
      <c r="AV319" s="3" t="str">
        <f>IFERROR(MID(VLOOKUP($B319,Seqs!$A:$B,2,0),AW319,1),"")</f>
        <v>D</v>
      </c>
      <c r="AW319" s="3">
        <v>322</v>
      </c>
      <c r="AX319" s="3" t="str">
        <f>IFERROR(MID(VLOOKUP($B319,Seqs!$A:$B,2,0),AY319,1),"")</f>
        <v>T</v>
      </c>
      <c r="AY319" s="3">
        <v>335</v>
      </c>
      <c r="AZ319" s="77" t="str">
        <f>VLOOKUP(B319,Classification!A:D,2,0)</f>
        <v>A</v>
      </c>
      <c r="BA319" s="94" t="str">
        <f>VLOOKUP(B319,Classification!A:D,4,0)</f>
        <v>Opioid</v>
      </c>
      <c r="BB319" s="27" t="b">
        <f t="shared" si="2571"/>
        <v>1</v>
      </c>
      <c r="BC319" s="23">
        <f t="shared" si="2208"/>
        <v>271</v>
      </c>
      <c r="BD319" s="56" t="s">
        <v>23</v>
      </c>
      <c r="BE319" s="3" t="s">
        <v>23</v>
      </c>
      <c r="BF319" s="118" t="s">
        <v>23</v>
      </c>
      <c r="BG319" s="49" t="s">
        <v>1366</v>
      </c>
      <c r="BH319" s="49" t="s">
        <v>1371</v>
      </c>
      <c r="BI319" s="1"/>
      <c r="BJ319" s="70" t="s">
        <v>1281</v>
      </c>
      <c r="BK319" s="57" t="s">
        <v>1281</v>
      </c>
      <c r="BL319" s="57" t="s">
        <v>1281</v>
      </c>
      <c r="BM319" s="57" t="s">
        <v>1281</v>
      </c>
      <c r="BN319" s="57" t="s">
        <v>1281</v>
      </c>
      <c r="BO319" s="57" t="s">
        <v>1281</v>
      </c>
      <c r="BP319" s="57" t="s">
        <v>1281</v>
      </c>
      <c r="BQ319" s="57" t="s">
        <v>1281</v>
      </c>
      <c r="BR319" s="57" t="s">
        <v>1281</v>
      </c>
      <c r="BS319" s="57" t="s">
        <v>1281</v>
      </c>
      <c r="BT319" s="57" t="s">
        <v>1281</v>
      </c>
      <c r="BU319" s="57" t="s">
        <v>1281</v>
      </c>
      <c r="BV319" s="70">
        <f t="shared" si="2209"/>
        <v>41</v>
      </c>
      <c r="BW319" s="71">
        <f t="shared" si="2210"/>
        <v>78</v>
      </c>
      <c r="BX319" s="72">
        <f t="shared" si="2211"/>
        <v>82</v>
      </c>
      <c r="BY319" s="71">
        <f t="shared" si="2212"/>
        <v>113</v>
      </c>
      <c r="BZ319" s="72">
        <f t="shared" si="2213"/>
        <v>117</v>
      </c>
      <c r="CA319" s="71">
        <f t="shared" si="2214"/>
        <v>153</v>
      </c>
      <c r="CB319" s="72">
        <f t="shared" si="2215"/>
        <v>161</v>
      </c>
      <c r="CC319" s="71">
        <f t="shared" si="2216"/>
        <v>198</v>
      </c>
      <c r="CD319" s="72">
        <f t="shared" si="2217"/>
        <v>205</v>
      </c>
      <c r="CE319" s="71">
        <f t="shared" si="2218"/>
        <v>249</v>
      </c>
      <c r="CF319" s="72">
        <f t="shared" si="2219"/>
        <v>293</v>
      </c>
      <c r="CG319" s="71">
        <f t="shared" si="2220"/>
        <v>322</v>
      </c>
      <c r="CH319" s="70">
        <f t="shared" si="2221"/>
        <v>77</v>
      </c>
      <c r="CI319" s="71">
        <f t="shared" si="2222"/>
        <v>81</v>
      </c>
      <c r="CJ319" s="72">
        <f t="shared" si="2223"/>
        <v>112</v>
      </c>
      <c r="CK319" s="72">
        <f t="shared" si="2224"/>
        <v>116</v>
      </c>
      <c r="CL319" s="72">
        <f t="shared" si="2225"/>
        <v>152</v>
      </c>
      <c r="CM319" s="72">
        <f t="shared" si="2226"/>
        <v>160</v>
      </c>
      <c r="CN319" s="72">
        <f t="shared" si="2227"/>
        <v>187</v>
      </c>
      <c r="CO319" s="72">
        <f t="shared" si="2228"/>
        <v>200</v>
      </c>
      <c r="CP319" s="72">
        <f t="shared" si="2229"/>
        <v>243</v>
      </c>
      <c r="CQ319" s="72">
        <f t="shared" si="2230"/>
        <v>287</v>
      </c>
      <c r="CR319" s="72">
        <f t="shared" si="2231"/>
        <v>321</v>
      </c>
      <c r="CS319" s="72">
        <f t="shared" si="2232"/>
        <v>335</v>
      </c>
      <c r="CT319" s="23">
        <f t="shared" si="2233"/>
        <v>1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  <c r="AMP319" s="1"/>
    </row>
    <row r="320" spans="1:1030" s="2" customFormat="1" x14ac:dyDescent="0.2">
      <c r="A320" s="3" t="str">
        <f t="shared" si="2570"/>
        <v>oprd_mouse_4EJ4</v>
      </c>
      <c r="B320" s="3" t="s">
        <v>909</v>
      </c>
      <c r="C320" s="3" t="s">
        <v>64</v>
      </c>
      <c r="D320" s="3" t="str">
        <f>IFERROR(MID(VLOOKUP($B320,Seqs!$A:$B,2,0),E320,1),"")</f>
        <v>R</v>
      </c>
      <c r="E320" s="3">
        <v>41</v>
      </c>
      <c r="F320" s="3" t="str">
        <f>IFERROR(MID(VLOOKUP($B320,Seqs!$A:$B,2,0),G320,1),"")</f>
        <v>Y</v>
      </c>
      <c r="G320" s="3">
        <v>77</v>
      </c>
      <c r="H320" s="3" t="str">
        <f>IFERROR(MID(VLOOKUP($B320,Seqs!$A:$B,2,0),I320,1),"")</f>
        <v>T</v>
      </c>
      <c r="I320" s="23">
        <v>78</v>
      </c>
      <c r="J320" s="3" t="str">
        <f>IFERROR(MID(VLOOKUP($B320,Seqs!$A:$B,2,0),K320,1),"")</f>
        <v>K</v>
      </c>
      <c r="K320" s="23">
        <v>81</v>
      </c>
      <c r="L320" s="3" t="str">
        <f>IFERROR(MID(VLOOKUP($B320,Seqs!$A:$B,2,0),M320,1),"")</f>
        <v>T</v>
      </c>
      <c r="M320" s="3">
        <v>82</v>
      </c>
      <c r="N320" s="3" t="str">
        <f>IFERROR(MID(VLOOKUP($B320,Seqs!$A:$B,2,0),O320,1),"")</f>
        <v>E</v>
      </c>
      <c r="O320" s="3">
        <v>112</v>
      </c>
      <c r="P320" s="3" t="str">
        <f>IFERROR(MID(VLOOKUP($B320,Seqs!$A:$B,2,0),Q320,1),"")</f>
        <v>T</v>
      </c>
      <c r="Q320" s="3">
        <v>113</v>
      </c>
      <c r="R320" s="3" t="str">
        <f>IFERROR(MID(VLOOKUP($B320,Seqs!$A:$B,2,0),S320,1),"")</f>
        <v>F</v>
      </c>
      <c r="S320" s="3">
        <v>116</v>
      </c>
      <c r="T320" s="3" t="str">
        <f>IFERROR(MID(VLOOKUP($B320,Seqs!$A:$B,2,0),U320,1),"")</f>
        <v>G</v>
      </c>
      <c r="U320" s="3">
        <v>117</v>
      </c>
      <c r="V320" s="3" t="str">
        <f>IFERROR(MID(VLOOKUP($B320,Seqs!$A:$B,2,0),W320,1),"")</f>
        <v>H</v>
      </c>
      <c r="W320" s="3">
        <v>152</v>
      </c>
      <c r="X320" s="3" t="str">
        <f>IFERROR(MID(VLOOKUP($B320,Seqs!$A:$B,2,0),Y320,1),"")</f>
        <v>P</v>
      </c>
      <c r="Y320" s="3">
        <v>153</v>
      </c>
      <c r="Z320" s="3" t="str">
        <f>IFERROR(MID(VLOOKUP($B320,Seqs!$A:$B,2,0),AA320,1),"")</f>
        <v>R</v>
      </c>
      <c r="AA320" s="3">
        <v>160</v>
      </c>
      <c r="AB320" s="3" t="str">
        <f>IFERROR(MID(VLOOKUP($B320,Seqs!$A:$B,2,0),AC320,1),"")</f>
        <v>T</v>
      </c>
      <c r="AC320" s="3">
        <v>161</v>
      </c>
      <c r="AD320" s="3" t="str">
        <f>IFERROR(MID(VLOOKUP($B320,Seqs!$A:$B,2,0),AE320,1),"")</f>
        <v>A</v>
      </c>
      <c r="AE320" s="3">
        <v>187</v>
      </c>
      <c r="AF320" s="3" t="str">
        <f>IFERROR(MID(VLOOKUP($B320,Seqs!$A:$B,2,0),AG320,1),"")</f>
        <v>C</v>
      </c>
      <c r="AG320" s="3">
        <v>198</v>
      </c>
      <c r="AH320" s="3" t="str">
        <f>IFERROR(MID(VLOOKUP($B320,Seqs!$A:$B,2,0),AI320,1),"")</f>
        <v>L</v>
      </c>
      <c r="AI320" s="3">
        <v>200</v>
      </c>
      <c r="AJ320" s="3" t="str">
        <f>IFERROR(MID(VLOOKUP($B320,Seqs!$A:$B,2,0),AK320,1),"")</f>
        <v>P</v>
      </c>
      <c r="AK320" s="3">
        <v>205</v>
      </c>
      <c r="AL320" s="3" t="str">
        <f>IFERROR(MID(VLOOKUP($B320,Seqs!$A:$B,2,0),AM320,1),"")</f>
        <v>L</v>
      </c>
      <c r="AM320" s="3">
        <v>238</v>
      </c>
      <c r="AN320" s="3" t="str">
        <f>IFERROR(MID(VLOOKUP($B320,Seqs!$A:$B,2,0),AO320,1),"")</f>
        <v>R</v>
      </c>
      <c r="AO320" s="3">
        <v>258</v>
      </c>
      <c r="AP320" s="3" t="str">
        <f>IFERROR(MID(VLOOKUP($B320,Seqs!$A:$B,2,0),AQ320,1),"")</f>
        <v>V</v>
      </c>
      <c r="AQ320" s="3">
        <v>287</v>
      </c>
      <c r="AR320" s="3" t="str">
        <f>IFERROR(MID(VLOOKUP($B320,Seqs!$A:$B,2,0),AS320,1),"")</f>
        <v>D</v>
      </c>
      <c r="AS320" s="3">
        <v>293</v>
      </c>
      <c r="AT320" s="3" t="str">
        <f>IFERROR(MID(VLOOKUP($B320,Seqs!$A:$B,2,0),AU320,1),"")</f>
        <v>L</v>
      </c>
      <c r="AU320" s="3">
        <v>321</v>
      </c>
      <c r="AV320" s="3" t="str">
        <f>IFERROR(MID(VLOOKUP($B320,Seqs!$A:$B,2,0),AW320,1),"")</f>
        <v>D</v>
      </c>
      <c r="AW320" s="3">
        <v>322</v>
      </c>
      <c r="AX320" s="3" t="str">
        <f>IFERROR(MID(VLOOKUP($B320,Seqs!$A:$B,2,0),AY320,1),"")</f>
        <v>C</v>
      </c>
      <c r="AY320" s="3">
        <v>328</v>
      </c>
      <c r="AZ320" s="77" t="str">
        <f>VLOOKUP(B320,Classification!A:D,2,0)</f>
        <v>A</v>
      </c>
      <c r="BA320" s="94" t="str">
        <f>VLOOKUP(B320,Classification!A:D,4,0)</f>
        <v>Opioid</v>
      </c>
      <c r="BB320" s="27" t="b">
        <f t="shared" si="2571"/>
        <v>1</v>
      </c>
      <c r="BC320" s="23">
        <f t="shared" si="2208"/>
        <v>250</v>
      </c>
      <c r="BD320" s="2" t="s">
        <v>23</v>
      </c>
      <c r="BE320" s="3" t="s">
        <v>1368</v>
      </c>
      <c r="BF320" s="118">
        <v>3.4</v>
      </c>
      <c r="BG320" s="49" t="s">
        <v>1371</v>
      </c>
      <c r="BH320" s="49" t="s">
        <v>1371</v>
      </c>
      <c r="BI320" s="1"/>
      <c r="BJ320" s="70" t="s">
        <v>1281</v>
      </c>
      <c r="BK320" s="57" t="s">
        <v>1281</v>
      </c>
      <c r="BL320" s="57" t="s">
        <v>1281</v>
      </c>
      <c r="BM320" s="57" t="s">
        <v>1281</v>
      </c>
      <c r="BN320" s="57" t="s">
        <v>1281</v>
      </c>
      <c r="BO320" s="57" t="s">
        <v>1281</v>
      </c>
      <c r="BP320" s="57" t="s">
        <v>1281</v>
      </c>
      <c r="BQ320" s="57" t="s">
        <v>1281</v>
      </c>
      <c r="BR320" s="57" t="s">
        <v>1281</v>
      </c>
      <c r="BS320" s="57" t="s">
        <v>1281</v>
      </c>
      <c r="BT320" s="57" t="s">
        <v>1281</v>
      </c>
      <c r="BU320" s="57" t="s">
        <v>1281</v>
      </c>
      <c r="BV320" s="70">
        <f t="shared" si="2209"/>
        <v>41</v>
      </c>
      <c r="BW320" s="71">
        <f t="shared" si="2210"/>
        <v>78</v>
      </c>
      <c r="BX320" s="72">
        <f t="shared" si="2211"/>
        <v>82</v>
      </c>
      <c r="BY320" s="71">
        <f t="shared" si="2212"/>
        <v>113</v>
      </c>
      <c r="BZ320" s="72">
        <f t="shared" si="2213"/>
        <v>117</v>
      </c>
      <c r="CA320" s="71">
        <f t="shared" si="2214"/>
        <v>153</v>
      </c>
      <c r="CB320" s="72">
        <f t="shared" si="2215"/>
        <v>161</v>
      </c>
      <c r="CC320" s="71">
        <f t="shared" si="2216"/>
        <v>198</v>
      </c>
      <c r="CD320" s="72">
        <f t="shared" si="2217"/>
        <v>205</v>
      </c>
      <c r="CE320" s="71">
        <f t="shared" si="2218"/>
        <v>258</v>
      </c>
      <c r="CF320" s="72">
        <f t="shared" si="2219"/>
        <v>293</v>
      </c>
      <c r="CG320" s="71">
        <f t="shared" si="2220"/>
        <v>322</v>
      </c>
      <c r="CH320" s="70">
        <f t="shared" si="2221"/>
        <v>77</v>
      </c>
      <c r="CI320" s="71">
        <f t="shared" si="2222"/>
        <v>81</v>
      </c>
      <c r="CJ320" s="72">
        <f t="shared" si="2223"/>
        <v>112</v>
      </c>
      <c r="CK320" s="72">
        <f t="shared" si="2224"/>
        <v>116</v>
      </c>
      <c r="CL320" s="72">
        <f t="shared" si="2225"/>
        <v>152</v>
      </c>
      <c r="CM320" s="72">
        <f t="shared" si="2226"/>
        <v>160</v>
      </c>
      <c r="CN320" s="72">
        <f t="shared" si="2227"/>
        <v>187</v>
      </c>
      <c r="CO320" s="72">
        <f t="shared" si="2228"/>
        <v>200</v>
      </c>
      <c r="CP320" s="72">
        <f t="shared" si="2229"/>
        <v>238</v>
      </c>
      <c r="CQ320" s="72">
        <f t="shared" si="2230"/>
        <v>287</v>
      </c>
      <c r="CR320" s="72">
        <f t="shared" si="2231"/>
        <v>321</v>
      </c>
      <c r="CS320" s="72">
        <f t="shared" si="2232"/>
        <v>328</v>
      </c>
      <c r="CT320" s="23">
        <f t="shared" si="2233"/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  <c r="AMP320" s="1"/>
    </row>
    <row r="321" spans="1:1029" x14ac:dyDescent="0.2">
      <c r="A321" s="3" t="str">
        <f t="shared" si="2570"/>
        <v>oprk_human__wt</v>
      </c>
      <c r="B321" s="3" t="s">
        <v>335</v>
      </c>
      <c r="C321" s="3" t="s">
        <v>100</v>
      </c>
      <c r="D321" s="3" t="str">
        <f>IFERROR(MID(VLOOKUP($B321,Seqs!$A:$B,2,0),E321,1),"")</f>
        <v>A</v>
      </c>
      <c r="E321" s="3">
        <v>57</v>
      </c>
      <c r="F321" s="3" t="str">
        <f>IFERROR(MID(VLOOKUP($B321,Seqs!$A:$B,2,0),G321,1),"")</f>
        <v>Y</v>
      </c>
      <c r="G321" s="3">
        <v>87</v>
      </c>
      <c r="H321" s="3" t="str">
        <f>IFERROR(MID(VLOOKUP($B321,Seqs!$A:$B,2,0),I321,1),"")</f>
        <v>T</v>
      </c>
      <c r="I321" s="23">
        <v>88</v>
      </c>
      <c r="J321" s="3" t="str">
        <f>IFERROR(MID(VLOOKUP($B321,Seqs!$A:$B,2,0),K321,1),"")</f>
        <v>K</v>
      </c>
      <c r="K321" s="23">
        <v>91</v>
      </c>
      <c r="L321" s="3" t="str">
        <f>IFERROR(MID(VLOOKUP($B321,Seqs!$A:$B,2,0),M321,1),"")</f>
        <v>T</v>
      </c>
      <c r="M321" s="3">
        <v>92</v>
      </c>
      <c r="N321" s="3" t="str">
        <f>IFERROR(MID(VLOOKUP($B321,Seqs!$A:$B,2,0),O321,1),"")</f>
        <v>N</v>
      </c>
      <c r="O321" s="3">
        <v>122</v>
      </c>
      <c r="P321" s="3" t="str">
        <f>IFERROR(MID(VLOOKUP($B321,Seqs!$A:$B,2,0),Q321,1),"")</f>
        <v>S</v>
      </c>
      <c r="Q321" s="3">
        <v>123</v>
      </c>
      <c r="R321" s="3" t="str">
        <f>IFERROR(MID(VLOOKUP($B321,Seqs!$A:$B,2,0),S321,1),"")</f>
        <v>F</v>
      </c>
      <c r="S321" s="3">
        <v>126</v>
      </c>
      <c r="T321" s="3" t="str">
        <f>IFERROR(MID(VLOOKUP($B321,Seqs!$A:$B,2,0),U321,1),"")</f>
        <v>G</v>
      </c>
      <c r="U321" s="3">
        <v>127</v>
      </c>
      <c r="V321" s="3" t="str">
        <f>IFERROR(MID(VLOOKUP($B321,Seqs!$A:$B,2,0),W321,1),"")</f>
        <v>H</v>
      </c>
      <c r="W321" s="3">
        <v>162</v>
      </c>
      <c r="X321" s="3" t="str">
        <f>IFERROR(MID(VLOOKUP($B321,Seqs!$A:$B,2,0),Y321,1),"")</f>
        <v>P</v>
      </c>
      <c r="Y321" s="3">
        <v>163</v>
      </c>
      <c r="Z321" s="3" t="str">
        <f>IFERROR(MID(VLOOKUP($B321,Seqs!$A:$B,2,0),AA321,1),"")</f>
        <v>R</v>
      </c>
      <c r="AA321" s="3">
        <v>170</v>
      </c>
      <c r="AB321" s="3" t="str">
        <f>IFERROR(MID(VLOOKUP($B321,Seqs!$A:$B,2,0),AC321,1),"")</f>
        <v>T</v>
      </c>
      <c r="AC321" s="3">
        <v>171</v>
      </c>
      <c r="AD321" s="3" t="str">
        <f>IFERROR(MID(VLOOKUP($B321,Seqs!$A:$B,2,0),AE321,1),"")</f>
        <v>G</v>
      </c>
      <c r="AE321" s="3">
        <v>197</v>
      </c>
      <c r="AF321" s="3" t="str">
        <f>IFERROR(MID(VLOOKUP($B321,Seqs!$A:$B,2,0),AG321,1),"")</f>
        <v>C</v>
      </c>
      <c r="AG321" s="3">
        <v>210</v>
      </c>
      <c r="AH321" s="3" t="str">
        <f>IFERROR(MID(VLOOKUP($B321,Seqs!$A:$B,2,0),AI321,1),"")</f>
        <v>L</v>
      </c>
      <c r="AI321" s="3">
        <v>212</v>
      </c>
      <c r="AJ321" s="3" t="str">
        <f>IFERROR(MID(VLOOKUP($B321,Seqs!$A:$B,2,0),AK321,1),"")</f>
        <v>D</v>
      </c>
      <c r="AK321" s="3">
        <v>218</v>
      </c>
      <c r="AL321" s="3" t="str">
        <f>IFERROR(MID(VLOOKUP($B321,Seqs!$A:$B,2,0),AM321,1),"")</f>
        <v>V</v>
      </c>
      <c r="AM321" s="3">
        <v>256</v>
      </c>
      <c r="AN321" s="3" t="str">
        <f>IFERROR(MID(VLOOKUP($B321,Seqs!$A:$B,2,0),AO321,1),"")</f>
        <v>S</v>
      </c>
      <c r="AO321" s="3">
        <v>262</v>
      </c>
      <c r="AP321" s="3" t="str">
        <f>IFERROR(MID(VLOOKUP($B321,Seqs!$A:$B,2,0),AQ321,1),"")</f>
        <v>G</v>
      </c>
      <c r="AQ321" s="3">
        <v>300</v>
      </c>
      <c r="AR321" s="3" t="str">
        <f>IFERROR(MID(VLOOKUP($B321,Seqs!$A:$B,2,0),AS321,1),"")</f>
        <v>S</v>
      </c>
      <c r="AS321" s="3">
        <v>305</v>
      </c>
      <c r="AT321" s="3" t="str">
        <f>IFERROR(MID(VLOOKUP($B321,Seqs!$A:$B,2,0),AU321,1),"")</f>
        <v>L</v>
      </c>
      <c r="AU321" s="3">
        <v>333</v>
      </c>
      <c r="AV321" s="3" t="str">
        <f>IFERROR(MID(VLOOKUP($B321,Seqs!$A:$B,2,0),AW321,1),"")</f>
        <v>D</v>
      </c>
      <c r="AW321" s="3">
        <v>334</v>
      </c>
      <c r="AX321" s="3" t="str">
        <f>IFERROR(MID(VLOOKUP($B321,Seqs!$A:$B,2,0),AY321,1),"")</f>
        <v>F</v>
      </c>
      <c r="AY321" s="3">
        <v>346</v>
      </c>
      <c r="AZ321" s="77" t="str">
        <f>VLOOKUP(B321,Classification!A:D,2,0)</f>
        <v>A</v>
      </c>
      <c r="BA321" s="94" t="str">
        <f>VLOOKUP(B321,Classification!A:D,4,0)</f>
        <v>Opioid</v>
      </c>
      <c r="BB321" s="27" t="b">
        <f t="shared" si="2571"/>
        <v>1</v>
      </c>
      <c r="BC321" s="23">
        <f t="shared" si="2208"/>
        <v>264</v>
      </c>
      <c r="BD321" s="56" t="s">
        <v>23</v>
      </c>
      <c r="BE321" s="3" t="s">
        <v>23</v>
      </c>
      <c r="BF321" s="118" t="s">
        <v>23</v>
      </c>
      <c r="BG321" s="49" t="s">
        <v>1366</v>
      </c>
      <c r="BH321" s="49" t="s">
        <v>1371</v>
      </c>
      <c r="BI321" s="1"/>
      <c r="BJ321" s="70" t="s">
        <v>1281</v>
      </c>
      <c r="BK321" s="57" t="s">
        <v>1281</v>
      </c>
      <c r="BL321" s="57" t="s">
        <v>1281</v>
      </c>
      <c r="BM321" s="57" t="s">
        <v>1281</v>
      </c>
      <c r="BN321" s="57" t="s">
        <v>1281</v>
      </c>
      <c r="BO321" s="57" t="s">
        <v>1281</v>
      </c>
      <c r="BP321" s="57" t="s">
        <v>1281</v>
      </c>
      <c r="BQ321" s="57" t="s">
        <v>1281</v>
      </c>
      <c r="BR321" s="57" t="s">
        <v>1281</v>
      </c>
      <c r="BS321" s="57" t="s">
        <v>1281</v>
      </c>
      <c r="BT321" s="57" t="s">
        <v>1281</v>
      </c>
      <c r="BU321" s="57" t="s">
        <v>1281</v>
      </c>
      <c r="BV321" s="70">
        <f t="shared" si="2209"/>
        <v>57</v>
      </c>
      <c r="BW321" s="71">
        <f t="shared" si="2210"/>
        <v>88</v>
      </c>
      <c r="BX321" s="72">
        <f t="shared" si="2211"/>
        <v>92</v>
      </c>
      <c r="BY321" s="71">
        <f t="shared" si="2212"/>
        <v>123</v>
      </c>
      <c r="BZ321" s="72">
        <f t="shared" si="2213"/>
        <v>127</v>
      </c>
      <c r="CA321" s="71">
        <f t="shared" si="2214"/>
        <v>163</v>
      </c>
      <c r="CB321" s="72">
        <f t="shared" si="2215"/>
        <v>171</v>
      </c>
      <c r="CC321" s="71">
        <f t="shared" si="2216"/>
        <v>210</v>
      </c>
      <c r="CD321" s="72">
        <f t="shared" si="2217"/>
        <v>218</v>
      </c>
      <c r="CE321" s="71">
        <f t="shared" si="2218"/>
        <v>262</v>
      </c>
      <c r="CF321" s="72">
        <f t="shared" si="2219"/>
        <v>305</v>
      </c>
      <c r="CG321" s="71">
        <f t="shared" si="2220"/>
        <v>334</v>
      </c>
      <c r="CH321" s="70">
        <f t="shared" si="2221"/>
        <v>87</v>
      </c>
      <c r="CI321" s="71">
        <f t="shared" si="2222"/>
        <v>91</v>
      </c>
      <c r="CJ321" s="72">
        <f t="shared" si="2223"/>
        <v>122</v>
      </c>
      <c r="CK321" s="72">
        <f t="shared" si="2224"/>
        <v>126</v>
      </c>
      <c r="CL321" s="72">
        <f t="shared" si="2225"/>
        <v>162</v>
      </c>
      <c r="CM321" s="72">
        <f t="shared" si="2226"/>
        <v>170</v>
      </c>
      <c r="CN321" s="72">
        <f t="shared" si="2227"/>
        <v>197</v>
      </c>
      <c r="CO321" s="72">
        <f t="shared" si="2228"/>
        <v>212</v>
      </c>
      <c r="CP321" s="72">
        <f t="shared" si="2229"/>
        <v>256</v>
      </c>
      <c r="CQ321" s="72">
        <f t="shared" si="2230"/>
        <v>300</v>
      </c>
      <c r="CR321" s="72">
        <f t="shared" si="2231"/>
        <v>333</v>
      </c>
      <c r="CS321" s="72">
        <f t="shared" si="2232"/>
        <v>346</v>
      </c>
      <c r="CT321" s="23">
        <f t="shared" si="2233"/>
        <v>1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29" x14ac:dyDescent="0.2">
      <c r="A322" s="3" t="str">
        <f t="shared" si="2570"/>
        <v>oprk_human_4DJH</v>
      </c>
      <c r="B322" s="3" t="s">
        <v>335</v>
      </c>
      <c r="C322" s="3" t="s">
        <v>88</v>
      </c>
      <c r="D322" s="3" t="str">
        <f>IFERROR(MID(VLOOKUP($B322,Seqs!$A:$B,2,0),E322,1),"")</f>
        <v>A</v>
      </c>
      <c r="E322" s="3">
        <v>57</v>
      </c>
      <c r="F322" s="3" t="str">
        <f>IFERROR(MID(VLOOKUP($B322,Seqs!$A:$B,2,0),G322,1),"")</f>
        <v>Y</v>
      </c>
      <c r="G322" s="3">
        <v>87</v>
      </c>
      <c r="H322" s="3" t="str">
        <f>IFERROR(MID(VLOOKUP($B322,Seqs!$A:$B,2,0),I322,1),"")</f>
        <v>T</v>
      </c>
      <c r="I322" s="23">
        <v>88</v>
      </c>
      <c r="J322" s="3" t="str">
        <f>IFERROR(MID(VLOOKUP($B322,Seqs!$A:$B,2,0),K322,1),"")</f>
        <v>K</v>
      </c>
      <c r="K322" s="23">
        <v>91</v>
      </c>
      <c r="L322" s="3" t="str">
        <f>IFERROR(MID(VLOOKUP($B322,Seqs!$A:$B,2,0),M322,1),"")</f>
        <v>T</v>
      </c>
      <c r="M322" s="3">
        <v>92</v>
      </c>
      <c r="N322" s="3" t="str">
        <f>IFERROR(MID(VLOOKUP($B322,Seqs!$A:$B,2,0),O322,1),"")</f>
        <v>N</v>
      </c>
      <c r="O322" s="3">
        <v>122</v>
      </c>
      <c r="P322" s="3" t="str">
        <f>IFERROR(MID(VLOOKUP($B322,Seqs!$A:$B,2,0),Q322,1),"")</f>
        <v>S</v>
      </c>
      <c r="Q322" s="3">
        <v>123</v>
      </c>
      <c r="R322" s="3" t="str">
        <f>IFERROR(MID(VLOOKUP($B322,Seqs!$A:$B,2,0),S322,1),"")</f>
        <v>F</v>
      </c>
      <c r="S322" s="3">
        <v>126</v>
      </c>
      <c r="T322" s="3" t="str">
        <f>IFERROR(MID(VLOOKUP($B322,Seqs!$A:$B,2,0),U322,1),"")</f>
        <v>G</v>
      </c>
      <c r="U322" s="3">
        <v>127</v>
      </c>
      <c r="V322" s="3" t="str">
        <f>IFERROR(MID(VLOOKUP($B322,Seqs!$A:$B,2,0),W322,1),"")</f>
        <v>H</v>
      </c>
      <c r="W322" s="3">
        <v>162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R</v>
      </c>
      <c r="AC322" s="3">
        <v>170</v>
      </c>
      <c r="AD322" s="3" t="str">
        <f>IFERROR(MID(VLOOKUP($B322,Seqs!$A:$B,2,0),AE322,1),"")</f>
        <v>G</v>
      </c>
      <c r="AE322" s="3">
        <v>197</v>
      </c>
      <c r="AF322" s="3" t="str">
        <f>IFERROR(MID(VLOOKUP($B322,Seqs!$A:$B,2,0),AG322,1),"")</f>
        <v>C</v>
      </c>
      <c r="AG322" s="3">
        <v>210</v>
      </c>
      <c r="AH322" s="3" t="str">
        <f>IFERROR(MID(VLOOKUP($B322,Seqs!$A:$B,2,0),AI322,1),"")</f>
        <v>L</v>
      </c>
      <c r="AI322" s="3">
        <v>212</v>
      </c>
      <c r="AJ322" s="3" t="str">
        <f>IFERROR(MID(VLOOKUP($B322,Seqs!$A:$B,2,0),AK322,1),"")</f>
        <v>D</v>
      </c>
      <c r="AK322" s="3">
        <v>218</v>
      </c>
      <c r="AL322" s="3" t="str">
        <f>IFERROR(MID(VLOOKUP($B322,Seqs!$A:$B,2,0),AM322,1),"")</f>
        <v>V</v>
      </c>
      <c r="AM322" s="3">
        <v>256</v>
      </c>
      <c r="AN322" s="3" t="str">
        <f>IFERROR(MID(VLOOKUP($B322,Seqs!$A:$B,2,0),AO322,1),"")</f>
        <v>R</v>
      </c>
      <c r="AO322" s="3">
        <v>267</v>
      </c>
      <c r="AP322" s="3" t="str">
        <f>IFERROR(MID(VLOOKUP($B322,Seqs!$A:$B,2,0),AQ322,1),"")</f>
        <v>G</v>
      </c>
      <c r="AQ322" s="3">
        <v>300</v>
      </c>
      <c r="AR322" s="3" t="str">
        <f>IFERROR(MID(VLOOKUP($B322,Seqs!$A:$B,2,0),AS322,1),"")</f>
        <v>A</v>
      </c>
      <c r="AS322" s="3">
        <v>308</v>
      </c>
      <c r="AT322" s="3" t="str">
        <f>IFERROR(MID(VLOOKUP($B322,Seqs!$A:$B,2,0),AU322,1),"")</f>
        <v>L</v>
      </c>
      <c r="AU322" s="3">
        <v>333</v>
      </c>
      <c r="AV322" s="3" t="str">
        <f>IFERROR(MID(VLOOKUP($B322,Seqs!$A:$B,2,0),AW322,1),"")</f>
        <v>D</v>
      </c>
      <c r="AW322" s="3">
        <v>334</v>
      </c>
      <c r="AX322" s="3" t="str">
        <f>IFERROR(MID(VLOOKUP($B322,Seqs!$A:$B,2,0),AY322,1),"")</f>
        <v>F</v>
      </c>
      <c r="AY322" s="3">
        <v>346</v>
      </c>
      <c r="AZ322" s="77" t="str">
        <f>VLOOKUP(B322,Classification!A:D,2,0)</f>
        <v>A</v>
      </c>
      <c r="BA322" s="94" t="str">
        <f>VLOOKUP(B322,Classification!A:D,4,0)</f>
        <v>Opioid</v>
      </c>
      <c r="BB322" s="27" t="b">
        <f t="shared" si="2571"/>
        <v>1</v>
      </c>
      <c r="BC322" s="23">
        <f t="shared" si="2208"/>
        <v>250</v>
      </c>
      <c r="BD322" s="2" t="s">
        <v>23</v>
      </c>
      <c r="BE322" s="3" t="s">
        <v>1368</v>
      </c>
      <c r="BF322" s="118">
        <v>2.9</v>
      </c>
      <c r="BG322" s="49" t="s">
        <v>1371</v>
      </c>
      <c r="BH322" s="49" t="s">
        <v>1371</v>
      </c>
      <c r="BI322" s="1"/>
      <c r="BJ322" s="70" t="s">
        <v>1281</v>
      </c>
      <c r="BK322" s="57" t="s">
        <v>1281</v>
      </c>
      <c r="BL322" s="57" t="s">
        <v>1281</v>
      </c>
      <c r="BM322" s="57" t="s">
        <v>1281</v>
      </c>
      <c r="BN322" s="57" t="s">
        <v>1281</v>
      </c>
      <c r="BO322" s="57" t="s">
        <v>1281</v>
      </c>
      <c r="BP322" s="57" t="s">
        <v>1281</v>
      </c>
      <c r="BQ322" s="57" t="s">
        <v>1281</v>
      </c>
      <c r="BR322" s="57" t="s">
        <v>1281</v>
      </c>
      <c r="BS322" s="57" t="s">
        <v>1281</v>
      </c>
      <c r="BT322" s="57" t="s">
        <v>1281</v>
      </c>
      <c r="BU322" s="57" t="s">
        <v>1281</v>
      </c>
      <c r="BV322" s="70">
        <f t="shared" si="2209"/>
        <v>57</v>
      </c>
      <c r="BW322" s="71">
        <f t="shared" si="2210"/>
        <v>88</v>
      </c>
      <c r="BX322" s="72">
        <f t="shared" si="2211"/>
        <v>92</v>
      </c>
      <c r="BY322" s="71">
        <f t="shared" si="2212"/>
        <v>123</v>
      </c>
      <c r="BZ322" s="72">
        <f t="shared" si="2213"/>
        <v>127</v>
      </c>
      <c r="CA322" s="71" t="str">
        <f t="shared" si="2214"/>
        <v>-</v>
      </c>
      <c r="CB322" s="72">
        <f t="shared" si="2215"/>
        <v>170</v>
      </c>
      <c r="CC322" s="71">
        <f t="shared" si="2216"/>
        <v>210</v>
      </c>
      <c r="CD322" s="72">
        <f t="shared" si="2217"/>
        <v>218</v>
      </c>
      <c r="CE322" s="71">
        <f t="shared" si="2218"/>
        <v>267</v>
      </c>
      <c r="CF322" s="72">
        <f t="shared" si="2219"/>
        <v>308</v>
      </c>
      <c r="CG322" s="71">
        <f t="shared" si="2220"/>
        <v>334</v>
      </c>
      <c r="CH322" s="70">
        <f t="shared" si="2221"/>
        <v>87</v>
      </c>
      <c r="CI322" s="71">
        <f t="shared" si="2222"/>
        <v>91</v>
      </c>
      <c r="CJ322" s="72">
        <f t="shared" si="2223"/>
        <v>122</v>
      </c>
      <c r="CK322" s="72">
        <f t="shared" si="2224"/>
        <v>126</v>
      </c>
      <c r="CL322" s="72">
        <f t="shared" si="2225"/>
        <v>162</v>
      </c>
      <c r="CM322" s="72" t="str">
        <f t="shared" si="2226"/>
        <v>-</v>
      </c>
      <c r="CN322" s="72">
        <f t="shared" si="2227"/>
        <v>197</v>
      </c>
      <c r="CO322" s="72">
        <f t="shared" si="2228"/>
        <v>212</v>
      </c>
      <c r="CP322" s="72">
        <f t="shared" si="2229"/>
        <v>256</v>
      </c>
      <c r="CQ322" s="72">
        <f t="shared" si="2230"/>
        <v>300</v>
      </c>
      <c r="CR322" s="72">
        <f t="shared" si="2231"/>
        <v>333</v>
      </c>
      <c r="CS322" s="72">
        <f t="shared" si="2232"/>
        <v>346</v>
      </c>
      <c r="CT322" s="23">
        <f t="shared" si="2233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29" x14ac:dyDescent="0.2">
      <c r="A323" s="3" t="str">
        <f>CONCATENATE(B323,"_",C323)</f>
        <v>oprk_human_6B73</v>
      </c>
      <c r="B323" s="3" t="s">
        <v>335</v>
      </c>
      <c r="C323" s="3" t="s">
        <v>1457</v>
      </c>
      <c r="D323" s="3" t="str">
        <f>IFERROR(MID(VLOOKUP($B323,Seqs!$A:$B,2,0),E323,1),"")</f>
        <v>A</v>
      </c>
      <c r="E323" s="3">
        <v>57</v>
      </c>
      <c r="F323" s="3" t="str">
        <f>IFERROR(MID(VLOOKUP($B323,Seqs!$A:$B,2,0),G323,1),"")</f>
        <v>Y</v>
      </c>
      <c r="G323" s="3">
        <v>87</v>
      </c>
      <c r="H323" s="3" t="str">
        <f>IFERROR(MID(VLOOKUP($B323,Seqs!$A:$B,2,0),I323,1),"")</f>
        <v/>
      </c>
      <c r="I323" s="23" t="s">
        <v>23</v>
      </c>
      <c r="J323" s="3" t="str">
        <f>IFERROR(MID(VLOOKUP($B323,Seqs!$A:$B,2,0),K323,1),"")</f>
        <v/>
      </c>
      <c r="K323" s="23" t="s">
        <v>23</v>
      </c>
      <c r="L323" s="3" t="str">
        <f>IFERROR(MID(VLOOKUP($B323,Seqs!$A:$B,2,0),M323,1),"")</f>
        <v>T</v>
      </c>
      <c r="M323" s="3">
        <v>92</v>
      </c>
      <c r="N323" s="3" t="str">
        <f>IFERROR(MID(VLOOKUP($B323,Seqs!$A:$B,2,0),O323,1),"")</f>
        <v>N</v>
      </c>
      <c r="O323" s="3">
        <v>122</v>
      </c>
      <c r="P323" s="3" t="str">
        <f>IFERROR(MID(VLOOKUP($B323,Seqs!$A:$B,2,0),Q323,1),"")</f>
        <v>S</v>
      </c>
      <c r="Q323" s="3">
        <v>123</v>
      </c>
      <c r="R323" s="3" t="str">
        <f>IFERROR(MID(VLOOKUP($B323,Seqs!$A:$B,2,0),S323,1),"")</f>
        <v>F</v>
      </c>
      <c r="S323" s="3">
        <v>126</v>
      </c>
      <c r="T323" s="3" t="str">
        <f>IFERROR(MID(VLOOKUP($B323,Seqs!$A:$B,2,0),U323,1),"")</f>
        <v>G</v>
      </c>
      <c r="U323" s="3">
        <v>127</v>
      </c>
      <c r="V323" s="3" t="str">
        <f>IFERROR(MID(VLOOKUP($B323,Seqs!$A:$B,2,0),W323,1),"")</f>
        <v>H</v>
      </c>
      <c r="W323" s="3">
        <v>162</v>
      </c>
      <c r="X323" s="3" t="str">
        <f>IFERROR(MID(VLOOKUP($B323,Seqs!$A:$B,2,0),Y323,1),"")</f>
        <v>P</v>
      </c>
      <c r="Y323" s="3">
        <v>163</v>
      </c>
      <c r="Z323" s="3" t="str">
        <f>IFERROR(MID(VLOOKUP($B323,Seqs!$A:$B,2,0),AA323,1),"")</f>
        <v>R</v>
      </c>
      <c r="AA323" s="3">
        <v>170</v>
      </c>
      <c r="AB323" s="3" t="str">
        <f>IFERROR(MID(VLOOKUP($B323,Seqs!$A:$B,2,0),AC323,1),"")</f>
        <v>T</v>
      </c>
      <c r="AC323" s="3">
        <v>171</v>
      </c>
      <c r="AD323" s="3" t="str">
        <f>IFERROR(MID(VLOOKUP($B323,Seqs!$A:$B,2,0),AE323,1),"")</f>
        <v>G</v>
      </c>
      <c r="AE323" s="3">
        <v>197</v>
      </c>
      <c r="AF323" s="3" t="str">
        <f>IFERROR(MID(VLOOKUP($B323,Seqs!$A:$B,2,0),AG323,1),"")</f>
        <v>C</v>
      </c>
      <c r="AG323" s="3">
        <v>210</v>
      </c>
      <c r="AH323" s="3" t="str">
        <f>IFERROR(MID(VLOOKUP($B323,Seqs!$A:$B,2,0),AI323,1),"")</f>
        <v>L</v>
      </c>
      <c r="AI323" s="3">
        <v>212</v>
      </c>
      <c r="AJ323" s="3" t="str">
        <f>IFERROR(MID(VLOOKUP($B323,Seqs!$A:$B,2,0),AK323,1),"")</f>
        <v>W</v>
      </c>
      <c r="AK323" s="3">
        <v>221</v>
      </c>
      <c r="AL323" s="3" t="str">
        <f>IFERROR(MID(VLOOKUP($B323,Seqs!$A:$B,2,0),AM323,1),"")</f>
        <v>S</v>
      </c>
      <c r="AM323" s="3">
        <v>255</v>
      </c>
      <c r="AN323" s="3" t="str">
        <f>IFERROR(MID(VLOOKUP($B323,Seqs!$A:$B,2,0),AO323,1),"")</f>
        <v>S</v>
      </c>
      <c r="AO323" s="3">
        <v>262</v>
      </c>
      <c r="AP323" s="3" t="str">
        <f>IFERROR(MID(VLOOKUP($B323,Seqs!$A:$B,2,0),AQ323,1),"")</f>
        <v>G</v>
      </c>
      <c r="AQ323" s="3">
        <v>300</v>
      </c>
      <c r="AR323" s="3" t="str">
        <f>IFERROR(MID(VLOOKUP($B323,Seqs!$A:$B,2,0),AS323,1),"")</f>
        <v>S</v>
      </c>
      <c r="AS323" s="3">
        <v>305</v>
      </c>
      <c r="AT323" s="3" t="str">
        <f>IFERROR(MID(VLOOKUP($B323,Seqs!$A:$B,2,0),AU323,1),"")</f>
        <v>I</v>
      </c>
      <c r="AU323" s="3">
        <v>328</v>
      </c>
      <c r="AV323" s="3" t="str">
        <f>IFERROR(MID(VLOOKUP($B323,Seqs!$A:$B,2,0),AW323,1),"")</f>
        <v/>
      </c>
      <c r="AW323" s="3" t="s">
        <v>23</v>
      </c>
      <c r="AX323" s="3" t="str">
        <f>IFERROR(MID(VLOOKUP($B323,Seqs!$A:$B,2,0),AY323,1),"")</f>
        <v/>
      </c>
      <c r="AY323" s="3" t="s">
        <v>23</v>
      </c>
      <c r="AZ323" s="77" t="str">
        <f>VLOOKUP(B323,Classification!A:D,2,0)</f>
        <v>A</v>
      </c>
      <c r="BA323" s="94" t="str">
        <f>VLOOKUP(B323,Classification!A:D,4,0)</f>
        <v>Opioid</v>
      </c>
      <c r="BB323" s="27" t="b">
        <f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23">
        <f>_xlfn.AGGREGATE(9,6,CH323:CS323)-_xlfn.AGGREGATE(9,6,BV323:CG323)+12</f>
        <v>240</v>
      </c>
      <c r="BD323" s="2" t="s">
        <v>1369</v>
      </c>
      <c r="BE323" s="3" t="s">
        <v>1285</v>
      </c>
      <c r="BF323" s="118">
        <v>3.1</v>
      </c>
      <c r="BG323" s="49" t="s">
        <v>1</v>
      </c>
      <c r="BH323" s="49" t="s">
        <v>1</v>
      </c>
      <c r="BI323" s="1"/>
      <c r="BJ323" s="70" t="s">
        <v>1281</v>
      </c>
      <c r="BK323" s="57" t="s">
        <v>1281</v>
      </c>
      <c r="BL323" s="57" t="s">
        <v>1281</v>
      </c>
      <c r="BM323" s="57" t="s">
        <v>1281</v>
      </c>
      <c r="BN323" s="57" t="s">
        <v>1281</v>
      </c>
      <c r="BO323" s="57" t="s">
        <v>1281</v>
      </c>
      <c r="BP323" s="57" t="s">
        <v>1281</v>
      </c>
      <c r="BQ323" s="57" t="s">
        <v>1281</v>
      </c>
      <c r="BR323" s="57" t="s">
        <v>1281</v>
      </c>
      <c r="BS323" s="57" t="s">
        <v>1281</v>
      </c>
      <c r="BT323" s="57" t="s">
        <v>1281</v>
      </c>
      <c r="BU323" s="57" t="s">
        <v>1281</v>
      </c>
      <c r="BV323" s="70">
        <f>E323</f>
        <v>57</v>
      </c>
      <c r="BW323" s="71" t="str">
        <f>I323</f>
        <v>-</v>
      </c>
      <c r="BX323" s="72">
        <f>M323</f>
        <v>92</v>
      </c>
      <c r="BY323" s="71">
        <f>Q323</f>
        <v>123</v>
      </c>
      <c r="BZ323" s="72">
        <f>U323</f>
        <v>127</v>
      </c>
      <c r="CA323" s="71">
        <f>Y323</f>
        <v>163</v>
      </c>
      <c r="CB323" s="72">
        <f>AC323</f>
        <v>171</v>
      </c>
      <c r="CC323" s="71">
        <f>AG323</f>
        <v>210</v>
      </c>
      <c r="CD323" s="72">
        <f>AK323</f>
        <v>221</v>
      </c>
      <c r="CE323" s="71">
        <f>AO323</f>
        <v>262</v>
      </c>
      <c r="CF323" s="72">
        <f>AS323</f>
        <v>305</v>
      </c>
      <c r="CG323" s="71" t="str">
        <f>AW323</f>
        <v>-</v>
      </c>
      <c r="CH323" s="70">
        <f>G323</f>
        <v>87</v>
      </c>
      <c r="CI323" s="71" t="str">
        <f>K323</f>
        <v>-</v>
      </c>
      <c r="CJ323" s="72">
        <f>O323</f>
        <v>122</v>
      </c>
      <c r="CK323" s="72">
        <f>S323</f>
        <v>126</v>
      </c>
      <c r="CL323" s="72">
        <f>W323</f>
        <v>162</v>
      </c>
      <c r="CM323" s="72">
        <f>AA323</f>
        <v>170</v>
      </c>
      <c r="CN323" s="72">
        <f>AE323</f>
        <v>197</v>
      </c>
      <c r="CO323" s="72">
        <f>AI323</f>
        <v>212</v>
      </c>
      <c r="CP323" s="72">
        <f>AM323</f>
        <v>255</v>
      </c>
      <c r="CQ323" s="72">
        <f>AQ323</f>
        <v>300</v>
      </c>
      <c r="CR323" s="72">
        <f>AU323</f>
        <v>328</v>
      </c>
      <c r="CS323" s="72" t="str">
        <f>AY323</f>
        <v>-</v>
      </c>
      <c r="CT323" s="23" t="e">
        <f>M323-K323</f>
        <v>#VALUE!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29" x14ac:dyDescent="0.2">
      <c r="A324" s="3" t="str">
        <f>CONCATENATE(B324,"_",C324)</f>
        <v>oprk_human_6VI4</v>
      </c>
      <c r="B324" s="3" t="s">
        <v>335</v>
      </c>
      <c r="C324" s="3" t="s">
        <v>1659</v>
      </c>
      <c r="D324" s="3" t="str">
        <f>IFERROR(MID(VLOOKUP($B324,Seqs!$A:$B,2,0),E324,1),"")</f>
        <v>T</v>
      </c>
      <c r="E324" s="3">
        <v>63</v>
      </c>
      <c r="F324" s="3" t="str">
        <f>IFERROR(MID(VLOOKUP($B324,Seqs!$A:$B,2,0),G324,1),"")</f>
        <v>Y</v>
      </c>
      <c r="G324" s="3">
        <v>87</v>
      </c>
      <c r="H324" s="3" t="str">
        <f>IFERROR(MID(VLOOKUP($B324,Seqs!$A:$B,2,0),I324,1),"")</f>
        <v>T</v>
      </c>
      <c r="I324" s="23">
        <v>88</v>
      </c>
      <c r="J324" s="3" t="str">
        <f>IFERROR(MID(VLOOKUP($B324,Seqs!$A:$B,2,0),K324,1),"")</f>
        <v>K</v>
      </c>
      <c r="K324" s="23">
        <v>91</v>
      </c>
      <c r="L324" s="3" t="str">
        <f>IFERROR(MID(VLOOKUP($B324,Seqs!$A:$B,2,0),M324,1),"")</f>
        <v>T</v>
      </c>
      <c r="M324" s="3">
        <v>92</v>
      </c>
      <c r="N324" s="3" t="str">
        <f>IFERROR(MID(VLOOKUP($B324,Seqs!$A:$B,2,0),O324,1),"")</f>
        <v>N</v>
      </c>
      <c r="O324" s="3">
        <v>122</v>
      </c>
      <c r="P324" s="3" t="str">
        <f>IFERROR(MID(VLOOKUP($B324,Seqs!$A:$B,2,0),Q324,1),"")</f>
        <v>S</v>
      </c>
      <c r="Q324" s="3">
        <v>123</v>
      </c>
      <c r="R324" s="3" t="str">
        <f>IFERROR(MID(VLOOKUP($B324,Seqs!$A:$B,2,0),S324,1),"")</f>
        <v>F</v>
      </c>
      <c r="S324" s="3">
        <v>126</v>
      </c>
      <c r="T324" s="3" t="str">
        <f>IFERROR(MID(VLOOKUP($B324,Seqs!$A:$B,2,0),U324,1),"")</f>
        <v>D</v>
      </c>
      <c r="U324" s="3">
        <v>128</v>
      </c>
      <c r="V324" s="3" t="str">
        <f>IFERROR(MID(VLOOKUP($B324,Seqs!$A:$B,2,0),W324,1),"")</f>
        <v>H</v>
      </c>
      <c r="W324" s="3">
        <v>162</v>
      </c>
      <c r="X324" s="3" t="str">
        <f>IFERROR(MID(VLOOKUP($B324,Seqs!$A:$B,2,0),Y324,1),"")</f>
        <v>P</v>
      </c>
      <c r="Y324" s="3">
        <v>163</v>
      </c>
      <c r="Z324" s="3" t="str">
        <f>IFERROR(MID(VLOOKUP($B324,Seqs!$A:$B,2,0),AA324,1),"")</f>
        <v>R</v>
      </c>
      <c r="AA324" s="3">
        <v>170</v>
      </c>
      <c r="AB324" s="3" t="str">
        <f>IFERROR(MID(VLOOKUP($B324,Seqs!$A:$B,2,0),AC324,1),"")</f>
        <v>T</v>
      </c>
      <c r="AC324" s="3">
        <v>171</v>
      </c>
      <c r="AD324" s="3" t="str">
        <f>IFERROR(MID(VLOOKUP($B324,Seqs!$A:$B,2,0),AE324,1),"")</f>
        <v>G</v>
      </c>
      <c r="AE324" s="3">
        <v>197</v>
      </c>
      <c r="AF324" s="3" t="str">
        <f>IFERROR(MID(VLOOKUP($B324,Seqs!$A:$B,2,0),AG324,1),"")</f>
        <v>C</v>
      </c>
      <c r="AG324" s="3">
        <v>210</v>
      </c>
      <c r="AH324" s="3" t="str">
        <f>IFERROR(MID(VLOOKUP($B324,Seqs!$A:$B,2,0),AI324,1),"")</f>
        <v>L</v>
      </c>
      <c r="AI324" s="3">
        <v>212</v>
      </c>
      <c r="AJ324" s="3" t="str">
        <f>IFERROR(MID(VLOOKUP($B324,Seqs!$A:$B,2,0),AK324,1),"")</f>
        <v>Y</v>
      </c>
      <c r="AK324" s="3">
        <v>219</v>
      </c>
      <c r="AL324" s="3" t="str">
        <f>IFERROR(MID(VLOOKUP($B324,Seqs!$A:$B,2,0),AM324,1),"")</f>
        <v>V</v>
      </c>
      <c r="AM324" s="3">
        <v>256</v>
      </c>
      <c r="AN324" s="3" t="str">
        <f>IFERROR(MID(VLOOKUP($B324,Seqs!$A:$B,2,0),AO324,1),"")</f>
        <v>S</v>
      </c>
      <c r="AO324" s="3">
        <v>262</v>
      </c>
      <c r="AP324" s="3" t="str">
        <f>IFERROR(MID(VLOOKUP($B324,Seqs!$A:$B,2,0),AQ324,1),"")</f>
        <v>L</v>
      </c>
      <c r="AQ324" s="3">
        <v>299</v>
      </c>
      <c r="AR324" s="3" t="str">
        <f>IFERROR(MID(VLOOKUP($B324,Seqs!$A:$B,2,0),AS324,1),"")</f>
        <v>A</v>
      </c>
      <c r="AS324" s="3">
        <v>308</v>
      </c>
      <c r="AT324" s="3" t="str">
        <f>IFERROR(MID(VLOOKUP($B324,Seqs!$A:$B,2,0),AU324,1),"")</f>
        <v>L</v>
      </c>
      <c r="AU324" s="3">
        <v>333</v>
      </c>
      <c r="AV324" s="3" t="str">
        <f>IFERROR(MID(VLOOKUP($B324,Seqs!$A:$B,2,0),AW324,1),"")</f>
        <v>D</v>
      </c>
      <c r="AW324" s="3">
        <v>334</v>
      </c>
      <c r="AX324" s="3" t="str">
        <f>IFERROR(MID(VLOOKUP($B324,Seqs!$A:$B,2,0),AY324,1),"")</f>
        <v>F</v>
      </c>
      <c r="AY324" s="3">
        <v>346</v>
      </c>
      <c r="AZ324" s="77" t="str">
        <f>VLOOKUP(B324,Classification!A:D,2,0)</f>
        <v>A</v>
      </c>
      <c r="BA324" s="94" t="str">
        <f>VLOOKUP(B324,Classification!A:D,4,0)</f>
        <v>Opioid</v>
      </c>
      <c r="BB324" s="27" t="b">
        <f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23">
        <f>_xlfn.AGGREGATE(9,6,CH324:CS324)-_xlfn.AGGREGATE(9,6,BV324:CG324)+12</f>
        <v>252</v>
      </c>
      <c r="BD324" s="2" t="s">
        <v>1370</v>
      </c>
      <c r="BE324" s="3" t="s">
        <v>1368</v>
      </c>
      <c r="BF324" s="118">
        <v>3.3</v>
      </c>
      <c r="BG324" s="49" t="s">
        <v>1275</v>
      </c>
      <c r="BH324" s="49" t="s">
        <v>1275</v>
      </c>
      <c r="BI324" s="1"/>
      <c r="BJ324" s="70" t="s">
        <v>1281</v>
      </c>
      <c r="BK324" s="57" t="s">
        <v>1281</v>
      </c>
      <c r="BL324" s="57" t="s">
        <v>1281</v>
      </c>
      <c r="BM324" s="57" t="s">
        <v>1281</v>
      </c>
      <c r="BN324" s="57" t="s">
        <v>1281</v>
      </c>
      <c r="BO324" s="57" t="s">
        <v>1281</v>
      </c>
      <c r="BP324" s="57" t="s">
        <v>1281</v>
      </c>
      <c r="BQ324" s="57" t="s">
        <v>1281</v>
      </c>
      <c r="BR324" s="57" t="s">
        <v>1281</v>
      </c>
      <c r="BS324" s="57" t="s">
        <v>1281</v>
      </c>
      <c r="BT324" s="57" t="s">
        <v>1281</v>
      </c>
      <c r="BU324" s="57" t="s">
        <v>1281</v>
      </c>
      <c r="BV324" s="70">
        <f>E324</f>
        <v>63</v>
      </c>
      <c r="BW324" s="71">
        <f>I324</f>
        <v>88</v>
      </c>
      <c r="BX324" s="72">
        <f>M324</f>
        <v>92</v>
      </c>
      <c r="BY324" s="71">
        <f>Q324</f>
        <v>123</v>
      </c>
      <c r="BZ324" s="72">
        <f>U324</f>
        <v>128</v>
      </c>
      <c r="CA324" s="71">
        <f>Y324</f>
        <v>163</v>
      </c>
      <c r="CB324" s="72">
        <f>AC324</f>
        <v>171</v>
      </c>
      <c r="CC324" s="71">
        <f>AG324</f>
        <v>210</v>
      </c>
      <c r="CD324" s="72">
        <f>AK324</f>
        <v>219</v>
      </c>
      <c r="CE324" s="71">
        <f>AO324</f>
        <v>262</v>
      </c>
      <c r="CF324" s="72">
        <f>AS324</f>
        <v>308</v>
      </c>
      <c r="CG324" s="71">
        <f>AW324</f>
        <v>334</v>
      </c>
      <c r="CH324" s="70">
        <f>G324</f>
        <v>87</v>
      </c>
      <c r="CI324" s="71">
        <f>K324</f>
        <v>91</v>
      </c>
      <c r="CJ324" s="72">
        <f>O324</f>
        <v>122</v>
      </c>
      <c r="CK324" s="72">
        <f>S324</f>
        <v>126</v>
      </c>
      <c r="CL324" s="72">
        <f>W324</f>
        <v>162</v>
      </c>
      <c r="CM324" s="72">
        <f>AA324</f>
        <v>170</v>
      </c>
      <c r="CN324" s="72">
        <f>AE324</f>
        <v>197</v>
      </c>
      <c r="CO324" s="72">
        <f>AI324</f>
        <v>212</v>
      </c>
      <c r="CP324" s="72">
        <f>AM324</f>
        <v>256</v>
      </c>
      <c r="CQ324" s="72">
        <f>AQ324</f>
        <v>299</v>
      </c>
      <c r="CR324" s="72">
        <f>AU324</f>
        <v>333</v>
      </c>
      <c r="CS324" s="72">
        <f>AY324</f>
        <v>346</v>
      </c>
      <c r="CT324" s="23">
        <f>M324-K324</f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29" x14ac:dyDescent="0.2">
      <c r="A325" s="3" t="str">
        <f t="shared" si="2570"/>
        <v>oprm_mouse__wt</v>
      </c>
      <c r="B325" s="3" t="s">
        <v>911</v>
      </c>
      <c r="C325" s="3" t="s">
        <v>100</v>
      </c>
      <c r="D325" s="3" t="str">
        <f>IFERROR(MID(VLOOKUP($B325,Seqs!$A:$B,2,0),E325,1),"")</f>
        <v>M</v>
      </c>
      <c r="E325" s="3">
        <v>65</v>
      </c>
      <c r="F325" s="3" t="str">
        <f>IFERROR(MID(VLOOKUP($B325,Seqs!$A:$B,2,0),G325,1),"")</f>
        <v>Y</v>
      </c>
      <c r="G325" s="3">
        <v>96</v>
      </c>
      <c r="H325" s="3" t="str">
        <f>IFERROR(MID(VLOOKUP($B325,Seqs!$A:$B,2,0),I325,1),"")</f>
        <v>T</v>
      </c>
      <c r="I325" s="23">
        <v>97</v>
      </c>
      <c r="J325" s="3" t="str">
        <f>IFERROR(MID(VLOOKUP($B325,Seqs!$A:$B,2,0),K325,1),"")</f>
        <v>K</v>
      </c>
      <c r="K325" s="23">
        <v>100</v>
      </c>
      <c r="L325" s="3" t="str">
        <f>IFERROR(MID(VLOOKUP($B325,Seqs!$A:$B,2,0),M325,1),"")</f>
        <v>T</v>
      </c>
      <c r="M325" s="3">
        <v>101</v>
      </c>
      <c r="N325" s="3" t="str">
        <f>IFERROR(MID(VLOOKUP($B325,Seqs!$A:$B,2,0),O325,1),"")</f>
        <v>G</v>
      </c>
      <c r="O325" s="105">
        <v>131</v>
      </c>
      <c r="P325" s="3" t="str">
        <f>IFERROR(MID(VLOOKUP($B325,Seqs!$A:$B,2,0),Q325,1),"")</f>
        <v>T</v>
      </c>
      <c r="Q325" s="3">
        <v>132</v>
      </c>
      <c r="R325" s="3" t="str">
        <f>IFERROR(MID(VLOOKUP($B325,Seqs!$A:$B,2,0),S325,1),"")</f>
        <v>F</v>
      </c>
      <c r="S325" s="3">
        <v>135</v>
      </c>
      <c r="T325" s="3" t="str">
        <f>IFERROR(MID(VLOOKUP($B325,Seqs!$A:$B,2,0),U325,1),"")</f>
        <v>G</v>
      </c>
      <c r="U325" s="3">
        <v>136</v>
      </c>
      <c r="V325" s="3" t="str">
        <f>IFERROR(MID(VLOOKUP($B325,Seqs!$A:$B,2,0),W325,1),"")</f>
        <v>H</v>
      </c>
      <c r="W325" s="3">
        <v>171</v>
      </c>
      <c r="X325" s="3" t="str">
        <f>IFERROR(MID(VLOOKUP($B325,Seqs!$A:$B,2,0),Y325,1),"")</f>
        <v>P</v>
      </c>
      <c r="Y325" s="3">
        <v>172</v>
      </c>
      <c r="Z325" s="3" t="str">
        <f>IFERROR(MID(VLOOKUP($B325,Seqs!$A:$B,2,0),AA325,1),"")</f>
        <v>R</v>
      </c>
      <c r="AA325" s="3">
        <v>179</v>
      </c>
      <c r="AB325" s="3" t="str">
        <f>IFERROR(MID(VLOOKUP($B325,Seqs!$A:$B,2,0),AC325,1),"")</f>
        <v>T</v>
      </c>
      <c r="AC325" s="3">
        <v>180</v>
      </c>
      <c r="AD325" s="3" t="str">
        <f>IFERROR(MID(VLOOKUP($B325,Seqs!$A:$B,2,0),AE325,1),"")</f>
        <v>A</v>
      </c>
      <c r="AE325" s="3">
        <v>206</v>
      </c>
      <c r="AF325" s="3" t="str">
        <f>IFERROR(MID(VLOOKUP($B325,Seqs!$A:$B,2,0),AG325,1),"")</f>
        <v>C</v>
      </c>
      <c r="AG325" s="3">
        <v>217</v>
      </c>
      <c r="AH325" s="3" t="str">
        <f>IFERROR(MID(VLOOKUP($B325,Seqs!$A:$B,2,0),AI325,1),"")</f>
        <v>L</v>
      </c>
      <c r="AI325" s="3">
        <v>219</v>
      </c>
      <c r="AJ325" s="3" t="str">
        <f>IFERROR(MID(VLOOKUP($B325,Seqs!$A:$B,2,0),AK325,1),"")</f>
        <v>P</v>
      </c>
      <c r="AK325" s="105">
        <v>224</v>
      </c>
      <c r="AL325" s="3" t="str">
        <f>IFERROR(MID(VLOOKUP($B325,Seqs!$A:$B,2,0),AM325,1),"")</f>
        <v>V</v>
      </c>
      <c r="AM325" s="3">
        <v>262</v>
      </c>
      <c r="AN325" s="3" t="str">
        <f>IFERROR(MID(VLOOKUP($B325,Seqs!$A:$B,2,0),AO325,1),"")</f>
        <v>S</v>
      </c>
      <c r="AO325" s="3">
        <v>268</v>
      </c>
      <c r="AP325" s="3" t="str">
        <f>IFERROR(MID(VLOOKUP($B325,Seqs!$A:$B,2,0),AQ325,1),"")</f>
        <v>I</v>
      </c>
      <c r="AQ325" s="3">
        <v>306</v>
      </c>
      <c r="AR325" s="3" t="str">
        <f>IFERROR(MID(VLOOKUP($B325,Seqs!$A:$B,2,0),AS325,1),"")</f>
        <v>T</v>
      </c>
      <c r="AS325" s="3">
        <v>311</v>
      </c>
      <c r="AT325" s="3" t="str">
        <f>IFERROR(MID(VLOOKUP($B325,Seqs!$A:$B,2,0),AU325,1),"")</f>
        <v>L</v>
      </c>
      <c r="AU325" s="3">
        <v>339</v>
      </c>
      <c r="AV325" s="3" t="str">
        <f>IFERROR(MID(VLOOKUP($B325,Seqs!$A:$B,2,0),AW325,1),"")</f>
        <v>D</v>
      </c>
      <c r="AW325" s="3">
        <v>340</v>
      </c>
      <c r="AX325" s="3" t="str">
        <f>IFERROR(MID(VLOOKUP($B325,Seqs!$A:$B,2,0),AY325,1),"")</f>
        <v>I</v>
      </c>
      <c r="AY325" s="3">
        <v>352</v>
      </c>
      <c r="AZ325" s="77" t="str">
        <f>VLOOKUP(B325,Classification!A:D,2,0)</f>
        <v>A</v>
      </c>
      <c r="BA325" s="94" t="str">
        <f>VLOOKUP(B325,Classification!A:D,4,0)</f>
        <v>Opioid</v>
      </c>
      <c r="BB325" s="27" t="b">
        <f t="shared" si="2571"/>
        <v>1</v>
      </c>
      <c r="BC325" s="23">
        <f t="shared" si="2208"/>
        <v>265</v>
      </c>
      <c r="BD325" s="56" t="s">
        <v>23</v>
      </c>
      <c r="BE325" s="3" t="s">
        <v>23</v>
      </c>
      <c r="BF325" s="118" t="s">
        <v>23</v>
      </c>
      <c r="BG325" s="49" t="s">
        <v>1366</v>
      </c>
      <c r="BH325" s="49" t="s">
        <v>1371</v>
      </c>
      <c r="BI325" s="1"/>
      <c r="BJ325" s="70" t="s">
        <v>1281</v>
      </c>
      <c r="BK325" s="57" t="s">
        <v>1281</v>
      </c>
      <c r="BL325" s="57" t="s">
        <v>1281</v>
      </c>
      <c r="BM325" s="57" t="s">
        <v>1281</v>
      </c>
      <c r="BN325" s="57" t="s">
        <v>1281</v>
      </c>
      <c r="BO325" s="57" t="s">
        <v>1281</v>
      </c>
      <c r="BP325" s="57" t="s">
        <v>1281</v>
      </c>
      <c r="BQ325" s="57" t="s">
        <v>1281</v>
      </c>
      <c r="BR325" s="57" t="s">
        <v>1281</v>
      </c>
      <c r="BS325" s="57" t="s">
        <v>1281</v>
      </c>
      <c r="BT325" s="57" t="s">
        <v>1281</v>
      </c>
      <c r="BU325" s="57" t="s">
        <v>1281</v>
      </c>
      <c r="BV325" s="70">
        <f t="shared" si="2209"/>
        <v>65</v>
      </c>
      <c r="BW325" s="71">
        <f t="shared" si="2210"/>
        <v>97</v>
      </c>
      <c r="BX325" s="72">
        <f t="shared" si="2211"/>
        <v>101</v>
      </c>
      <c r="BY325" s="71">
        <f t="shared" si="2212"/>
        <v>132</v>
      </c>
      <c r="BZ325" s="72">
        <f t="shared" si="2213"/>
        <v>136</v>
      </c>
      <c r="CA325" s="71">
        <f t="shared" si="2214"/>
        <v>172</v>
      </c>
      <c r="CB325" s="72">
        <f t="shared" si="2215"/>
        <v>180</v>
      </c>
      <c r="CC325" s="71">
        <f t="shared" si="2216"/>
        <v>217</v>
      </c>
      <c r="CD325" s="72">
        <f t="shared" si="2217"/>
        <v>224</v>
      </c>
      <c r="CE325" s="71">
        <f t="shared" si="2218"/>
        <v>268</v>
      </c>
      <c r="CF325" s="72">
        <f t="shared" si="2219"/>
        <v>311</v>
      </c>
      <c r="CG325" s="71">
        <f t="shared" si="2220"/>
        <v>340</v>
      </c>
      <c r="CH325" s="70">
        <f t="shared" si="2221"/>
        <v>96</v>
      </c>
      <c r="CI325" s="71">
        <f t="shared" si="2222"/>
        <v>100</v>
      </c>
      <c r="CJ325" s="72">
        <f t="shared" si="2223"/>
        <v>131</v>
      </c>
      <c r="CK325" s="72">
        <f t="shared" si="2224"/>
        <v>135</v>
      </c>
      <c r="CL325" s="72">
        <f t="shared" si="2225"/>
        <v>171</v>
      </c>
      <c r="CM325" s="72">
        <f t="shared" si="2226"/>
        <v>179</v>
      </c>
      <c r="CN325" s="72">
        <f t="shared" si="2227"/>
        <v>206</v>
      </c>
      <c r="CO325" s="72">
        <f t="shared" si="2228"/>
        <v>219</v>
      </c>
      <c r="CP325" s="72">
        <f t="shared" si="2229"/>
        <v>262</v>
      </c>
      <c r="CQ325" s="72">
        <f t="shared" si="2230"/>
        <v>306</v>
      </c>
      <c r="CR325" s="72">
        <f t="shared" si="2231"/>
        <v>339</v>
      </c>
      <c r="CS325" s="72">
        <f t="shared" si="2232"/>
        <v>352</v>
      </c>
      <c r="CT325" s="23">
        <f t="shared" si="2233"/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29" x14ac:dyDescent="0.2">
      <c r="A326" s="3" t="str">
        <f t="shared" si="2570"/>
        <v>oprm_mouse_4DKL</v>
      </c>
      <c r="B326" s="3" t="s">
        <v>911</v>
      </c>
      <c r="C326" s="3" t="s">
        <v>65</v>
      </c>
      <c r="D326" s="3" t="str">
        <f>IFERROR(MID(VLOOKUP($B326,Seqs!$A:$B,2,0),E326,1),"")</f>
        <v>M</v>
      </c>
      <c r="E326" s="3">
        <v>65</v>
      </c>
      <c r="F326" s="3" t="str">
        <f>IFERROR(MID(VLOOKUP($B326,Seqs!$A:$B,2,0),G326,1),"")</f>
        <v>Y</v>
      </c>
      <c r="G326" s="3">
        <v>96</v>
      </c>
      <c r="H326" s="3" t="str">
        <f>IFERROR(MID(VLOOKUP($B326,Seqs!$A:$B,2,0),I326,1),"")</f>
        <v>T</v>
      </c>
      <c r="I326" s="23">
        <v>97</v>
      </c>
      <c r="J326" s="3" t="str">
        <f>IFERROR(MID(VLOOKUP($B326,Seqs!$A:$B,2,0),K326,1),"")</f>
        <v>K</v>
      </c>
      <c r="K326" s="23">
        <v>100</v>
      </c>
      <c r="L326" s="3" t="str">
        <f>IFERROR(MID(VLOOKUP($B326,Seqs!$A:$B,2,0),M326,1),"")</f>
        <v>T</v>
      </c>
      <c r="M326" s="3">
        <v>101</v>
      </c>
      <c r="N326" s="3" t="str">
        <f>IFERROR(MID(VLOOKUP($B326,Seqs!$A:$B,2,0),O326,1),"")</f>
        <v>G</v>
      </c>
      <c r="O326" s="3">
        <v>131</v>
      </c>
      <c r="P326" s="3" t="str">
        <f>IFERROR(MID(VLOOKUP($B326,Seqs!$A:$B,2,0),Q326,1),"")</f>
        <v>T</v>
      </c>
      <c r="Q326" s="3">
        <v>132</v>
      </c>
      <c r="R326" s="3" t="str">
        <f>IFERROR(MID(VLOOKUP($B326,Seqs!$A:$B,2,0),S326,1),"")</f>
        <v>F</v>
      </c>
      <c r="S326" s="3">
        <v>135</v>
      </c>
      <c r="T326" s="3" t="str">
        <f>IFERROR(MID(VLOOKUP($B326,Seqs!$A:$B,2,0),U326,1),"")</f>
        <v>G</v>
      </c>
      <c r="U326" s="3">
        <v>136</v>
      </c>
      <c r="V326" s="3" t="str">
        <f>IFERROR(MID(VLOOKUP($B326,Seqs!$A:$B,2,0),W326,1),"")</f>
        <v>H</v>
      </c>
      <c r="W326" s="3">
        <v>171</v>
      </c>
      <c r="X326" s="3" t="str">
        <f>IFERROR(MID(VLOOKUP($B326,Seqs!$A:$B,2,0),Y326,1),"")</f>
        <v>P</v>
      </c>
      <c r="Y326" s="3">
        <v>172</v>
      </c>
      <c r="Z326" s="3" t="str">
        <f>IFERROR(MID(VLOOKUP($B326,Seqs!$A:$B,2,0),AA326,1),"")</f>
        <v>R</v>
      </c>
      <c r="AA326" s="3">
        <v>179</v>
      </c>
      <c r="AB326" s="3" t="str">
        <f>IFERROR(MID(VLOOKUP($B326,Seqs!$A:$B,2,0),AC326,1),"")</f>
        <v>T</v>
      </c>
      <c r="AC326" s="3">
        <v>180</v>
      </c>
      <c r="AD326" s="3" t="str">
        <f>IFERROR(MID(VLOOKUP($B326,Seqs!$A:$B,2,0),AE326,1),"")</f>
        <v>A</v>
      </c>
      <c r="AE326" s="3">
        <v>206</v>
      </c>
      <c r="AF326" s="3" t="str">
        <f>IFERROR(MID(VLOOKUP($B326,Seqs!$A:$B,2,0),AG326,1),"")</f>
        <v>C</v>
      </c>
      <c r="AG326" s="3">
        <v>217</v>
      </c>
      <c r="AH326" s="3" t="str">
        <f>IFERROR(MID(VLOOKUP($B326,Seqs!$A:$B,2,0),AI326,1),"")</f>
        <v>L</v>
      </c>
      <c r="AI326" s="3">
        <v>219</v>
      </c>
      <c r="AJ326" s="3" t="str">
        <f>IFERROR(MID(VLOOKUP($B326,Seqs!$A:$B,2,0),AK326,1),"")</f>
        <v>P</v>
      </c>
      <c r="AK326" s="3">
        <v>224</v>
      </c>
      <c r="AL326" s="3" t="str">
        <f>IFERROR(MID(VLOOKUP($B326,Seqs!$A:$B,2,0),AM326,1),"")</f>
        <v>L</v>
      </c>
      <c r="AM326" s="3">
        <v>257</v>
      </c>
      <c r="AN326" s="3" t="str">
        <f>IFERROR(MID(VLOOKUP($B326,Seqs!$A:$B,2,0),AO326,1),"")</f>
        <v>N</v>
      </c>
      <c r="AO326" s="3">
        <v>274</v>
      </c>
      <c r="AP326" s="3" t="str">
        <f>IFERROR(MID(VLOOKUP($B326,Seqs!$A:$B,2,0),AQ326,1),"")</f>
        <v>I</v>
      </c>
      <c r="AQ326" s="3">
        <v>306</v>
      </c>
      <c r="AR326" s="3" t="str">
        <f>IFERROR(MID(VLOOKUP($B326,Seqs!$A:$B,2,0),AS326,1),"")</f>
        <v>T</v>
      </c>
      <c r="AS326" s="3">
        <v>311</v>
      </c>
      <c r="AT326" s="3" t="str">
        <f>IFERROR(MID(VLOOKUP($B326,Seqs!$A:$B,2,0),AU326,1),"")</f>
        <v>L</v>
      </c>
      <c r="AU326" s="3">
        <v>339</v>
      </c>
      <c r="AV326" s="3" t="str">
        <f>IFERROR(MID(VLOOKUP($B326,Seqs!$A:$B,2,0),AW326,1),"")</f>
        <v>D</v>
      </c>
      <c r="AW326" s="3">
        <v>340</v>
      </c>
      <c r="AX326" s="3" t="str">
        <f>IFERROR(MID(VLOOKUP($B326,Seqs!$A:$B,2,0),AY326,1),"")</f>
        <v>I</v>
      </c>
      <c r="AY326" s="3">
        <v>352</v>
      </c>
      <c r="AZ326" s="77" t="str">
        <f>VLOOKUP(B326,Classification!A:D,2,0)</f>
        <v>A</v>
      </c>
      <c r="BA326" s="94" t="str">
        <f>VLOOKUP(B326,Classification!A:D,4,0)</f>
        <v>Opioid</v>
      </c>
      <c r="BB326" s="27" t="b">
        <f t="shared" si="2571"/>
        <v>1</v>
      </c>
      <c r="BC326" s="23">
        <f t="shared" si="2208"/>
        <v>254</v>
      </c>
      <c r="BD326" s="2" t="s">
        <v>1370</v>
      </c>
      <c r="BE326" s="3" t="s">
        <v>1368</v>
      </c>
      <c r="BF326" s="118">
        <v>2.8</v>
      </c>
      <c r="BG326" s="49" t="s">
        <v>1371</v>
      </c>
      <c r="BH326" s="49" t="s">
        <v>1371</v>
      </c>
      <c r="BI326" s="1"/>
      <c r="BJ326" s="70" t="s">
        <v>1281</v>
      </c>
      <c r="BK326" s="57" t="s">
        <v>1281</v>
      </c>
      <c r="BL326" s="57" t="s">
        <v>1281</v>
      </c>
      <c r="BM326" s="57" t="s">
        <v>1281</v>
      </c>
      <c r="BN326" s="57" t="s">
        <v>1281</v>
      </c>
      <c r="BO326" s="57" t="s">
        <v>1281</v>
      </c>
      <c r="BP326" s="57" t="s">
        <v>1281</v>
      </c>
      <c r="BQ326" s="57" t="s">
        <v>1281</v>
      </c>
      <c r="BR326" s="57" t="s">
        <v>1281</v>
      </c>
      <c r="BS326" s="57" t="s">
        <v>1281</v>
      </c>
      <c r="BT326" s="57" t="s">
        <v>1281</v>
      </c>
      <c r="BU326" s="57" t="s">
        <v>1281</v>
      </c>
      <c r="BV326" s="70">
        <f t="shared" si="2209"/>
        <v>65</v>
      </c>
      <c r="BW326" s="71">
        <f t="shared" si="2210"/>
        <v>97</v>
      </c>
      <c r="BX326" s="72">
        <f t="shared" si="2211"/>
        <v>101</v>
      </c>
      <c r="BY326" s="71">
        <f t="shared" si="2212"/>
        <v>132</v>
      </c>
      <c r="BZ326" s="72">
        <f t="shared" si="2213"/>
        <v>136</v>
      </c>
      <c r="CA326" s="71">
        <f t="shared" si="2214"/>
        <v>172</v>
      </c>
      <c r="CB326" s="72">
        <f t="shared" si="2215"/>
        <v>180</v>
      </c>
      <c r="CC326" s="71">
        <f t="shared" si="2216"/>
        <v>217</v>
      </c>
      <c r="CD326" s="72">
        <f t="shared" si="2217"/>
        <v>224</v>
      </c>
      <c r="CE326" s="71">
        <f t="shared" si="2218"/>
        <v>274</v>
      </c>
      <c r="CF326" s="72">
        <f t="shared" si="2219"/>
        <v>311</v>
      </c>
      <c r="CG326" s="71">
        <f t="shared" si="2220"/>
        <v>340</v>
      </c>
      <c r="CH326" s="70">
        <f t="shared" si="2221"/>
        <v>96</v>
      </c>
      <c r="CI326" s="71">
        <f t="shared" si="2222"/>
        <v>100</v>
      </c>
      <c r="CJ326" s="72">
        <f t="shared" si="2223"/>
        <v>131</v>
      </c>
      <c r="CK326" s="72">
        <f t="shared" si="2224"/>
        <v>135</v>
      </c>
      <c r="CL326" s="72">
        <f t="shared" si="2225"/>
        <v>171</v>
      </c>
      <c r="CM326" s="72">
        <f t="shared" si="2226"/>
        <v>179</v>
      </c>
      <c r="CN326" s="72">
        <f t="shared" si="2227"/>
        <v>206</v>
      </c>
      <c r="CO326" s="72">
        <f t="shared" si="2228"/>
        <v>219</v>
      </c>
      <c r="CP326" s="72">
        <f t="shared" si="2229"/>
        <v>257</v>
      </c>
      <c r="CQ326" s="72">
        <f t="shared" si="2230"/>
        <v>306</v>
      </c>
      <c r="CR326" s="72">
        <f t="shared" si="2231"/>
        <v>339</v>
      </c>
      <c r="CS326" s="72">
        <f t="shared" si="2232"/>
        <v>352</v>
      </c>
      <c r="CT326" s="23">
        <f t="shared" si="2233"/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29" x14ac:dyDescent="0.2">
      <c r="A327" s="3" t="str">
        <f t="shared" si="2570"/>
        <v>oprm_mouse_5C1M</v>
      </c>
      <c r="B327" s="3" t="s">
        <v>911</v>
      </c>
      <c r="C327" s="3" t="s">
        <v>84</v>
      </c>
      <c r="D327" s="3" t="str">
        <f>IFERROR(MID(VLOOKUP($B327,Seqs!$A:$B,2,0),E327,1),"")</f>
        <v>M</v>
      </c>
      <c r="E327" s="3">
        <v>65</v>
      </c>
      <c r="F327" s="3" t="str">
        <f>IFERROR(MID(VLOOKUP($B327,Seqs!$A:$B,2,0),G327,1),"")</f>
        <v>Y</v>
      </c>
      <c r="G327" s="3">
        <v>96</v>
      </c>
      <c r="H327" s="3" t="str">
        <f>IFERROR(MID(VLOOKUP($B327,Seqs!$A:$B,2,0),I327,1),"")</f>
        <v/>
      </c>
      <c r="I327" s="23" t="s">
        <v>23</v>
      </c>
      <c r="J327" s="3" t="str">
        <f>IFERROR(MID(VLOOKUP($B327,Seqs!$A:$B,2,0),K327,1),"")</f>
        <v/>
      </c>
      <c r="K327" s="23" t="s">
        <v>23</v>
      </c>
      <c r="L327" s="3" t="str">
        <f>IFERROR(MID(VLOOKUP($B327,Seqs!$A:$B,2,0),M327,1),"")</f>
        <v>T</v>
      </c>
      <c r="M327" s="3">
        <v>101</v>
      </c>
      <c r="N327" s="3" t="str">
        <f>IFERROR(MID(VLOOKUP($B327,Seqs!$A:$B,2,0),O327,1),"")</f>
        <v>G</v>
      </c>
      <c r="O327" s="3">
        <v>131</v>
      </c>
      <c r="P327" s="3" t="str">
        <f>IFERROR(MID(VLOOKUP($B327,Seqs!$A:$B,2,0),Q327,1),"")</f>
        <v>T</v>
      </c>
      <c r="Q327" s="3">
        <v>132</v>
      </c>
      <c r="R327" s="3" t="str">
        <f>IFERROR(MID(VLOOKUP($B327,Seqs!$A:$B,2,0),S327,1),"")</f>
        <v>F</v>
      </c>
      <c r="S327" s="3">
        <v>135</v>
      </c>
      <c r="T327" s="3" t="str">
        <f>IFERROR(MID(VLOOKUP($B327,Seqs!$A:$B,2,0),U327,1),"")</f>
        <v>G</v>
      </c>
      <c r="U327" s="3">
        <v>136</v>
      </c>
      <c r="V327" s="3" t="str">
        <f>IFERROR(MID(VLOOKUP($B327,Seqs!$A:$B,2,0),W327,1),"")</f>
        <v>H</v>
      </c>
      <c r="W327" s="3">
        <v>171</v>
      </c>
      <c r="X327" s="3" t="str">
        <f>IFERROR(MID(VLOOKUP($B327,Seqs!$A:$B,2,0),Y327,1),"")</f>
        <v>P</v>
      </c>
      <c r="Y327" s="3">
        <v>172</v>
      </c>
      <c r="Z327" s="3" t="str">
        <f>IFERROR(MID(VLOOKUP($B327,Seqs!$A:$B,2,0),AA327,1),"")</f>
        <v>R</v>
      </c>
      <c r="AA327" s="3">
        <v>179</v>
      </c>
      <c r="AB327" s="3" t="str">
        <f>IFERROR(MID(VLOOKUP($B327,Seqs!$A:$B,2,0),AC327,1),"")</f>
        <v>T</v>
      </c>
      <c r="AC327" s="3">
        <v>180</v>
      </c>
      <c r="AD327" s="3" t="str">
        <f>IFERROR(MID(VLOOKUP($B327,Seqs!$A:$B,2,0),AE327,1),"")</f>
        <v>A</v>
      </c>
      <c r="AE327" s="3">
        <v>206</v>
      </c>
      <c r="AF327" s="3" t="str">
        <f>IFERROR(MID(VLOOKUP($B327,Seqs!$A:$B,2,0),AG327,1),"")</f>
        <v>C</v>
      </c>
      <c r="AG327" s="3">
        <v>217</v>
      </c>
      <c r="AH327" s="3" t="str">
        <f>IFERROR(MID(VLOOKUP($B327,Seqs!$A:$B,2,0),AI327,1),"")</f>
        <v>L</v>
      </c>
      <c r="AI327" s="3">
        <v>219</v>
      </c>
      <c r="AJ327" s="3" t="str">
        <f>IFERROR(MID(VLOOKUP($B327,Seqs!$A:$B,2,0),AK327,1),"")</f>
        <v>P</v>
      </c>
      <c r="AK327" s="3">
        <v>224</v>
      </c>
      <c r="AL327" s="3" t="str">
        <f>IFERROR(MID(VLOOKUP($B327,Seqs!$A:$B,2,0),AM327,1),"")</f>
        <v>V</v>
      </c>
      <c r="AM327" s="3">
        <v>262</v>
      </c>
      <c r="AN327" s="3" t="str">
        <f>IFERROR(MID(VLOOKUP($B327,Seqs!$A:$B,2,0),AO327,1),"")</f>
        <v>S</v>
      </c>
      <c r="AO327" s="3">
        <v>268</v>
      </c>
      <c r="AP327" s="3" t="str">
        <f>IFERROR(MID(VLOOKUP($B327,Seqs!$A:$B,2,0),AQ327,1),"")</f>
        <v>I</v>
      </c>
      <c r="AQ327" s="3">
        <v>306</v>
      </c>
      <c r="AR327" s="3" t="str">
        <f>IFERROR(MID(VLOOKUP($B327,Seqs!$A:$B,2,0),AS327,1),"")</f>
        <v>T</v>
      </c>
      <c r="AS327" s="3">
        <v>311</v>
      </c>
      <c r="AT327" s="3" t="str">
        <f>IFERROR(MID(VLOOKUP($B327,Seqs!$A:$B,2,0),AU327,1),"")</f>
        <v>P</v>
      </c>
      <c r="AU327" s="3">
        <v>333</v>
      </c>
      <c r="AV327" s="3" t="str">
        <f>IFERROR(MID(VLOOKUP($B327,Seqs!$A:$B,2,0),AW327,1),"")</f>
        <v/>
      </c>
      <c r="AW327" s="3" t="s">
        <v>23</v>
      </c>
      <c r="AX327" s="3" t="str">
        <f>IFERROR(MID(VLOOKUP($B327,Seqs!$A:$B,2,0),AY327,1),"")</f>
        <v/>
      </c>
      <c r="AY327" s="3" t="s">
        <v>23</v>
      </c>
      <c r="AZ327" s="77" t="str">
        <f>VLOOKUP(B327,Classification!A:D,2,0)</f>
        <v>A</v>
      </c>
      <c r="BA327" s="94" t="str">
        <f>VLOOKUP(B327,Classification!A:D,4,0)</f>
        <v>Opioid</v>
      </c>
      <c r="BB327" s="27" t="b">
        <f t="shared" si="2571"/>
        <v>1</v>
      </c>
      <c r="BC327" s="23">
        <f t="shared" si="2208"/>
        <v>244</v>
      </c>
      <c r="BD327" s="5" t="s">
        <v>1369</v>
      </c>
      <c r="BE327" s="3" t="s">
        <v>1285</v>
      </c>
      <c r="BF327" s="118">
        <v>2.1</v>
      </c>
      <c r="BG327" s="49" t="s">
        <v>1371</v>
      </c>
      <c r="BH327" s="49" t="s">
        <v>1371</v>
      </c>
      <c r="BI327" s="1"/>
      <c r="BJ327" s="70" t="s">
        <v>1281</v>
      </c>
      <c r="BK327" s="57" t="s">
        <v>1281</v>
      </c>
      <c r="BL327" s="57" t="s">
        <v>1281</v>
      </c>
      <c r="BM327" s="57" t="s">
        <v>1281</v>
      </c>
      <c r="BN327" s="57" t="s">
        <v>1281</v>
      </c>
      <c r="BO327" s="57" t="s">
        <v>1281</v>
      </c>
      <c r="BP327" s="57" t="s">
        <v>1281</v>
      </c>
      <c r="BQ327" s="57" t="s">
        <v>1281</v>
      </c>
      <c r="BR327" s="57" t="s">
        <v>1281</v>
      </c>
      <c r="BS327" s="57" t="s">
        <v>1281</v>
      </c>
      <c r="BT327" s="57" t="s">
        <v>1281</v>
      </c>
      <c r="BU327" s="57" t="s">
        <v>1281</v>
      </c>
      <c r="BV327" s="70">
        <f t="shared" si="2209"/>
        <v>65</v>
      </c>
      <c r="BW327" s="71" t="str">
        <f t="shared" si="2210"/>
        <v>-</v>
      </c>
      <c r="BX327" s="72">
        <f t="shared" si="2211"/>
        <v>101</v>
      </c>
      <c r="BY327" s="71">
        <f t="shared" si="2212"/>
        <v>132</v>
      </c>
      <c r="BZ327" s="72">
        <f t="shared" si="2213"/>
        <v>136</v>
      </c>
      <c r="CA327" s="71">
        <f t="shared" si="2214"/>
        <v>172</v>
      </c>
      <c r="CB327" s="72">
        <f t="shared" si="2215"/>
        <v>180</v>
      </c>
      <c r="CC327" s="71">
        <f t="shared" si="2216"/>
        <v>217</v>
      </c>
      <c r="CD327" s="72">
        <f t="shared" si="2217"/>
        <v>224</v>
      </c>
      <c r="CE327" s="71">
        <f t="shared" si="2218"/>
        <v>268</v>
      </c>
      <c r="CF327" s="72">
        <f t="shared" si="2219"/>
        <v>311</v>
      </c>
      <c r="CG327" s="71" t="str">
        <f t="shared" si="2220"/>
        <v>-</v>
      </c>
      <c r="CH327" s="70">
        <f t="shared" si="2221"/>
        <v>96</v>
      </c>
      <c r="CI327" s="71" t="str">
        <f t="shared" si="2222"/>
        <v>-</v>
      </c>
      <c r="CJ327" s="72">
        <f t="shared" si="2223"/>
        <v>131</v>
      </c>
      <c r="CK327" s="72">
        <f t="shared" si="2224"/>
        <v>135</v>
      </c>
      <c r="CL327" s="72">
        <f t="shared" si="2225"/>
        <v>171</v>
      </c>
      <c r="CM327" s="72">
        <f t="shared" si="2226"/>
        <v>179</v>
      </c>
      <c r="CN327" s="72">
        <f t="shared" si="2227"/>
        <v>206</v>
      </c>
      <c r="CO327" s="72">
        <f t="shared" si="2228"/>
        <v>219</v>
      </c>
      <c r="CP327" s="72">
        <f t="shared" si="2229"/>
        <v>262</v>
      </c>
      <c r="CQ327" s="72">
        <f t="shared" si="2230"/>
        <v>306</v>
      </c>
      <c r="CR327" s="72">
        <f t="shared" si="2231"/>
        <v>333</v>
      </c>
      <c r="CS327" s="72" t="str">
        <f t="shared" si="2232"/>
        <v>-</v>
      </c>
      <c r="CT327" s="23" t="e">
        <f t="shared" si="2233"/>
        <v>#VALUE!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29" x14ac:dyDescent="0.2">
      <c r="A328" s="3" t="str">
        <f>CONCATENATE(B328,"_",C328)</f>
        <v>oprm_mouse_6DDE</v>
      </c>
      <c r="B328" s="3" t="s">
        <v>911</v>
      </c>
      <c r="C328" s="3" t="s">
        <v>1494</v>
      </c>
      <c r="D328" s="3" t="str">
        <f>IFERROR(MID(VLOOKUP($B328,Seqs!$A:$B,2,0),E328,1),"")</f>
        <v>T</v>
      </c>
      <c r="E328" s="3">
        <v>67</v>
      </c>
      <c r="F328" s="3" t="str">
        <f>IFERROR(MID(VLOOKUP($B328,Seqs!$A:$B,2,0),G328,1),"")</f>
        <v>K</v>
      </c>
      <c r="G328" s="3">
        <v>98</v>
      </c>
      <c r="H328" s="3" t="str">
        <f>IFERROR(MID(VLOOKUP($B328,Seqs!$A:$B,2,0),I328,1),"")</f>
        <v/>
      </c>
      <c r="I328" s="23" t="s">
        <v>23</v>
      </c>
      <c r="J328" s="3" t="str">
        <f>IFERROR(MID(VLOOKUP($B328,Seqs!$A:$B,2,0),K328,1),"")</f>
        <v/>
      </c>
      <c r="K328" s="23" t="s">
        <v>23</v>
      </c>
      <c r="L328" s="3" t="str">
        <f>IFERROR(MID(VLOOKUP($B328,Seqs!$A:$B,2,0),M328,1),"")</f>
        <v>A</v>
      </c>
      <c r="M328" s="3">
        <v>102</v>
      </c>
      <c r="N328" s="3" t="str">
        <f>IFERROR(MID(VLOOKUP($B328,Seqs!$A:$B,2,0),O328,1),"")</f>
        <v>G</v>
      </c>
      <c r="O328" s="3">
        <v>131</v>
      </c>
      <c r="P328" s="3" t="str">
        <f>IFERROR(MID(VLOOKUP($B328,Seqs!$A:$B,2,0),Q328,1),"")</f>
        <v>T</v>
      </c>
      <c r="Q328" s="3">
        <v>132</v>
      </c>
      <c r="R328" s="3" t="str">
        <f>IFERROR(MID(VLOOKUP($B328,Seqs!$A:$B,2,0),S328,1),"")</f>
        <v>F</v>
      </c>
      <c r="S328" s="3">
        <v>135</v>
      </c>
      <c r="T328" s="3" t="str">
        <f>IFERROR(MID(VLOOKUP($B328,Seqs!$A:$B,2,0),U328,1),"")</f>
        <v>G</v>
      </c>
      <c r="U328" s="3">
        <v>136</v>
      </c>
      <c r="V328" s="3" t="str">
        <f>IFERROR(MID(VLOOKUP($B328,Seqs!$A:$B,2,0),W328,1),"")</f>
        <v>H</v>
      </c>
      <c r="W328" s="3">
        <v>171</v>
      </c>
      <c r="X328" s="3" t="str">
        <f>IFERROR(MID(VLOOKUP($B328,Seqs!$A:$B,2,0),Y328,1),"")</f>
        <v>P</v>
      </c>
      <c r="Y328" s="3">
        <v>172</v>
      </c>
      <c r="Z328" s="3" t="str">
        <f>IFERROR(MID(VLOOKUP($B328,Seqs!$A:$B,2,0),AA328,1),"")</f>
        <v>R</v>
      </c>
      <c r="AA328" s="3">
        <v>179</v>
      </c>
      <c r="AB328" s="3" t="str">
        <f>IFERROR(MID(VLOOKUP($B328,Seqs!$A:$B,2,0),AC328,1),"")</f>
        <v>T</v>
      </c>
      <c r="AC328" s="3">
        <v>180</v>
      </c>
      <c r="AD328" s="3" t="str">
        <f>IFERROR(MID(VLOOKUP($B328,Seqs!$A:$B,2,0),AE328,1),"")</f>
        <v>F</v>
      </c>
      <c r="AE328" s="3">
        <v>204</v>
      </c>
      <c r="AF328" s="3" t="str">
        <f>IFERROR(MID(VLOOKUP($B328,Seqs!$A:$B,2,0),AG328,1),"")</f>
        <v>C</v>
      </c>
      <c r="AG328" s="3">
        <v>217</v>
      </c>
      <c r="AH328" s="3" t="str">
        <f>IFERROR(MID(VLOOKUP($B328,Seqs!$A:$B,2,0),AI328,1),"")</f>
        <v>L</v>
      </c>
      <c r="AI328" s="3">
        <v>219</v>
      </c>
      <c r="AJ328" s="3" t="str">
        <f>IFERROR(MID(VLOOKUP($B328,Seqs!$A:$B,2,0),AK328,1),"")</f>
        <v>Y</v>
      </c>
      <c r="AK328" s="3">
        <v>227</v>
      </c>
      <c r="AL328" s="3" t="str">
        <f>IFERROR(MID(VLOOKUP($B328,Seqs!$A:$B,2,0),AM328,1),"")</f>
        <v>V</v>
      </c>
      <c r="AM328" s="3">
        <v>262</v>
      </c>
      <c r="AN328" s="3" t="str">
        <f>IFERROR(MID(VLOOKUP($B328,Seqs!$A:$B,2,0),AO328,1),"")</f>
        <v>S</v>
      </c>
      <c r="AO328" s="3">
        <v>268</v>
      </c>
      <c r="AP328" s="3" t="str">
        <f>IFERROR(MID(VLOOKUP($B328,Seqs!$A:$B,2,0),AQ328,1),"")</f>
        <v>I</v>
      </c>
      <c r="AQ328" s="3">
        <v>306</v>
      </c>
      <c r="AR328" s="3" t="str">
        <f>IFERROR(MID(VLOOKUP($B328,Seqs!$A:$B,2,0),AS328,1),"")</f>
        <v>F</v>
      </c>
      <c r="AS328" s="3">
        <v>313</v>
      </c>
      <c r="AT328" s="3" t="str">
        <f>IFERROR(MID(VLOOKUP($B328,Seqs!$A:$B,2,0),AU328,1),"")</f>
        <v>Y</v>
      </c>
      <c r="AU328" s="3">
        <v>336</v>
      </c>
      <c r="AV328" s="3" t="str">
        <f>IFERROR(MID(VLOOKUP($B328,Seqs!$A:$B,2,0),AW328,1),"")</f>
        <v/>
      </c>
      <c r="AW328" s="3" t="s">
        <v>23</v>
      </c>
      <c r="AX328" s="3" t="str">
        <f>IFERROR(MID(VLOOKUP($B328,Seqs!$A:$B,2,0),AY328,1),"")</f>
        <v/>
      </c>
      <c r="AY328" s="3" t="s">
        <v>23</v>
      </c>
      <c r="AZ328" s="77" t="str">
        <f>VLOOKUP(B328,Classification!A:D,2,0)</f>
        <v>A</v>
      </c>
      <c r="BA328" s="94" t="str">
        <f>VLOOKUP(B328,Classification!A:D,4,0)</f>
        <v>Opioid</v>
      </c>
      <c r="BB328" s="27" t="b">
        <f>AND(E328&lt;G328,OR(G328&lt;I328,I328="-"),OR(I328&lt;K328,I328="-"),OR(K328&lt;M328,K328="-"),M328&lt;O328,OR(O328&lt;Q328,Q328="-"),OR(Q328&lt;S328,Q328="-"),OR(S328&lt;U328,S328="-"),U328&lt;W328,OR(W328&lt;Y328,Y328="-"),OR(Y328&lt;AA328,Y328="-"),OR(AA328&lt;AC328,AA328="-"),AC328&lt;AE328,OR(AE328&lt;AG328,AG328="-"),OR(AG328&lt;AI328,AG328="-"),OR(AI328&lt;AK328,AI328="-"),AK328&lt;AM328,AM328&lt;AO328,AO328&lt;AQ328,AQ328&lt;AS328,AS328&lt;AU328,OR(AU328&lt;AW328,AW328="-"),OR(AW328&lt;AY328,AW328="-"))</f>
        <v>1</v>
      </c>
      <c r="BC328" s="23">
        <f>_xlfn.AGGREGATE(9,6,CH328:CS328)-_xlfn.AGGREGATE(9,6,BV328:CG328)+12</f>
        <v>239</v>
      </c>
      <c r="BD328" s="5" t="s">
        <v>23</v>
      </c>
      <c r="BE328" s="3" t="s">
        <v>1285</v>
      </c>
      <c r="BF328" s="118">
        <v>3.5</v>
      </c>
      <c r="BG328" s="49" t="s">
        <v>1416</v>
      </c>
      <c r="BH328" s="49" t="s">
        <v>1416</v>
      </c>
      <c r="BI328" s="1"/>
      <c r="BJ328" s="70" t="s">
        <v>1281</v>
      </c>
      <c r="BK328" s="57" t="s">
        <v>1281</v>
      </c>
      <c r="BL328" s="57" t="s">
        <v>1281</v>
      </c>
      <c r="BM328" s="57" t="s">
        <v>1281</v>
      </c>
      <c r="BN328" s="57" t="s">
        <v>1281</v>
      </c>
      <c r="BO328" s="57" t="s">
        <v>1281</v>
      </c>
      <c r="BP328" s="57" t="s">
        <v>1281</v>
      </c>
      <c r="BQ328" s="57" t="s">
        <v>1281</v>
      </c>
      <c r="BR328" s="57" t="s">
        <v>1281</v>
      </c>
      <c r="BS328" s="57" t="s">
        <v>1281</v>
      </c>
      <c r="BT328" s="57" t="s">
        <v>1281</v>
      </c>
      <c r="BU328" s="57" t="s">
        <v>1281</v>
      </c>
      <c r="BV328" s="70">
        <f>E328</f>
        <v>67</v>
      </c>
      <c r="BW328" s="71" t="str">
        <f>I328</f>
        <v>-</v>
      </c>
      <c r="BX328" s="72">
        <f>M328</f>
        <v>102</v>
      </c>
      <c r="BY328" s="71">
        <f>Q328</f>
        <v>132</v>
      </c>
      <c r="BZ328" s="72">
        <f>U328</f>
        <v>136</v>
      </c>
      <c r="CA328" s="71">
        <f>Y328</f>
        <v>172</v>
      </c>
      <c r="CB328" s="72">
        <f>AC328</f>
        <v>180</v>
      </c>
      <c r="CC328" s="71">
        <f>AG328</f>
        <v>217</v>
      </c>
      <c r="CD328" s="72">
        <f>AK328</f>
        <v>227</v>
      </c>
      <c r="CE328" s="71">
        <f>AO328</f>
        <v>268</v>
      </c>
      <c r="CF328" s="72">
        <f>AS328</f>
        <v>313</v>
      </c>
      <c r="CG328" s="71" t="str">
        <f>AW328</f>
        <v>-</v>
      </c>
      <c r="CH328" s="70">
        <f>G328</f>
        <v>98</v>
      </c>
      <c r="CI328" s="71" t="str">
        <f>K328</f>
        <v>-</v>
      </c>
      <c r="CJ328" s="72">
        <f>O328</f>
        <v>131</v>
      </c>
      <c r="CK328" s="72">
        <f>S328</f>
        <v>135</v>
      </c>
      <c r="CL328" s="72">
        <f>W328</f>
        <v>171</v>
      </c>
      <c r="CM328" s="72">
        <f>AA328</f>
        <v>179</v>
      </c>
      <c r="CN328" s="72">
        <f>AE328</f>
        <v>204</v>
      </c>
      <c r="CO328" s="72">
        <f>AI328</f>
        <v>219</v>
      </c>
      <c r="CP328" s="72">
        <f>AM328</f>
        <v>262</v>
      </c>
      <c r="CQ328" s="72">
        <f>AQ328</f>
        <v>306</v>
      </c>
      <c r="CR328" s="72">
        <f>AU328</f>
        <v>336</v>
      </c>
      <c r="CS328" s="72" t="str">
        <f>AY328</f>
        <v>-</v>
      </c>
      <c r="CT328" s="23" t="e">
        <f>M328-K328</f>
        <v>#VALUE!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29" x14ac:dyDescent="0.2">
      <c r="A329" s="3" t="str">
        <f>CONCATENATE(B329,"_",C329)</f>
        <v>oprm_mouse_6DDF</v>
      </c>
      <c r="B329" s="3" t="s">
        <v>911</v>
      </c>
      <c r="C329" s="3" t="s">
        <v>1495</v>
      </c>
      <c r="D329" s="3" t="str">
        <f>IFERROR(MID(VLOOKUP($B329,Seqs!$A:$B,2,0),E329,1),"")</f>
        <v>T</v>
      </c>
      <c r="E329" s="3">
        <v>67</v>
      </c>
      <c r="F329" s="3" t="str">
        <f>IFERROR(MID(VLOOKUP($B329,Seqs!$A:$B,2,0),G329,1),"")</f>
        <v>K</v>
      </c>
      <c r="G329" s="3">
        <v>98</v>
      </c>
      <c r="H329" s="3" t="str">
        <f>IFERROR(MID(VLOOKUP($B329,Seqs!$A:$B,2,0),I329,1),"")</f>
        <v/>
      </c>
      <c r="I329" s="23" t="s">
        <v>23</v>
      </c>
      <c r="J329" s="3" t="str">
        <f>IFERROR(MID(VLOOKUP($B329,Seqs!$A:$B,2,0),K329,1),"")</f>
        <v/>
      </c>
      <c r="K329" s="23" t="s">
        <v>23</v>
      </c>
      <c r="L329" s="3" t="str">
        <f>IFERROR(MID(VLOOKUP($B329,Seqs!$A:$B,2,0),M329,1),"")</f>
        <v>A</v>
      </c>
      <c r="M329" s="3">
        <v>102</v>
      </c>
      <c r="N329" s="3" t="str">
        <f>IFERROR(MID(VLOOKUP($B329,Seqs!$A:$B,2,0),O329,1),"")</f>
        <v>G</v>
      </c>
      <c r="O329" s="3">
        <v>131</v>
      </c>
      <c r="P329" s="3" t="str">
        <f>IFERROR(MID(VLOOKUP($B329,Seqs!$A:$B,2,0),Q329,1),"")</f>
        <v>T</v>
      </c>
      <c r="Q329" s="3">
        <v>132</v>
      </c>
      <c r="R329" s="3" t="str">
        <f>IFERROR(MID(VLOOKUP($B329,Seqs!$A:$B,2,0),S329,1),"")</f>
        <v>F</v>
      </c>
      <c r="S329" s="3">
        <v>135</v>
      </c>
      <c r="T329" s="3" t="str">
        <f>IFERROR(MID(VLOOKUP($B329,Seqs!$A:$B,2,0),U329,1),"")</f>
        <v>G</v>
      </c>
      <c r="U329" s="3">
        <v>136</v>
      </c>
      <c r="V329" s="3" t="str">
        <f>IFERROR(MID(VLOOKUP($B329,Seqs!$A:$B,2,0),W329,1),"")</f>
        <v>H</v>
      </c>
      <c r="W329" s="3">
        <v>171</v>
      </c>
      <c r="X329" s="3" t="str">
        <f>IFERROR(MID(VLOOKUP($B329,Seqs!$A:$B,2,0),Y329,1),"")</f>
        <v>P</v>
      </c>
      <c r="Y329" s="3">
        <v>172</v>
      </c>
      <c r="Z329" s="3" t="str">
        <f>IFERROR(MID(VLOOKUP($B329,Seqs!$A:$B,2,0),AA329,1),"")</f>
        <v>R</v>
      </c>
      <c r="AA329" s="3">
        <v>179</v>
      </c>
      <c r="AB329" s="3" t="str">
        <f>IFERROR(MID(VLOOKUP($B329,Seqs!$A:$B,2,0),AC329,1),"")</f>
        <v>T</v>
      </c>
      <c r="AC329" s="3">
        <v>180</v>
      </c>
      <c r="AD329" s="3" t="str">
        <f>IFERROR(MID(VLOOKUP($B329,Seqs!$A:$B,2,0),AE329,1),"")</f>
        <v>F</v>
      </c>
      <c r="AE329" s="3">
        <v>204</v>
      </c>
      <c r="AF329" s="3" t="str">
        <f>IFERROR(MID(VLOOKUP($B329,Seqs!$A:$B,2,0),AG329,1),"")</f>
        <v>C</v>
      </c>
      <c r="AG329" s="3">
        <v>217</v>
      </c>
      <c r="AH329" s="3" t="str">
        <f>IFERROR(MID(VLOOKUP($B329,Seqs!$A:$B,2,0),AI329,1),"")</f>
        <v>L</v>
      </c>
      <c r="AI329" s="3">
        <v>219</v>
      </c>
      <c r="AJ329" s="3" t="str">
        <f>IFERROR(MID(VLOOKUP($B329,Seqs!$A:$B,2,0),AK329,1),"")</f>
        <v>Y</v>
      </c>
      <c r="AK329" s="3">
        <v>227</v>
      </c>
      <c r="AL329" s="3" t="str">
        <f>IFERROR(MID(VLOOKUP($B329,Seqs!$A:$B,2,0),AM329,1),"")</f>
        <v>V</v>
      </c>
      <c r="AM329" s="3">
        <v>262</v>
      </c>
      <c r="AN329" s="3" t="str">
        <f>IFERROR(MID(VLOOKUP($B329,Seqs!$A:$B,2,0),AO329,1),"")</f>
        <v>S</v>
      </c>
      <c r="AO329" s="3">
        <v>268</v>
      </c>
      <c r="AP329" s="3" t="str">
        <f>IFERROR(MID(VLOOKUP($B329,Seqs!$A:$B,2,0),AQ329,1),"")</f>
        <v>I</v>
      </c>
      <c r="AQ329" s="3">
        <v>306</v>
      </c>
      <c r="AR329" s="3" t="str">
        <f>IFERROR(MID(VLOOKUP($B329,Seqs!$A:$B,2,0),AS329,1),"")</f>
        <v>F</v>
      </c>
      <c r="AS329" s="3">
        <v>313</v>
      </c>
      <c r="AT329" s="3" t="str">
        <f>IFERROR(MID(VLOOKUP($B329,Seqs!$A:$B,2,0),AU329,1),"")</f>
        <v>Y</v>
      </c>
      <c r="AU329" s="3">
        <v>336</v>
      </c>
      <c r="AV329" s="3" t="str">
        <f>IFERROR(MID(VLOOKUP($B329,Seqs!$A:$B,2,0),AW329,1),"")</f>
        <v/>
      </c>
      <c r="AW329" s="3" t="s">
        <v>23</v>
      </c>
      <c r="AX329" s="3" t="str">
        <f>IFERROR(MID(VLOOKUP($B329,Seqs!$A:$B,2,0),AY329,1),"")</f>
        <v/>
      </c>
      <c r="AY329" s="3" t="s">
        <v>23</v>
      </c>
      <c r="AZ329" s="77" t="str">
        <f>VLOOKUP(B329,Classification!A:D,2,0)</f>
        <v>A</v>
      </c>
      <c r="BA329" s="94" t="str">
        <f>VLOOKUP(B329,Classification!A:D,4,0)</f>
        <v>Opioid</v>
      </c>
      <c r="BB329" s="27" t="b">
        <f>AND(E329&lt;G329,OR(G329&lt;I329,I329="-"),OR(I329&lt;K329,I329="-"),OR(K329&lt;M329,K329="-"),M329&lt;O329,OR(O329&lt;Q329,Q329="-"),OR(Q329&lt;S329,Q329="-"),OR(S329&lt;U329,S329="-"),U329&lt;W329,OR(W329&lt;Y329,Y329="-"),OR(Y329&lt;AA329,Y329="-"),OR(AA329&lt;AC329,AA329="-"),AC329&lt;AE329,OR(AE329&lt;AG329,AG329="-"),OR(AG329&lt;AI329,AG329="-"),OR(AI329&lt;AK329,AI329="-"),AK329&lt;AM329,AM329&lt;AO329,AO329&lt;AQ329,AQ329&lt;AS329,AS329&lt;AU329,OR(AU329&lt;AW329,AW329="-"),OR(AW329&lt;AY329,AW329="-"))</f>
        <v>1</v>
      </c>
      <c r="BC329" s="23">
        <f>_xlfn.AGGREGATE(9,6,CH329:CS329)-_xlfn.AGGREGATE(9,6,BV329:CG329)+12</f>
        <v>239</v>
      </c>
      <c r="BD329" s="5" t="s">
        <v>23</v>
      </c>
      <c r="BE329" s="3" t="s">
        <v>1285</v>
      </c>
      <c r="BF329" s="118">
        <v>4.5</v>
      </c>
      <c r="BG329" s="49" t="s">
        <v>1416</v>
      </c>
      <c r="BH329" s="49" t="s">
        <v>1416</v>
      </c>
      <c r="BI329" s="1"/>
      <c r="BJ329" s="70" t="s">
        <v>1281</v>
      </c>
      <c r="BK329" s="57" t="s">
        <v>1281</v>
      </c>
      <c r="BL329" s="57" t="s">
        <v>1281</v>
      </c>
      <c r="BM329" s="57" t="s">
        <v>1281</v>
      </c>
      <c r="BN329" s="57" t="s">
        <v>1281</v>
      </c>
      <c r="BO329" s="57" t="s">
        <v>1281</v>
      </c>
      <c r="BP329" s="57" t="s">
        <v>1281</v>
      </c>
      <c r="BQ329" s="57" t="s">
        <v>1281</v>
      </c>
      <c r="BR329" s="57" t="s">
        <v>1281</v>
      </c>
      <c r="BS329" s="57" t="s">
        <v>1281</v>
      </c>
      <c r="BT329" s="57" t="s">
        <v>1281</v>
      </c>
      <c r="BU329" s="57" t="s">
        <v>1281</v>
      </c>
      <c r="BV329" s="70">
        <f>E329</f>
        <v>67</v>
      </c>
      <c r="BW329" s="71" t="str">
        <f>I329</f>
        <v>-</v>
      </c>
      <c r="BX329" s="72">
        <f>M329</f>
        <v>102</v>
      </c>
      <c r="BY329" s="71">
        <f>Q329</f>
        <v>132</v>
      </c>
      <c r="BZ329" s="72">
        <f>U329</f>
        <v>136</v>
      </c>
      <c r="CA329" s="71">
        <f>Y329</f>
        <v>172</v>
      </c>
      <c r="CB329" s="72">
        <f>AC329</f>
        <v>180</v>
      </c>
      <c r="CC329" s="71">
        <f>AG329</f>
        <v>217</v>
      </c>
      <c r="CD329" s="72">
        <f>AK329</f>
        <v>227</v>
      </c>
      <c r="CE329" s="71">
        <f>AO329</f>
        <v>268</v>
      </c>
      <c r="CF329" s="72">
        <f>AS329</f>
        <v>313</v>
      </c>
      <c r="CG329" s="71" t="str">
        <f>AW329</f>
        <v>-</v>
      </c>
      <c r="CH329" s="70">
        <f>G329</f>
        <v>98</v>
      </c>
      <c r="CI329" s="71" t="str">
        <f>K329</f>
        <v>-</v>
      </c>
      <c r="CJ329" s="72">
        <f>O329</f>
        <v>131</v>
      </c>
      <c r="CK329" s="72">
        <f>S329</f>
        <v>135</v>
      </c>
      <c r="CL329" s="72">
        <f>W329</f>
        <v>171</v>
      </c>
      <c r="CM329" s="72">
        <f>AA329</f>
        <v>179</v>
      </c>
      <c r="CN329" s="72">
        <f>AE329</f>
        <v>204</v>
      </c>
      <c r="CO329" s="72">
        <f>AI329</f>
        <v>219</v>
      </c>
      <c r="CP329" s="72">
        <f>AM329</f>
        <v>262</v>
      </c>
      <c r="CQ329" s="72">
        <f>AQ329</f>
        <v>306</v>
      </c>
      <c r="CR329" s="72">
        <f>AU329</f>
        <v>336</v>
      </c>
      <c r="CS329" s="72" t="str">
        <f>AY329</f>
        <v>-</v>
      </c>
      <c r="CT329" s="23" t="e">
        <f>M329-K329</f>
        <v>#VALUE!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29" x14ac:dyDescent="0.2">
      <c r="A330" s="3" t="str">
        <f t="shared" si="2570"/>
        <v>oprx_human__wt</v>
      </c>
      <c r="B330" s="3" t="s">
        <v>1167</v>
      </c>
      <c r="C330" s="3" t="s">
        <v>100</v>
      </c>
      <c r="D330" s="3" t="str">
        <f>IFERROR(MID(VLOOKUP($B330,Seqs!$A:$B,2,0),E330,1),"")</f>
        <v>L</v>
      </c>
      <c r="E330" s="3">
        <v>48</v>
      </c>
      <c r="F330" s="3" t="str">
        <f>IFERROR(MID(VLOOKUP($B330,Seqs!$A:$B,2,0),G330,1),"")</f>
        <v>H</v>
      </c>
      <c r="G330" s="3">
        <v>79</v>
      </c>
      <c r="H330" s="3" t="str">
        <f>IFERROR(MID(VLOOKUP($B330,Seqs!$A:$B,2,0),I330,1),"")</f>
        <v>T</v>
      </c>
      <c r="I330" s="23">
        <v>80</v>
      </c>
      <c r="J330" s="3" t="str">
        <f>IFERROR(MID(VLOOKUP($B330,Seqs!$A:$B,2,0),K330,1),"")</f>
        <v>K</v>
      </c>
      <c r="K330" s="23">
        <v>83</v>
      </c>
      <c r="L330" s="3" t="str">
        <f>IFERROR(MID(VLOOKUP($B330,Seqs!$A:$B,2,0),M330,1),"")</f>
        <v>T</v>
      </c>
      <c r="M330" s="3">
        <v>84</v>
      </c>
      <c r="N330" s="3" t="str">
        <f>IFERROR(MID(VLOOKUP($B330,Seqs!$A:$B,2,0),O330,1),"")</f>
        <v>G</v>
      </c>
      <c r="O330" s="105">
        <v>114</v>
      </c>
      <c r="P330" s="3" t="str">
        <f>IFERROR(MID(VLOOKUP($B330,Seqs!$A:$B,2,0),Q330,1),"")</f>
        <v>F</v>
      </c>
      <c r="Q330" s="3">
        <v>115</v>
      </c>
      <c r="R330" s="3" t="str">
        <f>IFERROR(MID(VLOOKUP($B330,Seqs!$A:$B,2,0),S330,1),"")</f>
        <v>F</v>
      </c>
      <c r="S330" s="3">
        <v>118</v>
      </c>
      <c r="T330" s="3" t="str">
        <f>IFERROR(MID(VLOOKUP($B330,Seqs!$A:$B,2,0),U330,1),"")</f>
        <v>G</v>
      </c>
      <c r="U330" s="3">
        <v>119</v>
      </c>
      <c r="V330" s="3" t="str">
        <f>IFERROR(MID(VLOOKUP($B330,Seqs!$A:$B,2,0),W330,1),"")</f>
        <v>H</v>
      </c>
      <c r="W330" s="3">
        <v>154</v>
      </c>
      <c r="X330" s="3" t="str">
        <f>IFERROR(MID(VLOOKUP($B330,Seqs!$A:$B,2,0),Y330,1),"")</f>
        <v>P</v>
      </c>
      <c r="Y330" s="3">
        <v>155</v>
      </c>
      <c r="Z330" s="3" t="str">
        <f>IFERROR(MID(VLOOKUP($B330,Seqs!$A:$B,2,0),AA330,1),"")</f>
        <v>R</v>
      </c>
      <c r="AA330" s="3">
        <v>162</v>
      </c>
      <c r="AB330" s="3" t="str">
        <f>IFERROR(MID(VLOOKUP($B330,Seqs!$A:$B,2,0),AC330,1),"")</f>
        <v>T</v>
      </c>
      <c r="AC330" s="9">
        <v>163</v>
      </c>
      <c r="AD330" s="3" t="str">
        <f>IFERROR(MID(VLOOKUP($B330,Seqs!$A:$B,2,0),AE330,1),"")</f>
        <v>G</v>
      </c>
      <c r="AE330" s="3">
        <v>189</v>
      </c>
      <c r="AF330" s="3" t="str">
        <f>IFERROR(MID(VLOOKUP($B330,Seqs!$A:$B,2,0),AG330,1),"")</f>
        <v>C</v>
      </c>
      <c r="AG330" s="3">
        <v>200</v>
      </c>
      <c r="AH330" s="3" t="str">
        <f>IFERROR(MID(VLOOKUP($B330,Seqs!$A:$B,2,0),AI330,1),"")</f>
        <v>V</v>
      </c>
      <c r="AI330" s="3">
        <v>202</v>
      </c>
      <c r="AJ330" s="3" t="str">
        <f>IFERROR(MID(VLOOKUP($B330,Seqs!$A:$B,2,0),AK330,1),"")</f>
        <v>P</v>
      </c>
      <c r="AK330" s="105">
        <v>207</v>
      </c>
      <c r="AL330" s="3" t="str">
        <f>IFERROR(MID(VLOOKUP($B330,Seqs!$A:$B,2,0),AM330,1),"")</f>
        <v>V</v>
      </c>
      <c r="AM330" s="3">
        <v>245</v>
      </c>
      <c r="AN330" s="3" t="str">
        <f>IFERROR(MID(VLOOKUP($B330,Seqs!$A:$B,2,0),AO330,1),"")</f>
        <v>S</v>
      </c>
      <c r="AO330" s="3">
        <v>251</v>
      </c>
      <c r="AP330" s="3" t="str">
        <f>IFERROR(MID(VLOOKUP($B330,Seqs!$A:$B,2,0),AQ330,1),"")</f>
        <v>G</v>
      </c>
      <c r="AQ330" s="3">
        <v>289</v>
      </c>
      <c r="AR330" s="3" t="str">
        <f>IFERROR(MID(VLOOKUP($B330,Seqs!$A:$B,2,0),AS330,1),"")</f>
        <v>S</v>
      </c>
      <c r="AS330" s="3">
        <v>294</v>
      </c>
      <c r="AT330" s="3" t="str">
        <f>IFERROR(MID(VLOOKUP($B330,Seqs!$A:$B,2,0),AU330,1),"")</f>
        <v>L</v>
      </c>
      <c r="AU330" s="3">
        <v>322</v>
      </c>
      <c r="AV330" s="3" t="str">
        <f>IFERROR(MID(VLOOKUP($B330,Seqs!$A:$B,2,0),AW330,1),"")</f>
        <v>D</v>
      </c>
      <c r="AW330" s="3">
        <v>323</v>
      </c>
      <c r="AX330" s="3" t="str">
        <f>IFERROR(MID(VLOOKUP($B330,Seqs!$A:$B,2,0),AY330,1),"")</f>
        <v>C</v>
      </c>
      <c r="AY330" s="3">
        <v>335</v>
      </c>
      <c r="AZ330" s="77" t="str">
        <f>VLOOKUP(B330,Classification!A:D,2,0)</f>
        <v>A</v>
      </c>
      <c r="BA330" s="94" t="str">
        <f>VLOOKUP(B330,Classification!A:D,4,0)</f>
        <v>Opioid</v>
      </c>
      <c r="BB330" s="27" t="b">
        <f t="shared" si="2571"/>
        <v>1</v>
      </c>
      <c r="BC330" s="23">
        <f t="shared" si="2208"/>
        <v>265</v>
      </c>
      <c r="BD330" s="56" t="s">
        <v>23</v>
      </c>
      <c r="BE330" s="3" t="s">
        <v>23</v>
      </c>
      <c r="BF330" s="118" t="s">
        <v>23</v>
      </c>
      <c r="BG330" s="49" t="s">
        <v>1366</v>
      </c>
      <c r="BH330" s="49" t="s">
        <v>1371</v>
      </c>
      <c r="BI330" s="1"/>
      <c r="BJ330" s="70" t="s">
        <v>1281</v>
      </c>
      <c r="BK330" s="57" t="s">
        <v>1281</v>
      </c>
      <c r="BL330" s="57" t="s">
        <v>1281</v>
      </c>
      <c r="BM330" s="57" t="s">
        <v>1281</v>
      </c>
      <c r="BN330" s="57" t="s">
        <v>1281</v>
      </c>
      <c r="BO330" s="57" t="s">
        <v>1281</v>
      </c>
      <c r="BP330" s="57" t="s">
        <v>1281</v>
      </c>
      <c r="BQ330" s="57" t="s">
        <v>1281</v>
      </c>
      <c r="BR330" s="57" t="s">
        <v>1281</v>
      </c>
      <c r="BS330" s="57" t="s">
        <v>1281</v>
      </c>
      <c r="BT330" s="57" t="s">
        <v>1281</v>
      </c>
      <c r="BU330" s="57" t="s">
        <v>1281</v>
      </c>
      <c r="BV330" s="70">
        <f t="shared" si="2209"/>
        <v>48</v>
      </c>
      <c r="BW330" s="71">
        <f t="shared" si="2210"/>
        <v>80</v>
      </c>
      <c r="BX330" s="72">
        <f t="shared" si="2211"/>
        <v>84</v>
      </c>
      <c r="BY330" s="71">
        <f t="shared" si="2212"/>
        <v>115</v>
      </c>
      <c r="BZ330" s="72">
        <f t="shared" si="2213"/>
        <v>119</v>
      </c>
      <c r="CA330" s="71">
        <f t="shared" si="2214"/>
        <v>155</v>
      </c>
      <c r="CB330" s="72">
        <f t="shared" si="2215"/>
        <v>163</v>
      </c>
      <c r="CC330" s="71">
        <f t="shared" si="2216"/>
        <v>200</v>
      </c>
      <c r="CD330" s="72">
        <f t="shared" si="2217"/>
        <v>207</v>
      </c>
      <c r="CE330" s="71">
        <f t="shared" si="2218"/>
        <v>251</v>
      </c>
      <c r="CF330" s="72">
        <f t="shared" si="2219"/>
        <v>294</v>
      </c>
      <c r="CG330" s="71">
        <f t="shared" si="2220"/>
        <v>323</v>
      </c>
      <c r="CH330" s="70">
        <f t="shared" si="2221"/>
        <v>79</v>
      </c>
      <c r="CI330" s="71">
        <f t="shared" si="2222"/>
        <v>83</v>
      </c>
      <c r="CJ330" s="72">
        <f t="shared" si="2223"/>
        <v>114</v>
      </c>
      <c r="CK330" s="72">
        <f t="shared" si="2224"/>
        <v>118</v>
      </c>
      <c r="CL330" s="72">
        <f t="shared" si="2225"/>
        <v>154</v>
      </c>
      <c r="CM330" s="72">
        <f t="shared" si="2226"/>
        <v>162</v>
      </c>
      <c r="CN330" s="72">
        <f t="shared" si="2227"/>
        <v>189</v>
      </c>
      <c r="CO330" s="72">
        <f t="shared" si="2228"/>
        <v>202</v>
      </c>
      <c r="CP330" s="72">
        <f t="shared" si="2229"/>
        <v>245</v>
      </c>
      <c r="CQ330" s="72">
        <f t="shared" si="2230"/>
        <v>289</v>
      </c>
      <c r="CR330" s="72">
        <f t="shared" si="2231"/>
        <v>322</v>
      </c>
      <c r="CS330" s="72">
        <f t="shared" si="2232"/>
        <v>335</v>
      </c>
      <c r="CT330" s="23">
        <f t="shared" si="2233"/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29" x14ac:dyDescent="0.2">
      <c r="A331" s="3" t="str">
        <f t="shared" si="2570"/>
        <v>oprx_human_4EA3</v>
      </c>
      <c r="B331" s="3" t="s">
        <v>1167</v>
      </c>
      <c r="C331" s="3" t="s">
        <v>67</v>
      </c>
      <c r="D331" s="3" t="str">
        <f>IFERROR(MID(VLOOKUP($B331,Seqs!$A:$B,2,0),E331,1),"")</f>
        <v>L</v>
      </c>
      <c r="E331" s="3">
        <v>48</v>
      </c>
      <c r="F331" s="3" t="str">
        <f>IFERROR(MID(VLOOKUP($B331,Seqs!$A:$B,2,0),G331,1),"")</f>
        <v>H</v>
      </c>
      <c r="G331" s="3">
        <v>79</v>
      </c>
      <c r="H331" s="3" t="str">
        <f>IFERROR(MID(VLOOKUP($B331,Seqs!$A:$B,2,0),I331,1),"")</f>
        <v/>
      </c>
      <c r="I331" s="23" t="s">
        <v>23</v>
      </c>
      <c r="J331" s="3" t="str">
        <f>IFERROR(MID(VLOOKUP($B331,Seqs!$A:$B,2,0),K331,1),"")</f>
        <v/>
      </c>
      <c r="K331" s="23" t="s">
        <v>23</v>
      </c>
      <c r="L331" s="3" t="str">
        <f>IFERROR(MID(VLOOKUP($B331,Seqs!$A:$B,2,0),M331,1),"")</f>
        <v>T</v>
      </c>
      <c r="M331" s="3">
        <v>84</v>
      </c>
      <c r="N331" s="3" t="str">
        <f>IFERROR(MID(VLOOKUP($B331,Seqs!$A:$B,2,0),O331,1),"")</f>
        <v>G</v>
      </c>
      <c r="O331" s="3">
        <v>114</v>
      </c>
      <c r="P331" s="3" t="str">
        <f>IFERROR(MID(VLOOKUP($B331,Seqs!$A:$B,2,0),Q331,1),"")</f>
        <v>F</v>
      </c>
      <c r="Q331" s="3">
        <v>115</v>
      </c>
      <c r="R331" s="3" t="str">
        <f>IFERROR(MID(VLOOKUP($B331,Seqs!$A:$B,2,0),S331,1),"")</f>
        <v>F</v>
      </c>
      <c r="S331" s="3">
        <v>118</v>
      </c>
      <c r="T331" s="3" t="str">
        <f>IFERROR(MID(VLOOKUP($B331,Seqs!$A:$B,2,0),U331,1),"")</f>
        <v>G</v>
      </c>
      <c r="U331" s="3">
        <v>119</v>
      </c>
      <c r="V331" s="3" t="str">
        <f>IFERROR(MID(VLOOKUP($B331,Seqs!$A:$B,2,0),W331,1),"")</f>
        <v>H</v>
      </c>
      <c r="W331" s="3">
        <v>154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T</v>
      </c>
      <c r="AC331" s="9">
        <v>163</v>
      </c>
      <c r="AD331" s="3" t="str">
        <f>IFERROR(MID(VLOOKUP($B331,Seqs!$A:$B,2,0),AE331,1),"")</f>
        <v>G</v>
      </c>
      <c r="AE331" s="3">
        <v>189</v>
      </c>
      <c r="AF331" s="3" t="str">
        <f>IFERROR(MID(VLOOKUP($B331,Seqs!$A:$B,2,0),AG331,1),"")</f>
        <v>C</v>
      </c>
      <c r="AG331" s="3">
        <v>200</v>
      </c>
      <c r="AH331" s="3" t="str">
        <f>IFERROR(MID(VLOOKUP($B331,Seqs!$A:$B,2,0),AI331,1),"")</f>
        <v>V</v>
      </c>
      <c r="AI331" s="3">
        <v>202</v>
      </c>
      <c r="AJ331" s="3" t="str">
        <f>IFERROR(MID(VLOOKUP($B331,Seqs!$A:$B,2,0),AK331,1),"")</f>
        <v>P</v>
      </c>
      <c r="AK331" s="3">
        <v>207</v>
      </c>
      <c r="AL331" s="3" t="str">
        <f>IFERROR(MID(VLOOKUP($B331,Seqs!$A:$B,2,0),AM331,1),"")</f>
        <v>L</v>
      </c>
      <c r="AM331" s="3">
        <v>242</v>
      </c>
      <c r="AN331" s="3" t="str">
        <f>IFERROR(MID(VLOOKUP($B331,Seqs!$A:$B,2,0),AO331,1),"")</f>
        <v>S</v>
      </c>
      <c r="AO331" s="3">
        <v>251</v>
      </c>
      <c r="AP331" s="3" t="str">
        <f>IFERROR(MID(VLOOKUP($B331,Seqs!$A:$B,2,0),AQ331,1),"")</f>
        <v>G</v>
      </c>
      <c r="AQ331" s="3">
        <v>289</v>
      </c>
      <c r="AR331" s="3" t="str">
        <f>IFERROR(MID(VLOOKUP($B331,Seqs!$A:$B,2,0),AS331,1),"")</f>
        <v>S</v>
      </c>
      <c r="AS331" s="3">
        <v>294</v>
      </c>
      <c r="AT331" s="3" t="str">
        <f>IFERROR(MID(VLOOKUP($B331,Seqs!$A:$B,2,0),AU331,1),"")</f>
        <v>L</v>
      </c>
      <c r="AU331" s="3">
        <v>322</v>
      </c>
      <c r="AV331" s="3" t="str">
        <f>IFERROR(MID(VLOOKUP($B331,Seqs!$A:$B,2,0),AW331,1),"")</f>
        <v>D</v>
      </c>
      <c r="AW331" s="3">
        <v>323</v>
      </c>
      <c r="AX331" s="3" t="str">
        <f>IFERROR(MID(VLOOKUP($B331,Seqs!$A:$B,2,0),AY331,1),"")</f>
        <v>R</v>
      </c>
      <c r="AY331" s="3">
        <v>331</v>
      </c>
      <c r="AZ331" s="77" t="str">
        <f>VLOOKUP(B331,Classification!A:D,2,0)</f>
        <v>A</v>
      </c>
      <c r="BA331" s="94" t="str">
        <f>VLOOKUP(B331,Classification!A:D,4,0)</f>
        <v>Opioid</v>
      </c>
      <c r="BB331" s="27" t="b">
        <f t="shared" si="2571"/>
        <v>1</v>
      </c>
      <c r="BC331" s="23">
        <f t="shared" si="2208"/>
        <v>248</v>
      </c>
      <c r="BD331" s="5" t="s">
        <v>23</v>
      </c>
      <c r="BE331" s="3" t="s">
        <v>1368</v>
      </c>
      <c r="BF331" s="118">
        <v>3.01</v>
      </c>
      <c r="BG331" s="49" t="s">
        <v>1371</v>
      </c>
      <c r="BH331" s="49" t="s">
        <v>1371</v>
      </c>
      <c r="BI331" s="1"/>
      <c r="BJ331" s="70" t="s">
        <v>1281</v>
      </c>
      <c r="BK331" s="57" t="s">
        <v>1281</v>
      </c>
      <c r="BL331" s="57" t="s">
        <v>1281</v>
      </c>
      <c r="BM331" s="57" t="s">
        <v>1281</v>
      </c>
      <c r="BN331" s="57" t="s">
        <v>1281</v>
      </c>
      <c r="BO331" s="57" t="s">
        <v>1281</v>
      </c>
      <c r="BP331" s="57" t="s">
        <v>1281</v>
      </c>
      <c r="BQ331" s="57" t="s">
        <v>1281</v>
      </c>
      <c r="BR331" s="57" t="s">
        <v>1281</v>
      </c>
      <c r="BS331" s="57" t="s">
        <v>1281</v>
      </c>
      <c r="BT331" s="57" t="s">
        <v>1281</v>
      </c>
      <c r="BU331" s="57" t="s">
        <v>1281</v>
      </c>
      <c r="BV331" s="70">
        <f t="shared" si="2209"/>
        <v>48</v>
      </c>
      <c r="BW331" s="71" t="str">
        <f t="shared" si="2210"/>
        <v>-</v>
      </c>
      <c r="BX331" s="72">
        <f t="shared" si="2211"/>
        <v>84</v>
      </c>
      <c r="BY331" s="71">
        <f t="shared" si="2212"/>
        <v>115</v>
      </c>
      <c r="BZ331" s="72">
        <f t="shared" si="2213"/>
        <v>119</v>
      </c>
      <c r="CA331" s="71" t="str">
        <f t="shared" si="2214"/>
        <v>-</v>
      </c>
      <c r="CB331" s="72">
        <f t="shared" si="2215"/>
        <v>163</v>
      </c>
      <c r="CC331" s="71">
        <f t="shared" si="2216"/>
        <v>200</v>
      </c>
      <c r="CD331" s="72">
        <f t="shared" si="2217"/>
        <v>207</v>
      </c>
      <c r="CE331" s="71">
        <f t="shared" si="2218"/>
        <v>251</v>
      </c>
      <c r="CF331" s="72">
        <f t="shared" si="2219"/>
        <v>294</v>
      </c>
      <c r="CG331" s="71">
        <f t="shared" si="2220"/>
        <v>323</v>
      </c>
      <c r="CH331" s="70">
        <f t="shared" si="2221"/>
        <v>79</v>
      </c>
      <c r="CI331" s="71" t="str">
        <f t="shared" si="2222"/>
        <v>-</v>
      </c>
      <c r="CJ331" s="72">
        <f t="shared" si="2223"/>
        <v>114</v>
      </c>
      <c r="CK331" s="72">
        <f t="shared" si="2224"/>
        <v>118</v>
      </c>
      <c r="CL331" s="72">
        <f t="shared" si="2225"/>
        <v>154</v>
      </c>
      <c r="CM331" s="72" t="str">
        <f t="shared" si="2226"/>
        <v>-</v>
      </c>
      <c r="CN331" s="72">
        <f t="shared" si="2227"/>
        <v>189</v>
      </c>
      <c r="CO331" s="72">
        <f t="shared" si="2228"/>
        <v>202</v>
      </c>
      <c r="CP331" s="72">
        <f t="shared" si="2229"/>
        <v>242</v>
      </c>
      <c r="CQ331" s="72">
        <f t="shared" si="2230"/>
        <v>289</v>
      </c>
      <c r="CR331" s="72">
        <f t="shared" si="2231"/>
        <v>322</v>
      </c>
      <c r="CS331" s="72">
        <f t="shared" si="2232"/>
        <v>331</v>
      </c>
      <c r="CT331" s="23" t="e">
        <f t="shared" si="2233"/>
        <v>#VALUE!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29" x14ac:dyDescent="0.2">
      <c r="A332" s="3" t="str">
        <f t="shared" si="2570"/>
        <v>oprx_human_5DHG</v>
      </c>
      <c r="B332" s="3" t="s">
        <v>1167</v>
      </c>
      <c r="C332" s="3" t="s">
        <v>1349</v>
      </c>
      <c r="D332" s="3" t="str">
        <f>IFERROR(MID(VLOOKUP($B332,Seqs!$A:$B,2,0),E332,1),"")</f>
        <v>L</v>
      </c>
      <c r="E332" s="3">
        <v>48</v>
      </c>
      <c r="F332" s="3" t="str">
        <f>IFERROR(MID(VLOOKUP($B332,Seqs!$A:$B,2,0),G332,1),"")</f>
        <v>H</v>
      </c>
      <c r="G332" s="3">
        <v>79</v>
      </c>
      <c r="H332" s="3" t="str">
        <f>IFERROR(MID(VLOOKUP($B332,Seqs!$A:$B,2,0),I332,1),"")</f>
        <v/>
      </c>
      <c r="I332" s="23" t="s">
        <v>23</v>
      </c>
      <c r="J332" s="3" t="str">
        <f>IFERROR(MID(VLOOKUP($B332,Seqs!$A:$B,2,0),K332,1),"")</f>
        <v/>
      </c>
      <c r="K332" s="23" t="s">
        <v>23</v>
      </c>
      <c r="L332" s="3" t="str">
        <f>IFERROR(MID(VLOOKUP($B332,Seqs!$A:$B,2,0),M332,1),"")</f>
        <v>T</v>
      </c>
      <c r="M332" s="3">
        <v>84</v>
      </c>
      <c r="N332" s="3" t="str">
        <f>IFERROR(MID(VLOOKUP($B332,Seqs!$A:$B,2,0),O332,1),"")</f>
        <v>G</v>
      </c>
      <c r="O332" s="3">
        <v>114</v>
      </c>
      <c r="P332" s="3" t="str">
        <f>IFERROR(MID(VLOOKUP($B332,Seqs!$A:$B,2,0),Q332,1),"")</f>
        <v>F</v>
      </c>
      <c r="Q332" s="3">
        <v>115</v>
      </c>
      <c r="R332" s="3" t="str">
        <f>IFERROR(MID(VLOOKUP($B332,Seqs!$A:$B,2,0),S332,1),"")</f>
        <v>F</v>
      </c>
      <c r="S332" s="3">
        <v>118</v>
      </c>
      <c r="T332" s="3" t="str">
        <f>IFERROR(MID(VLOOKUP($B332,Seqs!$A:$B,2,0),U332,1),"")</f>
        <v>G</v>
      </c>
      <c r="U332" s="3">
        <v>119</v>
      </c>
      <c r="V332" s="3" t="str">
        <f>IFERROR(MID(VLOOKUP($B332,Seqs!$A:$B,2,0),W332,1),"")</f>
        <v>H</v>
      </c>
      <c r="W332" s="3">
        <v>154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T</v>
      </c>
      <c r="AC332" s="9">
        <v>163</v>
      </c>
      <c r="AD332" s="3" t="str">
        <f>IFERROR(MID(VLOOKUP($B332,Seqs!$A:$B,2,0),AE332,1),"")</f>
        <v>G</v>
      </c>
      <c r="AE332" s="3">
        <v>189</v>
      </c>
      <c r="AF332" s="3" t="str">
        <f>IFERROR(MID(VLOOKUP($B332,Seqs!$A:$B,2,0),AG332,1),"")</f>
        <v>C</v>
      </c>
      <c r="AG332" s="3">
        <v>200</v>
      </c>
      <c r="AH332" s="3" t="str">
        <f>IFERROR(MID(VLOOKUP($B332,Seqs!$A:$B,2,0),AI332,1),"")</f>
        <v>V</v>
      </c>
      <c r="AI332" s="3">
        <v>202</v>
      </c>
      <c r="AJ332" s="3" t="str">
        <f>IFERROR(MID(VLOOKUP($B332,Seqs!$A:$B,2,0),AK332,1),"")</f>
        <v>P</v>
      </c>
      <c r="AK332" s="3">
        <v>207</v>
      </c>
      <c r="AL332" s="3" t="str">
        <f>IFERROR(MID(VLOOKUP($B332,Seqs!$A:$B,2,0),AM332,1),"")</f>
        <v>L</v>
      </c>
      <c r="AM332" s="3">
        <v>242</v>
      </c>
      <c r="AN332" s="3" t="str">
        <f>IFERROR(MID(VLOOKUP($B332,Seqs!$A:$B,2,0),AO332,1),"")</f>
        <v>S</v>
      </c>
      <c r="AO332" s="3">
        <v>251</v>
      </c>
      <c r="AP332" s="3" t="str">
        <f>IFERROR(MID(VLOOKUP($B332,Seqs!$A:$B,2,0),AQ332,1),"")</f>
        <v>G</v>
      </c>
      <c r="AQ332" s="3">
        <v>289</v>
      </c>
      <c r="AR332" s="3" t="str">
        <f>IFERROR(MID(VLOOKUP($B332,Seqs!$A:$B,2,0),AS332,1),"")</f>
        <v>S</v>
      </c>
      <c r="AS332" s="3">
        <v>294</v>
      </c>
      <c r="AT332" s="3" t="str">
        <f>IFERROR(MID(VLOOKUP($B332,Seqs!$A:$B,2,0),AU332,1),"")</f>
        <v>L</v>
      </c>
      <c r="AU332" s="3">
        <v>322</v>
      </c>
      <c r="AV332" s="3" t="str">
        <f>IFERROR(MID(VLOOKUP($B332,Seqs!$A:$B,2,0),AW332,1),"")</f>
        <v>D</v>
      </c>
      <c r="AW332" s="3">
        <v>323</v>
      </c>
      <c r="AX332" s="3" t="str">
        <f>IFERROR(MID(VLOOKUP($B332,Seqs!$A:$B,2,0),AY332,1),"")</f>
        <v>F</v>
      </c>
      <c r="AY332" s="3">
        <v>333</v>
      </c>
      <c r="AZ332" s="77" t="str">
        <f>VLOOKUP(B332,Classification!A:D,2,0)</f>
        <v>A</v>
      </c>
      <c r="BA332" s="94" t="str">
        <f>VLOOKUP(B332,Classification!A:D,4,0)</f>
        <v>Opioid</v>
      </c>
      <c r="BB332" s="27" t="b">
        <f t="shared" si="2571"/>
        <v>1</v>
      </c>
      <c r="BC332" s="23">
        <f t="shared" si="2208"/>
        <v>250</v>
      </c>
      <c r="BD332" s="16" t="s">
        <v>1370</v>
      </c>
      <c r="BE332" s="3" t="s">
        <v>1368</v>
      </c>
      <c r="BF332" s="118">
        <v>3</v>
      </c>
      <c r="BG332" s="49" t="s">
        <v>1275</v>
      </c>
      <c r="BH332" s="49" t="s">
        <v>1371</v>
      </c>
      <c r="BI332" s="1"/>
      <c r="BJ332" s="70" t="s">
        <v>1281</v>
      </c>
      <c r="BK332" s="57" t="s">
        <v>1281</v>
      </c>
      <c r="BL332" s="57" t="s">
        <v>1281</v>
      </c>
      <c r="BM332" s="57" t="s">
        <v>1281</v>
      </c>
      <c r="BN332" s="57" t="s">
        <v>1281</v>
      </c>
      <c r="BO332" s="57" t="s">
        <v>1281</v>
      </c>
      <c r="BP332" s="57" t="s">
        <v>1281</v>
      </c>
      <c r="BQ332" s="57" t="s">
        <v>1281</v>
      </c>
      <c r="BR332" s="57" t="s">
        <v>1281</v>
      </c>
      <c r="BS332" s="57" t="s">
        <v>1281</v>
      </c>
      <c r="BT332" s="57" t="s">
        <v>1281</v>
      </c>
      <c r="BU332" s="57" t="s">
        <v>1281</v>
      </c>
      <c r="BV332" s="70">
        <f t="shared" si="2209"/>
        <v>48</v>
      </c>
      <c r="BW332" s="71" t="str">
        <f t="shared" si="2210"/>
        <v>-</v>
      </c>
      <c r="BX332" s="72">
        <f t="shared" si="2211"/>
        <v>84</v>
      </c>
      <c r="BY332" s="71">
        <f t="shared" si="2212"/>
        <v>115</v>
      </c>
      <c r="BZ332" s="72">
        <f t="shared" si="2213"/>
        <v>119</v>
      </c>
      <c r="CA332" s="71" t="str">
        <f t="shared" si="2214"/>
        <v>-</v>
      </c>
      <c r="CB332" s="72">
        <f t="shared" si="2215"/>
        <v>163</v>
      </c>
      <c r="CC332" s="71">
        <f t="shared" si="2216"/>
        <v>200</v>
      </c>
      <c r="CD332" s="72">
        <f t="shared" si="2217"/>
        <v>207</v>
      </c>
      <c r="CE332" s="71">
        <f t="shared" si="2218"/>
        <v>251</v>
      </c>
      <c r="CF332" s="72">
        <f t="shared" si="2219"/>
        <v>294</v>
      </c>
      <c r="CG332" s="71">
        <f t="shared" si="2220"/>
        <v>323</v>
      </c>
      <c r="CH332" s="70">
        <f t="shared" si="2221"/>
        <v>79</v>
      </c>
      <c r="CI332" s="71" t="str">
        <f t="shared" si="2222"/>
        <v>-</v>
      </c>
      <c r="CJ332" s="72">
        <f t="shared" si="2223"/>
        <v>114</v>
      </c>
      <c r="CK332" s="72">
        <f t="shared" si="2224"/>
        <v>118</v>
      </c>
      <c r="CL332" s="72">
        <f t="shared" si="2225"/>
        <v>154</v>
      </c>
      <c r="CM332" s="72" t="str">
        <f t="shared" si="2226"/>
        <v>-</v>
      </c>
      <c r="CN332" s="72">
        <f t="shared" si="2227"/>
        <v>189</v>
      </c>
      <c r="CO332" s="72">
        <f t="shared" si="2228"/>
        <v>202</v>
      </c>
      <c r="CP332" s="72">
        <f t="shared" si="2229"/>
        <v>242</v>
      </c>
      <c r="CQ332" s="72">
        <f t="shared" si="2230"/>
        <v>289</v>
      </c>
      <c r="CR332" s="72">
        <f t="shared" si="2231"/>
        <v>322</v>
      </c>
      <c r="CS332" s="72">
        <f t="shared" si="2232"/>
        <v>333</v>
      </c>
      <c r="CT332" s="23" t="e">
        <f t="shared" si="2233"/>
        <v>#VALUE!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29" x14ac:dyDescent="0.2">
      <c r="A333" s="3" t="str">
        <f t="shared" si="2570"/>
        <v>oprx_human_5DHH</v>
      </c>
      <c r="B333" s="3" t="s">
        <v>1167</v>
      </c>
      <c r="C333" s="3" t="s">
        <v>1350</v>
      </c>
      <c r="D333" s="3" t="str">
        <f>IFERROR(MID(VLOOKUP($B333,Seqs!$A:$B,2,0),E333,1),"")</f>
        <v>L</v>
      </c>
      <c r="E333" s="3">
        <v>48</v>
      </c>
      <c r="F333" s="3" t="str">
        <f>IFERROR(MID(VLOOKUP($B333,Seqs!$A:$B,2,0),G333,1),"")</f>
        <v>H</v>
      </c>
      <c r="G333" s="3">
        <v>79</v>
      </c>
      <c r="H333" s="3" t="str">
        <f>IFERROR(MID(VLOOKUP($B333,Seqs!$A:$B,2,0),I333,1),"")</f>
        <v/>
      </c>
      <c r="I333" s="23" t="s">
        <v>23</v>
      </c>
      <c r="J333" s="3" t="str">
        <f>IFERROR(MID(VLOOKUP($B333,Seqs!$A:$B,2,0),K333,1),"")</f>
        <v/>
      </c>
      <c r="K333" s="23" t="s">
        <v>23</v>
      </c>
      <c r="L333" s="3" t="str">
        <f>IFERROR(MID(VLOOKUP($B333,Seqs!$A:$B,2,0),M333,1),"")</f>
        <v>T</v>
      </c>
      <c r="M333" s="3">
        <v>84</v>
      </c>
      <c r="N333" s="3" t="str">
        <f>IFERROR(MID(VLOOKUP($B333,Seqs!$A:$B,2,0),O333,1),"")</f>
        <v>G</v>
      </c>
      <c r="O333" s="3">
        <v>114</v>
      </c>
      <c r="P333" s="3" t="str">
        <f>IFERROR(MID(VLOOKUP($B333,Seqs!$A:$B,2,0),Q333,1),"")</f>
        <v>F</v>
      </c>
      <c r="Q333" s="3">
        <v>115</v>
      </c>
      <c r="R333" s="3" t="str">
        <f>IFERROR(MID(VLOOKUP($B333,Seqs!$A:$B,2,0),S333,1),"")</f>
        <v>F</v>
      </c>
      <c r="S333" s="3">
        <v>118</v>
      </c>
      <c r="T333" s="3" t="str">
        <f>IFERROR(MID(VLOOKUP($B333,Seqs!$A:$B,2,0),U333,1),"")</f>
        <v>G</v>
      </c>
      <c r="U333" s="3">
        <v>119</v>
      </c>
      <c r="V333" s="3" t="str">
        <f>IFERROR(MID(VLOOKUP($B333,Seqs!$A:$B,2,0),W333,1),"")</f>
        <v>H</v>
      </c>
      <c r="W333" s="3">
        <v>154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T</v>
      </c>
      <c r="AC333" s="9">
        <v>163</v>
      </c>
      <c r="AD333" s="3" t="str">
        <f>IFERROR(MID(VLOOKUP($B333,Seqs!$A:$B,2,0),AE333,1),"")</f>
        <v>G</v>
      </c>
      <c r="AE333" s="3">
        <v>189</v>
      </c>
      <c r="AF333" s="3" t="str">
        <f>IFERROR(MID(VLOOKUP($B333,Seqs!$A:$B,2,0),AG333,1),"")</f>
        <v>C</v>
      </c>
      <c r="AG333" s="3">
        <v>200</v>
      </c>
      <c r="AH333" s="3" t="str">
        <f>IFERROR(MID(VLOOKUP($B333,Seqs!$A:$B,2,0),AI333,1),"")</f>
        <v>V</v>
      </c>
      <c r="AI333" s="3">
        <v>202</v>
      </c>
      <c r="AJ333" s="3" t="str">
        <f>IFERROR(MID(VLOOKUP($B333,Seqs!$A:$B,2,0),AK333,1),"")</f>
        <v>P</v>
      </c>
      <c r="AK333" s="3">
        <v>207</v>
      </c>
      <c r="AL333" s="3" t="str">
        <f>IFERROR(MID(VLOOKUP($B333,Seqs!$A:$B,2,0),AM333,1),"")</f>
        <v>L</v>
      </c>
      <c r="AM333" s="3">
        <v>242</v>
      </c>
      <c r="AN333" s="3" t="str">
        <f>IFERROR(MID(VLOOKUP($B333,Seqs!$A:$B,2,0),AO333,1),"")</f>
        <v>S</v>
      </c>
      <c r="AO333" s="3">
        <v>251</v>
      </c>
      <c r="AP333" s="3" t="str">
        <f>IFERROR(MID(VLOOKUP($B333,Seqs!$A:$B,2,0),AQ333,1),"")</f>
        <v>G</v>
      </c>
      <c r="AQ333" s="3">
        <v>289</v>
      </c>
      <c r="AR333" s="3" t="str">
        <f>IFERROR(MID(VLOOKUP($B333,Seqs!$A:$B,2,0),AS333,1),"")</f>
        <v>S</v>
      </c>
      <c r="AS333" s="3">
        <v>294</v>
      </c>
      <c r="AT333" s="3" t="str">
        <f>IFERROR(MID(VLOOKUP($B333,Seqs!$A:$B,2,0),AU333,1),"")</f>
        <v>L</v>
      </c>
      <c r="AU333" s="3">
        <v>322</v>
      </c>
      <c r="AV333" s="3" t="str">
        <f>IFERROR(MID(VLOOKUP($B333,Seqs!$A:$B,2,0),AW333,1),"")</f>
        <v>D</v>
      </c>
      <c r="AW333" s="3">
        <v>323</v>
      </c>
      <c r="AX333" s="3" t="str">
        <f>IFERROR(MID(VLOOKUP($B333,Seqs!$A:$B,2,0),AY333,1),"")</f>
        <v>R</v>
      </c>
      <c r="AY333" s="3">
        <v>331</v>
      </c>
      <c r="AZ333" s="77" t="str">
        <f>VLOOKUP(B333,Classification!A:D,2,0)</f>
        <v>A</v>
      </c>
      <c r="BA333" s="94" t="str">
        <f>VLOOKUP(B333,Classification!A:D,4,0)</f>
        <v>Opioid</v>
      </c>
      <c r="BB333" s="27" t="b">
        <f t="shared" si="2571"/>
        <v>1</v>
      </c>
      <c r="BC333" s="23">
        <f t="shared" si="2208"/>
        <v>248</v>
      </c>
      <c r="BD333" s="5" t="s">
        <v>23</v>
      </c>
      <c r="BE333" s="3" t="s">
        <v>1368</v>
      </c>
      <c r="BF333" s="118">
        <v>3</v>
      </c>
      <c r="BG333" s="49" t="s">
        <v>1</v>
      </c>
      <c r="BH333" s="49" t="s">
        <v>1371</v>
      </c>
      <c r="BI333" s="1" t="s">
        <v>1354</v>
      </c>
      <c r="BJ333" s="70" t="s">
        <v>1281</v>
      </c>
      <c r="BK333" s="57" t="s">
        <v>1281</v>
      </c>
      <c r="BL333" s="57" t="s">
        <v>1281</v>
      </c>
      <c r="BM333" s="57" t="s">
        <v>1281</v>
      </c>
      <c r="BN333" s="57" t="s">
        <v>1281</v>
      </c>
      <c r="BO333" s="57" t="s">
        <v>1281</v>
      </c>
      <c r="BP333" s="57" t="s">
        <v>1281</v>
      </c>
      <c r="BQ333" s="57" t="s">
        <v>1281</v>
      </c>
      <c r="BR333" s="57" t="s">
        <v>1281</v>
      </c>
      <c r="BS333" s="57" t="s">
        <v>1281</v>
      </c>
      <c r="BT333" s="57" t="s">
        <v>1281</v>
      </c>
      <c r="BU333" s="57" t="s">
        <v>1281</v>
      </c>
      <c r="BV333" s="70">
        <f t="shared" si="2209"/>
        <v>48</v>
      </c>
      <c r="BW333" s="71" t="str">
        <f t="shared" si="2210"/>
        <v>-</v>
      </c>
      <c r="BX333" s="72">
        <f t="shared" si="2211"/>
        <v>84</v>
      </c>
      <c r="BY333" s="71">
        <f t="shared" si="2212"/>
        <v>115</v>
      </c>
      <c r="BZ333" s="72">
        <f t="shared" si="2213"/>
        <v>119</v>
      </c>
      <c r="CA333" s="71" t="str">
        <f t="shared" si="2214"/>
        <v>-</v>
      </c>
      <c r="CB333" s="72">
        <f t="shared" si="2215"/>
        <v>163</v>
      </c>
      <c r="CC333" s="71">
        <f t="shared" si="2216"/>
        <v>200</v>
      </c>
      <c r="CD333" s="72">
        <f t="shared" si="2217"/>
        <v>207</v>
      </c>
      <c r="CE333" s="71">
        <f t="shared" si="2218"/>
        <v>251</v>
      </c>
      <c r="CF333" s="72">
        <f t="shared" si="2219"/>
        <v>294</v>
      </c>
      <c r="CG333" s="71">
        <f t="shared" si="2220"/>
        <v>323</v>
      </c>
      <c r="CH333" s="70">
        <f t="shared" si="2221"/>
        <v>79</v>
      </c>
      <c r="CI333" s="71" t="str">
        <f t="shared" si="2222"/>
        <v>-</v>
      </c>
      <c r="CJ333" s="72">
        <f t="shared" si="2223"/>
        <v>114</v>
      </c>
      <c r="CK333" s="72">
        <f t="shared" si="2224"/>
        <v>118</v>
      </c>
      <c r="CL333" s="72">
        <f t="shared" si="2225"/>
        <v>154</v>
      </c>
      <c r="CM333" s="72" t="str">
        <f t="shared" si="2226"/>
        <v>-</v>
      </c>
      <c r="CN333" s="72">
        <f t="shared" si="2227"/>
        <v>189</v>
      </c>
      <c r="CO333" s="72">
        <f t="shared" si="2228"/>
        <v>202</v>
      </c>
      <c r="CP333" s="72">
        <f t="shared" si="2229"/>
        <v>242</v>
      </c>
      <c r="CQ333" s="72">
        <f t="shared" si="2230"/>
        <v>289</v>
      </c>
      <c r="CR333" s="72">
        <f t="shared" si="2231"/>
        <v>322</v>
      </c>
      <c r="CS333" s="72">
        <f t="shared" si="2232"/>
        <v>331</v>
      </c>
      <c r="CT333" s="23" t="e">
        <f t="shared" si="2233"/>
        <v>#VALUE!</v>
      </c>
    </row>
    <row r="334" spans="1:1029" x14ac:dyDescent="0.2">
      <c r="A334" s="3" t="str">
        <f t="shared" si="2570"/>
        <v>opsd_bovin__wt</v>
      </c>
      <c r="B334" s="3" t="s">
        <v>913</v>
      </c>
      <c r="C334" s="3" t="s">
        <v>100</v>
      </c>
      <c r="D334" s="3" t="str">
        <f>IFERROR(MID(VLOOKUP($B334,Seqs!$A:$B,2,0),E334,1),"")</f>
        <v>E</v>
      </c>
      <c r="E334" s="105">
        <v>33</v>
      </c>
      <c r="F334" s="3" t="str">
        <f>IFERROR(MID(VLOOKUP($B334,Seqs!$A:$B,2,0),G334,1),"")</f>
        <v>H</v>
      </c>
      <c r="G334" s="3">
        <v>65</v>
      </c>
      <c r="H334" s="3" t="str">
        <f>IFERROR(MID(VLOOKUP($B334,Seqs!$A:$B,2,0),I334,1),"")</f>
        <v>K</v>
      </c>
      <c r="I334" s="23">
        <v>66</v>
      </c>
      <c r="J334" s="3" t="str">
        <f>IFERROR(MID(VLOOKUP($B334,Seqs!$A:$B,2,0),K334,1),"")</f>
        <v>R</v>
      </c>
      <c r="K334" s="23">
        <v>69</v>
      </c>
      <c r="L334" s="3" t="str">
        <f>IFERROR(MID(VLOOKUP($B334,Seqs!$A:$B,2,0),M334,1),"")</f>
        <v>T</v>
      </c>
      <c r="M334" s="3">
        <v>70</v>
      </c>
      <c r="N334" s="3" t="str">
        <f>IFERROR(MID(VLOOKUP($B334,Seqs!$A:$B,2,0),O334,1),"")</f>
        <v>G</v>
      </c>
      <c r="O334" s="105">
        <v>101</v>
      </c>
      <c r="P334" s="3" t="str">
        <f>IFERROR(MID(VLOOKUP($B334,Seqs!$A:$B,2,0),Q334,1),"")</f>
        <v>Y</v>
      </c>
      <c r="Q334" s="3">
        <v>102</v>
      </c>
      <c r="R334" s="3" t="str">
        <f>IFERROR(MID(VLOOKUP($B334,Seqs!$A:$B,2,0),S334,1),"")</f>
        <v>F</v>
      </c>
      <c r="S334" s="3">
        <v>105</v>
      </c>
      <c r="T334" s="3" t="str">
        <f>IFERROR(MID(VLOOKUP($B334,Seqs!$A:$B,2,0),U334,1),"")</f>
        <v>G</v>
      </c>
      <c r="U334" s="3">
        <v>106</v>
      </c>
      <c r="V334" s="3" t="str">
        <f>IFERROR(MID(VLOOKUP($B334,Seqs!$A:$B,2,0),W334,1),"")</f>
        <v>K</v>
      </c>
      <c r="W334" s="3">
        <v>141</v>
      </c>
      <c r="X334" s="3" t="str">
        <f>IFERROR(MID(VLOOKUP($B334,Seqs!$A:$B,2,0),Y334,1),"")</f>
        <v>P</v>
      </c>
      <c r="Y334" s="3">
        <v>142</v>
      </c>
      <c r="Z334" s="3" t="str">
        <f>IFERROR(MID(VLOOKUP($B334,Seqs!$A:$B,2,0),AA334,1),"")</f>
        <v>F</v>
      </c>
      <c r="AA334" s="105">
        <v>148</v>
      </c>
      <c r="AB334" s="3" t="str">
        <f>IFERROR(MID(VLOOKUP($B334,Seqs!$A:$B,2,0),AC334,1),"")</f>
        <v>G</v>
      </c>
      <c r="AC334" s="105">
        <v>149</v>
      </c>
      <c r="AD334" s="3" t="str">
        <f>IFERROR(MID(VLOOKUP($B334,Seqs!$A:$B,2,0),AE334,1),"")</f>
        <v>V</v>
      </c>
      <c r="AE334" s="3">
        <v>173</v>
      </c>
      <c r="AF334" s="3" t="str">
        <f>IFERROR(MID(VLOOKUP($B334,Seqs!$A:$B,2,0),AG334,1),"")</f>
        <v>C</v>
      </c>
      <c r="AG334" s="3">
        <v>187</v>
      </c>
      <c r="AH334" s="3" t="str">
        <f>IFERROR(MID(VLOOKUP($B334,Seqs!$A:$B,2,0),AI334,1),"")</f>
        <v>I</v>
      </c>
      <c r="AI334" s="3">
        <v>189</v>
      </c>
      <c r="AJ334" s="3" t="str">
        <f>IFERROR(MID(VLOOKUP($B334,Seqs!$A:$B,2,0),AK334,1),"")</f>
        <v>N</v>
      </c>
      <c r="AK334" s="3">
        <v>199</v>
      </c>
      <c r="AL334" s="3" t="str">
        <f>IFERROR(MID(VLOOKUP($B334,Seqs!$A:$B,2,0),AM334,1),"")</f>
        <v>Q</v>
      </c>
      <c r="AM334" s="3">
        <v>237</v>
      </c>
      <c r="AN334" s="3" t="str">
        <f>IFERROR(MID(VLOOKUP($B334,Seqs!$A:$B,2,0),AO334,1),"")</f>
        <v>S</v>
      </c>
      <c r="AO334" s="105">
        <v>240</v>
      </c>
      <c r="AP334" s="3" t="str">
        <f>IFERROR(MID(VLOOKUP($B334,Seqs!$A:$B,2,0),AQ334,1),"")</f>
        <v>H</v>
      </c>
      <c r="AQ334" s="3">
        <v>278</v>
      </c>
      <c r="AR334" s="3" t="str">
        <f>IFERROR(MID(VLOOKUP($B334,Seqs!$A:$B,2,0),AS334,1),"")</f>
        <v>G</v>
      </c>
      <c r="AS334" s="3">
        <v>284</v>
      </c>
      <c r="AT334" s="3" t="str">
        <f>IFERROR(MID(VLOOKUP($B334,Seqs!$A:$B,2,0),AU334,1),"")</f>
        <v>M</v>
      </c>
      <c r="AU334" s="3">
        <v>309</v>
      </c>
      <c r="AV334" s="3" t="str">
        <f>IFERROR(MID(VLOOKUP($B334,Seqs!$A:$B,2,0),AW334,1),"")</f>
        <v>N</v>
      </c>
      <c r="AW334" s="3">
        <v>310</v>
      </c>
      <c r="AX334" s="3" t="str">
        <f>IFERROR(MID(VLOOKUP($B334,Seqs!$A:$B,2,0),AY334,1),"")</f>
        <v>C</v>
      </c>
      <c r="AY334" s="3">
        <v>322</v>
      </c>
      <c r="AZ334" s="77" t="str">
        <f>VLOOKUP(B334,Classification!A:D,2,0)</f>
        <v>A</v>
      </c>
      <c r="BA334" s="94" t="str">
        <f>VLOOKUP(B334,Classification!A:D,4,0)</f>
        <v>Opsins</v>
      </c>
      <c r="BB334" s="27" t="b">
        <f t="shared" si="2571"/>
        <v>1</v>
      </c>
      <c r="BC334" s="23">
        <f t="shared" si="2208"/>
        <v>261</v>
      </c>
      <c r="BD334" s="34" t="s">
        <v>23</v>
      </c>
      <c r="BE334" s="3" t="s">
        <v>23</v>
      </c>
      <c r="BF334" s="118" t="s">
        <v>23</v>
      </c>
      <c r="BG334" s="49" t="s">
        <v>1366</v>
      </c>
      <c r="BH334" s="49" t="s">
        <v>1371</v>
      </c>
      <c r="BI334" s="1"/>
      <c r="BJ334" s="70" t="s">
        <v>1281</v>
      </c>
      <c r="BK334" s="57" t="s">
        <v>1281</v>
      </c>
      <c r="BL334" s="57" t="s">
        <v>1281</v>
      </c>
      <c r="BM334" s="57" t="s">
        <v>1281</v>
      </c>
      <c r="BN334" s="57" t="s">
        <v>1281</v>
      </c>
      <c r="BO334" s="57" t="s">
        <v>1281</v>
      </c>
      <c r="BP334" s="57" t="s">
        <v>1281</v>
      </c>
      <c r="BQ334" s="57" t="s">
        <v>1281</v>
      </c>
      <c r="BR334" s="57" t="s">
        <v>1281</v>
      </c>
      <c r="BS334" s="57" t="s">
        <v>1281</v>
      </c>
      <c r="BT334" s="57" t="s">
        <v>1281</v>
      </c>
      <c r="BU334" s="57" t="s">
        <v>1281</v>
      </c>
      <c r="BV334" s="70">
        <f t="shared" si="2209"/>
        <v>33</v>
      </c>
      <c r="BW334" s="71">
        <f t="shared" si="2210"/>
        <v>66</v>
      </c>
      <c r="BX334" s="72">
        <f t="shared" si="2211"/>
        <v>70</v>
      </c>
      <c r="BY334" s="71">
        <f t="shared" si="2212"/>
        <v>102</v>
      </c>
      <c r="BZ334" s="72">
        <f t="shared" si="2213"/>
        <v>106</v>
      </c>
      <c r="CA334" s="71">
        <f t="shared" si="2214"/>
        <v>142</v>
      </c>
      <c r="CB334" s="72">
        <f t="shared" si="2215"/>
        <v>149</v>
      </c>
      <c r="CC334" s="71">
        <f t="shared" si="2216"/>
        <v>187</v>
      </c>
      <c r="CD334" s="72">
        <f t="shared" si="2217"/>
        <v>199</v>
      </c>
      <c r="CE334" s="71">
        <f t="shared" si="2218"/>
        <v>240</v>
      </c>
      <c r="CF334" s="72">
        <f t="shared" si="2219"/>
        <v>284</v>
      </c>
      <c r="CG334" s="71">
        <f t="shared" si="2220"/>
        <v>310</v>
      </c>
      <c r="CH334" s="70">
        <f t="shared" si="2221"/>
        <v>65</v>
      </c>
      <c r="CI334" s="71">
        <f t="shared" si="2222"/>
        <v>69</v>
      </c>
      <c r="CJ334" s="72">
        <f t="shared" si="2223"/>
        <v>101</v>
      </c>
      <c r="CK334" s="72">
        <f t="shared" si="2224"/>
        <v>105</v>
      </c>
      <c r="CL334" s="72">
        <f t="shared" si="2225"/>
        <v>141</v>
      </c>
      <c r="CM334" s="72">
        <f t="shared" si="2226"/>
        <v>148</v>
      </c>
      <c r="CN334" s="72">
        <f t="shared" si="2227"/>
        <v>173</v>
      </c>
      <c r="CO334" s="72">
        <f t="shared" si="2228"/>
        <v>189</v>
      </c>
      <c r="CP334" s="72">
        <f t="shared" si="2229"/>
        <v>237</v>
      </c>
      <c r="CQ334" s="72">
        <f t="shared" si="2230"/>
        <v>278</v>
      </c>
      <c r="CR334" s="72">
        <f t="shared" si="2231"/>
        <v>309</v>
      </c>
      <c r="CS334" s="72">
        <f t="shared" si="2232"/>
        <v>322</v>
      </c>
      <c r="CT334" s="23">
        <f t="shared" si="2233"/>
        <v>1</v>
      </c>
    </row>
    <row r="335" spans="1:1029" x14ac:dyDescent="0.2">
      <c r="A335" s="3" t="str">
        <f t="shared" si="2570"/>
        <v>opsd_bovin_1GZM</v>
      </c>
      <c r="B335" s="3" t="s">
        <v>913</v>
      </c>
      <c r="C335" s="3" t="s">
        <v>1331</v>
      </c>
      <c r="D335" s="3" t="str">
        <f>IFERROR(MID(VLOOKUP($B335,Seqs!$A:$B,2,0),E335,1),"")</f>
        <v>E</v>
      </c>
      <c r="E335" s="105">
        <v>33</v>
      </c>
      <c r="F335" s="3" t="str">
        <f>IFERROR(MID(VLOOKUP($B335,Seqs!$A:$B,2,0),G335,1),"")</f>
        <v>H</v>
      </c>
      <c r="G335" s="3">
        <v>65</v>
      </c>
      <c r="H335" s="3" t="str">
        <f>IFERROR(MID(VLOOKUP($B335,Seqs!$A:$B,2,0),I335,1),"")</f>
        <v>K</v>
      </c>
      <c r="I335" s="23">
        <v>66</v>
      </c>
      <c r="J335" s="3" t="str">
        <f>IFERROR(MID(VLOOKUP($B335,Seqs!$A:$B,2,0),K335,1),"")</f>
        <v>R</v>
      </c>
      <c r="K335" s="23">
        <v>69</v>
      </c>
      <c r="L335" s="3" t="str">
        <f>IFERROR(MID(VLOOKUP($B335,Seqs!$A:$B,2,0),M335,1),"")</f>
        <v>T</v>
      </c>
      <c r="M335" s="3">
        <v>70</v>
      </c>
      <c r="N335" s="3" t="str">
        <f>IFERROR(MID(VLOOKUP($B335,Seqs!$A:$B,2,0),O335,1),"")</f>
        <v>H</v>
      </c>
      <c r="O335" s="3">
        <v>100</v>
      </c>
      <c r="P335" s="3" t="str">
        <f>IFERROR(MID(VLOOKUP($B335,Seqs!$A:$B,2,0),Q335,1),"")</f>
        <v>Y</v>
      </c>
      <c r="Q335" s="3">
        <v>102</v>
      </c>
      <c r="R335" s="3" t="str">
        <f>IFERROR(MID(VLOOKUP($B335,Seqs!$A:$B,2,0),S335,1),"")</f>
        <v>F</v>
      </c>
      <c r="S335" s="3">
        <v>105</v>
      </c>
      <c r="T335" s="3" t="str">
        <f>IFERROR(MID(VLOOKUP($B335,Seqs!$A:$B,2,0),U335,1),"")</f>
        <v>G</v>
      </c>
      <c r="U335" s="3">
        <v>106</v>
      </c>
      <c r="V335" s="3" t="str">
        <f>IFERROR(MID(VLOOKUP($B335,Seqs!$A:$B,2,0),W335,1),"")</f>
        <v>K</v>
      </c>
      <c r="W335" s="3">
        <v>141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G</v>
      </c>
      <c r="AC335" s="9">
        <v>149</v>
      </c>
      <c r="AD335" s="3" t="str">
        <f>IFERROR(MID(VLOOKUP($B335,Seqs!$A:$B,2,0),AE335,1),"")</f>
        <v>V</v>
      </c>
      <c r="AE335" s="3">
        <v>173</v>
      </c>
      <c r="AF335" s="3" t="str">
        <f>IFERROR(MID(VLOOKUP($B335,Seqs!$A:$B,2,0),AG335,1),"")</f>
        <v>C</v>
      </c>
      <c r="AG335" s="3">
        <v>187</v>
      </c>
      <c r="AH335" s="3" t="str">
        <f>IFERROR(MID(VLOOKUP($B335,Seqs!$A:$B,2,0),AI335,1),"")</f>
        <v>I</v>
      </c>
      <c r="AI335" s="3">
        <v>189</v>
      </c>
      <c r="AJ335" s="3" t="str">
        <f>IFERROR(MID(VLOOKUP($B335,Seqs!$A:$B,2,0),AK335,1),"")</f>
        <v>N</v>
      </c>
      <c r="AK335" s="3">
        <v>199</v>
      </c>
      <c r="AL335" s="3" t="str">
        <f>IFERROR(MID(VLOOKUP($B335,Seqs!$A:$B,2,0),AM335,1),"")</f>
        <v>A</v>
      </c>
      <c r="AM335" s="3">
        <v>233</v>
      </c>
      <c r="AN335" s="3" t="str">
        <f>IFERROR(MID(VLOOKUP($B335,Seqs!$A:$B,2,0),AO335,1),"")</f>
        <v>A</v>
      </c>
      <c r="AO335" s="3">
        <v>241</v>
      </c>
      <c r="AP335" s="3" t="str">
        <f>IFERROR(MID(VLOOKUP($B335,Seqs!$A:$B,2,0),AQ335,1),"")</f>
        <v>H</v>
      </c>
      <c r="AQ335" s="3">
        <v>278</v>
      </c>
      <c r="AR335" s="3" t="str">
        <f>IFERROR(MID(VLOOKUP($B335,Seqs!$A:$B,2,0),AS335,1),"")</f>
        <v>G</v>
      </c>
      <c r="AS335" s="3">
        <v>284</v>
      </c>
      <c r="AT335" s="3" t="str">
        <f>IFERROR(MID(VLOOKUP($B335,Seqs!$A:$B,2,0),AU335,1),"")</f>
        <v>M</v>
      </c>
      <c r="AU335" s="3">
        <v>309</v>
      </c>
      <c r="AV335" s="3" t="str">
        <f>IFERROR(MID(VLOOKUP($B335,Seqs!$A:$B,2,0),AW335,1),"")</f>
        <v>N</v>
      </c>
      <c r="AW335" s="3">
        <v>310</v>
      </c>
      <c r="AX335" s="3" t="str">
        <f>IFERROR(MID(VLOOKUP($B335,Seqs!$A:$B,2,0),AY335,1),"")</f>
        <v>C</v>
      </c>
      <c r="AY335" s="3">
        <v>322</v>
      </c>
      <c r="AZ335" s="77" t="str">
        <f>VLOOKUP(B335,Classification!A:D,2,0)</f>
        <v>A</v>
      </c>
      <c r="BA335" s="94" t="str">
        <f>VLOOKUP(B335,Classification!A:D,4,0)</f>
        <v>Opsins</v>
      </c>
      <c r="BB335" s="27" t="b">
        <f t="shared" si="2571"/>
        <v>1</v>
      </c>
      <c r="BC335" s="23">
        <f t="shared" si="2208"/>
        <v>249</v>
      </c>
      <c r="BD335" s="56" t="s">
        <v>1370</v>
      </c>
      <c r="BE335" s="3" t="s">
        <v>1368</v>
      </c>
      <c r="BF335" s="118">
        <v>2.65</v>
      </c>
      <c r="BG335" s="49" t="s">
        <v>1371</v>
      </c>
      <c r="BH335" s="49" t="s">
        <v>1371</v>
      </c>
      <c r="BI335" s="1"/>
      <c r="BJ335" s="70" t="s">
        <v>1281</v>
      </c>
      <c r="BK335" s="57" t="s">
        <v>1281</v>
      </c>
      <c r="BL335" s="57" t="s">
        <v>1281</v>
      </c>
      <c r="BM335" s="57" t="s">
        <v>1281</v>
      </c>
      <c r="BN335" s="57" t="s">
        <v>1281</v>
      </c>
      <c r="BO335" s="57" t="s">
        <v>1281</v>
      </c>
      <c r="BP335" s="57" t="s">
        <v>1281</v>
      </c>
      <c r="BQ335" s="57" t="s">
        <v>1281</v>
      </c>
      <c r="BR335" s="57" t="s">
        <v>1281</v>
      </c>
      <c r="BS335" s="57" t="s">
        <v>1281</v>
      </c>
      <c r="BT335" s="57" t="s">
        <v>1281</v>
      </c>
      <c r="BU335" s="57" t="s">
        <v>1281</v>
      </c>
      <c r="BV335" s="70">
        <f t="shared" si="2209"/>
        <v>33</v>
      </c>
      <c r="BW335" s="71">
        <f t="shared" si="2210"/>
        <v>66</v>
      </c>
      <c r="BX335" s="72">
        <f t="shared" si="2211"/>
        <v>70</v>
      </c>
      <c r="BY335" s="71">
        <f t="shared" si="2212"/>
        <v>102</v>
      </c>
      <c r="BZ335" s="72">
        <f t="shared" si="2213"/>
        <v>106</v>
      </c>
      <c r="CA335" s="71" t="str">
        <f t="shared" si="2214"/>
        <v>-</v>
      </c>
      <c r="CB335" s="72">
        <f t="shared" si="2215"/>
        <v>149</v>
      </c>
      <c r="CC335" s="71">
        <f t="shared" si="2216"/>
        <v>187</v>
      </c>
      <c r="CD335" s="72">
        <f t="shared" si="2217"/>
        <v>199</v>
      </c>
      <c r="CE335" s="71">
        <f t="shared" si="2218"/>
        <v>241</v>
      </c>
      <c r="CF335" s="72">
        <f t="shared" si="2219"/>
        <v>284</v>
      </c>
      <c r="CG335" s="71">
        <f t="shared" si="2220"/>
        <v>310</v>
      </c>
      <c r="CH335" s="70">
        <f t="shared" si="2221"/>
        <v>65</v>
      </c>
      <c r="CI335" s="71">
        <f t="shared" si="2222"/>
        <v>69</v>
      </c>
      <c r="CJ335" s="72">
        <f t="shared" si="2223"/>
        <v>100</v>
      </c>
      <c r="CK335" s="72">
        <f t="shared" si="2224"/>
        <v>105</v>
      </c>
      <c r="CL335" s="72">
        <f t="shared" si="2225"/>
        <v>141</v>
      </c>
      <c r="CM335" s="72" t="str">
        <f t="shared" si="2226"/>
        <v>-</v>
      </c>
      <c r="CN335" s="72">
        <f t="shared" si="2227"/>
        <v>173</v>
      </c>
      <c r="CO335" s="72">
        <f t="shared" si="2228"/>
        <v>189</v>
      </c>
      <c r="CP335" s="72">
        <f t="shared" si="2229"/>
        <v>233</v>
      </c>
      <c r="CQ335" s="72">
        <f t="shared" si="2230"/>
        <v>278</v>
      </c>
      <c r="CR335" s="72">
        <f t="shared" si="2231"/>
        <v>309</v>
      </c>
      <c r="CS335" s="72">
        <f t="shared" si="2232"/>
        <v>322</v>
      </c>
      <c r="CT335" s="23">
        <f t="shared" si="2233"/>
        <v>1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29" x14ac:dyDescent="0.2">
      <c r="A336" s="3" t="str">
        <f t="shared" si="2570"/>
        <v>opsd_bovin_1U19</v>
      </c>
      <c r="B336" s="3" t="s">
        <v>913</v>
      </c>
      <c r="C336" s="3" t="s">
        <v>53</v>
      </c>
      <c r="D336" s="3" t="str">
        <f>IFERROR(MID(VLOOKUP($B336,Seqs!$A:$B,2,0),E336,1),"")</f>
        <v>E</v>
      </c>
      <c r="E336" s="105">
        <v>33</v>
      </c>
      <c r="F336" s="3" t="str">
        <f>IFERROR(MID(VLOOKUP($B336,Seqs!$A:$B,2,0),G336,1),"")</f>
        <v>H</v>
      </c>
      <c r="G336" s="3">
        <v>65</v>
      </c>
      <c r="H336" s="3" t="str">
        <f>IFERROR(MID(VLOOKUP($B336,Seqs!$A:$B,2,0),I336,1),"")</f>
        <v>K</v>
      </c>
      <c r="I336" s="23">
        <v>66</v>
      </c>
      <c r="J336" s="3" t="str">
        <f>IFERROR(MID(VLOOKUP($B336,Seqs!$A:$B,2,0),K336,1),"")</f>
        <v>R</v>
      </c>
      <c r="K336" s="23">
        <v>69</v>
      </c>
      <c r="L336" s="3" t="str">
        <f>IFERROR(MID(VLOOKUP($B336,Seqs!$A:$B,2,0),M336,1),"")</f>
        <v>T</v>
      </c>
      <c r="M336" s="3">
        <v>70</v>
      </c>
      <c r="N336" s="3" t="str">
        <f>IFERROR(MID(VLOOKUP($B336,Seqs!$A:$B,2,0),O336,1),"")</f>
        <v>G</v>
      </c>
      <c r="O336" s="3">
        <v>101</v>
      </c>
      <c r="P336" s="3" t="str">
        <f>IFERROR(MID(VLOOKUP($B336,Seqs!$A:$B,2,0),Q336,1),"")</f>
        <v>Y</v>
      </c>
      <c r="Q336" s="3">
        <v>102</v>
      </c>
      <c r="R336" s="3" t="str">
        <f>IFERROR(MID(VLOOKUP($B336,Seqs!$A:$B,2,0),S336,1),"")</f>
        <v>F</v>
      </c>
      <c r="S336" s="3">
        <v>105</v>
      </c>
      <c r="T336" s="3" t="str">
        <f>IFERROR(MID(VLOOKUP($B336,Seqs!$A:$B,2,0),U336,1),"")</f>
        <v>G</v>
      </c>
      <c r="U336" s="3">
        <v>106</v>
      </c>
      <c r="V336" s="3" t="str">
        <f>IFERROR(MID(VLOOKUP($B336,Seqs!$A:$B,2,0),W336,1),"")</f>
        <v>K</v>
      </c>
      <c r="W336" s="3">
        <v>141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G</v>
      </c>
      <c r="AC336" s="9">
        <v>149</v>
      </c>
      <c r="AD336" s="3" t="str">
        <f>IFERROR(MID(VLOOKUP($B336,Seqs!$A:$B,2,0),AE336,1),"")</f>
        <v>V</v>
      </c>
      <c r="AE336" s="3">
        <v>173</v>
      </c>
      <c r="AF336" s="3" t="str">
        <f>IFERROR(MID(VLOOKUP($B336,Seqs!$A:$B,2,0),AG336,1),"")</f>
        <v>C</v>
      </c>
      <c r="AG336" s="3">
        <v>187</v>
      </c>
      <c r="AH336" s="3" t="str">
        <f>IFERROR(MID(VLOOKUP($B336,Seqs!$A:$B,2,0),AI336,1),"")</f>
        <v>I</v>
      </c>
      <c r="AI336" s="3">
        <v>189</v>
      </c>
      <c r="AJ336" s="3" t="str">
        <f>IFERROR(MID(VLOOKUP($B336,Seqs!$A:$B,2,0),AK336,1),"")</f>
        <v>N</v>
      </c>
      <c r="AK336" s="3">
        <v>199</v>
      </c>
      <c r="AL336" s="3" t="str">
        <f>IFERROR(MID(VLOOKUP($B336,Seqs!$A:$B,2,0),AM336,1),"")</f>
        <v>Q</v>
      </c>
      <c r="AM336" s="3">
        <v>225</v>
      </c>
      <c r="AN336" s="3" t="str">
        <f>IFERROR(MID(VLOOKUP($B336,Seqs!$A:$B,2,0),AO336,1),"")</f>
        <v>T</v>
      </c>
      <c r="AO336" s="3">
        <v>243</v>
      </c>
      <c r="AP336" s="3" t="str">
        <f>IFERROR(MID(VLOOKUP($B336,Seqs!$A:$B,2,0),AQ336,1),"")</f>
        <v>H</v>
      </c>
      <c r="AQ336" s="3">
        <v>278</v>
      </c>
      <c r="AR336" s="3" t="str">
        <f>IFERROR(MID(VLOOKUP($B336,Seqs!$A:$B,2,0),AS336,1),"")</f>
        <v>G</v>
      </c>
      <c r="AS336" s="3">
        <v>284</v>
      </c>
      <c r="AT336" s="3" t="str">
        <f>IFERROR(MID(VLOOKUP($B336,Seqs!$A:$B,2,0),AU336,1),"")</f>
        <v>M</v>
      </c>
      <c r="AU336" s="3">
        <v>309</v>
      </c>
      <c r="AV336" s="3" t="str">
        <f>IFERROR(MID(VLOOKUP($B336,Seqs!$A:$B,2,0),AW336,1),"")</f>
        <v>N</v>
      </c>
      <c r="AW336" s="3">
        <v>310</v>
      </c>
      <c r="AX336" s="3" t="str">
        <f>IFERROR(MID(VLOOKUP($B336,Seqs!$A:$B,2,0),AY336,1),"")</f>
        <v>C</v>
      </c>
      <c r="AY336" s="3">
        <v>322</v>
      </c>
      <c r="AZ336" s="77" t="str">
        <f>VLOOKUP(B336,Classification!A:D,2,0)</f>
        <v>A</v>
      </c>
      <c r="BA336" s="94" t="str">
        <f>VLOOKUP(B336,Classification!A:D,4,0)</f>
        <v>Opsins</v>
      </c>
      <c r="BB336" s="27" t="b">
        <f t="shared" si="2571"/>
        <v>1</v>
      </c>
      <c r="BC336" s="23">
        <f t="shared" si="2208"/>
        <v>240</v>
      </c>
      <c r="BD336" s="74" t="s">
        <v>23</v>
      </c>
      <c r="BE336" s="3" t="s">
        <v>1368</v>
      </c>
      <c r="BF336" s="118">
        <v>2.2000000000000002</v>
      </c>
      <c r="BG336" s="49" t="s">
        <v>1</v>
      </c>
      <c r="BH336" s="49" t="s">
        <v>1371</v>
      </c>
      <c r="BI336" s="1"/>
      <c r="BJ336" s="70" t="s">
        <v>1281</v>
      </c>
      <c r="BK336" s="57" t="s">
        <v>1281</v>
      </c>
      <c r="BL336" s="57" t="s">
        <v>1281</v>
      </c>
      <c r="BM336" s="57" t="s">
        <v>1281</v>
      </c>
      <c r="BN336" s="57" t="s">
        <v>1281</v>
      </c>
      <c r="BO336" s="57" t="s">
        <v>1281</v>
      </c>
      <c r="BP336" s="57" t="s">
        <v>1281</v>
      </c>
      <c r="BQ336" s="57" t="s">
        <v>1281</v>
      </c>
      <c r="BR336" s="57" t="s">
        <v>1281</v>
      </c>
      <c r="BS336" s="57" t="s">
        <v>1281</v>
      </c>
      <c r="BT336" s="57" t="s">
        <v>1281</v>
      </c>
      <c r="BU336" s="57" t="s">
        <v>1281</v>
      </c>
      <c r="BV336" s="70">
        <f t="shared" si="2209"/>
        <v>33</v>
      </c>
      <c r="BW336" s="71">
        <f t="shared" si="2210"/>
        <v>66</v>
      </c>
      <c r="BX336" s="72">
        <f t="shared" si="2211"/>
        <v>70</v>
      </c>
      <c r="BY336" s="71">
        <f t="shared" si="2212"/>
        <v>102</v>
      </c>
      <c r="BZ336" s="72">
        <f t="shared" si="2213"/>
        <v>106</v>
      </c>
      <c r="CA336" s="71" t="str">
        <f t="shared" si="2214"/>
        <v>-</v>
      </c>
      <c r="CB336" s="72">
        <f t="shared" si="2215"/>
        <v>149</v>
      </c>
      <c r="CC336" s="71">
        <f t="shared" si="2216"/>
        <v>187</v>
      </c>
      <c r="CD336" s="72">
        <f t="shared" si="2217"/>
        <v>199</v>
      </c>
      <c r="CE336" s="71">
        <f t="shared" si="2218"/>
        <v>243</v>
      </c>
      <c r="CF336" s="72">
        <f t="shared" si="2219"/>
        <v>284</v>
      </c>
      <c r="CG336" s="71">
        <f t="shared" si="2220"/>
        <v>310</v>
      </c>
      <c r="CH336" s="70">
        <f t="shared" si="2221"/>
        <v>65</v>
      </c>
      <c r="CI336" s="71">
        <f t="shared" si="2222"/>
        <v>69</v>
      </c>
      <c r="CJ336" s="72">
        <f t="shared" si="2223"/>
        <v>101</v>
      </c>
      <c r="CK336" s="72">
        <f t="shared" si="2224"/>
        <v>105</v>
      </c>
      <c r="CL336" s="72">
        <f t="shared" si="2225"/>
        <v>141</v>
      </c>
      <c r="CM336" s="72" t="str">
        <f t="shared" si="2226"/>
        <v>-</v>
      </c>
      <c r="CN336" s="72">
        <f t="shared" si="2227"/>
        <v>173</v>
      </c>
      <c r="CO336" s="72">
        <f t="shared" si="2228"/>
        <v>189</v>
      </c>
      <c r="CP336" s="72">
        <f t="shared" si="2229"/>
        <v>225</v>
      </c>
      <c r="CQ336" s="72">
        <f t="shared" si="2230"/>
        <v>278</v>
      </c>
      <c r="CR336" s="72">
        <f t="shared" si="2231"/>
        <v>309</v>
      </c>
      <c r="CS336" s="72">
        <f t="shared" si="2232"/>
        <v>322</v>
      </c>
      <c r="CT336" s="23">
        <f t="shared" si="2233"/>
        <v>1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30" x14ac:dyDescent="0.2">
      <c r="A337" s="3" t="str">
        <f t="shared" si="2570"/>
        <v>opsd_bovin_2X72</v>
      </c>
      <c r="B337" s="2" t="s">
        <v>913</v>
      </c>
      <c r="C337" s="3" t="s">
        <v>1363</v>
      </c>
      <c r="D337" s="3" t="str">
        <f>IFERROR(MID(VLOOKUP($B337,Seqs!$A:$B,2,0),E337,1),"")</f>
        <v>E</v>
      </c>
      <c r="E337" s="105">
        <v>33</v>
      </c>
      <c r="F337" s="3" t="str">
        <f>IFERROR(MID(VLOOKUP($B337,Seqs!$A:$B,2,0),G337,1),"")</f>
        <v>H</v>
      </c>
      <c r="G337" s="3">
        <v>65</v>
      </c>
      <c r="H337" s="3" t="str">
        <f>IFERROR(MID(VLOOKUP($B337,Seqs!$A:$B,2,0),I337,1),"")</f>
        <v>K</v>
      </c>
      <c r="I337" s="23">
        <v>66</v>
      </c>
      <c r="J337" s="3" t="str">
        <f>IFERROR(MID(VLOOKUP($B337,Seqs!$A:$B,2,0),K337,1),"")</f>
        <v>R</v>
      </c>
      <c r="K337" s="23">
        <v>69</v>
      </c>
      <c r="L337" s="3" t="str">
        <f>IFERROR(MID(VLOOKUP($B337,Seqs!$A:$B,2,0),M337,1),"")</f>
        <v>T</v>
      </c>
      <c r="M337" s="3">
        <v>70</v>
      </c>
      <c r="N337" s="3" t="str">
        <f>IFERROR(MID(VLOOKUP($B337,Seqs!$A:$B,2,0),O337,1),"")</f>
        <v>G</v>
      </c>
      <c r="O337" s="3">
        <v>101</v>
      </c>
      <c r="P337" s="3" t="str">
        <f>IFERROR(MID(VLOOKUP($B337,Seqs!$A:$B,2,0),Q337,1),"")</f>
        <v>Y</v>
      </c>
      <c r="Q337" s="3">
        <v>102</v>
      </c>
      <c r="R337" s="3" t="str">
        <f>IFERROR(MID(VLOOKUP($B337,Seqs!$A:$B,2,0),S337,1),"")</f>
        <v>F</v>
      </c>
      <c r="S337" s="3">
        <v>105</v>
      </c>
      <c r="T337" s="3" t="str">
        <f>IFERROR(MID(VLOOKUP($B337,Seqs!$A:$B,2,0),U337,1),"")</f>
        <v>G</v>
      </c>
      <c r="U337" s="3">
        <v>106</v>
      </c>
      <c r="V337" s="3" t="str">
        <f>IFERROR(MID(VLOOKUP($B337,Seqs!$A:$B,2,0),W337,1),"")</f>
        <v>K</v>
      </c>
      <c r="W337" s="3">
        <v>141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G</v>
      </c>
      <c r="AC337" s="9">
        <v>149</v>
      </c>
      <c r="AD337" s="3" t="str">
        <f>IFERROR(MID(VLOOKUP($B337,Seqs!$A:$B,2,0),AE337,1),"")</f>
        <v>V</v>
      </c>
      <c r="AE337" s="3">
        <v>173</v>
      </c>
      <c r="AF337" s="3" t="str">
        <f>IFERROR(MID(VLOOKUP($B337,Seqs!$A:$B,2,0),AG337,1),"")</f>
        <v>C</v>
      </c>
      <c r="AG337" s="3">
        <v>187</v>
      </c>
      <c r="AH337" s="3" t="str">
        <f>IFERROR(MID(VLOOKUP($B337,Seqs!$A:$B,2,0),AI337,1),"")</f>
        <v>I</v>
      </c>
      <c r="AI337" s="3">
        <v>189</v>
      </c>
      <c r="AJ337" s="3" t="str">
        <f>IFERROR(MID(VLOOKUP($B337,Seqs!$A:$B,2,0),AK337,1),"")</f>
        <v>N</v>
      </c>
      <c r="AK337" s="3">
        <v>199</v>
      </c>
      <c r="AL337" s="3" t="str">
        <f>IFERROR(MID(VLOOKUP($B337,Seqs!$A:$B,2,0),AM337,1),"")</f>
        <v>Q</v>
      </c>
      <c r="AM337" s="3">
        <v>237</v>
      </c>
      <c r="AN337" s="3" t="str">
        <f>IFERROR(MID(VLOOKUP($B337,Seqs!$A:$B,2,0),AO337,1),"")</f>
        <v>A</v>
      </c>
      <c r="AO337" s="3">
        <v>241</v>
      </c>
      <c r="AP337" s="3" t="str">
        <f>IFERROR(MID(VLOOKUP($B337,Seqs!$A:$B,2,0),AQ337,1),"")</f>
        <v>H</v>
      </c>
      <c r="AQ337" s="3">
        <v>278</v>
      </c>
      <c r="AR337" s="3" t="str">
        <f>IFERROR(MID(VLOOKUP($B337,Seqs!$A:$B,2,0),AS337,1),"")</f>
        <v>G</v>
      </c>
      <c r="AS337" s="3">
        <v>284</v>
      </c>
      <c r="AT337" s="3" t="str">
        <f>IFERROR(MID(VLOOKUP($B337,Seqs!$A:$B,2,0),AU337,1),"")</f>
        <v>M</v>
      </c>
      <c r="AU337" s="3">
        <v>309</v>
      </c>
      <c r="AV337" s="3" t="str">
        <f>IFERROR(MID(VLOOKUP($B337,Seqs!$A:$B,2,0),AW337,1),"")</f>
        <v>N</v>
      </c>
      <c r="AW337" s="3">
        <v>310</v>
      </c>
      <c r="AX337" s="3" t="str">
        <f>IFERROR(MID(VLOOKUP($B337,Seqs!$A:$B,2,0),AY337,1),"")</f>
        <v>C</v>
      </c>
      <c r="AY337" s="3">
        <v>322</v>
      </c>
      <c r="AZ337" s="77" t="str">
        <f>VLOOKUP(B337,Classification!A:D,2,0)</f>
        <v>A</v>
      </c>
      <c r="BA337" s="94" t="str">
        <f>VLOOKUP(B337,Classification!A:D,4,0)</f>
        <v>Opsins</v>
      </c>
      <c r="BB337" s="27" t="b">
        <f>AND(E337&lt;G337,OR(G337&lt;I337,I337="-"),OR(I337&lt;K337,I337="-"),OR(K337&lt;M337,K337="-"),M337&lt;O337,OR(O337&lt;Q337,Q337="-"),OR(Q337&lt;S337,Q337="-"),OR(S337&lt;U337,S337="-"),U337&lt;W337,OR(W337&lt;Y337,Y337="-"),OR(Y337&lt;AA337,Y337="-"),OR(AA337&lt;AC337,AA337="-"),AC337&lt;AE337,OR(AE337&lt;AG337,AG337="-"),OR(AG337&lt;AI337,AG337="-"),OR(AI337&lt;AK337,AI337="-"),AK337&lt;AM337,AM337&lt;AO337,AO337&lt;AQ337,AQ337&lt;AS337,AS337&lt;AU337,OR(AU337&lt;AW337,AW337="-"),OR(AW337&lt;AY337,AW337="-"))</f>
        <v>1</v>
      </c>
      <c r="BC337" s="23">
        <f>_xlfn.AGGREGATE(9,6,CH337:CS337)-_xlfn.AGGREGATE(9,6,BV337:CG337)+12</f>
        <v>254</v>
      </c>
      <c r="BD337" s="56" t="s">
        <v>23</v>
      </c>
      <c r="BE337" s="3" t="s">
        <v>1285</v>
      </c>
      <c r="BF337" s="118">
        <v>3</v>
      </c>
      <c r="BG337" s="49" t="s">
        <v>1371</v>
      </c>
      <c r="BH337" s="49" t="s">
        <v>1371</v>
      </c>
      <c r="BI337" s="1"/>
      <c r="BJ337" s="70" t="s">
        <v>1281</v>
      </c>
      <c r="BK337" s="57" t="s">
        <v>1281</v>
      </c>
      <c r="BL337" s="57" t="s">
        <v>1281</v>
      </c>
      <c r="BM337" s="57" t="s">
        <v>1281</v>
      </c>
      <c r="BN337" s="57" t="s">
        <v>1281</v>
      </c>
      <c r="BO337" s="57" t="s">
        <v>1281</v>
      </c>
      <c r="BP337" s="57" t="s">
        <v>1281</v>
      </c>
      <c r="BQ337" s="57" t="s">
        <v>1281</v>
      </c>
      <c r="BR337" s="57" t="s">
        <v>1281</v>
      </c>
      <c r="BS337" s="57" t="s">
        <v>1281</v>
      </c>
      <c r="BT337" s="57" t="s">
        <v>1281</v>
      </c>
      <c r="BU337" s="57" t="s">
        <v>1281</v>
      </c>
      <c r="BV337" s="70">
        <f>E337</f>
        <v>33</v>
      </c>
      <c r="BW337" s="71">
        <f>I337</f>
        <v>66</v>
      </c>
      <c r="BX337" s="72">
        <f>M337</f>
        <v>70</v>
      </c>
      <c r="BY337" s="71">
        <f>Q337</f>
        <v>102</v>
      </c>
      <c r="BZ337" s="72">
        <f>U337</f>
        <v>106</v>
      </c>
      <c r="CA337" s="71" t="str">
        <f>Y337</f>
        <v>-</v>
      </c>
      <c r="CB337" s="72">
        <f>AC337</f>
        <v>149</v>
      </c>
      <c r="CC337" s="71">
        <f>AG337</f>
        <v>187</v>
      </c>
      <c r="CD337" s="72">
        <f>AK337</f>
        <v>199</v>
      </c>
      <c r="CE337" s="71">
        <f>AO337</f>
        <v>241</v>
      </c>
      <c r="CF337" s="72">
        <f>AS337</f>
        <v>284</v>
      </c>
      <c r="CG337" s="71">
        <f>AW337</f>
        <v>310</v>
      </c>
      <c r="CH337" s="70">
        <f>G337</f>
        <v>65</v>
      </c>
      <c r="CI337" s="71">
        <f>K337</f>
        <v>69</v>
      </c>
      <c r="CJ337" s="72">
        <f>O337</f>
        <v>101</v>
      </c>
      <c r="CK337" s="72">
        <f>S337</f>
        <v>105</v>
      </c>
      <c r="CL337" s="72">
        <f>W337</f>
        <v>141</v>
      </c>
      <c r="CM337" s="72" t="str">
        <f>AA337</f>
        <v>-</v>
      </c>
      <c r="CN337" s="72">
        <f>AE337</f>
        <v>173</v>
      </c>
      <c r="CO337" s="72">
        <f>AI337</f>
        <v>189</v>
      </c>
      <c r="CP337" s="72">
        <f>AM337</f>
        <v>237</v>
      </c>
      <c r="CQ337" s="72">
        <f>AQ337</f>
        <v>278</v>
      </c>
      <c r="CR337" s="72">
        <f>AU337</f>
        <v>309</v>
      </c>
      <c r="CS337" s="72">
        <f>AY337</f>
        <v>322</v>
      </c>
      <c r="CT337" s="23">
        <f>M337-K337</f>
        <v>1</v>
      </c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"/>
      <c r="NL337" s="6"/>
      <c r="NM337" s="6"/>
      <c r="NN337" s="6"/>
      <c r="NO337" s="6"/>
      <c r="NP337" s="6"/>
      <c r="NQ337" s="6"/>
      <c r="NR337" s="6"/>
      <c r="NS337" s="6"/>
      <c r="NT337" s="6"/>
      <c r="NU337" s="6"/>
      <c r="NV337" s="6"/>
      <c r="NW337" s="6"/>
      <c r="NX337" s="6"/>
      <c r="NY337" s="6"/>
      <c r="NZ337" s="6"/>
      <c r="OA337" s="6"/>
      <c r="OB337" s="6"/>
      <c r="OC337" s="6"/>
      <c r="OD337" s="6"/>
      <c r="OE337" s="6"/>
      <c r="OF337" s="6"/>
      <c r="OG337" s="6"/>
      <c r="OH337" s="6"/>
      <c r="OI337" s="6"/>
      <c r="OJ337" s="6"/>
      <c r="OK337" s="6"/>
      <c r="OL337" s="6"/>
      <c r="OM337" s="6"/>
      <c r="ON337" s="6"/>
      <c r="OO337" s="6"/>
      <c r="OP337" s="6"/>
      <c r="OQ337" s="6"/>
      <c r="OR337" s="6"/>
      <c r="OS337" s="6"/>
      <c r="OT337" s="6"/>
      <c r="OU337" s="6"/>
      <c r="OV337" s="6"/>
      <c r="OW337" s="6"/>
      <c r="OX337" s="6"/>
      <c r="OY337" s="6"/>
      <c r="OZ337" s="6"/>
      <c r="PA337" s="6"/>
      <c r="PB337" s="6"/>
      <c r="PC337" s="6"/>
      <c r="PD337" s="6"/>
      <c r="PE337" s="6"/>
      <c r="PF337" s="6"/>
      <c r="PG337" s="6"/>
      <c r="PH337" s="6"/>
      <c r="PI337" s="6"/>
      <c r="PJ337" s="6"/>
      <c r="PK337" s="6"/>
      <c r="PL337" s="6"/>
      <c r="PM337" s="6"/>
      <c r="PN337" s="6"/>
      <c r="PO337" s="6"/>
      <c r="PP337" s="6"/>
      <c r="PQ337" s="6"/>
      <c r="PR337" s="6"/>
      <c r="PS337" s="6"/>
      <c r="PT337" s="6"/>
      <c r="PU337" s="6"/>
      <c r="PV337" s="6"/>
      <c r="PW337" s="6"/>
      <c r="PX337" s="6"/>
      <c r="PY337" s="6"/>
      <c r="PZ337" s="6"/>
      <c r="QA337" s="6"/>
      <c r="QB337" s="6"/>
      <c r="QC337" s="6"/>
      <c r="QD337" s="6"/>
      <c r="QE337" s="6"/>
      <c r="QF337" s="6"/>
      <c r="QG337" s="6"/>
      <c r="QH337" s="6"/>
      <c r="QI337" s="6"/>
      <c r="QJ337" s="6"/>
      <c r="QK337" s="6"/>
      <c r="QL337" s="6"/>
      <c r="QM337" s="6"/>
      <c r="QN337" s="6"/>
      <c r="QO337" s="6"/>
      <c r="QP337" s="6"/>
      <c r="QQ337" s="6"/>
      <c r="QR337" s="6"/>
      <c r="QS337" s="6"/>
      <c r="QT337" s="6"/>
      <c r="QU337" s="6"/>
      <c r="QV337" s="6"/>
      <c r="QW337" s="6"/>
      <c r="QX337" s="6"/>
      <c r="QY337" s="6"/>
      <c r="QZ337" s="6"/>
      <c r="RA337" s="6"/>
      <c r="RB337" s="6"/>
      <c r="RC337" s="6"/>
      <c r="RD337" s="6"/>
      <c r="RE337" s="6"/>
      <c r="RF337" s="6"/>
      <c r="RG337" s="6"/>
      <c r="RH337" s="6"/>
      <c r="RI337" s="6"/>
      <c r="RJ337" s="6"/>
      <c r="RK337" s="6"/>
      <c r="RL337" s="6"/>
      <c r="RM337" s="6"/>
      <c r="RN337" s="6"/>
      <c r="RO337" s="6"/>
      <c r="RP337" s="6"/>
      <c r="RQ337" s="6"/>
      <c r="RR337" s="6"/>
      <c r="RS337" s="6"/>
      <c r="RT337" s="6"/>
      <c r="RU337" s="6"/>
      <c r="RV337" s="6"/>
      <c r="RW337" s="6"/>
      <c r="RX337" s="6"/>
      <c r="RY337" s="6"/>
      <c r="RZ337" s="6"/>
      <c r="SA337" s="6"/>
      <c r="SB337" s="6"/>
      <c r="SC337" s="6"/>
      <c r="SD337" s="6"/>
      <c r="SE337" s="6"/>
      <c r="SF337" s="6"/>
      <c r="SG337" s="6"/>
      <c r="SH337" s="6"/>
      <c r="SI337" s="6"/>
      <c r="SJ337" s="6"/>
      <c r="SK337" s="6"/>
      <c r="SL337" s="6"/>
      <c r="SM337" s="6"/>
      <c r="SN337" s="6"/>
      <c r="SO337" s="6"/>
      <c r="SP337" s="6"/>
      <c r="SQ337" s="6"/>
      <c r="SR337" s="6"/>
      <c r="SS337" s="6"/>
      <c r="ST337" s="6"/>
      <c r="SU337" s="6"/>
      <c r="SV337" s="6"/>
      <c r="SW337" s="6"/>
      <c r="SX337" s="6"/>
      <c r="SY337" s="6"/>
      <c r="SZ337" s="6"/>
      <c r="TA337" s="6"/>
      <c r="TB337" s="6"/>
      <c r="TC337" s="6"/>
      <c r="TD337" s="6"/>
      <c r="TE337" s="6"/>
      <c r="TF337" s="6"/>
      <c r="TG337" s="6"/>
      <c r="TH337" s="6"/>
      <c r="TI337" s="6"/>
      <c r="TJ337" s="6"/>
      <c r="TK337" s="6"/>
      <c r="TL337" s="6"/>
      <c r="TM337" s="6"/>
      <c r="TN337" s="6"/>
      <c r="TO337" s="6"/>
      <c r="TP337" s="6"/>
      <c r="TQ337" s="6"/>
      <c r="TR337" s="6"/>
      <c r="TS337" s="6"/>
      <c r="TT337" s="6"/>
      <c r="TU337" s="6"/>
      <c r="TV337" s="6"/>
      <c r="TW337" s="6"/>
      <c r="TX337" s="6"/>
      <c r="TY337" s="6"/>
      <c r="TZ337" s="6"/>
      <c r="UA337" s="6"/>
      <c r="UB337" s="6"/>
      <c r="UC337" s="6"/>
      <c r="UD337" s="6"/>
      <c r="UE337" s="6"/>
      <c r="UF337" s="6"/>
      <c r="UG337" s="6"/>
      <c r="UH337" s="6"/>
      <c r="UI337" s="6"/>
      <c r="UJ337" s="6"/>
      <c r="UK337" s="6"/>
      <c r="UL337" s="6"/>
      <c r="UM337" s="6"/>
      <c r="UN337" s="6"/>
      <c r="UO337" s="6"/>
      <c r="UP337" s="6"/>
      <c r="UQ337" s="6"/>
      <c r="UR337" s="6"/>
      <c r="US337" s="6"/>
      <c r="UT337" s="6"/>
      <c r="UU337" s="6"/>
      <c r="UV337" s="6"/>
      <c r="UW337" s="6"/>
      <c r="UX337" s="6"/>
      <c r="UY337" s="6"/>
      <c r="UZ337" s="6"/>
      <c r="VA337" s="6"/>
      <c r="VB337" s="6"/>
      <c r="VC337" s="6"/>
      <c r="VD337" s="6"/>
      <c r="VE337" s="6"/>
      <c r="VF337" s="6"/>
      <c r="VG337" s="6"/>
      <c r="VH337" s="6"/>
      <c r="VI337" s="6"/>
      <c r="VJ337" s="6"/>
      <c r="VK337" s="6"/>
      <c r="VL337" s="6"/>
      <c r="VM337" s="6"/>
      <c r="VN337" s="6"/>
      <c r="VO337" s="6"/>
      <c r="VP337" s="6"/>
      <c r="VQ337" s="6"/>
      <c r="VR337" s="6"/>
      <c r="VS337" s="6"/>
      <c r="VT337" s="6"/>
      <c r="VU337" s="6"/>
      <c r="VV337" s="6"/>
      <c r="VW337" s="6"/>
      <c r="VX337" s="6"/>
      <c r="VY337" s="6"/>
      <c r="VZ337" s="6"/>
      <c r="WA337" s="6"/>
      <c r="WB337" s="6"/>
      <c r="WC337" s="6"/>
      <c r="WD337" s="6"/>
      <c r="WE337" s="6"/>
      <c r="WF337" s="6"/>
      <c r="WG337" s="6"/>
      <c r="WH337" s="6"/>
      <c r="WI337" s="6"/>
      <c r="WJ337" s="6"/>
      <c r="WK337" s="6"/>
      <c r="WL337" s="6"/>
      <c r="WM337" s="6"/>
      <c r="WN337" s="6"/>
      <c r="WO337" s="6"/>
      <c r="WP337" s="6"/>
      <c r="WQ337" s="6"/>
      <c r="WR337" s="6"/>
      <c r="WS337" s="6"/>
      <c r="WT337" s="6"/>
      <c r="WU337" s="6"/>
      <c r="WV337" s="6"/>
      <c r="WW337" s="6"/>
      <c r="WX337" s="6"/>
      <c r="WY337" s="6"/>
      <c r="WZ337" s="6"/>
      <c r="XA337" s="6"/>
      <c r="XB337" s="6"/>
      <c r="XC337" s="6"/>
      <c r="XD337" s="6"/>
      <c r="XE337" s="6"/>
      <c r="XF337" s="6"/>
      <c r="XG337" s="6"/>
      <c r="XH337" s="6"/>
      <c r="XI337" s="6"/>
      <c r="XJ337" s="6"/>
      <c r="XK337" s="6"/>
      <c r="XL337" s="6"/>
      <c r="XM337" s="6"/>
      <c r="XN337" s="6"/>
      <c r="XO337" s="6"/>
      <c r="XP337" s="6"/>
      <c r="XQ337" s="6"/>
      <c r="XR337" s="6"/>
      <c r="XS337" s="6"/>
      <c r="XT337" s="6"/>
      <c r="XU337" s="6"/>
      <c r="XV337" s="6"/>
      <c r="XW337" s="6"/>
      <c r="XX337" s="6"/>
      <c r="XY337" s="6"/>
      <c r="XZ337" s="6"/>
      <c r="YA337" s="6"/>
      <c r="YB337" s="6"/>
      <c r="YC337" s="6"/>
      <c r="YD337" s="6"/>
      <c r="YE337" s="6"/>
      <c r="YF337" s="6"/>
      <c r="YG337" s="6"/>
      <c r="YH337" s="6"/>
      <c r="YI337" s="6"/>
      <c r="YJ337" s="6"/>
      <c r="YK337" s="6"/>
      <c r="YL337" s="6"/>
      <c r="YM337" s="6"/>
      <c r="YN337" s="6"/>
      <c r="YO337" s="6"/>
      <c r="YP337" s="6"/>
      <c r="YQ337" s="6"/>
      <c r="YR337" s="6"/>
      <c r="YS337" s="6"/>
      <c r="YT337" s="6"/>
      <c r="YU337" s="6"/>
      <c r="YV337" s="6"/>
      <c r="YW337" s="6"/>
      <c r="YX337" s="6"/>
      <c r="YY337" s="6"/>
      <c r="YZ337" s="6"/>
      <c r="ZA337" s="6"/>
      <c r="ZB337" s="6"/>
      <c r="ZC337" s="6"/>
      <c r="ZD337" s="6"/>
      <c r="ZE337" s="6"/>
      <c r="ZF337" s="6"/>
      <c r="ZG337" s="6"/>
      <c r="ZH337" s="6"/>
      <c r="ZI337" s="6"/>
      <c r="ZJ337" s="6"/>
      <c r="ZK337" s="6"/>
      <c r="ZL337" s="6"/>
      <c r="ZM337" s="6"/>
      <c r="ZN337" s="6"/>
      <c r="ZO337" s="6"/>
      <c r="ZP337" s="6"/>
      <c r="ZQ337" s="6"/>
      <c r="ZR337" s="6"/>
      <c r="ZS337" s="6"/>
      <c r="ZT337" s="6"/>
      <c r="ZU337" s="6"/>
      <c r="ZV337" s="6"/>
      <c r="ZW337" s="6"/>
      <c r="ZX337" s="6"/>
      <c r="ZY337" s="6"/>
      <c r="ZZ337" s="6"/>
      <c r="AAA337" s="6"/>
      <c r="AAB337" s="6"/>
      <c r="AAC337" s="6"/>
      <c r="AAD337" s="6"/>
      <c r="AAE337" s="6"/>
      <c r="AAF337" s="6"/>
      <c r="AAG337" s="6"/>
      <c r="AAH337" s="6"/>
      <c r="AAI337" s="6"/>
      <c r="AAJ337" s="6"/>
      <c r="AAK337" s="6"/>
      <c r="AAL337" s="6"/>
      <c r="AAM337" s="6"/>
      <c r="AAN337" s="6"/>
      <c r="AAO337" s="6"/>
      <c r="AAP337" s="6"/>
      <c r="AAQ337" s="6"/>
      <c r="AAR337" s="6"/>
      <c r="AAS337" s="6"/>
      <c r="AAT337" s="6"/>
      <c r="AAU337" s="6"/>
      <c r="AAV337" s="6"/>
      <c r="AAW337" s="6"/>
      <c r="AAX337" s="6"/>
      <c r="AAY337" s="6"/>
      <c r="AAZ337" s="6"/>
      <c r="ABA337" s="6"/>
      <c r="ABB337" s="6"/>
      <c r="ABC337" s="6"/>
      <c r="ABD337" s="6"/>
      <c r="ABE337" s="6"/>
      <c r="ABF337" s="6"/>
      <c r="ABG337" s="6"/>
      <c r="ABH337" s="6"/>
      <c r="ABI337" s="6"/>
      <c r="ABJ337" s="6"/>
      <c r="ABK337" s="6"/>
      <c r="ABL337" s="6"/>
      <c r="ABM337" s="6"/>
      <c r="ABN337" s="6"/>
      <c r="ABO337" s="6"/>
      <c r="ABP337" s="6"/>
      <c r="ABQ337" s="6"/>
      <c r="ABR337" s="6"/>
      <c r="ABS337" s="6"/>
      <c r="ABT337" s="6"/>
      <c r="ABU337" s="6"/>
      <c r="ABV337" s="6"/>
      <c r="ABW337" s="6"/>
      <c r="ABX337" s="6"/>
      <c r="ABY337" s="6"/>
      <c r="ABZ337" s="6"/>
      <c r="ACA337" s="6"/>
      <c r="ACB337" s="6"/>
      <c r="ACC337" s="6"/>
      <c r="ACD337" s="6"/>
      <c r="ACE337" s="6"/>
      <c r="ACF337" s="6"/>
      <c r="ACG337" s="6"/>
      <c r="ACH337" s="6"/>
      <c r="ACI337" s="6"/>
      <c r="ACJ337" s="6"/>
      <c r="ACK337" s="6"/>
      <c r="ACL337" s="6"/>
      <c r="ACM337" s="6"/>
      <c r="ACN337" s="6"/>
      <c r="ACO337" s="6"/>
      <c r="ACP337" s="6"/>
      <c r="ACQ337" s="6"/>
      <c r="ACR337" s="6"/>
      <c r="ACS337" s="6"/>
      <c r="ACT337" s="6"/>
      <c r="ACU337" s="6"/>
      <c r="ACV337" s="6"/>
      <c r="ACW337" s="6"/>
      <c r="ACX337" s="6"/>
      <c r="ACY337" s="6"/>
      <c r="ACZ337" s="6"/>
      <c r="ADA337" s="6"/>
      <c r="ADB337" s="6"/>
      <c r="ADC337" s="6"/>
      <c r="ADD337" s="6"/>
      <c r="ADE337" s="6"/>
      <c r="ADF337" s="6"/>
      <c r="ADG337" s="6"/>
      <c r="ADH337" s="6"/>
      <c r="ADI337" s="6"/>
      <c r="ADJ337" s="6"/>
      <c r="ADK337" s="6"/>
      <c r="ADL337" s="6"/>
      <c r="ADM337" s="6"/>
      <c r="ADN337" s="6"/>
      <c r="ADO337" s="6"/>
      <c r="ADP337" s="6"/>
      <c r="ADQ337" s="6"/>
      <c r="ADR337" s="6"/>
      <c r="ADS337" s="6"/>
      <c r="ADT337" s="6"/>
      <c r="ADU337" s="6"/>
      <c r="ADV337" s="6"/>
      <c r="ADW337" s="6"/>
      <c r="ADX337" s="6"/>
      <c r="ADY337" s="6"/>
      <c r="ADZ337" s="6"/>
      <c r="AEA337" s="6"/>
      <c r="AEB337" s="6"/>
      <c r="AEC337" s="6"/>
      <c r="AED337" s="6"/>
      <c r="AEE337" s="6"/>
      <c r="AEF337" s="6"/>
      <c r="AEG337" s="6"/>
      <c r="AEH337" s="6"/>
      <c r="AEI337" s="6"/>
      <c r="AEJ337" s="6"/>
      <c r="AEK337" s="6"/>
      <c r="AEL337" s="6"/>
      <c r="AEM337" s="6"/>
      <c r="AEN337" s="6"/>
      <c r="AEO337" s="6"/>
      <c r="AEP337" s="6"/>
      <c r="AEQ337" s="6"/>
      <c r="AER337" s="6"/>
      <c r="AES337" s="6"/>
      <c r="AET337" s="6"/>
      <c r="AEU337" s="6"/>
      <c r="AEV337" s="6"/>
      <c r="AEW337" s="6"/>
      <c r="AEX337" s="6"/>
      <c r="AEY337" s="6"/>
      <c r="AEZ337" s="6"/>
      <c r="AFA337" s="6"/>
      <c r="AFB337" s="6"/>
      <c r="AFC337" s="6"/>
      <c r="AFD337" s="6"/>
      <c r="AFE337" s="6"/>
      <c r="AFF337" s="6"/>
      <c r="AFG337" s="6"/>
      <c r="AFH337" s="6"/>
      <c r="AFI337" s="6"/>
      <c r="AFJ337" s="6"/>
      <c r="AFK337" s="6"/>
      <c r="AFL337" s="6"/>
      <c r="AFM337" s="6"/>
      <c r="AFN337" s="6"/>
      <c r="AFO337" s="6"/>
      <c r="AFP337" s="6"/>
      <c r="AFQ337" s="6"/>
      <c r="AFR337" s="6"/>
      <c r="AFS337" s="6"/>
      <c r="AFT337" s="6"/>
      <c r="AFU337" s="6"/>
      <c r="AFV337" s="6"/>
      <c r="AFW337" s="6"/>
      <c r="AFX337" s="6"/>
      <c r="AFY337" s="6"/>
      <c r="AFZ337" s="6"/>
      <c r="AGA337" s="6"/>
      <c r="AGB337" s="6"/>
      <c r="AGC337" s="6"/>
      <c r="AGD337" s="6"/>
      <c r="AGE337" s="6"/>
      <c r="AGF337" s="6"/>
      <c r="AGG337" s="6"/>
      <c r="AGH337" s="6"/>
      <c r="AGI337" s="6"/>
      <c r="AGJ337" s="6"/>
      <c r="AGK337" s="6"/>
      <c r="AGL337" s="6"/>
      <c r="AGM337" s="6"/>
      <c r="AGN337" s="6"/>
      <c r="AGO337" s="6"/>
      <c r="AGP337" s="6"/>
      <c r="AGQ337" s="6"/>
      <c r="AGR337" s="6"/>
      <c r="AGS337" s="6"/>
      <c r="AGT337" s="6"/>
      <c r="AGU337" s="6"/>
      <c r="AGV337" s="6"/>
      <c r="AGW337" s="6"/>
      <c r="AGX337" s="6"/>
      <c r="AGY337" s="6"/>
      <c r="AGZ337" s="6"/>
      <c r="AHA337" s="6"/>
      <c r="AHB337" s="6"/>
      <c r="AHC337" s="6"/>
      <c r="AHD337" s="6"/>
      <c r="AHE337" s="6"/>
      <c r="AHF337" s="6"/>
      <c r="AHG337" s="6"/>
      <c r="AHH337" s="6"/>
      <c r="AHI337" s="6"/>
      <c r="AHJ337" s="6"/>
      <c r="AHK337" s="6"/>
      <c r="AHL337" s="6"/>
      <c r="AHM337" s="6"/>
      <c r="AHN337" s="6"/>
      <c r="AHO337" s="6"/>
      <c r="AHP337" s="6"/>
      <c r="AHQ337" s="6"/>
      <c r="AHR337" s="6"/>
      <c r="AHS337" s="6"/>
      <c r="AHT337" s="6"/>
      <c r="AHU337" s="6"/>
      <c r="AHV337" s="6"/>
      <c r="AHW337" s="6"/>
      <c r="AHX337" s="6"/>
      <c r="AHY337" s="6"/>
      <c r="AHZ337" s="6"/>
      <c r="AIA337" s="6"/>
      <c r="AIB337" s="6"/>
      <c r="AIC337" s="6"/>
      <c r="AID337" s="6"/>
      <c r="AIE337" s="6"/>
      <c r="AIF337" s="6"/>
      <c r="AIG337" s="6"/>
      <c r="AIH337" s="6"/>
      <c r="AII337" s="6"/>
      <c r="AIJ337" s="6"/>
      <c r="AIK337" s="6"/>
      <c r="AIL337" s="6"/>
      <c r="AIM337" s="6"/>
      <c r="AIN337" s="6"/>
      <c r="AIO337" s="6"/>
      <c r="AIP337" s="6"/>
      <c r="AIQ337" s="6"/>
      <c r="AIR337" s="6"/>
      <c r="AIS337" s="6"/>
      <c r="AIT337" s="6"/>
      <c r="AIU337" s="6"/>
      <c r="AIV337" s="6"/>
      <c r="AIW337" s="6"/>
      <c r="AIX337" s="6"/>
      <c r="AIY337" s="6"/>
      <c r="AIZ337" s="6"/>
      <c r="AJA337" s="6"/>
      <c r="AJB337" s="6"/>
      <c r="AJC337" s="6"/>
      <c r="AJD337" s="6"/>
      <c r="AJE337" s="6"/>
      <c r="AJF337" s="6"/>
      <c r="AJG337" s="6"/>
      <c r="AJH337" s="6"/>
      <c r="AJI337" s="6"/>
      <c r="AJJ337" s="6"/>
      <c r="AJK337" s="6"/>
      <c r="AJL337" s="6"/>
      <c r="AJM337" s="6"/>
      <c r="AJN337" s="6"/>
      <c r="AJO337" s="6"/>
      <c r="AJP337" s="6"/>
      <c r="AJQ337" s="6"/>
      <c r="AJR337" s="6"/>
      <c r="AJS337" s="6"/>
      <c r="AJT337" s="6"/>
      <c r="AJU337" s="6"/>
      <c r="AJV337" s="6"/>
      <c r="AJW337" s="6"/>
      <c r="AJX337" s="6"/>
      <c r="AJY337" s="6"/>
      <c r="AJZ337" s="6"/>
      <c r="AKA337" s="6"/>
      <c r="AKB337" s="6"/>
      <c r="AKC337" s="6"/>
      <c r="AKD337" s="6"/>
      <c r="AKE337" s="6"/>
      <c r="AKF337" s="6"/>
      <c r="AKG337" s="6"/>
      <c r="AKH337" s="6"/>
      <c r="AKI337" s="6"/>
      <c r="AKJ337" s="6"/>
      <c r="AKK337" s="6"/>
      <c r="AKL337" s="6"/>
      <c r="AKM337" s="6"/>
      <c r="AKN337" s="6"/>
      <c r="AKO337" s="6"/>
      <c r="AKP337" s="6"/>
      <c r="AKQ337" s="6"/>
      <c r="AKR337" s="6"/>
      <c r="AKS337" s="6"/>
      <c r="AKT337" s="6"/>
      <c r="AKU337" s="6"/>
      <c r="AKV337" s="6"/>
      <c r="AKW337" s="6"/>
      <c r="AKX337" s="6"/>
      <c r="AKY337" s="6"/>
      <c r="AKZ337" s="6"/>
      <c r="ALA337" s="6"/>
      <c r="ALB337" s="6"/>
      <c r="ALC337" s="6"/>
      <c r="ALD337" s="6"/>
      <c r="ALE337" s="6"/>
      <c r="ALF337" s="6"/>
      <c r="ALG337" s="6"/>
      <c r="ALH337" s="6"/>
      <c r="ALI337" s="6"/>
      <c r="ALJ337" s="6"/>
      <c r="ALK337" s="6"/>
      <c r="ALL337" s="6"/>
      <c r="ALM337" s="6"/>
      <c r="ALN337" s="6"/>
      <c r="ALO337" s="6"/>
      <c r="ALP337" s="6"/>
      <c r="ALQ337" s="6"/>
      <c r="ALR337" s="6"/>
      <c r="ALS337" s="6"/>
      <c r="ALT337" s="6"/>
      <c r="ALU337" s="6"/>
      <c r="ALV337" s="6"/>
      <c r="ALW337" s="6"/>
      <c r="ALX337" s="6"/>
      <c r="ALY337" s="6"/>
      <c r="ALZ337" s="6"/>
      <c r="AMA337" s="6"/>
      <c r="AMB337" s="6"/>
      <c r="AMC337" s="6"/>
      <c r="AMD337" s="6"/>
      <c r="AME337" s="6"/>
      <c r="AMF337" s="6"/>
      <c r="AMG337" s="6"/>
      <c r="AMH337" s="6"/>
      <c r="AMI337" s="6"/>
      <c r="AMJ337" s="6"/>
      <c r="AMK337" s="6"/>
      <c r="AML337" s="6"/>
      <c r="AMM337" s="6"/>
      <c r="AMN337" s="6"/>
      <c r="AMO337" s="6"/>
      <c r="AMP337" s="6"/>
    </row>
    <row r="338" spans="1:1030" x14ac:dyDescent="0.2">
      <c r="A338" s="3" t="str">
        <f t="shared" si="2570"/>
        <v>opsd_bovin_3DQB</v>
      </c>
      <c r="B338" s="3" t="s">
        <v>913</v>
      </c>
      <c r="C338" s="3" t="s">
        <v>54</v>
      </c>
      <c r="D338" s="3" t="str">
        <f>IFERROR(MID(VLOOKUP($B338,Seqs!$A:$B,2,0),E338,1),"")</f>
        <v>E</v>
      </c>
      <c r="E338" s="105">
        <v>33</v>
      </c>
      <c r="F338" s="3" t="str">
        <f>IFERROR(MID(VLOOKUP($B338,Seqs!$A:$B,2,0),G338,1),"")</f>
        <v>H</v>
      </c>
      <c r="G338" s="3">
        <v>65</v>
      </c>
      <c r="H338" s="3" t="str">
        <f>IFERROR(MID(VLOOKUP($B338,Seqs!$A:$B,2,0),I338,1),"")</f>
        <v>K</v>
      </c>
      <c r="I338" s="23">
        <v>66</v>
      </c>
      <c r="J338" s="3" t="str">
        <f>IFERROR(MID(VLOOKUP($B338,Seqs!$A:$B,2,0),K338,1),"")</f>
        <v>R</v>
      </c>
      <c r="K338" s="23">
        <v>69</v>
      </c>
      <c r="L338" s="3" t="str">
        <f>IFERROR(MID(VLOOKUP($B338,Seqs!$A:$B,2,0),M338,1),"")</f>
        <v>T</v>
      </c>
      <c r="M338" s="3">
        <v>70</v>
      </c>
      <c r="N338" s="3" t="str">
        <f>IFERROR(MID(VLOOKUP($B338,Seqs!$A:$B,2,0),O338,1),"")</f>
        <v>G</v>
      </c>
      <c r="O338" s="3">
        <v>101</v>
      </c>
      <c r="P338" s="3" t="str">
        <f>IFERROR(MID(VLOOKUP($B338,Seqs!$A:$B,2,0),Q338,1),"")</f>
        <v>Y</v>
      </c>
      <c r="Q338" s="3">
        <v>102</v>
      </c>
      <c r="R338" s="3" t="str">
        <f>IFERROR(MID(VLOOKUP($B338,Seqs!$A:$B,2,0),S338,1),"")</f>
        <v>F</v>
      </c>
      <c r="S338" s="3">
        <v>105</v>
      </c>
      <c r="T338" s="3" t="str">
        <f>IFERROR(MID(VLOOKUP($B338,Seqs!$A:$B,2,0),U338,1),"")</f>
        <v>G</v>
      </c>
      <c r="U338" s="3">
        <v>106</v>
      </c>
      <c r="V338" s="3" t="str">
        <f>IFERROR(MID(VLOOKUP($B338,Seqs!$A:$B,2,0),W338,1),"")</f>
        <v>K</v>
      </c>
      <c r="W338" s="3">
        <v>141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G</v>
      </c>
      <c r="AC338" s="9">
        <v>149</v>
      </c>
      <c r="AD338" s="3" t="str">
        <f>IFERROR(MID(VLOOKUP($B338,Seqs!$A:$B,2,0),AE338,1),"")</f>
        <v>V</v>
      </c>
      <c r="AE338" s="3">
        <v>173</v>
      </c>
      <c r="AF338" s="3" t="str">
        <f>IFERROR(MID(VLOOKUP($B338,Seqs!$A:$B,2,0),AG338,1),"")</f>
        <v>C</v>
      </c>
      <c r="AG338" s="3">
        <v>187</v>
      </c>
      <c r="AH338" s="3" t="str">
        <f>IFERROR(MID(VLOOKUP($B338,Seqs!$A:$B,2,0),AI338,1),"")</f>
        <v>I</v>
      </c>
      <c r="AI338" s="3">
        <v>189</v>
      </c>
      <c r="AJ338" s="3" t="str">
        <f>IFERROR(MID(VLOOKUP($B338,Seqs!$A:$B,2,0),AK338,1),"")</f>
        <v>N</v>
      </c>
      <c r="AK338" s="3">
        <v>199</v>
      </c>
      <c r="AL338" s="3" t="str">
        <f>IFERROR(MID(VLOOKUP($B338,Seqs!$A:$B,2,0),AM338,1),"")</f>
        <v>Q</v>
      </c>
      <c r="AM338" s="3">
        <v>237</v>
      </c>
      <c r="AN338" s="3" t="str">
        <f>IFERROR(MID(VLOOKUP($B338,Seqs!$A:$B,2,0),AO338,1),"")</f>
        <v>A</v>
      </c>
      <c r="AO338" s="3">
        <v>241</v>
      </c>
      <c r="AP338" s="3" t="str">
        <f>IFERROR(MID(VLOOKUP($B338,Seqs!$A:$B,2,0),AQ338,1),"")</f>
        <v>H</v>
      </c>
      <c r="AQ338" s="3">
        <v>278</v>
      </c>
      <c r="AR338" s="3" t="str">
        <f>IFERROR(MID(VLOOKUP($B338,Seqs!$A:$B,2,0),AS338,1),"")</f>
        <v>G</v>
      </c>
      <c r="AS338" s="3">
        <v>284</v>
      </c>
      <c r="AT338" s="3" t="str">
        <f>IFERROR(MID(VLOOKUP($B338,Seqs!$A:$B,2,0),AU338,1),"")</f>
        <v>M</v>
      </c>
      <c r="AU338" s="3">
        <v>309</v>
      </c>
      <c r="AV338" s="3" t="str">
        <f>IFERROR(MID(VLOOKUP($B338,Seqs!$A:$B,2,0),AW338,1),"")</f>
        <v>N</v>
      </c>
      <c r="AW338" s="3">
        <v>310</v>
      </c>
      <c r="AX338" s="3" t="str">
        <f>IFERROR(MID(VLOOKUP($B338,Seqs!$A:$B,2,0),AY338,1),"")</f>
        <v>C</v>
      </c>
      <c r="AY338" s="3">
        <v>322</v>
      </c>
      <c r="AZ338" s="77" t="str">
        <f>VLOOKUP(B338,Classification!A:D,2,0)</f>
        <v>A</v>
      </c>
      <c r="BA338" s="94" t="str">
        <f>VLOOKUP(B338,Classification!A:D,4,0)</f>
        <v>Opsins</v>
      </c>
      <c r="BB338" s="27" t="b">
        <f t="shared" si="2571"/>
        <v>1</v>
      </c>
      <c r="BC338" s="23">
        <f>_xlfn.AGGREGATE(9,6,CH338:CS338)-_xlfn.AGGREGATE(9,6,BV338:CG338)+12</f>
        <v>254</v>
      </c>
      <c r="BD338" s="74" t="s">
        <v>23</v>
      </c>
      <c r="BE338" s="3" t="s">
        <v>1285</v>
      </c>
      <c r="BF338" s="118">
        <v>3.2</v>
      </c>
      <c r="BG338" s="49" t="s">
        <v>1371</v>
      </c>
      <c r="BH338" s="49" t="s">
        <v>1371</v>
      </c>
      <c r="BI338" s="1"/>
      <c r="BJ338" s="70" t="s">
        <v>1281</v>
      </c>
      <c r="BK338" s="57" t="s">
        <v>1281</v>
      </c>
      <c r="BL338" s="57" t="s">
        <v>1281</v>
      </c>
      <c r="BM338" s="57" t="s">
        <v>1281</v>
      </c>
      <c r="BN338" s="57" t="s">
        <v>1281</v>
      </c>
      <c r="BO338" s="57" t="s">
        <v>1281</v>
      </c>
      <c r="BP338" s="57" t="s">
        <v>1281</v>
      </c>
      <c r="BQ338" s="57" t="s">
        <v>1281</v>
      </c>
      <c r="BR338" s="57" t="s">
        <v>1281</v>
      </c>
      <c r="BS338" s="57" t="s">
        <v>1281</v>
      </c>
      <c r="BT338" s="57" t="s">
        <v>1281</v>
      </c>
      <c r="BU338" s="57" t="s">
        <v>1281</v>
      </c>
      <c r="BV338" s="70">
        <f>E338</f>
        <v>33</v>
      </c>
      <c r="BW338" s="71">
        <f>I338</f>
        <v>66</v>
      </c>
      <c r="BX338" s="72">
        <f>M338</f>
        <v>70</v>
      </c>
      <c r="BY338" s="71">
        <f>Q338</f>
        <v>102</v>
      </c>
      <c r="BZ338" s="72">
        <f>U338</f>
        <v>106</v>
      </c>
      <c r="CA338" s="71" t="str">
        <f>Y338</f>
        <v>-</v>
      </c>
      <c r="CB338" s="72">
        <f>AC338</f>
        <v>149</v>
      </c>
      <c r="CC338" s="71">
        <f>AG338</f>
        <v>187</v>
      </c>
      <c r="CD338" s="72">
        <f>AK338</f>
        <v>199</v>
      </c>
      <c r="CE338" s="71">
        <f>AO338</f>
        <v>241</v>
      </c>
      <c r="CF338" s="72">
        <f>AS338</f>
        <v>284</v>
      </c>
      <c r="CG338" s="71">
        <f>AW338</f>
        <v>310</v>
      </c>
      <c r="CH338" s="70">
        <f>G338</f>
        <v>65</v>
      </c>
      <c r="CI338" s="71">
        <f>K338</f>
        <v>69</v>
      </c>
      <c r="CJ338" s="72">
        <f>O338</f>
        <v>101</v>
      </c>
      <c r="CK338" s="72">
        <f>S338</f>
        <v>105</v>
      </c>
      <c r="CL338" s="72">
        <f>W338</f>
        <v>141</v>
      </c>
      <c r="CM338" s="72" t="str">
        <f>AA338</f>
        <v>-</v>
      </c>
      <c r="CN338" s="72">
        <f>AE338</f>
        <v>173</v>
      </c>
      <c r="CO338" s="72">
        <f>AI338</f>
        <v>189</v>
      </c>
      <c r="CP338" s="72">
        <f>AM338</f>
        <v>237</v>
      </c>
      <c r="CQ338" s="72">
        <f>AQ338</f>
        <v>278</v>
      </c>
      <c r="CR338" s="72">
        <f>AU338</f>
        <v>309</v>
      </c>
      <c r="CS338" s="72">
        <f>AY338</f>
        <v>322</v>
      </c>
      <c r="CT338" s="23">
        <f>M338-K338</f>
        <v>1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30" x14ac:dyDescent="0.2">
      <c r="A339" s="3" t="str">
        <f t="shared" si="2570"/>
        <v>opsd_bovin_3PQR</v>
      </c>
      <c r="B339" s="3" t="s">
        <v>913</v>
      </c>
      <c r="C339" s="3" t="s">
        <v>1026</v>
      </c>
      <c r="D339" s="3" t="str">
        <f>IFERROR(MID(VLOOKUP($B339,Seqs!$A:$B,2,0),E339,1),"")</f>
        <v>E</v>
      </c>
      <c r="E339" s="105">
        <v>33</v>
      </c>
      <c r="F339" s="3" t="str">
        <f>IFERROR(MID(VLOOKUP($B339,Seqs!$A:$B,2,0),G339,1),"")</f>
        <v>H</v>
      </c>
      <c r="G339" s="3">
        <v>65</v>
      </c>
      <c r="H339" s="3" t="str">
        <f>IFERROR(MID(VLOOKUP($B339,Seqs!$A:$B,2,0),I339,1),"")</f>
        <v>K</v>
      </c>
      <c r="I339" s="23">
        <v>66</v>
      </c>
      <c r="J339" s="3" t="str">
        <f>IFERROR(MID(VLOOKUP($B339,Seqs!$A:$B,2,0),K339,1),"")</f>
        <v>R</v>
      </c>
      <c r="K339" s="23">
        <v>69</v>
      </c>
      <c r="L339" s="3" t="str">
        <f>IFERROR(MID(VLOOKUP($B339,Seqs!$A:$B,2,0),M339,1),"")</f>
        <v>T</v>
      </c>
      <c r="M339" s="3">
        <v>70</v>
      </c>
      <c r="N339" s="3" t="str">
        <f>IFERROR(MID(VLOOKUP($B339,Seqs!$A:$B,2,0),O339,1),"")</f>
        <v>G</v>
      </c>
      <c r="O339" s="3">
        <v>101</v>
      </c>
      <c r="P339" s="3" t="str">
        <f>IFERROR(MID(VLOOKUP($B339,Seqs!$A:$B,2,0),Q339,1),"")</f>
        <v>Y</v>
      </c>
      <c r="Q339" s="3">
        <v>102</v>
      </c>
      <c r="R339" s="3" t="str">
        <f>IFERROR(MID(VLOOKUP($B339,Seqs!$A:$B,2,0),S339,1),"")</f>
        <v>F</v>
      </c>
      <c r="S339" s="3">
        <v>105</v>
      </c>
      <c r="T339" s="3" t="str">
        <f>IFERROR(MID(VLOOKUP($B339,Seqs!$A:$B,2,0),U339,1),"")</f>
        <v>G</v>
      </c>
      <c r="U339" s="3">
        <v>106</v>
      </c>
      <c r="V339" s="3" t="str">
        <f>IFERROR(MID(VLOOKUP($B339,Seqs!$A:$B,2,0),W339,1),"")</f>
        <v>K</v>
      </c>
      <c r="W339" s="3">
        <v>141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G</v>
      </c>
      <c r="AC339" s="9">
        <v>149</v>
      </c>
      <c r="AD339" s="3" t="str">
        <f>IFERROR(MID(VLOOKUP($B339,Seqs!$A:$B,2,0),AE339,1),"")</f>
        <v>V</v>
      </c>
      <c r="AE339" s="3">
        <v>173</v>
      </c>
      <c r="AF339" s="3" t="str">
        <f>IFERROR(MID(VLOOKUP($B339,Seqs!$A:$B,2,0),AG339,1),"")</f>
        <v>C</v>
      </c>
      <c r="AG339" s="3">
        <v>187</v>
      </c>
      <c r="AH339" s="3" t="str">
        <f>IFERROR(MID(VLOOKUP($B339,Seqs!$A:$B,2,0),AI339,1),"")</f>
        <v>I</v>
      </c>
      <c r="AI339" s="3">
        <v>189</v>
      </c>
      <c r="AJ339" s="3" t="str">
        <f>IFERROR(MID(VLOOKUP($B339,Seqs!$A:$B,2,0),AK339,1),"")</f>
        <v>N</v>
      </c>
      <c r="AK339" s="3">
        <v>199</v>
      </c>
      <c r="AL339" s="3" t="str">
        <f>IFERROR(MID(VLOOKUP($B339,Seqs!$A:$B,2,0),AM339,1),"")</f>
        <v>Q</v>
      </c>
      <c r="AM339" s="3">
        <v>237</v>
      </c>
      <c r="AN339" s="3" t="str">
        <f>IFERROR(MID(VLOOKUP($B339,Seqs!$A:$B,2,0),AO339,1),"")</f>
        <v>A</v>
      </c>
      <c r="AO339" s="3">
        <v>241</v>
      </c>
      <c r="AP339" s="3" t="str">
        <f>IFERROR(MID(VLOOKUP($B339,Seqs!$A:$B,2,0),AQ339,1),"")</f>
        <v>H</v>
      </c>
      <c r="AQ339" s="3">
        <v>278</v>
      </c>
      <c r="AR339" s="3" t="str">
        <f>IFERROR(MID(VLOOKUP($B339,Seqs!$A:$B,2,0),AS339,1),"")</f>
        <v>G</v>
      </c>
      <c r="AS339" s="3">
        <v>284</v>
      </c>
      <c r="AT339" s="3" t="str">
        <f>IFERROR(MID(VLOOKUP($B339,Seqs!$A:$B,2,0),AU339,1),"")</f>
        <v>M</v>
      </c>
      <c r="AU339" s="3">
        <v>309</v>
      </c>
      <c r="AV339" s="3" t="str">
        <f>IFERROR(MID(VLOOKUP($B339,Seqs!$A:$B,2,0),AW339,1),"")</f>
        <v>N</v>
      </c>
      <c r="AW339" s="3">
        <v>310</v>
      </c>
      <c r="AX339" s="3" t="str">
        <f>IFERROR(MID(VLOOKUP($B339,Seqs!$A:$B,2,0),AY339,1),"")</f>
        <v>C</v>
      </c>
      <c r="AY339" s="3">
        <v>322</v>
      </c>
      <c r="AZ339" s="77" t="str">
        <f>VLOOKUP(B339,Classification!A:D,2,0)</f>
        <v>A</v>
      </c>
      <c r="BA339" s="94" t="str">
        <f>VLOOKUP(B339,Classification!A:D,4,0)</f>
        <v>Opsins</v>
      </c>
      <c r="BB339" s="27" t="b">
        <f t="shared" si="2571"/>
        <v>1</v>
      </c>
      <c r="BC339" s="23">
        <f>_xlfn.AGGREGATE(9,6,CH339:CS339)-_xlfn.AGGREGATE(9,6,BV339:CG339)+12</f>
        <v>254</v>
      </c>
      <c r="BD339" s="4" t="s">
        <v>23</v>
      </c>
      <c r="BE339" s="3" t="s">
        <v>1285</v>
      </c>
      <c r="BF339" s="118">
        <v>2.85</v>
      </c>
      <c r="BG339" s="49" t="s">
        <v>1371</v>
      </c>
      <c r="BH339" s="49" t="s">
        <v>1371</v>
      </c>
      <c r="BI339" s="1"/>
      <c r="BJ339" s="70" t="s">
        <v>1281</v>
      </c>
      <c r="BK339" s="57" t="s">
        <v>1281</v>
      </c>
      <c r="BL339" s="57" t="s">
        <v>1281</v>
      </c>
      <c r="BM339" s="57" t="s">
        <v>1281</v>
      </c>
      <c r="BN339" s="57" t="s">
        <v>1281</v>
      </c>
      <c r="BO339" s="57" t="s">
        <v>1281</v>
      </c>
      <c r="BP339" s="57" t="s">
        <v>1281</v>
      </c>
      <c r="BQ339" s="57" t="s">
        <v>1281</v>
      </c>
      <c r="BR339" s="57" t="s">
        <v>1281</v>
      </c>
      <c r="BS339" s="57" t="s">
        <v>1281</v>
      </c>
      <c r="BT339" s="57" t="s">
        <v>1281</v>
      </c>
      <c r="BU339" s="57" t="s">
        <v>1281</v>
      </c>
      <c r="BV339" s="70">
        <f>E339</f>
        <v>33</v>
      </c>
      <c r="BW339" s="71">
        <f>I339</f>
        <v>66</v>
      </c>
      <c r="BX339" s="72">
        <f>M339</f>
        <v>70</v>
      </c>
      <c r="BY339" s="71">
        <f>Q339</f>
        <v>102</v>
      </c>
      <c r="BZ339" s="72">
        <f>U339</f>
        <v>106</v>
      </c>
      <c r="CA339" s="71" t="str">
        <f>Y339</f>
        <v>-</v>
      </c>
      <c r="CB339" s="72">
        <f>AC339</f>
        <v>149</v>
      </c>
      <c r="CC339" s="71">
        <f>AG339</f>
        <v>187</v>
      </c>
      <c r="CD339" s="72">
        <f>AK339</f>
        <v>199</v>
      </c>
      <c r="CE339" s="71">
        <f>AO339</f>
        <v>241</v>
      </c>
      <c r="CF339" s="72">
        <f>AS339</f>
        <v>284</v>
      </c>
      <c r="CG339" s="71">
        <f>AW339</f>
        <v>310</v>
      </c>
      <c r="CH339" s="70">
        <f>G339</f>
        <v>65</v>
      </c>
      <c r="CI339" s="71">
        <f>K339</f>
        <v>69</v>
      </c>
      <c r="CJ339" s="72">
        <f>O339</f>
        <v>101</v>
      </c>
      <c r="CK339" s="72">
        <f>S339</f>
        <v>105</v>
      </c>
      <c r="CL339" s="72">
        <f>W339</f>
        <v>141</v>
      </c>
      <c r="CM339" s="72" t="str">
        <f>AA339</f>
        <v>-</v>
      </c>
      <c r="CN339" s="72">
        <f>AE339</f>
        <v>173</v>
      </c>
      <c r="CO339" s="72">
        <f>AI339</f>
        <v>189</v>
      </c>
      <c r="CP339" s="72">
        <f>AM339</f>
        <v>237</v>
      </c>
      <c r="CQ339" s="72">
        <f>AQ339</f>
        <v>278</v>
      </c>
      <c r="CR339" s="72">
        <f>AU339</f>
        <v>309</v>
      </c>
      <c r="CS339" s="72">
        <f>AY339</f>
        <v>322</v>
      </c>
      <c r="CT339" s="23">
        <f>M339-K339</f>
        <v>1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30" x14ac:dyDescent="0.2">
      <c r="A340" s="3" t="str">
        <f t="shared" si="2570"/>
        <v>opsd_bovin_4A4M</v>
      </c>
      <c r="B340" s="2" t="s">
        <v>913</v>
      </c>
      <c r="C340" s="3" t="s">
        <v>1364</v>
      </c>
      <c r="D340" s="3" t="str">
        <f>IFERROR(MID(VLOOKUP($B340,Seqs!$A:$B,2,0),E340,1),"")</f>
        <v>E</v>
      </c>
      <c r="E340" s="105">
        <v>33</v>
      </c>
      <c r="F340" s="3" t="str">
        <f>IFERROR(MID(VLOOKUP($B340,Seqs!$A:$B,2,0),G340,1),"")</f>
        <v>H</v>
      </c>
      <c r="G340" s="3">
        <v>65</v>
      </c>
      <c r="H340" s="3" t="str">
        <f>IFERROR(MID(VLOOKUP($B340,Seqs!$A:$B,2,0),I340,1),"")</f>
        <v>K</v>
      </c>
      <c r="I340" s="23">
        <v>66</v>
      </c>
      <c r="J340" s="3" t="str">
        <f>IFERROR(MID(VLOOKUP($B340,Seqs!$A:$B,2,0),K340,1),"")</f>
        <v>R</v>
      </c>
      <c r="K340" s="23">
        <v>69</v>
      </c>
      <c r="L340" s="3" t="str">
        <f>IFERROR(MID(VLOOKUP($B340,Seqs!$A:$B,2,0),M340,1),"")</f>
        <v>T</v>
      </c>
      <c r="M340" s="3">
        <v>70</v>
      </c>
      <c r="N340" s="3" t="str">
        <f>IFERROR(MID(VLOOKUP($B340,Seqs!$A:$B,2,0),O340,1),"")</f>
        <v>G</v>
      </c>
      <c r="O340" s="3">
        <v>101</v>
      </c>
      <c r="P340" s="3" t="str">
        <f>IFERROR(MID(VLOOKUP($B340,Seqs!$A:$B,2,0),Q340,1),"")</f>
        <v>Y</v>
      </c>
      <c r="Q340" s="3">
        <v>102</v>
      </c>
      <c r="R340" s="3" t="str">
        <f>IFERROR(MID(VLOOKUP($B340,Seqs!$A:$B,2,0),S340,1),"")</f>
        <v>F</v>
      </c>
      <c r="S340" s="3">
        <v>105</v>
      </c>
      <c r="T340" s="3" t="str">
        <f>IFERROR(MID(VLOOKUP($B340,Seqs!$A:$B,2,0),U340,1),"")</f>
        <v>G</v>
      </c>
      <c r="U340" s="3">
        <v>106</v>
      </c>
      <c r="V340" s="3" t="str">
        <f>IFERROR(MID(VLOOKUP($B340,Seqs!$A:$B,2,0),W340,1),"")</f>
        <v>K</v>
      </c>
      <c r="W340" s="3">
        <v>141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G</v>
      </c>
      <c r="AC340" s="9">
        <v>149</v>
      </c>
      <c r="AD340" s="3" t="str">
        <f>IFERROR(MID(VLOOKUP($B340,Seqs!$A:$B,2,0),AE340,1),"")</f>
        <v>V</v>
      </c>
      <c r="AE340" s="3">
        <v>173</v>
      </c>
      <c r="AF340" s="3" t="str">
        <f>IFERROR(MID(VLOOKUP($B340,Seqs!$A:$B,2,0),AG340,1),"")</f>
        <v>C</v>
      </c>
      <c r="AG340" s="3">
        <v>187</v>
      </c>
      <c r="AH340" s="3" t="str">
        <f>IFERROR(MID(VLOOKUP($B340,Seqs!$A:$B,2,0),AI340,1),"")</f>
        <v>I</v>
      </c>
      <c r="AI340" s="3">
        <v>189</v>
      </c>
      <c r="AJ340" s="3" t="str">
        <f>IFERROR(MID(VLOOKUP($B340,Seqs!$A:$B,2,0),AK340,1),"")</f>
        <v>N</v>
      </c>
      <c r="AK340" s="3">
        <v>199</v>
      </c>
      <c r="AL340" s="3" t="str">
        <f>IFERROR(MID(VLOOKUP($B340,Seqs!$A:$B,2,0),AM340,1),"")</f>
        <v>Q</v>
      </c>
      <c r="AM340" s="3">
        <v>237</v>
      </c>
      <c r="AN340" s="3" t="str">
        <f>IFERROR(MID(VLOOKUP($B340,Seqs!$A:$B,2,0),AO340,1),"")</f>
        <v>A</v>
      </c>
      <c r="AO340" s="3">
        <v>241</v>
      </c>
      <c r="AP340" s="3" t="str">
        <f>IFERROR(MID(VLOOKUP($B340,Seqs!$A:$B,2,0),AQ340,1),"")</f>
        <v>H</v>
      </c>
      <c r="AQ340" s="3">
        <v>278</v>
      </c>
      <c r="AR340" s="3" t="str">
        <f>IFERROR(MID(VLOOKUP($B340,Seqs!$A:$B,2,0),AS340,1),"")</f>
        <v>G</v>
      </c>
      <c r="AS340" s="3">
        <v>284</v>
      </c>
      <c r="AT340" s="3" t="str">
        <f>IFERROR(MID(VLOOKUP($B340,Seqs!$A:$B,2,0),AU340,1),"")</f>
        <v>M</v>
      </c>
      <c r="AU340" s="3">
        <v>309</v>
      </c>
      <c r="AV340" s="3" t="str">
        <f>IFERROR(MID(VLOOKUP($B340,Seqs!$A:$B,2,0),AW340,1),"")</f>
        <v>N</v>
      </c>
      <c r="AW340" s="3">
        <v>310</v>
      </c>
      <c r="AX340" s="3" t="str">
        <f>IFERROR(MID(VLOOKUP($B340,Seqs!$A:$B,2,0),AY340,1),"")</f>
        <v>C</v>
      </c>
      <c r="AY340" s="3">
        <v>322</v>
      </c>
      <c r="AZ340" s="77" t="str">
        <f>VLOOKUP(B340,Classification!A:D,2,0)</f>
        <v>A</v>
      </c>
      <c r="BA340" s="94" t="str">
        <f>VLOOKUP(B340,Classification!A:D,4,0)</f>
        <v>Opsins</v>
      </c>
      <c r="BB340" s="27" t="b">
        <f>AND(E340&lt;G340,OR(G340&lt;I340,I340="-"),OR(I340&lt;K340,I340="-"),OR(K340&lt;M340,K340="-"),M340&lt;O340,OR(O340&lt;Q340,Q340="-"),OR(Q340&lt;S340,Q340="-"),OR(S340&lt;U340,S340="-"),U340&lt;W340,OR(W340&lt;Y340,Y340="-"),OR(Y340&lt;AA340,Y340="-"),OR(AA340&lt;AC340,AA340="-"),AC340&lt;AE340,OR(AE340&lt;AG340,AG340="-"),OR(AG340&lt;AI340,AG340="-"),OR(AI340&lt;AK340,AI340="-"),AK340&lt;AM340,AM340&lt;AO340,AO340&lt;AQ340,AQ340&lt;AS340,AS340&lt;AU340,OR(AU340&lt;AW340,AW340="-"),OR(AW340&lt;AY340,AW340="-"))</f>
        <v>1</v>
      </c>
      <c r="BC340" s="23">
        <f>_xlfn.AGGREGATE(9,6,CH340:CS340)-_xlfn.AGGREGATE(9,6,BV340:CG340)+12</f>
        <v>254</v>
      </c>
      <c r="BD340" s="4" t="s">
        <v>23</v>
      </c>
      <c r="BE340" s="3" t="s">
        <v>1285</v>
      </c>
      <c r="BF340" s="118">
        <v>3.3</v>
      </c>
      <c r="BG340" s="49" t="s">
        <v>1371</v>
      </c>
      <c r="BH340" s="49" t="s">
        <v>1371</v>
      </c>
      <c r="BI340" s="1"/>
      <c r="BJ340" s="70" t="s">
        <v>1281</v>
      </c>
      <c r="BK340" s="57" t="s">
        <v>1281</v>
      </c>
      <c r="BL340" s="57" t="s">
        <v>1281</v>
      </c>
      <c r="BM340" s="57" t="s">
        <v>1281</v>
      </c>
      <c r="BN340" s="57" t="s">
        <v>1281</v>
      </c>
      <c r="BO340" s="57" t="s">
        <v>1281</v>
      </c>
      <c r="BP340" s="57" t="s">
        <v>1281</v>
      </c>
      <c r="BQ340" s="57" t="s">
        <v>1281</v>
      </c>
      <c r="BR340" s="57" t="s">
        <v>1281</v>
      </c>
      <c r="BS340" s="57" t="s">
        <v>1281</v>
      </c>
      <c r="BT340" s="57" t="s">
        <v>1281</v>
      </c>
      <c r="BU340" s="57" t="s">
        <v>1281</v>
      </c>
      <c r="BV340" s="70">
        <f>E340</f>
        <v>33</v>
      </c>
      <c r="BW340" s="71">
        <f>I340</f>
        <v>66</v>
      </c>
      <c r="BX340" s="72">
        <f>M340</f>
        <v>70</v>
      </c>
      <c r="BY340" s="71">
        <f>Q340</f>
        <v>102</v>
      </c>
      <c r="BZ340" s="72">
        <f>U340</f>
        <v>106</v>
      </c>
      <c r="CA340" s="71" t="str">
        <f>Y340</f>
        <v>-</v>
      </c>
      <c r="CB340" s="72">
        <f>AC340</f>
        <v>149</v>
      </c>
      <c r="CC340" s="71">
        <f>AG340</f>
        <v>187</v>
      </c>
      <c r="CD340" s="72">
        <f>AK340</f>
        <v>199</v>
      </c>
      <c r="CE340" s="71">
        <f>AO340</f>
        <v>241</v>
      </c>
      <c r="CF340" s="72">
        <f>AS340</f>
        <v>284</v>
      </c>
      <c r="CG340" s="71">
        <f>AW340</f>
        <v>310</v>
      </c>
      <c r="CH340" s="70">
        <f>G340</f>
        <v>65</v>
      </c>
      <c r="CI340" s="71">
        <f>K340</f>
        <v>69</v>
      </c>
      <c r="CJ340" s="72">
        <f>O340</f>
        <v>101</v>
      </c>
      <c r="CK340" s="72">
        <f>S340</f>
        <v>105</v>
      </c>
      <c r="CL340" s="72">
        <f>W340</f>
        <v>141</v>
      </c>
      <c r="CM340" s="72" t="str">
        <f>AA340</f>
        <v>-</v>
      </c>
      <c r="CN340" s="72">
        <f>AE340</f>
        <v>173</v>
      </c>
      <c r="CO340" s="72">
        <f>AI340</f>
        <v>189</v>
      </c>
      <c r="CP340" s="72">
        <f>AM340</f>
        <v>237</v>
      </c>
      <c r="CQ340" s="72">
        <f>AQ340</f>
        <v>278</v>
      </c>
      <c r="CR340" s="72">
        <f>AU340</f>
        <v>309</v>
      </c>
      <c r="CS340" s="72">
        <f>AY340</f>
        <v>322</v>
      </c>
      <c r="CT340" s="23">
        <f>M340-K340</f>
        <v>1</v>
      </c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Q340" s="6"/>
      <c r="KR340" s="6"/>
      <c r="KS340" s="6"/>
      <c r="KT340" s="6"/>
      <c r="KU340" s="6"/>
      <c r="KV340" s="6"/>
      <c r="KW340" s="6"/>
      <c r="KX340" s="6"/>
      <c r="KY340" s="6"/>
      <c r="KZ340" s="6"/>
      <c r="LA340" s="6"/>
      <c r="LB340" s="6"/>
      <c r="LC340" s="6"/>
      <c r="LD340" s="6"/>
      <c r="LE340" s="6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"/>
      <c r="LU340" s="6"/>
      <c r="LV340" s="6"/>
      <c r="LW340" s="6"/>
      <c r="LX340" s="6"/>
      <c r="LY340" s="6"/>
      <c r="LZ340" s="6"/>
      <c r="MA340" s="6"/>
      <c r="MB340" s="6"/>
      <c r="MC340" s="6"/>
      <c r="MD340" s="6"/>
      <c r="ME340" s="6"/>
      <c r="MF340" s="6"/>
      <c r="MG340" s="6"/>
      <c r="MH340" s="6"/>
      <c r="MI340" s="6"/>
      <c r="MJ340" s="6"/>
      <c r="MK340" s="6"/>
      <c r="ML340" s="6"/>
      <c r="MM340" s="6"/>
      <c r="MN340" s="6"/>
      <c r="MO340" s="6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  <c r="ND340" s="6"/>
      <c r="NE340" s="6"/>
      <c r="NF340" s="6"/>
      <c r="NG340" s="6"/>
      <c r="NH340" s="6"/>
      <c r="NI340" s="6"/>
      <c r="NJ340" s="6"/>
      <c r="NK340" s="6"/>
      <c r="NL340" s="6"/>
      <c r="NM340" s="6"/>
      <c r="NN340" s="6"/>
      <c r="NO340" s="6"/>
      <c r="NP340" s="6"/>
      <c r="NQ340" s="6"/>
      <c r="NR340" s="6"/>
      <c r="NS340" s="6"/>
      <c r="NT340" s="6"/>
      <c r="NU340" s="6"/>
      <c r="NV340" s="6"/>
      <c r="NW340" s="6"/>
      <c r="NX340" s="6"/>
      <c r="NY340" s="6"/>
      <c r="NZ340" s="6"/>
      <c r="OA340" s="6"/>
      <c r="OB340" s="6"/>
      <c r="OC340" s="6"/>
      <c r="OD340" s="6"/>
      <c r="OE340" s="6"/>
      <c r="OF340" s="6"/>
      <c r="OG340" s="6"/>
      <c r="OH340" s="6"/>
      <c r="OI340" s="6"/>
      <c r="OJ340" s="6"/>
      <c r="OK340" s="6"/>
      <c r="OL340" s="6"/>
      <c r="OM340" s="6"/>
      <c r="ON340" s="6"/>
      <c r="OO340" s="6"/>
      <c r="OP340" s="6"/>
      <c r="OQ340" s="6"/>
      <c r="OR340" s="6"/>
      <c r="OS340" s="6"/>
      <c r="OT340" s="6"/>
      <c r="OU340" s="6"/>
      <c r="OV340" s="6"/>
      <c r="OW340" s="6"/>
      <c r="OX340" s="6"/>
      <c r="OY340" s="6"/>
      <c r="OZ340" s="6"/>
      <c r="PA340" s="6"/>
      <c r="PB340" s="6"/>
      <c r="PC340" s="6"/>
      <c r="PD340" s="6"/>
      <c r="PE340" s="6"/>
      <c r="PF340" s="6"/>
      <c r="PG340" s="6"/>
      <c r="PH340" s="6"/>
      <c r="PI340" s="6"/>
      <c r="PJ340" s="6"/>
      <c r="PK340" s="6"/>
      <c r="PL340" s="6"/>
      <c r="PM340" s="6"/>
      <c r="PN340" s="6"/>
      <c r="PO340" s="6"/>
      <c r="PP340" s="6"/>
      <c r="PQ340" s="6"/>
      <c r="PR340" s="6"/>
      <c r="PS340" s="6"/>
      <c r="PT340" s="6"/>
      <c r="PU340" s="6"/>
      <c r="PV340" s="6"/>
      <c r="PW340" s="6"/>
      <c r="PX340" s="6"/>
      <c r="PY340" s="6"/>
      <c r="PZ340" s="6"/>
      <c r="QA340" s="6"/>
      <c r="QB340" s="6"/>
      <c r="QC340" s="6"/>
      <c r="QD340" s="6"/>
      <c r="QE340" s="6"/>
      <c r="QF340" s="6"/>
      <c r="QG340" s="6"/>
      <c r="QH340" s="6"/>
      <c r="QI340" s="6"/>
      <c r="QJ340" s="6"/>
      <c r="QK340" s="6"/>
      <c r="QL340" s="6"/>
      <c r="QM340" s="6"/>
      <c r="QN340" s="6"/>
      <c r="QO340" s="6"/>
      <c r="QP340" s="6"/>
      <c r="QQ340" s="6"/>
      <c r="QR340" s="6"/>
      <c r="QS340" s="6"/>
      <c r="QT340" s="6"/>
      <c r="QU340" s="6"/>
      <c r="QV340" s="6"/>
      <c r="QW340" s="6"/>
      <c r="QX340" s="6"/>
      <c r="QY340" s="6"/>
      <c r="QZ340" s="6"/>
      <c r="RA340" s="6"/>
      <c r="RB340" s="6"/>
      <c r="RC340" s="6"/>
      <c r="RD340" s="6"/>
      <c r="RE340" s="6"/>
      <c r="RF340" s="6"/>
      <c r="RG340" s="6"/>
      <c r="RH340" s="6"/>
      <c r="RI340" s="6"/>
      <c r="RJ340" s="6"/>
      <c r="RK340" s="6"/>
      <c r="RL340" s="6"/>
      <c r="RM340" s="6"/>
      <c r="RN340" s="6"/>
      <c r="RO340" s="6"/>
      <c r="RP340" s="6"/>
      <c r="RQ340" s="6"/>
      <c r="RR340" s="6"/>
      <c r="RS340" s="6"/>
      <c r="RT340" s="6"/>
      <c r="RU340" s="6"/>
      <c r="RV340" s="6"/>
      <c r="RW340" s="6"/>
      <c r="RX340" s="6"/>
      <c r="RY340" s="6"/>
      <c r="RZ340" s="6"/>
      <c r="SA340" s="6"/>
      <c r="SB340" s="6"/>
      <c r="SC340" s="6"/>
      <c r="SD340" s="6"/>
      <c r="SE340" s="6"/>
      <c r="SF340" s="6"/>
      <c r="SG340" s="6"/>
      <c r="SH340" s="6"/>
      <c r="SI340" s="6"/>
      <c r="SJ340" s="6"/>
      <c r="SK340" s="6"/>
      <c r="SL340" s="6"/>
      <c r="SM340" s="6"/>
      <c r="SN340" s="6"/>
      <c r="SO340" s="6"/>
      <c r="SP340" s="6"/>
      <c r="SQ340" s="6"/>
      <c r="SR340" s="6"/>
      <c r="SS340" s="6"/>
      <c r="ST340" s="6"/>
      <c r="SU340" s="6"/>
      <c r="SV340" s="6"/>
      <c r="SW340" s="6"/>
      <c r="SX340" s="6"/>
      <c r="SY340" s="6"/>
      <c r="SZ340" s="6"/>
      <c r="TA340" s="6"/>
      <c r="TB340" s="6"/>
      <c r="TC340" s="6"/>
      <c r="TD340" s="6"/>
      <c r="TE340" s="6"/>
      <c r="TF340" s="6"/>
      <c r="TG340" s="6"/>
      <c r="TH340" s="6"/>
      <c r="TI340" s="6"/>
      <c r="TJ340" s="6"/>
      <c r="TK340" s="6"/>
      <c r="TL340" s="6"/>
      <c r="TM340" s="6"/>
      <c r="TN340" s="6"/>
      <c r="TO340" s="6"/>
      <c r="TP340" s="6"/>
      <c r="TQ340" s="6"/>
      <c r="TR340" s="6"/>
      <c r="TS340" s="6"/>
      <c r="TT340" s="6"/>
      <c r="TU340" s="6"/>
      <c r="TV340" s="6"/>
      <c r="TW340" s="6"/>
      <c r="TX340" s="6"/>
      <c r="TY340" s="6"/>
      <c r="TZ340" s="6"/>
      <c r="UA340" s="6"/>
      <c r="UB340" s="6"/>
      <c r="UC340" s="6"/>
      <c r="UD340" s="6"/>
      <c r="UE340" s="6"/>
      <c r="UF340" s="6"/>
      <c r="UG340" s="6"/>
      <c r="UH340" s="6"/>
      <c r="UI340" s="6"/>
      <c r="UJ340" s="6"/>
      <c r="UK340" s="6"/>
      <c r="UL340" s="6"/>
      <c r="UM340" s="6"/>
      <c r="UN340" s="6"/>
      <c r="UO340" s="6"/>
      <c r="UP340" s="6"/>
      <c r="UQ340" s="6"/>
      <c r="UR340" s="6"/>
      <c r="US340" s="6"/>
      <c r="UT340" s="6"/>
      <c r="UU340" s="6"/>
      <c r="UV340" s="6"/>
      <c r="UW340" s="6"/>
      <c r="UX340" s="6"/>
      <c r="UY340" s="6"/>
      <c r="UZ340" s="6"/>
      <c r="VA340" s="6"/>
      <c r="VB340" s="6"/>
      <c r="VC340" s="6"/>
      <c r="VD340" s="6"/>
      <c r="VE340" s="6"/>
      <c r="VF340" s="6"/>
      <c r="VG340" s="6"/>
      <c r="VH340" s="6"/>
      <c r="VI340" s="6"/>
      <c r="VJ340" s="6"/>
      <c r="VK340" s="6"/>
      <c r="VL340" s="6"/>
      <c r="VM340" s="6"/>
      <c r="VN340" s="6"/>
      <c r="VO340" s="6"/>
      <c r="VP340" s="6"/>
      <c r="VQ340" s="6"/>
      <c r="VR340" s="6"/>
      <c r="VS340" s="6"/>
      <c r="VT340" s="6"/>
      <c r="VU340" s="6"/>
      <c r="VV340" s="6"/>
      <c r="VW340" s="6"/>
      <c r="VX340" s="6"/>
      <c r="VY340" s="6"/>
      <c r="VZ340" s="6"/>
      <c r="WA340" s="6"/>
      <c r="WB340" s="6"/>
      <c r="WC340" s="6"/>
      <c r="WD340" s="6"/>
      <c r="WE340" s="6"/>
      <c r="WF340" s="6"/>
      <c r="WG340" s="6"/>
      <c r="WH340" s="6"/>
      <c r="WI340" s="6"/>
      <c r="WJ340" s="6"/>
      <c r="WK340" s="6"/>
      <c r="WL340" s="6"/>
      <c r="WM340" s="6"/>
      <c r="WN340" s="6"/>
      <c r="WO340" s="6"/>
      <c r="WP340" s="6"/>
      <c r="WQ340" s="6"/>
      <c r="WR340" s="6"/>
      <c r="WS340" s="6"/>
      <c r="WT340" s="6"/>
      <c r="WU340" s="6"/>
      <c r="WV340" s="6"/>
      <c r="WW340" s="6"/>
      <c r="WX340" s="6"/>
      <c r="WY340" s="6"/>
      <c r="WZ340" s="6"/>
      <c r="XA340" s="6"/>
      <c r="XB340" s="6"/>
      <c r="XC340" s="6"/>
      <c r="XD340" s="6"/>
      <c r="XE340" s="6"/>
      <c r="XF340" s="6"/>
      <c r="XG340" s="6"/>
      <c r="XH340" s="6"/>
      <c r="XI340" s="6"/>
      <c r="XJ340" s="6"/>
      <c r="XK340" s="6"/>
      <c r="XL340" s="6"/>
      <c r="XM340" s="6"/>
      <c r="XN340" s="6"/>
      <c r="XO340" s="6"/>
      <c r="XP340" s="6"/>
      <c r="XQ340" s="6"/>
      <c r="XR340" s="6"/>
      <c r="XS340" s="6"/>
      <c r="XT340" s="6"/>
      <c r="XU340" s="6"/>
      <c r="XV340" s="6"/>
      <c r="XW340" s="6"/>
      <c r="XX340" s="6"/>
      <c r="XY340" s="6"/>
      <c r="XZ340" s="6"/>
      <c r="YA340" s="6"/>
      <c r="YB340" s="6"/>
      <c r="YC340" s="6"/>
      <c r="YD340" s="6"/>
      <c r="YE340" s="6"/>
      <c r="YF340" s="6"/>
      <c r="YG340" s="6"/>
      <c r="YH340" s="6"/>
      <c r="YI340" s="6"/>
      <c r="YJ340" s="6"/>
      <c r="YK340" s="6"/>
      <c r="YL340" s="6"/>
      <c r="YM340" s="6"/>
      <c r="YN340" s="6"/>
      <c r="YO340" s="6"/>
      <c r="YP340" s="6"/>
      <c r="YQ340" s="6"/>
      <c r="YR340" s="6"/>
      <c r="YS340" s="6"/>
      <c r="YT340" s="6"/>
      <c r="YU340" s="6"/>
      <c r="YV340" s="6"/>
      <c r="YW340" s="6"/>
      <c r="YX340" s="6"/>
      <c r="YY340" s="6"/>
      <c r="YZ340" s="6"/>
      <c r="ZA340" s="6"/>
      <c r="ZB340" s="6"/>
      <c r="ZC340" s="6"/>
      <c r="ZD340" s="6"/>
      <c r="ZE340" s="6"/>
      <c r="ZF340" s="6"/>
      <c r="ZG340" s="6"/>
      <c r="ZH340" s="6"/>
      <c r="ZI340" s="6"/>
      <c r="ZJ340" s="6"/>
      <c r="ZK340" s="6"/>
      <c r="ZL340" s="6"/>
      <c r="ZM340" s="6"/>
      <c r="ZN340" s="6"/>
      <c r="ZO340" s="6"/>
      <c r="ZP340" s="6"/>
      <c r="ZQ340" s="6"/>
      <c r="ZR340" s="6"/>
      <c r="ZS340" s="6"/>
      <c r="ZT340" s="6"/>
      <c r="ZU340" s="6"/>
      <c r="ZV340" s="6"/>
      <c r="ZW340" s="6"/>
      <c r="ZX340" s="6"/>
      <c r="ZY340" s="6"/>
      <c r="ZZ340" s="6"/>
      <c r="AAA340" s="6"/>
      <c r="AAB340" s="6"/>
      <c r="AAC340" s="6"/>
      <c r="AAD340" s="6"/>
      <c r="AAE340" s="6"/>
      <c r="AAF340" s="6"/>
      <c r="AAG340" s="6"/>
      <c r="AAH340" s="6"/>
      <c r="AAI340" s="6"/>
      <c r="AAJ340" s="6"/>
      <c r="AAK340" s="6"/>
      <c r="AAL340" s="6"/>
      <c r="AAM340" s="6"/>
      <c r="AAN340" s="6"/>
      <c r="AAO340" s="6"/>
      <c r="AAP340" s="6"/>
      <c r="AAQ340" s="6"/>
      <c r="AAR340" s="6"/>
      <c r="AAS340" s="6"/>
      <c r="AAT340" s="6"/>
      <c r="AAU340" s="6"/>
      <c r="AAV340" s="6"/>
      <c r="AAW340" s="6"/>
      <c r="AAX340" s="6"/>
      <c r="AAY340" s="6"/>
      <c r="AAZ340" s="6"/>
      <c r="ABA340" s="6"/>
      <c r="ABB340" s="6"/>
      <c r="ABC340" s="6"/>
      <c r="ABD340" s="6"/>
      <c r="ABE340" s="6"/>
      <c r="ABF340" s="6"/>
      <c r="ABG340" s="6"/>
      <c r="ABH340" s="6"/>
      <c r="ABI340" s="6"/>
      <c r="ABJ340" s="6"/>
      <c r="ABK340" s="6"/>
      <c r="ABL340" s="6"/>
      <c r="ABM340" s="6"/>
      <c r="ABN340" s="6"/>
      <c r="ABO340" s="6"/>
      <c r="ABP340" s="6"/>
      <c r="ABQ340" s="6"/>
      <c r="ABR340" s="6"/>
      <c r="ABS340" s="6"/>
      <c r="ABT340" s="6"/>
      <c r="ABU340" s="6"/>
      <c r="ABV340" s="6"/>
      <c r="ABW340" s="6"/>
      <c r="ABX340" s="6"/>
      <c r="ABY340" s="6"/>
      <c r="ABZ340" s="6"/>
      <c r="ACA340" s="6"/>
      <c r="ACB340" s="6"/>
      <c r="ACC340" s="6"/>
      <c r="ACD340" s="6"/>
      <c r="ACE340" s="6"/>
      <c r="ACF340" s="6"/>
      <c r="ACG340" s="6"/>
      <c r="ACH340" s="6"/>
      <c r="ACI340" s="6"/>
      <c r="ACJ340" s="6"/>
      <c r="ACK340" s="6"/>
      <c r="ACL340" s="6"/>
      <c r="ACM340" s="6"/>
      <c r="ACN340" s="6"/>
      <c r="ACO340" s="6"/>
      <c r="ACP340" s="6"/>
      <c r="ACQ340" s="6"/>
      <c r="ACR340" s="6"/>
      <c r="ACS340" s="6"/>
      <c r="ACT340" s="6"/>
      <c r="ACU340" s="6"/>
      <c r="ACV340" s="6"/>
      <c r="ACW340" s="6"/>
      <c r="ACX340" s="6"/>
      <c r="ACY340" s="6"/>
      <c r="ACZ340" s="6"/>
      <c r="ADA340" s="6"/>
      <c r="ADB340" s="6"/>
      <c r="ADC340" s="6"/>
      <c r="ADD340" s="6"/>
      <c r="ADE340" s="6"/>
      <c r="ADF340" s="6"/>
      <c r="ADG340" s="6"/>
      <c r="ADH340" s="6"/>
      <c r="ADI340" s="6"/>
      <c r="ADJ340" s="6"/>
      <c r="ADK340" s="6"/>
      <c r="ADL340" s="6"/>
      <c r="ADM340" s="6"/>
      <c r="ADN340" s="6"/>
      <c r="ADO340" s="6"/>
      <c r="ADP340" s="6"/>
      <c r="ADQ340" s="6"/>
      <c r="ADR340" s="6"/>
      <c r="ADS340" s="6"/>
      <c r="ADT340" s="6"/>
      <c r="ADU340" s="6"/>
      <c r="ADV340" s="6"/>
      <c r="ADW340" s="6"/>
      <c r="ADX340" s="6"/>
      <c r="ADY340" s="6"/>
      <c r="ADZ340" s="6"/>
      <c r="AEA340" s="6"/>
      <c r="AEB340" s="6"/>
      <c r="AEC340" s="6"/>
      <c r="AED340" s="6"/>
      <c r="AEE340" s="6"/>
      <c r="AEF340" s="6"/>
      <c r="AEG340" s="6"/>
      <c r="AEH340" s="6"/>
      <c r="AEI340" s="6"/>
      <c r="AEJ340" s="6"/>
      <c r="AEK340" s="6"/>
      <c r="AEL340" s="6"/>
      <c r="AEM340" s="6"/>
      <c r="AEN340" s="6"/>
      <c r="AEO340" s="6"/>
      <c r="AEP340" s="6"/>
      <c r="AEQ340" s="6"/>
      <c r="AER340" s="6"/>
      <c r="AES340" s="6"/>
      <c r="AET340" s="6"/>
      <c r="AEU340" s="6"/>
      <c r="AEV340" s="6"/>
      <c r="AEW340" s="6"/>
      <c r="AEX340" s="6"/>
      <c r="AEY340" s="6"/>
      <c r="AEZ340" s="6"/>
      <c r="AFA340" s="6"/>
      <c r="AFB340" s="6"/>
      <c r="AFC340" s="6"/>
      <c r="AFD340" s="6"/>
      <c r="AFE340" s="6"/>
      <c r="AFF340" s="6"/>
      <c r="AFG340" s="6"/>
      <c r="AFH340" s="6"/>
      <c r="AFI340" s="6"/>
      <c r="AFJ340" s="6"/>
      <c r="AFK340" s="6"/>
      <c r="AFL340" s="6"/>
      <c r="AFM340" s="6"/>
      <c r="AFN340" s="6"/>
      <c r="AFO340" s="6"/>
      <c r="AFP340" s="6"/>
      <c r="AFQ340" s="6"/>
      <c r="AFR340" s="6"/>
      <c r="AFS340" s="6"/>
      <c r="AFT340" s="6"/>
      <c r="AFU340" s="6"/>
      <c r="AFV340" s="6"/>
      <c r="AFW340" s="6"/>
      <c r="AFX340" s="6"/>
      <c r="AFY340" s="6"/>
      <c r="AFZ340" s="6"/>
      <c r="AGA340" s="6"/>
      <c r="AGB340" s="6"/>
      <c r="AGC340" s="6"/>
      <c r="AGD340" s="6"/>
      <c r="AGE340" s="6"/>
      <c r="AGF340" s="6"/>
      <c r="AGG340" s="6"/>
      <c r="AGH340" s="6"/>
      <c r="AGI340" s="6"/>
      <c r="AGJ340" s="6"/>
      <c r="AGK340" s="6"/>
      <c r="AGL340" s="6"/>
      <c r="AGM340" s="6"/>
      <c r="AGN340" s="6"/>
      <c r="AGO340" s="6"/>
      <c r="AGP340" s="6"/>
      <c r="AGQ340" s="6"/>
      <c r="AGR340" s="6"/>
      <c r="AGS340" s="6"/>
      <c r="AGT340" s="6"/>
      <c r="AGU340" s="6"/>
      <c r="AGV340" s="6"/>
      <c r="AGW340" s="6"/>
      <c r="AGX340" s="6"/>
      <c r="AGY340" s="6"/>
      <c r="AGZ340" s="6"/>
      <c r="AHA340" s="6"/>
      <c r="AHB340" s="6"/>
      <c r="AHC340" s="6"/>
      <c r="AHD340" s="6"/>
      <c r="AHE340" s="6"/>
      <c r="AHF340" s="6"/>
      <c r="AHG340" s="6"/>
      <c r="AHH340" s="6"/>
      <c r="AHI340" s="6"/>
      <c r="AHJ340" s="6"/>
      <c r="AHK340" s="6"/>
      <c r="AHL340" s="6"/>
      <c r="AHM340" s="6"/>
      <c r="AHN340" s="6"/>
      <c r="AHO340" s="6"/>
      <c r="AHP340" s="6"/>
      <c r="AHQ340" s="6"/>
      <c r="AHR340" s="6"/>
      <c r="AHS340" s="6"/>
      <c r="AHT340" s="6"/>
      <c r="AHU340" s="6"/>
      <c r="AHV340" s="6"/>
      <c r="AHW340" s="6"/>
      <c r="AHX340" s="6"/>
      <c r="AHY340" s="6"/>
      <c r="AHZ340" s="6"/>
      <c r="AIA340" s="6"/>
      <c r="AIB340" s="6"/>
      <c r="AIC340" s="6"/>
      <c r="AID340" s="6"/>
      <c r="AIE340" s="6"/>
      <c r="AIF340" s="6"/>
      <c r="AIG340" s="6"/>
      <c r="AIH340" s="6"/>
      <c r="AII340" s="6"/>
      <c r="AIJ340" s="6"/>
      <c r="AIK340" s="6"/>
      <c r="AIL340" s="6"/>
      <c r="AIM340" s="6"/>
      <c r="AIN340" s="6"/>
      <c r="AIO340" s="6"/>
      <c r="AIP340" s="6"/>
      <c r="AIQ340" s="6"/>
      <c r="AIR340" s="6"/>
      <c r="AIS340" s="6"/>
      <c r="AIT340" s="6"/>
      <c r="AIU340" s="6"/>
      <c r="AIV340" s="6"/>
      <c r="AIW340" s="6"/>
      <c r="AIX340" s="6"/>
      <c r="AIY340" s="6"/>
      <c r="AIZ340" s="6"/>
      <c r="AJA340" s="6"/>
      <c r="AJB340" s="6"/>
      <c r="AJC340" s="6"/>
      <c r="AJD340" s="6"/>
      <c r="AJE340" s="6"/>
      <c r="AJF340" s="6"/>
      <c r="AJG340" s="6"/>
      <c r="AJH340" s="6"/>
      <c r="AJI340" s="6"/>
      <c r="AJJ340" s="6"/>
      <c r="AJK340" s="6"/>
      <c r="AJL340" s="6"/>
      <c r="AJM340" s="6"/>
      <c r="AJN340" s="6"/>
      <c r="AJO340" s="6"/>
      <c r="AJP340" s="6"/>
      <c r="AJQ340" s="6"/>
      <c r="AJR340" s="6"/>
      <c r="AJS340" s="6"/>
      <c r="AJT340" s="6"/>
      <c r="AJU340" s="6"/>
      <c r="AJV340" s="6"/>
      <c r="AJW340" s="6"/>
      <c r="AJX340" s="6"/>
      <c r="AJY340" s="6"/>
      <c r="AJZ340" s="6"/>
      <c r="AKA340" s="6"/>
      <c r="AKB340" s="6"/>
      <c r="AKC340" s="6"/>
      <c r="AKD340" s="6"/>
      <c r="AKE340" s="6"/>
      <c r="AKF340" s="6"/>
      <c r="AKG340" s="6"/>
      <c r="AKH340" s="6"/>
      <c r="AKI340" s="6"/>
      <c r="AKJ340" s="6"/>
      <c r="AKK340" s="6"/>
      <c r="AKL340" s="6"/>
      <c r="AKM340" s="6"/>
      <c r="AKN340" s="6"/>
      <c r="AKO340" s="6"/>
      <c r="AKP340" s="6"/>
      <c r="AKQ340" s="6"/>
      <c r="AKR340" s="6"/>
      <c r="AKS340" s="6"/>
      <c r="AKT340" s="6"/>
      <c r="AKU340" s="6"/>
      <c r="AKV340" s="6"/>
      <c r="AKW340" s="6"/>
      <c r="AKX340" s="6"/>
      <c r="AKY340" s="6"/>
      <c r="AKZ340" s="6"/>
      <c r="ALA340" s="6"/>
      <c r="ALB340" s="6"/>
      <c r="ALC340" s="6"/>
      <c r="ALD340" s="6"/>
      <c r="ALE340" s="6"/>
      <c r="ALF340" s="6"/>
      <c r="ALG340" s="6"/>
      <c r="ALH340" s="6"/>
      <c r="ALI340" s="6"/>
      <c r="ALJ340" s="6"/>
      <c r="ALK340" s="6"/>
      <c r="ALL340" s="6"/>
      <c r="ALM340" s="6"/>
      <c r="ALN340" s="6"/>
      <c r="ALO340" s="6"/>
      <c r="ALP340" s="6"/>
      <c r="ALQ340" s="6"/>
      <c r="ALR340" s="6"/>
      <c r="ALS340" s="6"/>
      <c r="ALT340" s="6"/>
      <c r="ALU340" s="6"/>
      <c r="ALV340" s="6"/>
      <c r="ALW340" s="6"/>
      <c r="ALX340" s="6"/>
      <c r="ALY340" s="6"/>
      <c r="ALZ340" s="6"/>
      <c r="AMA340" s="6"/>
      <c r="AMB340" s="6"/>
      <c r="AMC340" s="6"/>
      <c r="AMD340" s="6"/>
      <c r="AME340" s="6"/>
      <c r="AMF340" s="6"/>
      <c r="AMG340" s="6"/>
      <c r="AMH340" s="6"/>
      <c r="AMI340" s="6"/>
      <c r="AMJ340" s="6"/>
      <c r="AMK340" s="6"/>
      <c r="AML340" s="6"/>
      <c r="AMM340" s="6"/>
      <c r="AMN340" s="6"/>
      <c r="AMO340" s="6"/>
      <c r="AMP340" s="6"/>
    </row>
    <row r="341" spans="1:1030" x14ac:dyDescent="0.2">
      <c r="A341" s="3" t="str">
        <f t="shared" si="2570"/>
        <v>opsd_bovin_4J4Q</v>
      </c>
      <c r="B341" s="3" t="s">
        <v>913</v>
      </c>
      <c r="C341" s="3" t="s">
        <v>1037</v>
      </c>
      <c r="D341" s="3" t="str">
        <f>IFERROR(MID(VLOOKUP($B341,Seqs!$A:$B,2,0),E341,1),"")</f>
        <v>E</v>
      </c>
      <c r="E341" s="105">
        <v>33</v>
      </c>
      <c r="F341" s="3" t="str">
        <f>IFERROR(MID(VLOOKUP($B341,Seqs!$A:$B,2,0),G341,1),"")</f>
        <v>H</v>
      </c>
      <c r="G341" s="3">
        <v>65</v>
      </c>
      <c r="H341" s="3" t="str">
        <f>IFERROR(MID(VLOOKUP($B341,Seqs!$A:$B,2,0),I341,1),"")</f>
        <v>K</v>
      </c>
      <c r="I341" s="23">
        <v>66</v>
      </c>
      <c r="J341" s="3" t="str">
        <f>IFERROR(MID(VLOOKUP($B341,Seqs!$A:$B,2,0),K341,1),"")</f>
        <v>R</v>
      </c>
      <c r="K341" s="23">
        <v>69</v>
      </c>
      <c r="L341" s="3" t="str">
        <f>IFERROR(MID(VLOOKUP($B341,Seqs!$A:$B,2,0),M341,1),"")</f>
        <v>T</v>
      </c>
      <c r="M341" s="3">
        <v>70</v>
      </c>
      <c r="N341" s="3" t="str">
        <f>IFERROR(MID(VLOOKUP($B341,Seqs!$A:$B,2,0),O341,1),"")</f>
        <v>G</v>
      </c>
      <c r="O341" s="3">
        <v>101</v>
      </c>
      <c r="P341" s="3" t="str">
        <f>IFERROR(MID(VLOOKUP($B341,Seqs!$A:$B,2,0),Q341,1),"")</f>
        <v>Y</v>
      </c>
      <c r="Q341" s="3">
        <v>102</v>
      </c>
      <c r="R341" s="3" t="str">
        <f>IFERROR(MID(VLOOKUP($B341,Seqs!$A:$B,2,0),S341,1),"")</f>
        <v>F</v>
      </c>
      <c r="S341" s="3">
        <v>105</v>
      </c>
      <c r="T341" s="3" t="str">
        <f>IFERROR(MID(VLOOKUP($B341,Seqs!$A:$B,2,0),U341,1),"")</f>
        <v>G</v>
      </c>
      <c r="U341" s="3">
        <v>106</v>
      </c>
      <c r="V341" s="3" t="str">
        <f>IFERROR(MID(VLOOKUP($B341,Seqs!$A:$B,2,0),W341,1),"")</f>
        <v>K</v>
      </c>
      <c r="W341" s="3">
        <v>141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G</v>
      </c>
      <c r="AC341" s="9">
        <v>149</v>
      </c>
      <c r="AD341" s="3" t="str">
        <f>IFERROR(MID(VLOOKUP($B341,Seqs!$A:$B,2,0),AE341,1),"")</f>
        <v>V</v>
      </c>
      <c r="AE341" s="3">
        <v>173</v>
      </c>
      <c r="AF341" s="3" t="str">
        <f>IFERROR(MID(VLOOKUP($B341,Seqs!$A:$B,2,0),AG341,1),"")</f>
        <v>C</v>
      </c>
      <c r="AG341" s="3">
        <v>187</v>
      </c>
      <c r="AH341" s="3" t="str">
        <f>IFERROR(MID(VLOOKUP($B341,Seqs!$A:$B,2,0),AI341,1),"")</f>
        <v>I</v>
      </c>
      <c r="AI341" s="3">
        <v>189</v>
      </c>
      <c r="AJ341" s="3" t="str">
        <f>IFERROR(MID(VLOOKUP($B341,Seqs!$A:$B,2,0),AK341,1),"")</f>
        <v>N</v>
      </c>
      <c r="AK341" s="3">
        <v>199</v>
      </c>
      <c r="AL341" s="3" t="str">
        <f>IFERROR(MID(VLOOKUP($B341,Seqs!$A:$B,2,0),AM341,1),"")</f>
        <v>Q</v>
      </c>
      <c r="AM341" s="3">
        <v>237</v>
      </c>
      <c r="AN341" s="3" t="str">
        <f>IFERROR(MID(VLOOKUP($B341,Seqs!$A:$B,2,0),AO341,1),"")</f>
        <v>A</v>
      </c>
      <c r="AO341" s="3">
        <v>241</v>
      </c>
      <c r="AP341" s="3" t="str">
        <f>IFERROR(MID(VLOOKUP($B341,Seqs!$A:$B,2,0),AQ341,1),"")</f>
        <v>H</v>
      </c>
      <c r="AQ341" s="3">
        <v>278</v>
      </c>
      <c r="AR341" s="3" t="str">
        <f>IFERROR(MID(VLOOKUP($B341,Seqs!$A:$B,2,0),AS341,1),"")</f>
        <v>G</v>
      </c>
      <c r="AS341" s="3">
        <v>284</v>
      </c>
      <c r="AT341" s="3" t="str">
        <f>IFERROR(MID(VLOOKUP($B341,Seqs!$A:$B,2,0),AU341,1),"")</f>
        <v>M</v>
      </c>
      <c r="AU341" s="3">
        <v>309</v>
      </c>
      <c r="AV341" s="3" t="str">
        <f>IFERROR(MID(VLOOKUP($B341,Seqs!$A:$B,2,0),AW341,1),"")</f>
        <v>N</v>
      </c>
      <c r="AW341" s="3">
        <v>310</v>
      </c>
      <c r="AX341" s="3" t="str">
        <f>IFERROR(MID(VLOOKUP($B341,Seqs!$A:$B,2,0),AY341,1),"")</f>
        <v>C</v>
      </c>
      <c r="AY341" s="3">
        <v>322</v>
      </c>
      <c r="AZ341" s="77" t="str">
        <f>VLOOKUP(B341,Classification!A:D,2,0)</f>
        <v>A</v>
      </c>
      <c r="BA341" s="94" t="str">
        <f>VLOOKUP(B341,Classification!A:D,4,0)</f>
        <v>Opsins</v>
      </c>
      <c r="BB341" s="27" t="b">
        <f t="shared" si="2571"/>
        <v>1</v>
      </c>
      <c r="BC341" s="23">
        <f t="shared" ref="BC341:BC431" si="3214">_xlfn.AGGREGATE(9,6,CH341:CS341)-_xlfn.AGGREGATE(9,6,BV341:CG341)+12</f>
        <v>254</v>
      </c>
      <c r="BD341" s="4" t="s">
        <v>23</v>
      </c>
      <c r="BE341" s="3" t="s">
        <v>1285</v>
      </c>
      <c r="BF341" s="118">
        <v>2.65</v>
      </c>
      <c r="BG341" s="49" t="s">
        <v>1371</v>
      </c>
      <c r="BH341" s="49" t="s">
        <v>1371</v>
      </c>
      <c r="BI341" s="1"/>
      <c r="BJ341" s="70" t="s">
        <v>1281</v>
      </c>
      <c r="BK341" s="57" t="s">
        <v>1281</v>
      </c>
      <c r="BL341" s="57" t="s">
        <v>1281</v>
      </c>
      <c r="BM341" s="57" t="s">
        <v>1281</v>
      </c>
      <c r="BN341" s="57" t="s">
        <v>1281</v>
      </c>
      <c r="BO341" s="57" t="s">
        <v>1281</v>
      </c>
      <c r="BP341" s="57" t="s">
        <v>1281</v>
      </c>
      <c r="BQ341" s="57" t="s">
        <v>1281</v>
      </c>
      <c r="BR341" s="57" t="s">
        <v>1281</v>
      </c>
      <c r="BS341" s="57" t="s">
        <v>1281</v>
      </c>
      <c r="BT341" s="57" t="s">
        <v>1281</v>
      </c>
      <c r="BU341" s="57" t="s">
        <v>1281</v>
      </c>
      <c r="BV341" s="70">
        <f t="shared" ref="BV341:BV431" si="3215">E341</f>
        <v>33</v>
      </c>
      <c r="BW341" s="71">
        <f t="shared" ref="BW341:BW431" si="3216">I341</f>
        <v>66</v>
      </c>
      <c r="BX341" s="72">
        <f t="shared" ref="BX341:BX431" si="3217">M341</f>
        <v>70</v>
      </c>
      <c r="BY341" s="71">
        <f t="shared" ref="BY341:BY431" si="3218">Q341</f>
        <v>102</v>
      </c>
      <c r="BZ341" s="72">
        <f t="shared" ref="BZ341:BZ431" si="3219">U341</f>
        <v>106</v>
      </c>
      <c r="CA341" s="71" t="str">
        <f t="shared" ref="CA341:CA431" si="3220">Y341</f>
        <v>-</v>
      </c>
      <c r="CB341" s="72">
        <f t="shared" ref="CB341:CB431" si="3221">AC341</f>
        <v>149</v>
      </c>
      <c r="CC341" s="71">
        <f t="shared" ref="CC341:CC431" si="3222">AG341</f>
        <v>187</v>
      </c>
      <c r="CD341" s="72">
        <f t="shared" ref="CD341:CD431" si="3223">AK341</f>
        <v>199</v>
      </c>
      <c r="CE341" s="71">
        <f t="shared" ref="CE341:CE431" si="3224">AO341</f>
        <v>241</v>
      </c>
      <c r="CF341" s="72">
        <f t="shared" ref="CF341:CF431" si="3225">AS341</f>
        <v>284</v>
      </c>
      <c r="CG341" s="71">
        <f t="shared" ref="CG341:CG431" si="3226">AW341</f>
        <v>310</v>
      </c>
      <c r="CH341" s="70">
        <f t="shared" ref="CH341:CH431" si="3227">G341</f>
        <v>65</v>
      </c>
      <c r="CI341" s="71">
        <f t="shared" ref="CI341:CI431" si="3228">K341</f>
        <v>69</v>
      </c>
      <c r="CJ341" s="72">
        <f t="shared" ref="CJ341:CJ431" si="3229">O341</f>
        <v>101</v>
      </c>
      <c r="CK341" s="72">
        <f t="shared" ref="CK341:CK431" si="3230">S341</f>
        <v>105</v>
      </c>
      <c r="CL341" s="72">
        <f t="shared" ref="CL341:CL431" si="3231">W341</f>
        <v>141</v>
      </c>
      <c r="CM341" s="72" t="str">
        <f t="shared" ref="CM341:CM431" si="3232">AA341</f>
        <v>-</v>
      </c>
      <c r="CN341" s="72">
        <f t="shared" ref="CN341:CN431" si="3233">AE341</f>
        <v>173</v>
      </c>
      <c r="CO341" s="72">
        <f t="shared" ref="CO341:CO431" si="3234">AI341</f>
        <v>189</v>
      </c>
      <c r="CP341" s="72">
        <f t="shared" ref="CP341:CP431" si="3235">AM341</f>
        <v>237</v>
      </c>
      <c r="CQ341" s="72">
        <f t="shared" ref="CQ341:CQ431" si="3236">AQ341</f>
        <v>278</v>
      </c>
      <c r="CR341" s="72">
        <f t="shared" ref="CR341:CR431" si="3237">AU341</f>
        <v>309</v>
      </c>
      <c r="CS341" s="72">
        <f t="shared" ref="CS341:CS431" si="3238">AY341</f>
        <v>322</v>
      </c>
      <c r="CT341" s="23">
        <f t="shared" ref="CT341:CT431" si="3239">M341-K341</f>
        <v>1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30" x14ac:dyDescent="0.2">
      <c r="A342" s="3" t="str">
        <f t="shared" si="2570"/>
        <v>opsd_bovin_5DYS</v>
      </c>
      <c r="B342" s="3" t="s">
        <v>913</v>
      </c>
      <c r="C342" s="3" t="s">
        <v>1351</v>
      </c>
      <c r="D342" s="3" t="str">
        <f>IFERROR(MID(VLOOKUP($B342,Seqs!$A:$B,2,0),E342,1),"")</f>
        <v>E</v>
      </c>
      <c r="E342" s="105">
        <v>33</v>
      </c>
      <c r="F342" s="3" t="str">
        <f>IFERROR(MID(VLOOKUP($B342,Seqs!$A:$B,2,0),G342,1),"")</f>
        <v>H</v>
      </c>
      <c r="G342" s="3">
        <v>65</v>
      </c>
      <c r="H342" s="3" t="str">
        <f>IFERROR(MID(VLOOKUP($B342,Seqs!$A:$B,2,0),I342,1),"")</f>
        <v>K</v>
      </c>
      <c r="I342" s="23">
        <v>66</v>
      </c>
      <c r="J342" s="3" t="str">
        <f>IFERROR(MID(VLOOKUP($B342,Seqs!$A:$B,2,0),K342,1),"")</f>
        <v>R</v>
      </c>
      <c r="K342" s="23">
        <v>69</v>
      </c>
      <c r="L342" s="3" t="str">
        <f>IFERROR(MID(VLOOKUP($B342,Seqs!$A:$B,2,0),M342,1),"")</f>
        <v>T</v>
      </c>
      <c r="M342" s="3">
        <v>70</v>
      </c>
      <c r="N342" s="3" t="str">
        <f>IFERROR(MID(VLOOKUP($B342,Seqs!$A:$B,2,0),O342,1),"")</f>
        <v>G</v>
      </c>
      <c r="O342" s="3">
        <v>101</v>
      </c>
      <c r="P342" s="3" t="str">
        <f>IFERROR(MID(VLOOKUP($B342,Seqs!$A:$B,2,0),Q342,1),"")</f>
        <v>Y</v>
      </c>
      <c r="Q342" s="3">
        <v>102</v>
      </c>
      <c r="R342" s="3" t="str">
        <f>IFERROR(MID(VLOOKUP($B342,Seqs!$A:$B,2,0),S342,1),"")</f>
        <v>F</v>
      </c>
      <c r="S342" s="3">
        <v>105</v>
      </c>
      <c r="T342" s="3" t="str">
        <f>IFERROR(MID(VLOOKUP($B342,Seqs!$A:$B,2,0),U342,1),"")</f>
        <v>G</v>
      </c>
      <c r="U342" s="3">
        <v>106</v>
      </c>
      <c r="V342" s="3" t="str">
        <f>IFERROR(MID(VLOOKUP($B342,Seqs!$A:$B,2,0),W342,1),"")</f>
        <v>K</v>
      </c>
      <c r="W342" s="3">
        <v>141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G</v>
      </c>
      <c r="AC342" s="9">
        <v>149</v>
      </c>
      <c r="AD342" s="3" t="str">
        <f>IFERROR(MID(VLOOKUP($B342,Seqs!$A:$B,2,0),AE342,1),"")</f>
        <v>V</v>
      </c>
      <c r="AE342" s="3">
        <v>173</v>
      </c>
      <c r="AF342" s="3" t="str">
        <f>IFERROR(MID(VLOOKUP($B342,Seqs!$A:$B,2,0),AG342,1),"")</f>
        <v>C</v>
      </c>
      <c r="AG342" s="3">
        <v>187</v>
      </c>
      <c r="AH342" s="3" t="str">
        <f>IFERROR(MID(VLOOKUP($B342,Seqs!$A:$B,2,0),AI342,1),"")</f>
        <v>I</v>
      </c>
      <c r="AI342" s="3">
        <v>189</v>
      </c>
      <c r="AJ342" s="3" t="str">
        <f>IFERROR(MID(VLOOKUP($B342,Seqs!$A:$B,2,0),AK342,1),"")</f>
        <v>N</v>
      </c>
      <c r="AK342" s="3">
        <v>199</v>
      </c>
      <c r="AL342" s="3" t="str">
        <f>IFERROR(MID(VLOOKUP($B342,Seqs!$A:$B,2,0),AM342,1),"")</f>
        <v>Q</v>
      </c>
      <c r="AM342" s="3">
        <v>237</v>
      </c>
      <c r="AN342" s="3" t="str">
        <f>IFERROR(MID(VLOOKUP($B342,Seqs!$A:$B,2,0),AO342,1),"")</f>
        <v>A</v>
      </c>
      <c r="AO342" s="3">
        <v>241</v>
      </c>
      <c r="AP342" s="3" t="str">
        <f>IFERROR(MID(VLOOKUP($B342,Seqs!$A:$B,2,0),AQ342,1),"")</f>
        <v>H</v>
      </c>
      <c r="AQ342" s="3">
        <v>278</v>
      </c>
      <c r="AR342" s="3" t="str">
        <f>IFERROR(MID(VLOOKUP($B342,Seqs!$A:$B,2,0),AS342,1),"")</f>
        <v>G</v>
      </c>
      <c r="AS342" s="3">
        <v>284</v>
      </c>
      <c r="AT342" s="3" t="str">
        <f>IFERROR(MID(VLOOKUP($B342,Seqs!$A:$B,2,0),AU342,1),"")</f>
        <v>M</v>
      </c>
      <c r="AU342" s="3">
        <v>309</v>
      </c>
      <c r="AV342" s="3" t="str">
        <f>IFERROR(MID(VLOOKUP($B342,Seqs!$A:$B,2,0),AW342,1),"")</f>
        <v>N</v>
      </c>
      <c r="AW342" s="3">
        <v>310</v>
      </c>
      <c r="AX342" s="3" t="str">
        <f>IFERROR(MID(VLOOKUP($B342,Seqs!$A:$B,2,0),AY342,1),"")</f>
        <v>C</v>
      </c>
      <c r="AY342" s="3">
        <v>322</v>
      </c>
      <c r="AZ342" s="77" t="str">
        <f>VLOOKUP(B342,Classification!A:D,2,0)</f>
        <v>A</v>
      </c>
      <c r="BA342" s="94" t="str">
        <f>VLOOKUP(B342,Classification!A:D,4,0)</f>
        <v>Opsins</v>
      </c>
      <c r="BB342" s="27" t="b">
        <f t="shared" si="2571"/>
        <v>1</v>
      </c>
      <c r="BC342" s="23">
        <f t="shared" si="3214"/>
        <v>254</v>
      </c>
      <c r="BD342" s="5" t="s">
        <v>23</v>
      </c>
      <c r="BE342" s="3" t="s">
        <v>1285</v>
      </c>
      <c r="BF342" s="118">
        <v>2.2999999999999998</v>
      </c>
      <c r="BG342" s="49" t="s">
        <v>1371</v>
      </c>
      <c r="BH342" s="49" t="s">
        <v>1371</v>
      </c>
      <c r="BI342" s="1"/>
      <c r="BJ342" s="70" t="s">
        <v>1281</v>
      </c>
      <c r="BK342" s="57" t="s">
        <v>1281</v>
      </c>
      <c r="BL342" s="57" t="s">
        <v>1281</v>
      </c>
      <c r="BM342" s="57" t="s">
        <v>1281</v>
      </c>
      <c r="BN342" s="57" t="s">
        <v>1281</v>
      </c>
      <c r="BO342" s="57" t="s">
        <v>1281</v>
      </c>
      <c r="BP342" s="57" t="s">
        <v>1281</v>
      </c>
      <c r="BQ342" s="57" t="s">
        <v>1281</v>
      </c>
      <c r="BR342" s="57" t="s">
        <v>1281</v>
      </c>
      <c r="BS342" s="57" t="s">
        <v>1281</v>
      </c>
      <c r="BT342" s="57" t="s">
        <v>1281</v>
      </c>
      <c r="BU342" s="57" t="s">
        <v>1281</v>
      </c>
      <c r="BV342" s="70">
        <f t="shared" si="3215"/>
        <v>33</v>
      </c>
      <c r="BW342" s="71">
        <f t="shared" si="3216"/>
        <v>66</v>
      </c>
      <c r="BX342" s="72">
        <f t="shared" si="3217"/>
        <v>70</v>
      </c>
      <c r="BY342" s="71">
        <f t="shared" si="3218"/>
        <v>102</v>
      </c>
      <c r="BZ342" s="72">
        <f t="shared" si="3219"/>
        <v>106</v>
      </c>
      <c r="CA342" s="71" t="str">
        <f t="shared" si="3220"/>
        <v>-</v>
      </c>
      <c r="CB342" s="72">
        <f t="shared" si="3221"/>
        <v>149</v>
      </c>
      <c r="CC342" s="71">
        <f t="shared" si="3222"/>
        <v>187</v>
      </c>
      <c r="CD342" s="72">
        <f t="shared" si="3223"/>
        <v>199</v>
      </c>
      <c r="CE342" s="71">
        <f t="shared" si="3224"/>
        <v>241</v>
      </c>
      <c r="CF342" s="72">
        <f t="shared" si="3225"/>
        <v>284</v>
      </c>
      <c r="CG342" s="71">
        <f t="shared" si="3226"/>
        <v>310</v>
      </c>
      <c r="CH342" s="70">
        <f t="shared" si="3227"/>
        <v>65</v>
      </c>
      <c r="CI342" s="71">
        <f t="shared" si="3228"/>
        <v>69</v>
      </c>
      <c r="CJ342" s="72">
        <f t="shared" si="3229"/>
        <v>101</v>
      </c>
      <c r="CK342" s="72">
        <f t="shared" si="3230"/>
        <v>105</v>
      </c>
      <c r="CL342" s="72">
        <f t="shared" si="3231"/>
        <v>141</v>
      </c>
      <c r="CM342" s="72" t="str">
        <f t="shared" si="3232"/>
        <v>-</v>
      </c>
      <c r="CN342" s="72">
        <f t="shared" si="3233"/>
        <v>173</v>
      </c>
      <c r="CO342" s="72">
        <f t="shared" si="3234"/>
        <v>189</v>
      </c>
      <c r="CP342" s="72">
        <f t="shared" si="3235"/>
        <v>237</v>
      </c>
      <c r="CQ342" s="72">
        <f t="shared" si="3236"/>
        <v>278</v>
      </c>
      <c r="CR342" s="72">
        <f t="shared" si="3237"/>
        <v>309</v>
      </c>
      <c r="CS342" s="72">
        <f t="shared" si="3238"/>
        <v>322</v>
      </c>
      <c r="CT342" s="23">
        <f t="shared" si="3239"/>
        <v>1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30" x14ac:dyDescent="0.2">
      <c r="A343" s="3" t="str">
        <f t="shared" ref="A343:A458" si="3240">CONCATENATE(B343,"_",C343)</f>
        <v>opsd_bovin_5EN0</v>
      </c>
      <c r="B343" s="3" t="s">
        <v>913</v>
      </c>
      <c r="C343" s="3" t="s">
        <v>1352</v>
      </c>
      <c r="D343" s="3" t="str">
        <f>IFERROR(MID(VLOOKUP($B343,Seqs!$A:$B,2,0),E343,1),"")</f>
        <v>E</v>
      </c>
      <c r="E343" s="105">
        <v>33</v>
      </c>
      <c r="F343" s="3" t="str">
        <f>IFERROR(MID(VLOOKUP($B343,Seqs!$A:$B,2,0),G343,1),"")</f>
        <v>H</v>
      </c>
      <c r="G343" s="3">
        <v>65</v>
      </c>
      <c r="H343" s="3" t="str">
        <f>IFERROR(MID(VLOOKUP($B343,Seqs!$A:$B,2,0),I343,1),"")</f>
        <v>K</v>
      </c>
      <c r="I343" s="23">
        <v>66</v>
      </c>
      <c r="J343" s="3" t="str">
        <f>IFERROR(MID(VLOOKUP($B343,Seqs!$A:$B,2,0),K343,1),"")</f>
        <v>R</v>
      </c>
      <c r="K343" s="23">
        <v>69</v>
      </c>
      <c r="L343" s="3" t="str">
        <f>IFERROR(MID(VLOOKUP($B343,Seqs!$A:$B,2,0),M343,1),"")</f>
        <v>T</v>
      </c>
      <c r="M343" s="3">
        <v>70</v>
      </c>
      <c r="N343" s="3" t="str">
        <f>IFERROR(MID(VLOOKUP($B343,Seqs!$A:$B,2,0),O343,1),"")</f>
        <v>G</v>
      </c>
      <c r="O343" s="3">
        <v>101</v>
      </c>
      <c r="P343" s="3" t="str">
        <f>IFERROR(MID(VLOOKUP($B343,Seqs!$A:$B,2,0),Q343,1),"")</f>
        <v>Y</v>
      </c>
      <c r="Q343" s="3">
        <v>102</v>
      </c>
      <c r="R343" s="3" t="str">
        <f>IFERROR(MID(VLOOKUP($B343,Seqs!$A:$B,2,0),S343,1),"")</f>
        <v>F</v>
      </c>
      <c r="S343" s="3">
        <v>105</v>
      </c>
      <c r="T343" s="3" t="str">
        <f>IFERROR(MID(VLOOKUP($B343,Seqs!$A:$B,2,0),U343,1),"")</f>
        <v>G</v>
      </c>
      <c r="U343" s="3">
        <v>106</v>
      </c>
      <c r="V343" s="3" t="str">
        <f>IFERROR(MID(VLOOKUP($B343,Seqs!$A:$B,2,0),W343,1),"")</f>
        <v>K</v>
      </c>
      <c r="W343" s="3">
        <v>141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G</v>
      </c>
      <c r="AC343" s="9">
        <v>149</v>
      </c>
      <c r="AD343" s="3" t="str">
        <f>IFERROR(MID(VLOOKUP($B343,Seqs!$A:$B,2,0),AE343,1),"")</f>
        <v>V</v>
      </c>
      <c r="AE343" s="3">
        <v>173</v>
      </c>
      <c r="AF343" s="3" t="str">
        <f>IFERROR(MID(VLOOKUP($B343,Seqs!$A:$B,2,0),AG343,1),"")</f>
        <v>C</v>
      </c>
      <c r="AG343" s="3">
        <v>187</v>
      </c>
      <c r="AH343" s="3" t="str">
        <f>IFERROR(MID(VLOOKUP($B343,Seqs!$A:$B,2,0),AI343,1),"")</f>
        <v>I</v>
      </c>
      <c r="AI343" s="3">
        <v>189</v>
      </c>
      <c r="AJ343" s="3" t="str">
        <f>IFERROR(MID(VLOOKUP($B343,Seqs!$A:$B,2,0),AK343,1),"")</f>
        <v>N</v>
      </c>
      <c r="AK343" s="3">
        <v>199</v>
      </c>
      <c r="AL343" s="3" t="str">
        <f>IFERROR(MID(VLOOKUP($B343,Seqs!$A:$B,2,0),AM343,1),"")</f>
        <v>Q</v>
      </c>
      <c r="AM343" s="3">
        <v>237</v>
      </c>
      <c r="AN343" s="3" t="str">
        <f>IFERROR(MID(VLOOKUP($B343,Seqs!$A:$B,2,0),AO343,1),"")</f>
        <v>A</v>
      </c>
      <c r="AO343" s="3">
        <v>241</v>
      </c>
      <c r="AP343" s="3" t="str">
        <f>IFERROR(MID(VLOOKUP($B343,Seqs!$A:$B,2,0),AQ343,1),"")</f>
        <v>H</v>
      </c>
      <c r="AQ343" s="3">
        <v>278</v>
      </c>
      <c r="AR343" s="3" t="str">
        <f>IFERROR(MID(VLOOKUP($B343,Seqs!$A:$B,2,0),AS343,1),"")</f>
        <v>G</v>
      </c>
      <c r="AS343" s="3">
        <v>284</v>
      </c>
      <c r="AT343" s="3" t="str">
        <f>IFERROR(MID(VLOOKUP($B343,Seqs!$A:$B,2,0),AU343,1),"")</f>
        <v>M</v>
      </c>
      <c r="AU343" s="3">
        <v>309</v>
      </c>
      <c r="AV343" s="3" t="str">
        <f>IFERROR(MID(VLOOKUP($B343,Seqs!$A:$B,2,0),AW343,1),"")</f>
        <v>N</v>
      </c>
      <c r="AW343" s="3">
        <v>310</v>
      </c>
      <c r="AX343" s="3" t="str">
        <f>IFERROR(MID(VLOOKUP($B343,Seqs!$A:$B,2,0),AY343,1),"")</f>
        <v>C</v>
      </c>
      <c r="AY343" s="3">
        <v>322</v>
      </c>
      <c r="AZ343" s="77" t="str">
        <f>VLOOKUP(B343,Classification!A:D,2,0)</f>
        <v>A</v>
      </c>
      <c r="BA343" s="94" t="str">
        <f>VLOOKUP(B343,Classification!A:D,4,0)</f>
        <v>Opsins</v>
      </c>
      <c r="BB343" s="27" t="b">
        <f t="shared" ref="BB343:BB458" si="3241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23">
        <f t="shared" si="3214"/>
        <v>254</v>
      </c>
      <c r="BD343" s="4" t="s">
        <v>23</v>
      </c>
      <c r="BE343" s="3" t="s">
        <v>1285</v>
      </c>
      <c r="BF343" s="118">
        <v>2.81</v>
      </c>
      <c r="BG343" s="49" t="s">
        <v>1371</v>
      </c>
      <c r="BH343" s="49" t="s">
        <v>1371</v>
      </c>
      <c r="BI343" s="1"/>
      <c r="BJ343" s="70" t="s">
        <v>1281</v>
      </c>
      <c r="BK343" s="57" t="s">
        <v>1281</v>
      </c>
      <c r="BL343" s="57" t="s">
        <v>1281</v>
      </c>
      <c r="BM343" s="57" t="s">
        <v>1281</v>
      </c>
      <c r="BN343" s="57" t="s">
        <v>1281</v>
      </c>
      <c r="BO343" s="57" t="s">
        <v>1281</v>
      </c>
      <c r="BP343" s="57" t="s">
        <v>1281</v>
      </c>
      <c r="BQ343" s="57" t="s">
        <v>1281</v>
      </c>
      <c r="BR343" s="57" t="s">
        <v>1281</v>
      </c>
      <c r="BS343" s="57" t="s">
        <v>1281</v>
      </c>
      <c r="BT343" s="57" t="s">
        <v>1281</v>
      </c>
      <c r="BU343" s="57" t="s">
        <v>1281</v>
      </c>
      <c r="BV343" s="70">
        <f t="shared" si="3215"/>
        <v>33</v>
      </c>
      <c r="BW343" s="71">
        <f t="shared" si="3216"/>
        <v>66</v>
      </c>
      <c r="BX343" s="72">
        <f t="shared" si="3217"/>
        <v>70</v>
      </c>
      <c r="BY343" s="71">
        <f t="shared" si="3218"/>
        <v>102</v>
      </c>
      <c r="BZ343" s="72">
        <f t="shared" si="3219"/>
        <v>106</v>
      </c>
      <c r="CA343" s="71" t="str">
        <f t="shared" si="3220"/>
        <v>-</v>
      </c>
      <c r="CB343" s="72">
        <f t="shared" si="3221"/>
        <v>149</v>
      </c>
      <c r="CC343" s="71">
        <f t="shared" si="3222"/>
        <v>187</v>
      </c>
      <c r="CD343" s="72">
        <f t="shared" si="3223"/>
        <v>199</v>
      </c>
      <c r="CE343" s="71">
        <f t="shared" si="3224"/>
        <v>241</v>
      </c>
      <c r="CF343" s="72">
        <f t="shared" si="3225"/>
        <v>284</v>
      </c>
      <c r="CG343" s="71">
        <f t="shared" si="3226"/>
        <v>310</v>
      </c>
      <c r="CH343" s="70">
        <f t="shared" si="3227"/>
        <v>65</v>
      </c>
      <c r="CI343" s="71">
        <f t="shared" si="3228"/>
        <v>69</v>
      </c>
      <c r="CJ343" s="72">
        <f t="shared" si="3229"/>
        <v>101</v>
      </c>
      <c r="CK343" s="72">
        <f t="shared" si="3230"/>
        <v>105</v>
      </c>
      <c r="CL343" s="72">
        <f t="shared" si="3231"/>
        <v>141</v>
      </c>
      <c r="CM343" s="72" t="str">
        <f t="shared" si="3232"/>
        <v>-</v>
      </c>
      <c r="CN343" s="72">
        <f t="shared" si="3233"/>
        <v>173</v>
      </c>
      <c r="CO343" s="72">
        <f t="shared" si="3234"/>
        <v>189</v>
      </c>
      <c r="CP343" s="72">
        <f t="shared" si="3235"/>
        <v>237</v>
      </c>
      <c r="CQ343" s="72">
        <f t="shared" si="3236"/>
        <v>278</v>
      </c>
      <c r="CR343" s="72">
        <f t="shared" si="3237"/>
        <v>309</v>
      </c>
      <c r="CS343" s="72">
        <f t="shared" si="3238"/>
        <v>322</v>
      </c>
      <c r="CT343" s="23">
        <f t="shared" si="3239"/>
        <v>1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30" x14ac:dyDescent="0.2">
      <c r="A344" s="3" t="str">
        <f t="shared" ref="A344:A354" si="3242">CONCATENATE(B344,"_",C344)</f>
        <v>opsd_bovin_5TE3</v>
      </c>
      <c r="B344" s="3" t="s">
        <v>913</v>
      </c>
      <c r="C344" s="3" t="s">
        <v>1393</v>
      </c>
      <c r="D344" s="3" t="str">
        <f>IFERROR(MID(VLOOKUP($B344,Seqs!$A:$B,2,0),E344,1),"")</f>
        <v>E</v>
      </c>
      <c r="E344" s="105">
        <v>33</v>
      </c>
      <c r="F344" s="3" t="str">
        <f>IFERROR(MID(VLOOKUP($B344,Seqs!$A:$B,2,0),G344,1),"")</f>
        <v>H</v>
      </c>
      <c r="G344" s="3">
        <v>65</v>
      </c>
      <c r="H344" s="3" t="str">
        <f>IFERROR(MID(VLOOKUP($B344,Seqs!$A:$B,2,0),I344,1),"")</f>
        <v>K</v>
      </c>
      <c r="I344" s="23">
        <v>66</v>
      </c>
      <c r="J344" s="3" t="str">
        <f>IFERROR(MID(VLOOKUP($B344,Seqs!$A:$B,2,0),K344,1),"")</f>
        <v>R</v>
      </c>
      <c r="K344" s="23">
        <v>69</v>
      </c>
      <c r="L344" s="3" t="str">
        <f>IFERROR(MID(VLOOKUP($B344,Seqs!$A:$B,2,0),M344,1),"")</f>
        <v>T</v>
      </c>
      <c r="M344" s="3">
        <v>70</v>
      </c>
      <c r="N344" s="3" t="str">
        <f>IFERROR(MID(VLOOKUP($B344,Seqs!$A:$B,2,0),O344,1),"")</f>
        <v>G</v>
      </c>
      <c r="O344" s="3">
        <v>101</v>
      </c>
      <c r="P344" s="3" t="str">
        <f>IFERROR(MID(VLOOKUP($B344,Seqs!$A:$B,2,0),Q344,1),"")</f>
        <v>Y</v>
      </c>
      <c r="Q344" s="3">
        <v>102</v>
      </c>
      <c r="R344" s="3" t="str">
        <f>IFERROR(MID(VLOOKUP($B344,Seqs!$A:$B,2,0),S344,1),"")</f>
        <v>F</v>
      </c>
      <c r="S344" s="3">
        <v>105</v>
      </c>
      <c r="T344" s="3" t="str">
        <f>IFERROR(MID(VLOOKUP($B344,Seqs!$A:$B,2,0),U344,1),"")</f>
        <v>G</v>
      </c>
      <c r="U344" s="3">
        <v>106</v>
      </c>
      <c r="V344" s="3" t="str">
        <f>IFERROR(MID(VLOOKUP($B344,Seqs!$A:$B,2,0),W344,1),"")</f>
        <v>K</v>
      </c>
      <c r="W344" s="3">
        <v>141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G</v>
      </c>
      <c r="AC344" s="3">
        <v>149</v>
      </c>
      <c r="AD344" s="3" t="str">
        <f>IFERROR(MID(VLOOKUP($B344,Seqs!$A:$B,2,0),AE344,1),"")</f>
        <v>V</v>
      </c>
      <c r="AE344" s="3">
        <v>173</v>
      </c>
      <c r="AF344" s="3" t="str">
        <f>IFERROR(MID(VLOOKUP($B344,Seqs!$A:$B,2,0),AG344,1),"")</f>
        <v>C</v>
      </c>
      <c r="AG344" s="3">
        <v>187</v>
      </c>
      <c r="AH344" s="3" t="str">
        <f>IFERROR(MID(VLOOKUP($B344,Seqs!$A:$B,2,0),AI344,1),"")</f>
        <v>I</v>
      </c>
      <c r="AI344" s="3">
        <v>189</v>
      </c>
      <c r="AJ344" s="3" t="str">
        <f>IFERROR(MID(VLOOKUP($B344,Seqs!$A:$B,2,0),AK344,1),"")</f>
        <v>N</v>
      </c>
      <c r="AK344" s="3">
        <v>199</v>
      </c>
      <c r="AL344" s="3" t="str">
        <f>IFERROR(MID(VLOOKUP($B344,Seqs!$A:$B,2,0),AM344,1),"")</f>
        <v>Q</v>
      </c>
      <c r="AM344" s="3">
        <v>237</v>
      </c>
      <c r="AN344" s="3" t="str">
        <f>IFERROR(MID(VLOOKUP($B344,Seqs!$A:$B,2,0),AO344,1),"")</f>
        <v>A</v>
      </c>
      <c r="AO344" s="3">
        <v>241</v>
      </c>
      <c r="AP344" s="3" t="str">
        <f>IFERROR(MID(VLOOKUP($B344,Seqs!$A:$B,2,0),AQ344,1),"")</f>
        <v>H</v>
      </c>
      <c r="AQ344" s="3">
        <v>278</v>
      </c>
      <c r="AR344" s="3" t="str">
        <f>IFERROR(MID(VLOOKUP($B344,Seqs!$A:$B,2,0),AS344,1),"")</f>
        <v>G</v>
      </c>
      <c r="AS344" s="3">
        <v>284</v>
      </c>
      <c r="AT344" s="3" t="str">
        <f>IFERROR(MID(VLOOKUP($B344,Seqs!$A:$B,2,0),AU344,1),"")</f>
        <v>M</v>
      </c>
      <c r="AU344" s="3">
        <v>309</v>
      </c>
      <c r="AV344" s="3" t="str">
        <f>IFERROR(MID(VLOOKUP($B344,Seqs!$A:$B,2,0),AW344,1),"")</f>
        <v>N</v>
      </c>
      <c r="AW344" s="3">
        <v>310</v>
      </c>
      <c r="AX344" s="3" t="str">
        <f>IFERROR(MID(VLOOKUP($B344,Seqs!$A:$B,2,0),AY344,1),"")</f>
        <v>C</v>
      </c>
      <c r="AY344" s="3">
        <v>322</v>
      </c>
      <c r="AZ344" s="77" t="str">
        <f>VLOOKUP(B344,Classification!A:D,2,0)</f>
        <v>A</v>
      </c>
      <c r="BA344" s="94" t="str">
        <f>VLOOKUP(B344,Classification!A:D,4,0)</f>
        <v>Opsins</v>
      </c>
      <c r="BB344" s="27" t="b">
        <f t="shared" ref="BB344:BB354" si="3243"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23">
        <f t="shared" ref="BC344:BC354" si="3244">_xlfn.AGGREGATE(9,6,CH344:CS344)-_xlfn.AGGREGATE(9,6,BV344:CG344)+12</f>
        <v>254</v>
      </c>
      <c r="BD344" s="2" t="s">
        <v>23</v>
      </c>
      <c r="BE344" s="3" t="s">
        <v>1285</v>
      </c>
      <c r="BF344" s="118">
        <v>2.7</v>
      </c>
      <c r="BG344" s="49" t="s">
        <v>1</v>
      </c>
      <c r="BH344" s="49" t="s">
        <v>1371</v>
      </c>
      <c r="BI344" s="1"/>
      <c r="BJ344" s="70" t="s">
        <v>1281</v>
      </c>
      <c r="BK344" s="57" t="s">
        <v>1281</v>
      </c>
      <c r="BL344" s="57" t="s">
        <v>1281</v>
      </c>
      <c r="BM344" s="57" t="s">
        <v>1281</v>
      </c>
      <c r="BN344" s="57" t="s">
        <v>1281</v>
      </c>
      <c r="BO344" s="57" t="s">
        <v>1281</v>
      </c>
      <c r="BP344" s="57" t="s">
        <v>1281</v>
      </c>
      <c r="BQ344" s="57" t="s">
        <v>1281</v>
      </c>
      <c r="BR344" s="57" t="s">
        <v>1281</v>
      </c>
      <c r="BS344" s="57" t="s">
        <v>1281</v>
      </c>
      <c r="BT344" s="57" t="s">
        <v>1281</v>
      </c>
      <c r="BU344" s="57" t="s">
        <v>1281</v>
      </c>
      <c r="BV344" s="70">
        <f t="shared" ref="BV344:BV354" si="3245">E344</f>
        <v>33</v>
      </c>
      <c r="BW344" s="71">
        <f t="shared" ref="BW344:BW354" si="3246">I344</f>
        <v>66</v>
      </c>
      <c r="BX344" s="72">
        <f t="shared" ref="BX344:BX354" si="3247">M344</f>
        <v>70</v>
      </c>
      <c r="BY344" s="71">
        <f t="shared" ref="BY344:BY354" si="3248">Q344</f>
        <v>102</v>
      </c>
      <c r="BZ344" s="72">
        <f t="shared" ref="BZ344:BZ354" si="3249">U344</f>
        <v>106</v>
      </c>
      <c r="CA344" s="71" t="str">
        <f t="shared" ref="CA344:CA354" si="3250">Y344</f>
        <v>-</v>
      </c>
      <c r="CB344" s="72">
        <f t="shared" ref="CB344:CB354" si="3251">AC344</f>
        <v>149</v>
      </c>
      <c r="CC344" s="71">
        <f t="shared" ref="CC344:CC354" si="3252">AG344</f>
        <v>187</v>
      </c>
      <c r="CD344" s="72">
        <f t="shared" ref="CD344:CD354" si="3253">AK344</f>
        <v>199</v>
      </c>
      <c r="CE344" s="71">
        <f t="shared" ref="CE344:CE354" si="3254">AO344</f>
        <v>241</v>
      </c>
      <c r="CF344" s="72">
        <f t="shared" ref="CF344:CF354" si="3255">AS344</f>
        <v>284</v>
      </c>
      <c r="CG344" s="71">
        <f t="shared" ref="CG344:CG354" si="3256">AW344</f>
        <v>310</v>
      </c>
      <c r="CH344" s="70">
        <f t="shared" ref="CH344:CH354" si="3257">G344</f>
        <v>65</v>
      </c>
      <c r="CI344" s="71">
        <f t="shared" ref="CI344:CI354" si="3258">K344</f>
        <v>69</v>
      </c>
      <c r="CJ344" s="72">
        <f t="shared" ref="CJ344:CJ354" si="3259">O344</f>
        <v>101</v>
      </c>
      <c r="CK344" s="72">
        <f t="shared" ref="CK344:CK354" si="3260">S344</f>
        <v>105</v>
      </c>
      <c r="CL344" s="72">
        <f t="shared" ref="CL344:CL354" si="3261">W344</f>
        <v>141</v>
      </c>
      <c r="CM344" s="72" t="str">
        <f t="shared" ref="CM344:CM354" si="3262">AA344</f>
        <v>-</v>
      </c>
      <c r="CN344" s="72">
        <f t="shared" ref="CN344:CN354" si="3263">AE344</f>
        <v>173</v>
      </c>
      <c r="CO344" s="72">
        <f t="shared" ref="CO344:CO354" si="3264">AI344</f>
        <v>189</v>
      </c>
      <c r="CP344" s="72">
        <f t="shared" ref="CP344:CP354" si="3265">AM344</f>
        <v>237</v>
      </c>
      <c r="CQ344" s="72">
        <f t="shared" ref="CQ344:CQ354" si="3266">AQ344</f>
        <v>278</v>
      </c>
      <c r="CR344" s="72">
        <f t="shared" ref="CR344:CR354" si="3267">AU344</f>
        <v>309</v>
      </c>
      <c r="CS344" s="72">
        <f t="shared" ref="CS344:CS354" si="3268">AY344</f>
        <v>322</v>
      </c>
      <c r="CT344" s="23">
        <f t="shared" ref="CT344:CT354" si="3269">M344-K344</f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30" x14ac:dyDescent="0.2">
      <c r="A345" s="3" t="str">
        <f t="shared" si="3242"/>
        <v>opsd_bovin_5TE5</v>
      </c>
      <c r="B345" s="3" t="s">
        <v>913</v>
      </c>
      <c r="C345" s="3" t="s">
        <v>1394</v>
      </c>
      <c r="D345" s="3" t="str">
        <f>IFERROR(MID(VLOOKUP($B345,Seqs!$A:$B,2,0),E345,1),"")</f>
        <v>Q</v>
      </c>
      <c r="E345" s="3">
        <v>36</v>
      </c>
      <c r="F345" s="3" t="str">
        <f>IFERROR(MID(VLOOKUP($B345,Seqs!$A:$B,2,0),G345,1),"")</f>
        <v>H</v>
      </c>
      <c r="G345" s="3">
        <v>65</v>
      </c>
      <c r="H345" s="3" t="str">
        <f>IFERROR(MID(VLOOKUP($B345,Seqs!$A:$B,2,0),I345,1),"")</f>
        <v>K</v>
      </c>
      <c r="I345" s="23">
        <v>66</v>
      </c>
      <c r="J345" s="3" t="str">
        <f>IFERROR(MID(VLOOKUP($B345,Seqs!$A:$B,2,0),K345,1),"")</f>
        <v>R</v>
      </c>
      <c r="K345" s="23">
        <v>69</v>
      </c>
      <c r="L345" s="3" t="str">
        <f>IFERROR(MID(VLOOKUP($B345,Seqs!$A:$B,2,0),M345,1),"")</f>
        <v>T</v>
      </c>
      <c r="M345" s="3">
        <v>70</v>
      </c>
      <c r="N345" s="3" t="str">
        <f>IFERROR(MID(VLOOKUP($B345,Seqs!$A:$B,2,0),O345,1),"")</f>
        <v>G</v>
      </c>
      <c r="O345" s="3">
        <v>101</v>
      </c>
      <c r="P345" s="3" t="str">
        <f>IFERROR(MID(VLOOKUP($B345,Seqs!$A:$B,2,0),Q345,1),"")</f>
        <v>Y</v>
      </c>
      <c r="Q345" s="3">
        <v>102</v>
      </c>
      <c r="R345" s="3" t="str">
        <f>IFERROR(MID(VLOOKUP($B345,Seqs!$A:$B,2,0),S345,1),"")</f>
        <v>F</v>
      </c>
      <c r="S345" s="3">
        <v>105</v>
      </c>
      <c r="T345" s="3" t="str">
        <f>IFERROR(MID(VLOOKUP($B345,Seqs!$A:$B,2,0),U345,1),"")</f>
        <v>G</v>
      </c>
      <c r="U345" s="3">
        <v>106</v>
      </c>
      <c r="V345" s="3" t="str">
        <f>IFERROR(MID(VLOOKUP($B345,Seqs!$A:$B,2,0),W345,1),"")</f>
        <v>K</v>
      </c>
      <c r="W345" s="3">
        <v>141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G</v>
      </c>
      <c r="AC345" s="3">
        <v>149</v>
      </c>
      <c r="AD345" s="3" t="str">
        <f>IFERROR(MID(VLOOKUP($B345,Seqs!$A:$B,2,0),AE345,1),"")</f>
        <v>V</v>
      </c>
      <c r="AE345" s="3">
        <v>173</v>
      </c>
      <c r="AF345" s="3" t="str">
        <f>IFERROR(MID(VLOOKUP($B345,Seqs!$A:$B,2,0),AG345,1),"")</f>
        <v>C</v>
      </c>
      <c r="AG345" s="3">
        <v>187</v>
      </c>
      <c r="AH345" s="3" t="str">
        <f>IFERROR(MID(VLOOKUP($B345,Seqs!$A:$B,2,0),AI345,1),"")</f>
        <v>I</v>
      </c>
      <c r="AI345" s="3">
        <v>189</v>
      </c>
      <c r="AJ345" s="3" t="str">
        <f>IFERROR(MID(VLOOKUP($B345,Seqs!$A:$B,2,0),AK345,1),"")</f>
        <v>S</v>
      </c>
      <c r="AK345" s="3">
        <v>202</v>
      </c>
      <c r="AL345" s="3" t="str">
        <f>IFERROR(MID(VLOOKUP($B345,Seqs!$A:$B,2,0),AM345,1),"")</f>
        <v>L</v>
      </c>
      <c r="AM345" s="3">
        <v>226</v>
      </c>
      <c r="AN345" s="3" t="str">
        <f>IFERROR(MID(VLOOKUP($B345,Seqs!$A:$B,2,0),AO345,1),"")</f>
        <v>T</v>
      </c>
      <c r="AO345" s="3">
        <v>243</v>
      </c>
      <c r="AP345" s="3" t="str">
        <f>IFERROR(MID(VLOOKUP($B345,Seqs!$A:$B,2,0),AQ345,1),"")</f>
        <v>H</v>
      </c>
      <c r="AQ345" s="3">
        <v>278</v>
      </c>
      <c r="AR345" s="3" t="str">
        <f>IFERROR(MID(VLOOKUP($B345,Seqs!$A:$B,2,0),AS345,1),"")</f>
        <v>P</v>
      </c>
      <c r="AS345" s="3">
        <v>285</v>
      </c>
      <c r="AT345" s="3" t="str">
        <f>IFERROR(MID(VLOOKUP($B345,Seqs!$A:$B,2,0),AU345,1),"")</f>
        <v>M</v>
      </c>
      <c r="AU345" s="3">
        <v>309</v>
      </c>
      <c r="AV345" s="3" t="str">
        <f>IFERROR(MID(VLOOKUP($B345,Seqs!$A:$B,2,0),AW345,1),"")</f>
        <v>N</v>
      </c>
      <c r="AW345" s="3">
        <v>310</v>
      </c>
      <c r="AX345" s="3" t="str">
        <f>IFERROR(MID(VLOOKUP($B345,Seqs!$A:$B,2,0),AY345,1),"")</f>
        <v>C</v>
      </c>
      <c r="AY345" s="3">
        <v>323</v>
      </c>
      <c r="AZ345" s="77" t="str">
        <f>VLOOKUP(B345,Classification!A:D,2,0)</f>
        <v>A</v>
      </c>
      <c r="BA345" s="94" t="str">
        <f>VLOOKUP(B345,Classification!A:D,4,0)</f>
        <v>Opsins</v>
      </c>
      <c r="BB345" s="27" t="b">
        <f t="shared" si="3243"/>
        <v>1</v>
      </c>
      <c r="BC345" s="23">
        <f t="shared" si="3244"/>
        <v>235</v>
      </c>
      <c r="BD345" s="2" t="s">
        <v>23</v>
      </c>
      <c r="BE345" s="3" t="s">
        <v>1368</v>
      </c>
      <c r="BF345" s="118">
        <v>4.01</v>
      </c>
      <c r="BG345" s="49" t="s">
        <v>1371</v>
      </c>
      <c r="BH345" s="49" t="s">
        <v>1371</v>
      </c>
      <c r="BI345" s="1"/>
      <c r="BJ345" s="70" t="s">
        <v>1281</v>
      </c>
      <c r="BK345" s="57" t="s">
        <v>1281</v>
      </c>
      <c r="BL345" s="57" t="s">
        <v>1281</v>
      </c>
      <c r="BM345" s="57" t="s">
        <v>1281</v>
      </c>
      <c r="BN345" s="57" t="s">
        <v>1281</v>
      </c>
      <c r="BO345" s="57" t="s">
        <v>1281</v>
      </c>
      <c r="BP345" s="57" t="s">
        <v>1281</v>
      </c>
      <c r="BQ345" s="57" t="s">
        <v>1281</v>
      </c>
      <c r="BR345" s="57" t="s">
        <v>1281</v>
      </c>
      <c r="BS345" s="57" t="s">
        <v>1281</v>
      </c>
      <c r="BT345" s="57" t="s">
        <v>1281</v>
      </c>
      <c r="BU345" s="57" t="s">
        <v>1281</v>
      </c>
      <c r="BV345" s="70">
        <f t="shared" si="3245"/>
        <v>36</v>
      </c>
      <c r="BW345" s="71">
        <f t="shared" si="3246"/>
        <v>66</v>
      </c>
      <c r="BX345" s="72">
        <f t="shared" si="3247"/>
        <v>70</v>
      </c>
      <c r="BY345" s="71">
        <f t="shared" si="3248"/>
        <v>102</v>
      </c>
      <c r="BZ345" s="72">
        <f t="shared" si="3249"/>
        <v>106</v>
      </c>
      <c r="CA345" s="71" t="str">
        <f t="shared" si="3250"/>
        <v>-</v>
      </c>
      <c r="CB345" s="72">
        <f t="shared" si="3251"/>
        <v>149</v>
      </c>
      <c r="CC345" s="71">
        <f t="shared" si="3252"/>
        <v>187</v>
      </c>
      <c r="CD345" s="72">
        <f t="shared" si="3253"/>
        <v>202</v>
      </c>
      <c r="CE345" s="71">
        <f t="shared" si="3254"/>
        <v>243</v>
      </c>
      <c r="CF345" s="72">
        <f t="shared" si="3255"/>
        <v>285</v>
      </c>
      <c r="CG345" s="71">
        <f t="shared" si="3256"/>
        <v>310</v>
      </c>
      <c r="CH345" s="70">
        <f t="shared" si="3257"/>
        <v>65</v>
      </c>
      <c r="CI345" s="71">
        <f t="shared" si="3258"/>
        <v>69</v>
      </c>
      <c r="CJ345" s="72">
        <f t="shared" si="3259"/>
        <v>101</v>
      </c>
      <c r="CK345" s="72">
        <f t="shared" si="3260"/>
        <v>105</v>
      </c>
      <c r="CL345" s="72">
        <f t="shared" si="3261"/>
        <v>141</v>
      </c>
      <c r="CM345" s="72" t="str">
        <f t="shared" si="3262"/>
        <v>-</v>
      </c>
      <c r="CN345" s="72">
        <f t="shared" si="3263"/>
        <v>173</v>
      </c>
      <c r="CO345" s="72">
        <f t="shared" si="3264"/>
        <v>189</v>
      </c>
      <c r="CP345" s="72">
        <f t="shared" si="3265"/>
        <v>226</v>
      </c>
      <c r="CQ345" s="72">
        <f t="shared" si="3266"/>
        <v>278</v>
      </c>
      <c r="CR345" s="72">
        <f t="shared" si="3267"/>
        <v>309</v>
      </c>
      <c r="CS345" s="72">
        <f t="shared" si="3268"/>
        <v>323</v>
      </c>
      <c r="CT345" s="23">
        <f t="shared" si="3269"/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30" x14ac:dyDescent="0.2">
      <c r="A346" s="3" t="str">
        <f t="shared" si="3242"/>
        <v>opsd_bovin_5WKT</v>
      </c>
      <c r="B346" s="3" t="s">
        <v>913</v>
      </c>
      <c r="C346" s="3" t="s">
        <v>1444</v>
      </c>
      <c r="D346" s="3" t="str">
        <f>IFERROR(MID(VLOOKUP($B346,Seqs!$A:$B,2,0),E346,1),"")</f>
        <v>E</v>
      </c>
      <c r="E346" s="3">
        <v>33</v>
      </c>
      <c r="F346" s="3" t="str">
        <f>IFERROR(MID(VLOOKUP($B346,Seqs!$A:$B,2,0),G346,1),"")</f>
        <v>Q</v>
      </c>
      <c r="G346" s="3">
        <v>64</v>
      </c>
      <c r="H346" s="3" t="str">
        <f>IFERROR(MID(VLOOKUP($B346,Seqs!$A:$B,2,0),I346,1),"")</f>
        <v>K</v>
      </c>
      <c r="I346" s="23">
        <v>66</v>
      </c>
      <c r="J346" s="3" t="str">
        <f>IFERROR(MID(VLOOKUP($B346,Seqs!$A:$B,2,0),K346,1),"")</f>
        <v>R</v>
      </c>
      <c r="K346" s="23">
        <v>69</v>
      </c>
      <c r="L346" s="3" t="str">
        <f>IFERROR(MID(VLOOKUP($B346,Seqs!$A:$B,2,0),M346,1),"")</f>
        <v>N</v>
      </c>
      <c r="M346" s="3">
        <v>73</v>
      </c>
      <c r="N346" s="3" t="str">
        <f>IFERROR(MID(VLOOKUP($B346,Seqs!$A:$B,2,0),O346,1),"")</f>
        <v>G</v>
      </c>
      <c r="O346" s="3">
        <v>101</v>
      </c>
      <c r="P346" s="3" t="str">
        <f>IFERROR(MID(VLOOKUP($B346,Seqs!$A:$B,2,0),Q346,1),"")</f>
        <v>Y</v>
      </c>
      <c r="Q346" s="3">
        <v>102</v>
      </c>
      <c r="R346" s="3" t="str">
        <f>IFERROR(MID(VLOOKUP($B346,Seqs!$A:$B,2,0),S346,1),"")</f>
        <v>F</v>
      </c>
      <c r="S346" s="3">
        <v>105</v>
      </c>
      <c r="T346" s="3" t="str">
        <f>IFERROR(MID(VLOOKUP($B346,Seqs!$A:$B,2,0),U346,1),"")</f>
        <v>G</v>
      </c>
      <c r="U346" s="3">
        <v>106</v>
      </c>
      <c r="V346" s="3" t="str">
        <f>IFERROR(MID(VLOOKUP($B346,Seqs!$A:$B,2,0),W346,1),"")</f>
        <v>K</v>
      </c>
      <c r="W346" s="3">
        <v>141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G</v>
      </c>
      <c r="AC346" s="3">
        <v>149</v>
      </c>
      <c r="AD346" s="3" t="str">
        <f>IFERROR(MID(VLOOKUP($B346,Seqs!$A:$B,2,0),AE346,1),"")</f>
        <v>V</v>
      </c>
      <c r="AE346" s="3">
        <v>173</v>
      </c>
      <c r="AF346" s="3" t="str">
        <f>IFERROR(MID(VLOOKUP($B346,Seqs!$A:$B,2,0),AG346,1),"")</f>
        <v>C</v>
      </c>
      <c r="AG346" s="3">
        <v>187</v>
      </c>
      <c r="AH346" s="3" t="str">
        <f>IFERROR(MID(VLOOKUP($B346,Seqs!$A:$B,2,0),AI346,1),"")</f>
        <v>I</v>
      </c>
      <c r="AI346" s="3">
        <v>189</v>
      </c>
      <c r="AJ346" s="3" t="str">
        <f>IFERROR(MID(VLOOKUP($B346,Seqs!$A:$B,2,0),AK346,1),"")</f>
        <v>N</v>
      </c>
      <c r="AK346" s="3">
        <v>199</v>
      </c>
      <c r="AL346" s="3" t="str">
        <f>IFERROR(MID(VLOOKUP($B346,Seqs!$A:$B,2,0),AM346,1),"")</f>
        <v>Q</v>
      </c>
      <c r="AM346" s="3">
        <v>236</v>
      </c>
      <c r="AN346" s="3" t="str">
        <f>IFERROR(MID(VLOOKUP($B346,Seqs!$A:$B,2,0),AO346,1),"")</f>
        <v>S</v>
      </c>
      <c r="AO346" s="3">
        <v>240</v>
      </c>
      <c r="AP346" s="3" t="str">
        <f>IFERROR(MID(VLOOKUP($B346,Seqs!$A:$B,2,0),AQ346,1),"")</f>
        <v>H</v>
      </c>
      <c r="AQ346" s="3">
        <v>278</v>
      </c>
      <c r="AR346" s="3" t="str">
        <f>IFERROR(MID(VLOOKUP($B346,Seqs!$A:$B,2,0),AS346,1),"")</f>
        <v>G</v>
      </c>
      <c r="AS346" s="3">
        <v>284</v>
      </c>
      <c r="AT346" s="3" t="str">
        <f>IFERROR(MID(VLOOKUP($B346,Seqs!$A:$B,2,0),AU346,1),"")</f>
        <v>M</v>
      </c>
      <c r="AU346" s="3">
        <v>309</v>
      </c>
      <c r="AV346" s="3" t="str">
        <f>IFERROR(MID(VLOOKUP($B346,Seqs!$A:$B,2,0),AW346,1),"")</f>
        <v>N</v>
      </c>
      <c r="AW346" s="3">
        <v>310</v>
      </c>
      <c r="AX346" s="3" t="str">
        <f>IFERROR(MID(VLOOKUP($B346,Seqs!$A:$B,2,0),AY346,1),"")</f>
        <v>C</v>
      </c>
      <c r="AY346" s="3">
        <v>322</v>
      </c>
      <c r="AZ346" s="77" t="str">
        <f>VLOOKUP(B346,Classification!A:D,2,0)</f>
        <v>A</v>
      </c>
      <c r="BA346" s="94" t="str">
        <f>VLOOKUP(B346,Classification!A:D,4,0)</f>
        <v>Opsins</v>
      </c>
      <c r="BB346" s="27" t="b">
        <f t="shared" si="3243"/>
        <v>1</v>
      </c>
      <c r="BC346" s="23">
        <f t="shared" si="3244"/>
        <v>250</v>
      </c>
      <c r="BD346" s="2" t="s">
        <v>23</v>
      </c>
      <c r="BE346" s="3" t="s">
        <v>1285</v>
      </c>
      <c r="BF346" s="118">
        <v>3.2</v>
      </c>
      <c r="BG346" s="49" t="s">
        <v>1</v>
      </c>
      <c r="BH346" s="49" t="s">
        <v>1</v>
      </c>
      <c r="BI346" s="1"/>
      <c r="BJ346" s="70" t="s">
        <v>1281</v>
      </c>
      <c r="BK346" s="57" t="s">
        <v>1281</v>
      </c>
      <c r="BL346" s="57" t="s">
        <v>1281</v>
      </c>
      <c r="BM346" s="57" t="s">
        <v>1281</v>
      </c>
      <c r="BN346" s="57" t="s">
        <v>1281</v>
      </c>
      <c r="BO346" s="57" t="s">
        <v>1281</v>
      </c>
      <c r="BP346" s="57" t="s">
        <v>1281</v>
      </c>
      <c r="BQ346" s="57" t="s">
        <v>1281</v>
      </c>
      <c r="BR346" s="57" t="s">
        <v>1281</v>
      </c>
      <c r="BS346" s="57" t="s">
        <v>1281</v>
      </c>
      <c r="BT346" s="57" t="s">
        <v>1281</v>
      </c>
      <c r="BU346" s="57" t="s">
        <v>1281</v>
      </c>
      <c r="BV346" s="70">
        <f t="shared" si="3245"/>
        <v>33</v>
      </c>
      <c r="BW346" s="71">
        <f t="shared" si="3246"/>
        <v>66</v>
      </c>
      <c r="BX346" s="72">
        <f t="shared" si="3247"/>
        <v>73</v>
      </c>
      <c r="BY346" s="71">
        <f t="shared" si="3248"/>
        <v>102</v>
      </c>
      <c r="BZ346" s="72">
        <f t="shared" si="3249"/>
        <v>106</v>
      </c>
      <c r="CA346" s="71" t="str">
        <f t="shared" si="3250"/>
        <v>-</v>
      </c>
      <c r="CB346" s="72">
        <f t="shared" si="3251"/>
        <v>149</v>
      </c>
      <c r="CC346" s="71">
        <f t="shared" si="3252"/>
        <v>187</v>
      </c>
      <c r="CD346" s="72">
        <f t="shared" si="3253"/>
        <v>199</v>
      </c>
      <c r="CE346" s="71">
        <f t="shared" si="3254"/>
        <v>240</v>
      </c>
      <c r="CF346" s="72">
        <f t="shared" si="3255"/>
        <v>284</v>
      </c>
      <c r="CG346" s="71">
        <f t="shared" si="3256"/>
        <v>310</v>
      </c>
      <c r="CH346" s="70">
        <f t="shared" si="3257"/>
        <v>64</v>
      </c>
      <c r="CI346" s="71">
        <f t="shared" si="3258"/>
        <v>69</v>
      </c>
      <c r="CJ346" s="72">
        <f t="shared" si="3259"/>
        <v>101</v>
      </c>
      <c r="CK346" s="72">
        <f t="shared" si="3260"/>
        <v>105</v>
      </c>
      <c r="CL346" s="72">
        <f t="shared" si="3261"/>
        <v>141</v>
      </c>
      <c r="CM346" s="72" t="str">
        <f t="shared" si="3262"/>
        <v>-</v>
      </c>
      <c r="CN346" s="72">
        <f t="shared" si="3263"/>
        <v>173</v>
      </c>
      <c r="CO346" s="72">
        <f t="shared" si="3264"/>
        <v>189</v>
      </c>
      <c r="CP346" s="72">
        <f t="shared" si="3265"/>
        <v>236</v>
      </c>
      <c r="CQ346" s="72">
        <f t="shared" si="3266"/>
        <v>278</v>
      </c>
      <c r="CR346" s="72">
        <f t="shared" si="3267"/>
        <v>309</v>
      </c>
      <c r="CS346" s="72">
        <f t="shared" si="3268"/>
        <v>322</v>
      </c>
      <c r="CT346" s="23">
        <f t="shared" si="3269"/>
        <v>4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30" x14ac:dyDescent="0.2">
      <c r="A347" s="3" t="str">
        <f t="shared" si="3242"/>
        <v>opsd_bovin_6FK6</v>
      </c>
      <c r="B347" s="3" t="s">
        <v>913</v>
      </c>
      <c r="C347" s="3" t="s">
        <v>1475</v>
      </c>
      <c r="D347" s="3" t="str">
        <f>IFERROR(MID(VLOOKUP($B347,Seqs!$A:$B,2,0),E347,1),"")</f>
        <v>E</v>
      </c>
      <c r="E347" s="3">
        <v>33</v>
      </c>
      <c r="F347" s="3" t="str">
        <f>IFERROR(MID(VLOOKUP($B347,Seqs!$A:$B,2,0),G347,1),"")</f>
        <v>Q</v>
      </c>
      <c r="G347" s="3">
        <v>64</v>
      </c>
      <c r="H347" s="3" t="str">
        <f>IFERROR(MID(VLOOKUP($B347,Seqs!$A:$B,2,0),I347,1),"")</f>
        <v>K</v>
      </c>
      <c r="I347" s="23">
        <v>66</v>
      </c>
      <c r="J347" s="3" t="str">
        <f>IFERROR(MID(VLOOKUP($B347,Seqs!$A:$B,2,0),K347,1),"")</f>
        <v>R</v>
      </c>
      <c r="K347" s="23">
        <v>69</v>
      </c>
      <c r="L347" s="3" t="str">
        <f>IFERROR(MID(VLOOKUP($B347,Seqs!$A:$B,2,0),M347,1),"")</f>
        <v>N</v>
      </c>
      <c r="M347" s="3">
        <v>73</v>
      </c>
      <c r="N347" s="3" t="str">
        <f>IFERROR(MID(VLOOKUP($B347,Seqs!$A:$B,2,0),O347,1),"")</f>
        <v>G</v>
      </c>
      <c r="O347" s="3">
        <v>101</v>
      </c>
      <c r="P347" s="3" t="str">
        <f>IFERROR(MID(VLOOKUP($B347,Seqs!$A:$B,2,0),Q347,1),"")</f>
        <v>Y</v>
      </c>
      <c r="Q347" s="3">
        <v>102</v>
      </c>
      <c r="R347" s="3" t="str">
        <f>IFERROR(MID(VLOOKUP($B347,Seqs!$A:$B,2,0),S347,1),"")</f>
        <v>F</v>
      </c>
      <c r="S347" s="3">
        <v>105</v>
      </c>
      <c r="T347" s="3" t="str">
        <f>IFERROR(MID(VLOOKUP($B347,Seqs!$A:$B,2,0),U347,1),"")</f>
        <v>G</v>
      </c>
      <c r="U347" s="3">
        <v>106</v>
      </c>
      <c r="V347" s="3" t="str">
        <f>IFERROR(MID(VLOOKUP($B347,Seqs!$A:$B,2,0),W347,1),"")</f>
        <v>K</v>
      </c>
      <c r="W347" s="3">
        <v>141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G</v>
      </c>
      <c r="AC347" s="3">
        <v>149</v>
      </c>
      <c r="AD347" s="3" t="str">
        <f>IFERROR(MID(VLOOKUP($B347,Seqs!$A:$B,2,0),AE347,1),"")</f>
        <v>V</v>
      </c>
      <c r="AE347" s="3">
        <v>173</v>
      </c>
      <c r="AF347" s="3" t="str">
        <f>IFERROR(MID(VLOOKUP($B347,Seqs!$A:$B,2,0),AG347,1),"")</f>
        <v>C</v>
      </c>
      <c r="AG347" s="3">
        <v>187</v>
      </c>
      <c r="AH347" s="3" t="str">
        <f>IFERROR(MID(VLOOKUP($B347,Seqs!$A:$B,2,0),AI347,1),"")</f>
        <v>I</v>
      </c>
      <c r="AI347" s="3">
        <v>189</v>
      </c>
      <c r="AJ347" s="3" t="str">
        <f>IFERROR(MID(VLOOKUP($B347,Seqs!$A:$B,2,0),AK347,1),"")</f>
        <v>N</v>
      </c>
      <c r="AK347" s="3">
        <v>199</v>
      </c>
      <c r="AL347" s="3" t="str">
        <f>IFERROR(MID(VLOOKUP($B347,Seqs!$A:$B,2,0),AM347,1),"")</f>
        <v>Q</v>
      </c>
      <c r="AM347" s="3">
        <v>236</v>
      </c>
      <c r="AN347" s="3" t="str">
        <f>IFERROR(MID(VLOOKUP($B347,Seqs!$A:$B,2,0),AO347,1),"")</f>
        <v>S</v>
      </c>
      <c r="AO347" s="3">
        <v>240</v>
      </c>
      <c r="AP347" s="3" t="str">
        <f>IFERROR(MID(VLOOKUP($B347,Seqs!$A:$B,2,0),AQ347,1),"")</f>
        <v>H</v>
      </c>
      <c r="AQ347" s="3">
        <v>278</v>
      </c>
      <c r="AR347" s="3" t="str">
        <f>IFERROR(MID(VLOOKUP($B347,Seqs!$A:$B,2,0),AS347,1),"")</f>
        <v>G</v>
      </c>
      <c r="AS347" s="3">
        <v>284</v>
      </c>
      <c r="AT347" s="3" t="str">
        <f>IFERROR(MID(VLOOKUP($B347,Seqs!$A:$B,2,0),AU347,1),"")</f>
        <v>M</v>
      </c>
      <c r="AU347" s="3">
        <v>309</v>
      </c>
      <c r="AV347" s="3" t="str">
        <f>IFERROR(MID(VLOOKUP($B347,Seqs!$A:$B,2,0),AW347,1),"")</f>
        <v>N</v>
      </c>
      <c r="AW347" s="3">
        <v>310</v>
      </c>
      <c r="AX347" s="3" t="str">
        <f>IFERROR(MID(VLOOKUP($B347,Seqs!$A:$B,2,0),AY347,1),"")</f>
        <v>C</v>
      </c>
      <c r="AY347" s="3">
        <v>322</v>
      </c>
      <c r="AZ347" s="77" t="str">
        <f>VLOOKUP(B347,Classification!A:D,2,0)</f>
        <v>A</v>
      </c>
      <c r="BA347" s="94" t="str">
        <f>VLOOKUP(B347,Classification!A:D,4,0)</f>
        <v>Opsins</v>
      </c>
      <c r="BB347" s="27" t="b">
        <f t="shared" si="3243"/>
        <v>1</v>
      </c>
      <c r="BC347" s="23">
        <f t="shared" si="3244"/>
        <v>250</v>
      </c>
      <c r="BD347" s="2" t="s">
        <v>23</v>
      </c>
      <c r="BE347" s="3" t="s">
        <v>1285</v>
      </c>
      <c r="BF347" s="118">
        <v>2.36</v>
      </c>
      <c r="BG347" s="49" t="s">
        <v>1</v>
      </c>
      <c r="BH347" s="49" t="s">
        <v>1</v>
      </c>
      <c r="BI347" s="1"/>
      <c r="BJ347" s="70" t="s">
        <v>1281</v>
      </c>
      <c r="BK347" s="57" t="s">
        <v>1281</v>
      </c>
      <c r="BL347" s="57" t="s">
        <v>1281</v>
      </c>
      <c r="BM347" s="57" t="s">
        <v>1281</v>
      </c>
      <c r="BN347" s="57" t="s">
        <v>1281</v>
      </c>
      <c r="BO347" s="57" t="s">
        <v>1281</v>
      </c>
      <c r="BP347" s="57" t="s">
        <v>1281</v>
      </c>
      <c r="BQ347" s="57" t="s">
        <v>1281</v>
      </c>
      <c r="BR347" s="57" t="s">
        <v>1281</v>
      </c>
      <c r="BS347" s="57" t="s">
        <v>1281</v>
      </c>
      <c r="BT347" s="57" t="s">
        <v>1281</v>
      </c>
      <c r="BU347" s="57" t="s">
        <v>1281</v>
      </c>
      <c r="BV347" s="70">
        <f t="shared" si="3245"/>
        <v>33</v>
      </c>
      <c r="BW347" s="71">
        <f t="shared" si="3246"/>
        <v>66</v>
      </c>
      <c r="BX347" s="72">
        <f t="shared" si="3247"/>
        <v>73</v>
      </c>
      <c r="BY347" s="71">
        <f t="shared" si="3248"/>
        <v>102</v>
      </c>
      <c r="BZ347" s="72">
        <f t="shared" si="3249"/>
        <v>106</v>
      </c>
      <c r="CA347" s="71" t="str">
        <f t="shared" si="3250"/>
        <v>-</v>
      </c>
      <c r="CB347" s="72">
        <f t="shared" si="3251"/>
        <v>149</v>
      </c>
      <c r="CC347" s="71">
        <f t="shared" si="3252"/>
        <v>187</v>
      </c>
      <c r="CD347" s="72">
        <f t="shared" si="3253"/>
        <v>199</v>
      </c>
      <c r="CE347" s="71">
        <f t="shared" si="3254"/>
        <v>240</v>
      </c>
      <c r="CF347" s="72">
        <f t="shared" si="3255"/>
        <v>284</v>
      </c>
      <c r="CG347" s="71">
        <f t="shared" si="3256"/>
        <v>310</v>
      </c>
      <c r="CH347" s="70">
        <f t="shared" si="3257"/>
        <v>64</v>
      </c>
      <c r="CI347" s="71">
        <f t="shared" si="3258"/>
        <v>69</v>
      </c>
      <c r="CJ347" s="72">
        <f t="shared" si="3259"/>
        <v>101</v>
      </c>
      <c r="CK347" s="72">
        <f t="shared" si="3260"/>
        <v>105</v>
      </c>
      <c r="CL347" s="72">
        <f t="shared" si="3261"/>
        <v>141</v>
      </c>
      <c r="CM347" s="72" t="str">
        <f t="shared" si="3262"/>
        <v>-</v>
      </c>
      <c r="CN347" s="72">
        <f t="shared" si="3263"/>
        <v>173</v>
      </c>
      <c r="CO347" s="72">
        <f t="shared" si="3264"/>
        <v>189</v>
      </c>
      <c r="CP347" s="72">
        <f t="shared" si="3265"/>
        <v>236</v>
      </c>
      <c r="CQ347" s="72">
        <f t="shared" si="3266"/>
        <v>278</v>
      </c>
      <c r="CR347" s="72">
        <f t="shared" si="3267"/>
        <v>309</v>
      </c>
      <c r="CS347" s="72">
        <f t="shared" si="3268"/>
        <v>322</v>
      </c>
      <c r="CT347" s="23">
        <f t="shared" si="3269"/>
        <v>4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30" x14ac:dyDescent="0.2">
      <c r="A348" s="3" t="str">
        <f t="shared" si="3242"/>
        <v>opsd_bovin_6FK7</v>
      </c>
      <c r="B348" s="3" t="s">
        <v>913</v>
      </c>
      <c r="C348" s="3" t="s">
        <v>1476</v>
      </c>
      <c r="D348" s="3" t="str">
        <f>IFERROR(MID(VLOOKUP($B348,Seqs!$A:$B,2,0),E348,1),"")</f>
        <v>E</v>
      </c>
      <c r="E348" s="3">
        <v>33</v>
      </c>
      <c r="F348" s="3" t="str">
        <f>IFERROR(MID(VLOOKUP($B348,Seqs!$A:$B,2,0),G348,1),"")</f>
        <v>Q</v>
      </c>
      <c r="G348" s="3">
        <v>64</v>
      </c>
      <c r="H348" s="3" t="str">
        <f>IFERROR(MID(VLOOKUP($B348,Seqs!$A:$B,2,0),I348,1),"")</f>
        <v>K</v>
      </c>
      <c r="I348" s="23">
        <v>66</v>
      </c>
      <c r="J348" s="3" t="str">
        <f>IFERROR(MID(VLOOKUP($B348,Seqs!$A:$B,2,0),K348,1),"")</f>
        <v>R</v>
      </c>
      <c r="K348" s="23">
        <v>69</v>
      </c>
      <c r="L348" s="3" t="str">
        <f>IFERROR(MID(VLOOKUP($B348,Seqs!$A:$B,2,0),M348,1),"")</f>
        <v>N</v>
      </c>
      <c r="M348" s="3">
        <v>73</v>
      </c>
      <c r="N348" s="3" t="str">
        <f>IFERROR(MID(VLOOKUP($B348,Seqs!$A:$B,2,0),O348,1),"")</f>
        <v>G</v>
      </c>
      <c r="O348" s="3">
        <v>101</v>
      </c>
      <c r="P348" s="3" t="str">
        <f>IFERROR(MID(VLOOKUP($B348,Seqs!$A:$B,2,0),Q348,1),"")</f>
        <v>Y</v>
      </c>
      <c r="Q348" s="3">
        <v>102</v>
      </c>
      <c r="R348" s="3" t="str">
        <f>IFERROR(MID(VLOOKUP($B348,Seqs!$A:$B,2,0),S348,1),"")</f>
        <v>F</v>
      </c>
      <c r="S348" s="3">
        <v>105</v>
      </c>
      <c r="T348" s="3" t="str">
        <f>IFERROR(MID(VLOOKUP($B348,Seqs!$A:$B,2,0),U348,1),"")</f>
        <v>G</v>
      </c>
      <c r="U348" s="3">
        <v>106</v>
      </c>
      <c r="V348" s="3" t="str">
        <f>IFERROR(MID(VLOOKUP($B348,Seqs!$A:$B,2,0),W348,1),"")</f>
        <v>K</v>
      </c>
      <c r="W348" s="3">
        <v>141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G</v>
      </c>
      <c r="AC348" s="3">
        <v>149</v>
      </c>
      <c r="AD348" s="3" t="str">
        <f>IFERROR(MID(VLOOKUP($B348,Seqs!$A:$B,2,0),AE348,1),"")</f>
        <v>V</v>
      </c>
      <c r="AE348" s="3">
        <v>173</v>
      </c>
      <c r="AF348" s="3" t="str">
        <f>IFERROR(MID(VLOOKUP($B348,Seqs!$A:$B,2,0),AG348,1),"")</f>
        <v>C</v>
      </c>
      <c r="AG348" s="3">
        <v>187</v>
      </c>
      <c r="AH348" s="3" t="str">
        <f>IFERROR(MID(VLOOKUP($B348,Seqs!$A:$B,2,0),AI348,1),"")</f>
        <v>I</v>
      </c>
      <c r="AI348" s="3">
        <v>189</v>
      </c>
      <c r="AJ348" s="3" t="str">
        <f>IFERROR(MID(VLOOKUP($B348,Seqs!$A:$B,2,0),AK348,1),"")</f>
        <v>N</v>
      </c>
      <c r="AK348" s="3">
        <v>199</v>
      </c>
      <c r="AL348" s="3" t="str">
        <f>IFERROR(MID(VLOOKUP($B348,Seqs!$A:$B,2,0),AM348,1),"")</f>
        <v>Q</v>
      </c>
      <c r="AM348" s="3">
        <v>236</v>
      </c>
      <c r="AN348" s="3" t="str">
        <f>IFERROR(MID(VLOOKUP($B348,Seqs!$A:$B,2,0),AO348,1),"")</f>
        <v>S</v>
      </c>
      <c r="AO348" s="3">
        <v>240</v>
      </c>
      <c r="AP348" s="3" t="str">
        <f>IFERROR(MID(VLOOKUP($B348,Seqs!$A:$B,2,0),AQ348,1),"")</f>
        <v>H</v>
      </c>
      <c r="AQ348" s="3">
        <v>278</v>
      </c>
      <c r="AR348" s="3" t="str">
        <f>IFERROR(MID(VLOOKUP($B348,Seqs!$A:$B,2,0),AS348,1),"")</f>
        <v>T</v>
      </c>
      <c r="AS348" s="3">
        <v>289</v>
      </c>
      <c r="AT348" s="3" t="str">
        <f>IFERROR(MID(VLOOKUP($B348,Seqs!$A:$B,2,0),AU348,1),"")</f>
        <v>M</v>
      </c>
      <c r="AU348" s="3">
        <v>309</v>
      </c>
      <c r="AV348" s="3" t="str">
        <f>IFERROR(MID(VLOOKUP($B348,Seqs!$A:$B,2,0),AW348,1),"")</f>
        <v>N</v>
      </c>
      <c r="AW348" s="3">
        <v>310</v>
      </c>
      <c r="AX348" s="3" t="str">
        <f>IFERROR(MID(VLOOKUP($B348,Seqs!$A:$B,2,0),AY348,1),"")</f>
        <v>C</v>
      </c>
      <c r="AY348" s="3">
        <v>322</v>
      </c>
      <c r="AZ348" s="77" t="str">
        <f>VLOOKUP(B348,Classification!A:D,2,0)</f>
        <v>A</v>
      </c>
      <c r="BA348" s="94" t="str">
        <f>VLOOKUP(B348,Classification!A:D,4,0)</f>
        <v>Opsins</v>
      </c>
      <c r="BB348" s="27" t="b">
        <f t="shared" si="3243"/>
        <v>1</v>
      </c>
      <c r="BC348" s="23">
        <f t="shared" si="3244"/>
        <v>245</v>
      </c>
      <c r="BD348" s="2" t="s">
        <v>23</v>
      </c>
      <c r="BE348" s="3" t="s">
        <v>1285</v>
      </c>
      <c r="BF348" s="118">
        <v>2.62</v>
      </c>
      <c r="BG348" s="49" t="s">
        <v>1</v>
      </c>
      <c r="BH348" s="49" t="s">
        <v>1</v>
      </c>
      <c r="BI348" s="1"/>
      <c r="BJ348" s="70" t="s">
        <v>1281</v>
      </c>
      <c r="BK348" s="57" t="s">
        <v>1281</v>
      </c>
      <c r="BL348" s="57" t="s">
        <v>1281</v>
      </c>
      <c r="BM348" s="57" t="s">
        <v>1281</v>
      </c>
      <c r="BN348" s="57" t="s">
        <v>1281</v>
      </c>
      <c r="BO348" s="57" t="s">
        <v>1281</v>
      </c>
      <c r="BP348" s="57" t="s">
        <v>1281</v>
      </c>
      <c r="BQ348" s="57" t="s">
        <v>1281</v>
      </c>
      <c r="BR348" s="57" t="s">
        <v>1281</v>
      </c>
      <c r="BS348" s="57" t="s">
        <v>1281</v>
      </c>
      <c r="BT348" s="57" t="s">
        <v>1281</v>
      </c>
      <c r="BU348" s="57" t="s">
        <v>1281</v>
      </c>
      <c r="BV348" s="70">
        <f t="shared" si="3245"/>
        <v>33</v>
      </c>
      <c r="BW348" s="71">
        <f t="shared" si="3246"/>
        <v>66</v>
      </c>
      <c r="BX348" s="72">
        <f t="shared" si="3247"/>
        <v>73</v>
      </c>
      <c r="BY348" s="71">
        <f t="shared" si="3248"/>
        <v>102</v>
      </c>
      <c r="BZ348" s="72">
        <f t="shared" si="3249"/>
        <v>106</v>
      </c>
      <c r="CA348" s="71" t="str">
        <f t="shared" si="3250"/>
        <v>-</v>
      </c>
      <c r="CB348" s="72">
        <f t="shared" si="3251"/>
        <v>149</v>
      </c>
      <c r="CC348" s="71">
        <f t="shared" si="3252"/>
        <v>187</v>
      </c>
      <c r="CD348" s="72">
        <f t="shared" si="3253"/>
        <v>199</v>
      </c>
      <c r="CE348" s="71">
        <f t="shared" si="3254"/>
        <v>240</v>
      </c>
      <c r="CF348" s="72">
        <f t="shared" si="3255"/>
        <v>289</v>
      </c>
      <c r="CG348" s="71">
        <f t="shared" si="3256"/>
        <v>310</v>
      </c>
      <c r="CH348" s="70">
        <f t="shared" si="3257"/>
        <v>64</v>
      </c>
      <c r="CI348" s="71">
        <f t="shared" si="3258"/>
        <v>69</v>
      </c>
      <c r="CJ348" s="72">
        <f t="shared" si="3259"/>
        <v>101</v>
      </c>
      <c r="CK348" s="72">
        <f t="shared" si="3260"/>
        <v>105</v>
      </c>
      <c r="CL348" s="72">
        <f t="shared" si="3261"/>
        <v>141</v>
      </c>
      <c r="CM348" s="72" t="str">
        <f t="shared" si="3262"/>
        <v>-</v>
      </c>
      <c r="CN348" s="72">
        <f t="shared" si="3263"/>
        <v>173</v>
      </c>
      <c r="CO348" s="72">
        <f t="shared" si="3264"/>
        <v>189</v>
      </c>
      <c r="CP348" s="72">
        <f t="shared" si="3265"/>
        <v>236</v>
      </c>
      <c r="CQ348" s="72">
        <f t="shared" si="3266"/>
        <v>278</v>
      </c>
      <c r="CR348" s="72">
        <f t="shared" si="3267"/>
        <v>309</v>
      </c>
      <c r="CS348" s="72">
        <f t="shared" si="3268"/>
        <v>322</v>
      </c>
      <c r="CT348" s="23">
        <f t="shared" si="3269"/>
        <v>4</v>
      </c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</row>
    <row r="349" spans="1:1030" x14ac:dyDescent="0.2">
      <c r="A349" s="3" t="str">
        <f t="shared" si="3242"/>
        <v>opsd_bovin_6FK8</v>
      </c>
      <c r="B349" s="3" t="s">
        <v>913</v>
      </c>
      <c r="C349" s="3" t="s">
        <v>1477</v>
      </c>
      <c r="D349" s="3" t="str">
        <f>IFERROR(MID(VLOOKUP($B349,Seqs!$A:$B,2,0),E349,1),"")</f>
        <v>E</v>
      </c>
      <c r="E349" s="3">
        <v>33</v>
      </c>
      <c r="F349" s="3" t="str">
        <f>IFERROR(MID(VLOOKUP($B349,Seqs!$A:$B,2,0),G349,1),"")</f>
        <v>Q</v>
      </c>
      <c r="G349" s="3">
        <v>64</v>
      </c>
      <c r="H349" s="3" t="str">
        <f>IFERROR(MID(VLOOKUP($B349,Seqs!$A:$B,2,0),I349,1),"")</f>
        <v>K</v>
      </c>
      <c r="I349" s="23">
        <v>66</v>
      </c>
      <c r="J349" s="3" t="str">
        <f>IFERROR(MID(VLOOKUP($B349,Seqs!$A:$B,2,0),K349,1),"")</f>
        <v>R</v>
      </c>
      <c r="K349" s="23">
        <v>69</v>
      </c>
      <c r="L349" s="3" t="str">
        <f>IFERROR(MID(VLOOKUP($B349,Seqs!$A:$B,2,0),M349,1),"")</f>
        <v>N</v>
      </c>
      <c r="M349" s="3">
        <v>73</v>
      </c>
      <c r="N349" s="3" t="str">
        <f>IFERROR(MID(VLOOKUP($B349,Seqs!$A:$B,2,0),O349,1),"")</f>
        <v>G</v>
      </c>
      <c r="O349" s="3">
        <v>101</v>
      </c>
      <c r="P349" s="3" t="str">
        <f>IFERROR(MID(VLOOKUP($B349,Seqs!$A:$B,2,0),Q349,1),"")</f>
        <v>Y</v>
      </c>
      <c r="Q349" s="3">
        <v>102</v>
      </c>
      <c r="R349" s="3" t="str">
        <f>IFERROR(MID(VLOOKUP($B349,Seqs!$A:$B,2,0),S349,1),"")</f>
        <v>F</v>
      </c>
      <c r="S349" s="3">
        <v>105</v>
      </c>
      <c r="T349" s="3" t="str">
        <f>IFERROR(MID(VLOOKUP($B349,Seqs!$A:$B,2,0),U349,1),"")</f>
        <v>G</v>
      </c>
      <c r="U349" s="3">
        <v>106</v>
      </c>
      <c r="V349" s="3" t="str">
        <f>IFERROR(MID(VLOOKUP($B349,Seqs!$A:$B,2,0),W349,1),"")</f>
        <v>K</v>
      </c>
      <c r="W349" s="3">
        <v>141</v>
      </c>
      <c r="X349" s="3" t="str">
        <f>IFERROR(MID(VLOOKUP($B349,Seqs!$A:$B,2,0),Y349,1),"")</f>
        <v/>
      </c>
      <c r="Y349" s="3" t="s">
        <v>23</v>
      </c>
      <c r="Z349" s="3" t="str">
        <f>IFERROR(MID(VLOOKUP($B349,Seqs!$A:$B,2,0),AA349,1),"")</f>
        <v/>
      </c>
      <c r="AA349" s="3" t="s">
        <v>23</v>
      </c>
      <c r="AB349" s="3" t="str">
        <f>IFERROR(MID(VLOOKUP($B349,Seqs!$A:$B,2,0),AC349,1),"")</f>
        <v>G</v>
      </c>
      <c r="AC349" s="3">
        <v>149</v>
      </c>
      <c r="AD349" s="3" t="str">
        <f>IFERROR(MID(VLOOKUP($B349,Seqs!$A:$B,2,0),AE349,1),"")</f>
        <v>V</v>
      </c>
      <c r="AE349" s="3">
        <v>173</v>
      </c>
      <c r="AF349" s="3" t="str">
        <f>IFERROR(MID(VLOOKUP($B349,Seqs!$A:$B,2,0),AG349,1),"")</f>
        <v>C</v>
      </c>
      <c r="AG349" s="3">
        <v>187</v>
      </c>
      <c r="AH349" s="3" t="str">
        <f>IFERROR(MID(VLOOKUP($B349,Seqs!$A:$B,2,0),AI349,1),"")</f>
        <v>I</v>
      </c>
      <c r="AI349" s="3">
        <v>189</v>
      </c>
      <c r="AJ349" s="3" t="str">
        <f>IFERROR(MID(VLOOKUP($B349,Seqs!$A:$B,2,0),AK349,1),"")</f>
        <v>N</v>
      </c>
      <c r="AK349" s="3">
        <v>199</v>
      </c>
      <c r="AL349" s="3" t="str">
        <f>IFERROR(MID(VLOOKUP($B349,Seqs!$A:$B,2,0),AM349,1),"")</f>
        <v>Q</v>
      </c>
      <c r="AM349" s="3">
        <v>236</v>
      </c>
      <c r="AN349" s="3" t="str">
        <f>IFERROR(MID(VLOOKUP($B349,Seqs!$A:$B,2,0),AO349,1),"")</f>
        <v>S</v>
      </c>
      <c r="AO349" s="3">
        <v>240</v>
      </c>
      <c r="AP349" s="3" t="str">
        <f>IFERROR(MID(VLOOKUP($B349,Seqs!$A:$B,2,0),AQ349,1),"")</f>
        <v>H</v>
      </c>
      <c r="AQ349" s="3">
        <v>278</v>
      </c>
      <c r="AR349" s="3" t="str">
        <f>IFERROR(MID(VLOOKUP($B349,Seqs!$A:$B,2,0),AS349,1),"")</f>
        <v>T</v>
      </c>
      <c r="AS349" s="3">
        <v>289</v>
      </c>
      <c r="AT349" s="3" t="str">
        <f>IFERROR(MID(VLOOKUP($B349,Seqs!$A:$B,2,0),AU349,1),"")</f>
        <v>M</v>
      </c>
      <c r="AU349" s="3">
        <v>309</v>
      </c>
      <c r="AV349" s="3" t="str">
        <f>IFERROR(MID(VLOOKUP($B349,Seqs!$A:$B,2,0),AW349,1),"")</f>
        <v>N</v>
      </c>
      <c r="AW349" s="3">
        <v>310</v>
      </c>
      <c r="AX349" s="3" t="str">
        <f>IFERROR(MID(VLOOKUP($B349,Seqs!$A:$B,2,0),AY349,1),"")</f>
        <v>C</v>
      </c>
      <c r="AY349" s="3">
        <v>322</v>
      </c>
      <c r="AZ349" s="77" t="str">
        <f>VLOOKUP(B349,Classification!A:D,2,0)</f>
        <v>A</v>
      </c>
      <c r="BA349" s="94" t="str">
        <f>VLOOKUP(B349,Classification!A:D,4,0)</f>
        <v>Opsins</v>
      </c>
      <c r="BB349" s="27" t="b">
        <f t="shared" si="3243"/>
        <v>1</v>
      </c>
      <c r="BC349" s="23">
        <f t="shared" si="3244"/>
        <v>245</v>
      </c>
      <c r="BD349" s="2" t="s">
        <v>23</v>
      </c>
      <c r="BE349" s="3" t="s">
        <v>1285</v>
      </c>
      <c r="BF349" s="118">
        <v>2.87</v>
      </c>
      <c r="BG349" s="49" t="s">
        <v>1</v>
      </c>
      <c r="BH349" s="49" t="s">
        <v>1</v>
      </c>
      <c r="BI349" s="1"/>
      <c r="BJ349" s="70" t="s">
        <v>1281</v>
      </c>
      <c r="BK349" s="57" t="s">
        <v>1281</v>
      </c>
      <c r="BL349" s="57" t="s">
        <v>1281</v>
      </c>
      <c r="BM349" s="57" t="s">
        <v>1281</v>
      </c>
      <c r="BN349" s="57" t="s">
        <v>1281</v>
      </c>
      <c r="BO349" s="57" t="s">
        <v>1281</v>
      </c>
      <c r="BP349" s="57" t="s">
        <v>1281</v>
      </c>
      <c r="BQ349" s="57" t="s">
        <v>1281</v>
      </c>
      <c r="BR349" s="57" t="s">
        <v>1281</v>
      </c>
      <c r="BS349" s="57" t="s">
        <v>1281</v>
      </c>
      <c r="BT349" s="57" t="s">
        <v>1281</v>
      </c>
      <c r="BU349" s="57" t="s">
        <v>1281</v>
      </c>
      <c r="BV349" s="70">
        <f t="shared" si="3245"/>
        <v>33</v>
      </c>
      <c r="BW349" s="71">
        <f t="shared" si="3246"/>
        <v>66</v>
      </c>
      <c r="BX349" s="72">
        <f t="shared" si="3247"/>
        <v>73</v>
      </c>
      <c r="BY349" s="71">
        <f t="shared" si="3248"/>
        <v>102</v>
      </c>
      <c r="BZ349" s="72">
        <f t="shared" si="3249"/>
        <v>106</v>
      </c>
      <c r="CA349" s="71" t="str">
        <f t="shared" si="3250"/>
        <v>-</v>
      </c>
      <c r="CB349" s="72">
        <f t="shared" si="3251"/>
        <v>149</v>
      </c>
      <c r="CC349" s="71">
        <f t="shared" si="3252"/>
        <v>187</v>
      </c>
      <c r="CD349" s="72">
        <f t="shared" si="3253"/>
        <v>199</v>
      </c>
      <c r="CE349" s="71">
        <f t="shared" si="3254"/>
        <v>240</v>
      </c>
      <c r="CF349" s="72">
        <f t="shared" si="3255"/>
        <v>289</v>
      </c>
      <c r="CG349" s="71">
        <f t="shared" si="3256"/>
        <v>310</v>
      </c>
      <c r="CH349" s="70">
        <f t="shared" si="3257"/>
        <v>64</v>
      </c>
      <c r="CI349" s="71">
        <f t="shared" si="3258"/>
        <v>69</v>
      </c>
      <c r="CJ349" s="72">
        <f t="shared" si="3259"/>
        <v>101</v>
      </c>
      <c r="CK349" s="72">
        <f t="shared" si="3260"/>
        <v>105</v>
      </c>
      <c r="CL349" s="72">
        <f t="shared" si="3261"/>
        <v>141</v>
      </c>
      <c r="CM349" s="72" t="str">
        <f t="shared" si="3262"/>
        <v>-</v>
      </c>
      <c r="CN349" s="72">
        <f t="shared" si="3263"/>
        <v>173</v>
      </c>
      <c r="CO349" s="72">
        <f t="shared" si="3264"/>
        <v>189</v>
      </c>
      <c r="CP349" s="72">
        <f t="shared" si="3265"/>
        <v>236</v>
      </c>
      <c r="CQ349" s="72">
        <f t="shared" si="3266"/>
        <v>278</v>
      </c>
      <c r="CR349" s="72">
        <f t="shared" si="3267"/>
        <v>309</v>
      </c>
      <c r="CS349" s="72">
        <f t="shared" si="3268"/>
        <v>322</v>
      </c>
      <c r="CT349" s="23">
        <f t="shared" si="3269"/>
        <v>4</v>
      </c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</row>
    <row r="350" spans="1:1030" x14ac:dyDescent="0.2">
      <c r="A350" s="3" t="str">
        <f t="shared" si="3242"/>
        <v>opsd_bovin_6FK9</v>
      </c>
      <c r="B350" s="3" t="s">
        <v>913</v>
      </c>
      <c r="C350" s="3" t="s">
        <v>1478</v>
      </c>
      <c r="D350" s="3" t="str">
        <f>IFERROR(MID(VLOOKUP($B350,Seqs!$A:$B,2,0),E350,1),"")</f>
        <v>E</v>
      </c>
      <c r="E350" s="3">
        <v>33</v>
      </c>
      <c r="F350" s="3" t="str">
        <f>IFERROR(MID(VLOOKUP($B350,Seqs!$A:$B,2,0),G350,1),"")</f>
        <v>Q</v>
      </c>
      <c r="G350" s="3">
        <v>64</v>
      </c>
      <c r="H350" s="3" t="str">
        <f>IFERROR(MID(VLOOKUP($B350,Seqs!$A:$B,2,0),I350,1),"")</f>
        <v>K</v>
      </c>
      <c r="I350" s="23">
        <v>66</v>
      </c>
      <c r="J350" s="3" t="str">
        <f>IFERROR(MID(VLOOKUP($B350,Seqs!$A:$B,2,0),K350,1),"")</f>
        <v>R</v>
      </c>
      <c r="K350" s="23">
        <v>69</v>
      </c>
      <c r="L350" s="3" t="str">
        <f>IFERROR(MID(VLOOKUP($B350,Seqs!$A:$B,2,0),M350,1),"")</f>
        <v>N</v>
      </c>
      <c r="M350" s="3">
        <v>73</v>
      </c>
      <c r="N350" s="3" t="str">
        <f>IFERROR(MID(VLOOKUP($B350,Seqs!$A:$B,2,0),O350,1),"")</f>
        <v>G</v>
      </c>
      <c r="O350" s="3">
        <v>101</v>
      </c>
      <c r="P350" s="3" t="str">
        <f>IFERROR(MID(VLOOKUP($B350,Seqs!$A:$B,2,0),Q350,1),"")</f>
        <v>Y</v>
      </c>
      <c r="Q350" s="3">
        <v>102</v>
      </c>
      <c r="R350" s="3" t="str">
        <f>IFERROR(MID(VLOOKUP($B350,Seqs!$A:$B,2,0),S350,1),"")</f>
        <v>F</v>
      </c>
      <c r="S350" s="3">
        <v>105</v>
      </c>
      <c r="T350" s="3" t="str">
        <f>IFERROR(MID(VLOOKUP($B350,Seqs!$A:$B,2,0),U350,1),"")</f>
        <v>G</v>
      </c>
      <c r="U350" s="3">
        <v>106</v>
      </c>
      <c r="V350" s="3" t="str">
        <f>IFERROR(MID(VLOOKUP($B350,Seqs!$A:$B,2,0),W350,1),"")</f>
        <v>K</v>
      </c>
      <c r="W350" s="3">
        <v>141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G</v>
      </c>
      <c r="AC350" s="3">
        <v>149</v>
      </c>
      <c r="AD350" s="3" t="str">
        <f>IFERROR(MID(VLOOKUP($B350,Seqs!$A:$B,2,0),AE350,1),"")</f>
        <v>V</v>
      </c>
      <c r="AE350" s="3">
        <v>173</v>
      </c>
      <c r="AF350" s="3" t="str">
        <f>IFERROR(MID(VLOOKUP($B350,Seqs!$A:$B,2,0),AG350,1),"")</f>
        <v>C</v>
      </c>
      <c r="AG350" s="3">
        <v>187</v>
      </c>
      <c r="AH350" s="3" t="str">
        <f>IFERROR(MID(VLOOKUP($B350,Seqs!$A:$B,2,0),AI350,1),"")</f>
        <v>I</v>
      </c>
      <c r="AI350" s="3">
        <v>189</v>
      </c>
      <c r="AJ350" s="3" t="str">
        <f>IFERROR(MID(VLOOKUP($B350,Seqs!$A:$B,2,0),AK350,1),"")</f>
        <v>N</v>
      </c>
      <c r="AK350" s="3">
        <v>199</v>
      </c>
      <c r="AL350" s="3" t="str">
        <f>IFERROR(MID(VLOOKUP($B350,Seqs!$A:$B,2,0),AM350,1),"")</f>
        <v>Q</v>
      </c>
      <c r="AM350" s="3">
        <v>236</v>
      </c>
      <c r="AN350" s="3" t="str">
        <f>IFERROR(MID(VLOOKUP($B350,Seqs!$A:$B,2,0),AO350,1),"")</f>
        <v>S</v>
      </c>
      <c r="AO350" s="3">
        <v>240</v>
      </c>
      <c r="AP350" s="3" t="str">
        <f>IFERROR(MID(VLOOKUP($B350,Seqs!$A:$B,2,0),AQ350,1),"")</f>
        <v>H</v>
      </c>
      <c r="AQ350" s="3">
        <v>278</v>
      </c>
      <c r="AR350" s="3" t="str">
        <f>IFERROR(MID(VLOOKUP($B350,Seqs!$A:$B,2,0),AS350,1),"")</f>
        <v>G</v>
      </c>
      <c r="AS350" s="3">
        <v>284</v>
      </c>
      <c r="AT350" s="3" t="str">
        <f>IFERROR(MID(VLOOKUP($B350,Seqs!$A:$B,2,0),AU350,1),"")</f>
        <v>M</v>
      </c>
      <c r="AU350" s="3">
        <v>309</v>
      </c>
      <c r="AV350" s="3" t="str">
        <f>IFERROR(MID(VLOOKUP($B350,Seqs!$A:$B,2,0),AW350,1),"")</f>
        <v>N</v>
      </c>
      <c r="AW350" s="3">
        <v>310</v>
      </c>
      <c r="AX350" s="3" t="str">
        <f>IFERROR(MID(VLOOKUP($B350,Seqs!$A:$B,2,0),AY350,1),"")</f>
        <v>C</v>
      </c>
      <c r="AY350" s="3">
        <v>322</v>
      </c>
      <c r="AZ350" s="77" t="str">
        <f>VLOOKUP(B350,Classification!A:D,2,0)</f>
        <v>A</v>
      </c>
      <c r="BA350" s="94" t="str">
        <f>VLOOKUP(B350,Classification!A:D,4,0)</f>
        <v>Opsins</v>
      </c>
      <c r="BB350" s="27" t="b">
        <f t="shared" si="3243"/>
        <v>1</v>
      </c>
      <c r="BC350" s="23">
        <f t="shared" si="3244"/>
        <v>250</v>
      </c>
      <c r="BD350" s="2" t="s">
        <v>23</v>
      </c>
      <c r="BE350" s="3" t="s">
        <v>1285</v>
      </c>
      <c r="BF350" s="118">
        <v>2.63</v>
      </c>
      <c r="BG350" s="49" t="s">
        <v>1</v>
      </c>
      <c r="BH350" s="49" t="s">
        <v>1</v>
      </c>
      <c r="BI350" s="1"/>
      <c r="BJ350" s="70" t="s">
        <v>1281</v>
      </c>
      <c r="BK350" s="57" t="s">
        <v>1281</v>
      </c>
      <c r="BL350" s="57" t="s">
        <v>1281</v>
      </c>
      <c r="BM350" s="57" t="s">
        <v>1281</v>
      </c>
      <c r="BN350" s="57" t="s">
        <v>1281</v>
      </c>
      <c r="BO350" s="57" t="s">
        <v>1281</v>
      </c>
      <c r="BP350" s="57" t="s">
        <v>1281</v>
      </c>
      <c r="BQ350" s="57" t="s">
        <v>1281</v>
      </c>
      <c r="BR350" s="57" t="s">
        <v>1281</v>
      </c>
      <c r="BS350" s="57" t="s">
        <v>1281</v>
      </c>
      <c r="BT350" s="57" t="s">
        <v>1281</v>
      </c>
      <c r="BU350" s="57" t="s">
        <v>1281</v>
      </c>
      <c r="BV350" s="70">
        <f t="shared" si="3245"/>
        <v>33</v>
      </c>
      <c r="BW350" s="71">
        <f t="shared" si="3246"/>
        <v>66</v>
      </c>
      <c r="BX350" s="72">
        <f t="shared" si="3247"/>
        <v>73</v>
      </c>
      <c r="BY350" s="71">
        <f t="shared" si="3248"/>
        <v>102</v>
      </c>
      <c r="BZ350" s="72">
        <f t="shared" si="3249"/>
        <v>106</v>
      </c>
      <c r="CA350" s="71" t="str">
        <f t="shared" si="3250"/>
        <v>-</v>
      </c>
      <c r="CB350" s="72">
        <f t="shared" si="3251"/>
        <v>149</v>
      </c>
      <c r="CC350" s="71">
        <f t="shared" si="3252"/>
        <v>187</v>
      </c>
      <c r="CD350" s="72">
        <f t="shared" si="3253"/>
        <v>199</v>
      </c>
      <c r="CE350" s="71">
        <f t="shared" si="3254"/>
        <v>240</v>
      </c>
      <c r="CF350" s="72">
        <f t="shared" si="3255"/>
        <v>284</v>
      </c>
      <c r="CG350" s="71">
        <f t="shared" si="3256"/>
        <v>310</v>
      </c>
      <c r="CH350" s="70">
        <f t="shared" si="3257"/>
        <v>64</v>
      </c>
      <c r="CI350" s="71">
        <f t="shared" si="3258"/>
        <v>69</v>
      </c>
      <c r="CJ350" s="72">
        <f t="shared" si="3259"/>
        <v>101</v>
      </c>
      <c r="CK350" s="72">
        <f t="shared" si="3260"/>
        <v>105</v>
      </c>
      <c r="CL350" s="72">
        <f t="shared" si="3261"/>
        <v>141</v>
      </c>
      <c r="CM350" s="72" t="str">
        <f t="shared" si="3262"/>
        <v>-</v>
      </c>
      <c r="CN350" s="72">
        <f t="shared" si="3263"/>
        <v>173</v>
      </c>
      <c r="CO350" s="72">
        <f t="shared" si="3264"/>
        <v>189</v>
      </c>
      <c r="CP350" s="72">
        <f t="shared" si="3265"/>
        <v>236</v>
      </c>
      <c r="CQ350" s="72">
        <f t="shared" si="3266"/>
        <v>278</v>
      </c>
      <c r="CR350" s="72">
        <f t="shared" si="3267"/>
        <v>309</v>
      </c>
      <c r="CS350" s="72">
        <f t="shared" si="3268"/>
        <v>322</v>
      </c>
      <c r="CT350" s="23">
        <f t="shared" si="3269"/>
        <v>4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30" x14ac:dyDescent="0.2">
      <c r="A351" s="3" t="str">
        <f t="shared" si="3242"/>
        <v>opsd_bovin_6FKA</v>
      </c>
      <c r="B351" s="3" t="s">
        <v>913</v>
      </c>
      <c r="C351" s="3" t="s">
        <v>1479</v>
      </c>
      <c r="D351" s="3" t="str">
        <f>IFERROR(MID(VLOOKUP($B351,Seqs!$A:$B,2,0),E351,1),"")</f>
        <v>E</v>
      </c>
      <c r="E351" s="3">
        <v>33</v>
      </c>
      <c r="F351" s="3" t="str">
        <f>IFERROR(MID(VLOOKUP($B351,Seqs!$A:$B,2,0),G351,1),"")</f>
        <v>Q</v>
      </c>
      <c r="G351" s="3">
        <v>64</v>
      </c>
      <c r="H351" s="3" t="str">
        <f>IFERROR(MID(VLOOKUP($B351,Seqs!$A:$B,2,0),I351,1),"")</f>
        <v>K</v>
      </c>
      <c r="I351" s="23">
        <v>66</v>
      </c>
      <c r="J351" s="3" t="str">
        <f>IFERROR(MID(VLOOKUP($B351,Seqs!$A:$B,2,0),K351,1),"")</f>
        <v>R</v>
      </c>
      <c r="K351" s="23">
        <v>69</v>
      </c>
      <c r="L351" s="3" t="str">
        <f>IFERROR(MID(VLOOKUP($B351,Seqs!$A:$B,2,0),M351,1),"")</f>
        <v>N</v>
      </c>
      <c r="M351" s="3">
        <v>73</v>
      </c>
      <c r="N351" s="3" t="str">
        <f>IFERROR(MID(VLOOKUP($B351,Seqs!$A:$B,2,0),O351,1),"")</f>
        <v>G</v>
      </c>
      <c r="O351" s="3">
        <v>101</v>
      </c>
      <c r="P351" s="3" t="str">
        <f>IFERROR(MID(VLOOKUP($B351,Seqs!$A:$B,2,0),Q351,1),"")</f>
        <v>Y</v>
      </c>
      <c r="Q351" s="3">
        <v>102</v>
      </c>
      <c r="R351" s="3" t="str">
        <f>IFERROR(MID(VLOOKUP($B351,Seqs!$A:$B,2,0),S351,1),"")</f>
        <v>F</v>
      </c>
      <c r="S351" s="3">
        <v>105</v>
      </c>
      <c r="T351" s="3" t="str">
        <f>IFERROR(MID(VLOOKUP($B351,Seqs!$A:$B,2,0),U351,1),"")</f>
        <v>G</v>
      </c>
      <c r="U351" s="3">
        <v>106</v>
      </c>
      <c r="V351" s="3" t="str">
        <f>IFERROR(MID(VLOOKUP($B351,Seqs!$A:$B,2,0),W351,1),"")</f>
        <v>K</v>
      </c>
      <c r="W351" s="3">
        <v>141</v>
      </c>
      <c r="X351" s="3" t="str">
        <f>IFERROR(MID(VLOOKUP($B351,Seqs!$A:$B,2,0),Y351,1),"")</f>
        <v/>
      </c>
      <c r="Y351" s="3" t="s">
        <v>23</v>
      </c>
      <c r="Z351" s="3" t="str">
        <f>IFERROR(MID(VLOOKUP($B351,Seqs!$A:$B,2,0),AA351,1),"")</f>
        <v/>
      </c>
      <c r="AA351" s="3" t="s">
        <v>23</v>
      </c>
      <c r="AB351" s="3" t="str">
        <f>IFERROR(MID(VLOOKUP($B351,Seqs!$A:$B,2,0),AC351,1),"")</f>
        <v>G</v>
      </c>
      <c r="AC351" s="3">
        <v>149</v>
      </c>
      <c r="AD351" s="3" t="str">
        <f>IFERROR(MID(VLOOKUP($B351,Seqs!$A:$B,2,0),AE351,1),"")</f>
        <v>V</v>
      </c>
      <c r="AE351" s="3">
        <v>173</v>
      </c>
      <c r="AF351" s="3" t="str">
        <f>IFERROR(MID(VLOOKUP($B351,Seqs!$A:$B,2,0),AG351,1),"")</f>
        <v>C</v>
      </c>
      <c r="AG351" s="3">
        <v>187</v>
      </c>
      <c r="AH351" s="3" t="str">
        <f>IFERROR(MID(VLOOKUP($B351,Seqs!$A:$B,2,0),AI351,1),"")</f>
        <v>I</v>
      </c>
      <c r="AI351" s="3">
        <v>189</v>
      </c>
      <c r="AJ351" s="3" t="str">
        <f>IFERROR(MID(VLOOKUP($B351,Seqs!$A:$B,2,0),AK351,1),"")</f>
        <v>N</v>
      </c>
      <c r="AK351" s="3">
        <v>199</v>
      </c>
      <c r="AL351" s="3" t="str">
        <f>IFERROR(MID(VLOOKUP($B351,Seqs!$A:$B,2,0),AM351,1),"")</f>
        <v>Q</v>
      </c>
      <c r="AM351" s="3">
        <v>236</v>
      </c>
      <c r="AN351" s="3" t="str">
        <f>IFERROR(MID(VLOOKUP($B351,Seqs!$A:$B,2,0),AO351,1),"")</f>
        <v>S</v>
      </c>
      <c r="AO351" s="3">
        <v>240</v>
      </c>
      <c r="AP351" s="3" t="str">
        <f>IFERROR(MID(VLOOKUP($B351,Seqs!$A:$B,2,0),AQ351,1),"")</f>
        <v>H</v>
      </c>
      <c r="AQ351" s="3">
        <v>278</v>
      </c>
      <c r="AR351" s="3" t="str">
        <f>IFERROR(MID(VLOOKUP($B351,Seqs!$A:$B,2,0),AS351,1),"")</f>
        <v>G</v>
      </c>
      <c r="AS351" s="3">
        <v>284</v>
      </c>
      <c r="AT351" s="3" t="str">
        <f>IFERROR(MID(VLOOKUP($B351,Seqs!$A:$B,2,0),AU351,1),"")</f>
        <v>M</v>
      </c>
      <c r="AU351" s="3">
        <v>309</v>
      </c>
      <c r="AV351" s="3" t="str">
        <f>IFERROR(MID(VLOOKUP($B351,Seqs!$A:$B,2,0),AW351,1),"")</f>
        <v>N</v>
      </c>
      <c r="AW351" s="3">
        <v>310</v>
      </c>
      <c r="AX351" s="3" t="str">
        <f>IFERROR(MID(VLOOKUP($B351,Seqs!$A:$B,2,0),AY351,1),"")</f>
        <v>C</v>
      </c>
      <c r="AY351" s="3">
        <v>322</v>
      </c>
      <c r="AZ351" s="77" t="str">
        <f>VLOOKUP(B351,Classification!A:D,2,0)</f>
        <v>A</v>
      </c>
      <c r="BA351" s="94" t="str">
        <f>VLOOKUP(B351,Classification!A:D,4,0)</f>
        <v>Opsins</v>
      </c>
      <c r="BB351" s="27" t="b">
        <f t="shared" si="3243"/>
        <v>1</v>
      </c>
      <c r="BC351" s="23">
        <f t="shared" si="3244"/>
        <v>250</v>
      </c>
      <c r="BD351" s="2" t="s">
        <v>23</v>
      </c>
      <c r="BE351" s="3" t="s">
        <v>1285</v>
      </c>
      <c r="BF351" s="118">
        <v>2.7</v>
      </c>
      <c r="BG351" s="49" t="s">
        <v>1</v>
      </c>
      <c r="BH351" s="49" t="s">
        <v>1</v>
      </c>
      <c r="BI351" s="1"/>
      <c r="BJ351" s="70" t="s">
        <v>1281</v>
      </c>
      <c r="BK351" s="57" t="s">
        <v>1281</v>
      </c>
      <c r="BL351" s="57" t="s">
        <v>1281</v>
      </c>
      <c r="BM351" s="57" t="s">
        <v>1281</v>
      </c>
      <c r="BN351" s="57" t="s">
        <v>1281</v>
      </c>
      <c r="BO351" s="57" t="s">
        <v>1281</v>
      </c>
      <c r="BP351" s="57" t="s">
        <v>1281</v>
      </c>
      <c r="BQ351" s="57" t="s">
        <v>1281</v>
      </c>
      <c r="BR351" s="57" t="s">
        <v>1281</v>
      </c>
      <c r="BS351" s="57" t="s">
        <v>1281</v>
      </c>
      <c r="BT351" s="57" t="s">
        <v>1281</v>
      </c>
      <c r="BU351" s="57" t="s">
        <v>1281</v>
      </c>
      <c r="BV351" s="70">
        <f t="shared" si="3245"/>
        <v>33</v>
      </c>
      <c r="BW351" s="71">
        <f t="shared" si="3246"/>
        <v>66</v>
      </c>
      <c r="BX351" s="72">
        <f t="shared" si="3247"/>
        <v>73</v>
      </c>
      <c r="BY351" s="71">
        <f t="shared" si="3248"/>
        <v>102</v>
      </c>
      <c r="BZ351" s="72">
        <f t="shared" si="3249"/>
        <v>106</v>
      </c>
      <c r="CA351" s="71" t="str">
        <f t="shared" si="3250"/>
        <v>-</v>
      </c>
      <c r="CB351" s="72">
        <f t="shared" si="3251"/>
        <v>149</v>
      </c>
      <c r="CC351" s="71">
        <f t="shared" si="3252"/>
        <v>187</v>
      </c>
      <c r="CD351" s="72">
        <f t="shared" si="3253"/>
        <v>199</v>
      </c>
      <c r="CE351" s="71">
        <f t="shared" si="3254"/>
        <v>240</v>
      </c>
      <c r="CF351" s="72">
        <f t="shared" si="3255"/>
        <v>284</v>
      </c>
      <c r="CG351" s="71">
        <f t="shared" si="3256"/>
        <v>310</v>
      </c>
      <c r="CH351" s="70">
        <f t="shared" si="3257"/>
        <v>64</v>
      </c>
      <c r="CI351" s="71">
        <f t="shared" si="3258"/>
        <v>69</v>
      </c>
      <c r="CJ351" s="72">
        <f t="shared" si="3259"/>
        <v>101</v>
      </c>
      <c r="CK351" s="72">
        <f t="shared" si="3260"/>
        <v>105</v>
      </c>
      <c r="CL351" s="72">
        <f t="shared" si="3261"/>
        <v>141</v>
      </c>
      <c r="CM351" s="72" t="str">
        <f t="shared" si="3262"/>
        <v>-</v>
      </c>
      <c r="CN351" s="72">
        <f t="shared" si="3263"/>
        <v>173</v>
      </c>
      <c r="CO351" s="72">
        <f t="shared" si="3264"/>
        <v>189</v>
      </c>
      <c r="CP351" s="72">
        <f t="shared" si="3265"/>
        <v>236</v>
      </c>
      <c r="CQ351" s="72">
        <f t="shared" si="3266"/>
        <v>278</v>
      </c>
      <c r="CR351" s="72">
        <f t="shared" si="3267"/>
        <v>309</v>
      </c>
      <c r="CS351" s="72">
        <f t="shared" si="3268"/>
        <v>322</v>
      </c>
      <c r="CT351" s="23">
        <f t="shared" si="3269"/>
        <v>4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30" x14ac:dyDescent="0.2">
      <c r="A352" s="3" t="str">
        <f t="shared" si="3242"/>
        <v>opsd_bovin_6FKB</v>
      </c>
      <c r="B352" s="3" t="s">
        <v>913</v>
      </c>
      <c r="C352" s="3" t="s">
        <v>1480</v>
      </c>
      <c r="D352" s="3" t="str">
        <f>IFERROR(MID(VLOOKUP($B352,Seqs!$A:$B,2,0),E352,1),"")</f>
        <v>E</v>
      </c>
      <c r="E352" s="3">
        <v>33</v>
      </c>
      <c r="F352" s="3" t="str">
        <f>IFERROR(MID(VLOOKUP($B352,Seqs!$A:$B,2,0),G352,1),"")</f>
        <v>Q</v>
      </c>
      <c r="G352" s="3">
        <v>64</v>
      </c>
      <c r="H352" s="3" t="str">
        <f>IFERROR(MID(VLOOKUP($B352,Seqs!$A:$B,2,0),I352,1),"")</f>
        <v>K</v>
      </c>
      <c r="I352" s="23">
        <v>66</v>
      </c>
      <c r="J352" s="3" t="str">
        <f>IFERROR(MID(VLOOKUP($B352,Seqs!$A:$B,2,0),K352,1),"")</f>
        <v>R</v>
      </c>
      <c r="K352" s="23">
        <v>69</v>
      </c>
      <c r="L352" s="3" t="str">
        <f>IFERROR(MID(VLOOKUP($B352,Seqs!$A:$B,2,0),M352,1),"")</f>
        <v>N</v>
      </c>
      <c r="M352" s="3">
        <v>73</v>
      </c>
      <c r="N352" s="3" t="str">
        <f>IFERROR(MID(VLOOKUP($B352,Seqs!$A:$B,2,0),O352,1),"")</f>
        <v>G</v>
      </c>
      <c r="O352" s="3">
        <v>101</v>
      </c>
      <c r="P352" s="3" t="str">
        <f>IFERROR(MID(VLOOKUP($B352,Seqs!$A:$B,2,0),Q352,1),"")</f>
        <v>Y</v>
      </c>
      <c r="Q352" s="3">
        <v>102</v>
      </c>
      <c r="R352" s="3" t="str">
        <f>IFERROR(MID(VLOOKUP($B352,Seqs!$A:$B,2,0),S352,1),"")</f>
        <v>F</v>
      </c>
      <c r="S352" s="3">
        <v>105</v>
      </c>
      <c r="T352" s="3" t="str">
        <f>IFERROR(MID(VLOOKUP($B352,Seqs!$A:$B,2,0),U352,1),"")</f>
        <v>G</v>
      </c>
      <c r="U352" s="3">
        <v>106</v>
      </c>
      <c r="V352" s="3" t="str">
        <f>IFERROR(MID(VLOOKUP($B352,Seqs!$A:$B,2,0),W352,1),"")</f>
        <v>K</v>
      </c>
      <c r="W352" s="3">
        <v>141</v>
      </c>
      <c r="X352" s="3" t="str">
        <f>IFERROR(MID(VLOOKUP($B352,Seqs!$A:$B,2,0),Y352,1),"")</f>
        <v/>
      </c>
      <c r="Y352" s="3" t="s">
        <v>23</v>
      </c>
      <c r="Z352" s="3" t="str">
        <f>IFERROR(MID(VLOOKUP($B352,Seqs!$A:$B,2,0),AA352,1),"")</f>
        <v/>
      </c>
      <c r="AA352" s="3" t="s">
        <v>23</v>
      </c>
      <c r="AB352" s="3" t="str">
        <f>IFERROR(MID(VLOOKUP($B352,Seqs!$A:$B,2,0),AC352,1),"")</f>
        <v>G</v>
      </c>
      <c r="AC352" s="3">
        <v>149</v>
      </c>
      <c r="AD352" s="3" t="str">
        <f>IFERROR(MID(VLOOKUP($B352,Seqs!$A:$B,2,0),AE352,1),"")</f>
        <v>V</v>
      </c>
      <c r="AE352" s="3">
        <v>173</v>
      </c>
      <c r="AF352" s="3" t="str">
        <f>IFERROR(MID(VLOOKUP($B352,Seqs!$A:$B,2,0),AG352,1),"")</f>
        <v>C</v>
      </c>
      <c r="AG352" s="3">
        <v>187</v>
      </c>
      <c r="AH352" s="3" t="str">
        <f>IFERROR(MID(VLOOKUP($B352,Seqs!$A:$B,2,0),AI352,1),"")</f>
        <v>I</v>
      </c>
      <c r="AI352" s="3">
        <v>189</v>
      </c>
      <c r="AJ352" s="3" t="str">
        <f>IFERROR(MID(VLOOKUP($B352,Seqs!$A:$B,2,0),AK352,1),"")</f>
        <v>N</v>
      </c>
      <c r="AK352" s="3">
        <v>199</v>
      </c>
      <c r="AL352" s="3" t="str">
        <f>IFERROR(MID(VLOOKUP($B352,Seqs!$A:$B,2,0),AM352,1),"")</f>
        <v>Q</v>
      </c>
      <c r="AM352" s="3">
        <v>236</v>
      </c>
      <c r="AN352" s="3" t="str">
        <f>IFERROR(MID(VLOOKUP($B352,Seqs!$A:$B,2,0),AO352,1),"")</f>
        <v>S</v>
      </c>
      <c r="AO352" s="3">
        <v>240</v>
      </c>
      <c r="AP352" s="3" t="str">
        <f>IFERROR(MID(VLOOKUP($B352,Seqs!$A:$B,2,0),AQ352,1),"")</f>
        <v>H</v>
      </c>
      <c r="AQ352" s="3">
        <v>278</v>
      </c>
      <c r="AR352" s="3" t="str">
        <f>IFERROR(MID(VLOOKUP($B352,Seqs!$A:$B,2,0),AS352,1),"")</f>
        <v>G</v>
      </c>
      <c r="AS352" s="3">
        <v>284</v>
      </c>
      <c r="AT352" s="3" t="str">
        <f>IFERROR(MID(VLOOKUP($B352,Seqs!$A:$B,2,0),AU352,1),"")</f>
        <v>M</v>
      </c>
      <c r="AU352" s="3">
        <v>309</v>
      </c>
      <c r="AV352" s="3" t="str">
        <f>IFERROR(MID(VLOOKUP($B352,Seqs!$A:$B,2,0),AW352,1),"")</f>
        <v>N</v>
      </c>
      <c r="AW352" s="3">
        <v>310</v>
      </c>
      <c r="AX352" s="3" t="str">
        <f>IFERROR(MID(VLOOKUP($B352,Seqs!$A:$B,2,0),AY352,1),"")</f>
        <v>C</v>
      </c>
      <c r="AY352" s="3">
        <v>322</v>
      </c>
      <c r="AZ352" s="77" t="str">
        <f>VLOOKUP(B352,Classification!A:D,2,0)</f>
        <v>A</v>
      </c>
      <c r="BA352" s="94" t="str">
        <f>VLOOKUP(B352,Classification!A:D,4,0)</f>
        <v>Opsins</v>
      </c>
      <c r="BB352" s="27" t="b">
        <f t="shared" si="3243"/>
        <v>1</v>
      </c>
      <c r="BC352" s="23">
        <f t="shared" si="3244"/>
        <v>250</v>
      </c>
      <c r="BD352" s="2" t="s">
        <v>23</v>
      </c>
      <c r="BE352" s="3" t="s">
        <v>1285</v>
      </c>
      <c r="BF352" s="118">
        <v>3.03</v>
      </c>
      <c r="BG352" s="49" t="s">
        <v>1</v>
      </c>
      <c r="BH352" s="49" t="s">
        <v>1</v>
      </c>
      <c r="BI352" s="1"/>
      <c r="BJ352" s="70" t="s">
        <v>1281</v>
      </c>
      <c r="BK352" s="57" t="s">
        <v>1281</v>
      </c>
      <c r="BL352" s="57" t="s">
        <v>1281</v>
      </c>
      <c r="BM352" s="57" t="s">
        <v>1281</v>
      </c>
      <c r="BN352" s="57" t="s">
        <v>1281</v>
      </c>
      <c r="BO352" s="57" t="s">
        <v>1281</v>
      </c>
      <c r="BP352" s="57" t="s">
        <v>1281</v>
      </c>
      <c r="BQ352" s="57" t="s">
        <v>1281</v>
      </c>
      <c r="BR352" s="57" t="s">
        <v>1281</v>
      </c>
      <c r="BS352" s="57" t="s">
        <v>1281</v>
      </c>
      <c r="BT352" s="57" t="s">
        <v>1281</v>
      </c>
      <c r="BU352" s="57" t="s">
        <v>1281</v>
      </c>
      <c r="BV352" s="70">
        <f t="shared" si="3245"/>
        <v>33</v>
      </c>
      <c r="BW352" s="71">
        <f t="shared" si="3246"/>
        <v>66</v>
      </c>
      <c r="BX352" s="72">
        <f t="shared" si="3247"/>
        <v>73</v>
      </c>
      <c r="BY352" s="71">
        <f t="shared" si="3248"/>
        <v>102</v>
      </c>
      <c r="BZ352" s="72">
        <f t="shared" si="3249"/>
        <v>106</v>
      </c>
      <c r="CA352" s="71" t="str">
        <f t="shared" si="3250"/>
        <v>-</v>
      </c>
      <c r="CB352" s="72">
        <f t="shared" si="3251"/>
        <v>149</v>
      </c>
      <c r="CC352" s="71">
        <f t="shared" si="3252"/>
        <v>187</v>
      </c>
      <c r="CD352" s="72">
        <f t="shared" si="3253"/>
        <v>199</v>
      </c>
      <c r="CE352" s="71">
        <f t="shared" si="3254"/>
        <v>240</v>
      </c>
      <c r="CF352" s="72">
        <f t="shared" si="3255"/>
        <v>284</v>
      </c>
      <c r="CG352" s="71">
        <f t="shared" si="3256"/>
        <v>310</v>
      </c>
      <c r="CH352" s="70">
        <f t="shared" si="3257"/>
        <v>64</v>
      </c>
      <c r="CI352" s="71">
        <f t="shared" si="3258"/>
        <v>69</v>
      </c>
      <c r="CJ352" s="72">
        <f t="shared" si="3259"/>
        <v>101</v>
      </c>
      <c r="CK352" s="72">
        <f t="shared" si="3260"/>
        <v>105</v>
      </c>
      <c r="CL352" s="72">
        <f t="shared" si="3261"/>
        <v>141</v>
      </c>
      <c r="CM352" s="72" t="str">
        <f t="shared" si="3262"/>
        <v>-</v>
      </c>
      <c r="CN352" s="72">
        <f t="shared" si="3263"/>
        <v>173</v>
      </c>
      <c r="CO352" s="72">
        <f t="shared" si="3264"/>
        <v>189</v>
      </c>
      <c r="CP352" s="72">
        <f t="shared" si="3265"/>
        <v>236</v>
      </c>
      <c r="CQ352" s="72">
        <f t="shared" si="3266"/>
        <v>278</v>
      </c>
      <c r="CR352" s="72">
        <f t="shared" si="3267"/>
        <v>309</v>
      </c>
      <c r="CS352" s="72">
        <f t="shared" si="3268"/>
        <v>322</v>
      </c>
      <c r="CT352" s="23">
        <f t="shared" si="3269"/>
        <v>4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29" x14ac:dyDescent="0.2">
      <c r="A353" s="3" t="str">
        <f t="shared" si="3242"/>
        <v>opsd_bovin_6FKC</v>
      </c>
      <c r="B353" s="3" t="s">
        <v>913</v>
      </c>
      <c r="C353" s="3" t="s">
        <v>1481</v>
      </c>
      <c r="D353" s="3" t="str">
        <f>IFERROR(MID(VLOOKUP($B353,Seqs!$A:$B,2,0),E353,1),"")</f>
        <v>E</v>
      </c>
      <c r="E353" s="3">
        <v>33</v>
      </c>
      <c r="F353" s="3" t="str">
        <f>IFERROR(MID(VLOOKUP($B353,Seqs!$A:$B,2,0),G353,1),"")</f>
        <v>Q</v>
      </c>
      <c r="G353" s="3">
        <v>64</v>
      </c>
      <c r="H353" s="3" t="str">
        <f>IFERROR(MID(VLOOKUP($B353,Seqs!$A:$B,2,0),I353,1),"")</f>
        <v>K</v>
      </c>
      <c r="I353" s="23">
        <v>66</v>
      </c>
      <c r="J353" s="3" t="str">
        <f>IFERROR(MID(VLOOKUP($B353,Seqs!$A:$B,2,0),K353,1),"")</f>
        <v>R</v>
      </c>
      <c r="K353" s="23">
        <v>69</v>
      </c>
      <c r="L353" s="3" t="str">
        <f>IFERROR(MID(VLOOKUP($B353,Seqs!$A:$B,2,0),M353,1),"")</f>
        <v>N</v>
      </c>
      <c r="M353" s="3">
        <v>73</v>
      </c>
      <c r="N353" s="3" t="str">
        <f>IFERROR(MID(VLOOKUP($B353,Seqs!$A:$B,2,0),O353,1),"")</f>
        <v>G</v>
      </c>
      <c r="O353" s="3">
        <v>101</v>
      </c>
      <c r="P353" s="3" t="str">
        <f>IFERROR(MID(VLOOKUP($B353,Seqs!$A:$B,2,0),Q353,1),"")</f>
        <v>Y</v>
      </c>
      <c r="Q353" s="3">
        <v>102</v>
      </c>
      <c r="R353" s="3" t="str">
        <f>IFERROR(MID(VLOOKUP($B353,Seqs!$A:$B,2,0),S353,1),"")</f>
        <v>F</v>
      </c>
      <c r="S353" s="3">
        <v>105</v>
      </c>
      <c r="T353" s="3" t="str">
        <f>IFERROR(MID(VLOOKUP($B353,Seqs!$A:$B,2,0),U353,1),"")</f>
        <v>G</v>
      </c>
      <c r="U353" s="3">
        <v>106</v>
      </c>
      <c r="V353" s="3" t="str">
        <f>IFERROR(MID(VLOOKUP($B353,Seqs!$A:$B,2,0),W353,1),"")</f>
        <v>K</v>
      </c>
      <c r="W353" s="3">
        <v>141</v>
      </c>
      <c r="X353" s="3" t="str">
        <f>IFERROR(MID(VLOOKUP($B353,Seqs!$A:$B,2,0),Y353,1),"")</f>
        <v/>
      </c>
      <c r="Y353" s="3" t="s">
        <v>23</v>
      </c>
      <c r="Z353" s="3" t="str">
        <f>IFERROR(MID(VLOOKUP($B353,Seqs!$A:$B,2,0),AA353,1),"")</f>
        <v/>
      </c>
      <c r="AA353" s="3" t="s">
        <v>23</v>
      </c>
      <c r="AB353" s="3" t="str">
        <f>IFERROR(MID(VLOOKUP($B353,Seqs!$A:$B,2,0),AC353,1),"")</f>
        <v>G</v>
      </c>
      <c r="AC353" s="3">
        <v>149</v>
      </c>
      <c r="AD353" s="3" t="str">
        <f>IFERROR(MID(VLOOKUP($B353,Seqs!$A:$B,2,0),AE353,1),"")</f>
        <v>V</v>
      </c>
      <c r="AE353" s="3">
        <v>173</v>
      </c>
      <c r="AF353" s="3" t="str">
        <f>IFERROR(MID(VLOOKUP($B353,Seqs!$A:$B,2,0),AG353,1),"")</f>
        <v>C</v>
      </c>
      <c r="AG353" s="3">
        <v>187</v>
      </c>
      <c r="AH353" s="3" t="str">
        <f>IFERROR(MID(VLOOKUP($B353,Seqs!$A:$B,2,0),AI353,1),"")</f>
        <v>I</v>
      </c>
      <c r="AI353" s="3">
        <v>189</v>
      </c>
      <c r="AJ353" s="3" t="str">
        <f>IFERROR(MID(VLOOKUP($B353,Seqs!$A:$B,2,0),AK353,1),"")</f>
        <v>N</v>
      </c>
      <c r="AK353" s="3">
        <v>199</v>
      </c>
      <c r="AL353" s="3" t="str">
        <f>IFERROR(MID(VLOOKUP($B353,Seqs!$A:$B,2,0),AM353,1),"")</f>
        <v>Q</v>
      </c>
      <c r="AM353" s="3">
        <v>236</v>
      </c>
      <c r="AN353" s="3" t="str">
        <f>IFERROR(MID(VLOOKUP($B353,Seqs!$A:$B,2,0),AO353,1),"")</f>
        <v>S</v>
      </c>
      <c r="AO353" s="3">
        <v>240</v>
      </c>
      <c r="AP353" s="3" t="str">
        <f>IFERROR(MID(VLOOKUP($B353,Seqs!$A:$B,2,0),AQ353,1),"")</f>
        <v>H</v>
      </c>
      <c r="AQ353" s="3">
        <v>278</v>
      </c>
      <c r="AR353" s="3" t="str">
        <f>IFERROR(MID(VLOOKUP($B353,Seqs!$A:$B,2,0),AS353,1),"")</f>
        <v>T</v>
      </c>
      <c r="AS353" s="3">
        <v>289</v>
      </c>
      <c r="AT353" s="3" t="str">
        <f>IFERROR(MID(VLOOKUP($B353,Seqs!$A:$B,2,0),AU353,1),"")</f>
        <v>M</v>
      </c>
      <c r="AU353" s="3">
        <v>309</v>
      </c>
      <c r="AV353" s="3" t="str">
        <f>IFERROR(MID(VLOOKUP($B353,Seqs!$A:$B,2,0),AW353,1),"")</f>
        <v>N</v>
      </c>
      <c r="AW353" s="3">
        <v>310</v>
      </c>
      <c r="AX353" s="3" t="str">
        <f>IFERROR(MID(VLOOKUP($B353,Seqs!$A:$B,2,0),AY353,1),"")</f>
        <v>C</v>
      </c>
      <c r="AY353" s="3">
        <v>322</v>
      </c>
      <c r="AZ353" s="77" t="str">
        <f>VLOOKUP(B353,Classification!A:D,2,0)</f>
        <v>A</v>
      </c>
      <c r="BA353" s="94" t="str">
        <f>VLOOKUP(B353,Classification!A:D,4,0)</f>
        <v>Opsins</v>
      </c>
      <c r="BB353" s="27" t="b">
        <f t="shared" si="3243"/>
        <v>1</v>
      </c>
      <c r="BC353" s="23">
        <f t="shared" si="3244"/>
        <v>245</v>
      </c>
      <c r="BD353" s="2" t="s">
        <v>23</v>
      </c>
      <c r="BE353" s="3" t="s">
        <v>1285</v>
      </c>
      <c r="BF353" s="118">
        <v>2.46</v>
      </c>
      <c r="BG353" s="49" t="s">
        <v>1</v>
      </c>
      <c r="BH353" s="49" t="s">
        <v>1</v>
      </c>
      <c r="BI353" s="1"/>
      <c r="BJ353" s="70" t="s">
        <v>1281</v>
      </c>
      <c r="BK353" s="57" t="s">
        <v>1281</v>
      </c>
      <c r="BL353" s="57" t="s">
        <v>1281</v>
      </c>
      <c r="BM353" s="57" t="s">
        <v>1281</v>
      </c>
      <c r="BN353" s="57" t="s">
        <v>1281</v>
      </c>
      <c r="BO353" s="57" t="s">
        <v>1281</v>
      </c>
      <c r="BP353" s="57" t="s">
        <v>1281</v>
      </c>
      <c r="BQ353" s="57" t="s">
        <v>1281</v>
      </c>
      <c r="BR353" s="57" t="s">
        <v>1281</v>
      </c>
      <c r="BS353" s="57" t="s">
        <v>1281</v>
      </c>
      <c r="BT353" s="57" t="s">
        <v>1281</v>
      </c>
      <c r="BU353" s="57" t="s">
        <v>1281</v>
      </c>
      <c r="BV353" s="70">
        <f t="shared" si="3245"/>
        <v>33</v>
      </c>
      <c r="BW353" s="71">
        <f t="shared" si="3246"/>
        <v>66</v>
      </c>
      <c r="BX353" s="72">
        <f t="shared" si="3247"/>
        <v>73</v>
      </c>
      <c r="BY353" s="71">
        <f t="shared" si="3248"/>
        <v>102</v>
      </c>
      <c r="BZ353" s="72">
        <f t="shared" si="3249"/>
        <v>106</v>
      </c>
      <c r="CA353" s="71" t="str">
        <f t="shared" si="3250"/>
        <v>-</v>
      </c>
      <c r="CB353" s="72">
        <f t="shared" si="3251"/>
        <v>149</v>
      </c>
      <c r="CC353" s="71">
        <f t="shared" si="3252"/>
        <v>187</v>
      </c>
      <c r="CD353" s="72">
        <f t="shared" si="3253"/>
        <v>199</v>
      </c>
      <c r="CE353" s="71">
        <f t="shared" si="3254"/>
        <v>240</v>
      </c>
      <c r="CF353" s="72">
        <f t="shared" si="3255"/>
        <v>289</v>
      </c>
      <c r="CG353" s="71">
        <f t="shared" si="3256"/>
        <v>310</v>
      </c>
      <c r="CH353" s="70">
        <f t="shared" si="3257"/>
        <v>64</v>
      </c>
      <c r="CI353" s="71">
        <f t="shared" si="3258"/>
        <v>69</v>
      </c>
      <c r="CJ353" s="72">
        <f t="shared" si="3259"/>
        <v>101</v>
      </c>
      <c r="CK353" s="72">
        <f t="shared" si="3260"/>
        <v>105</v>
      </c>
      <c r="CL353" s="72">
        <f t="shared" si="3261"/>
        <v>141</v>
      </c>
      <c r="CM353" s="72" t="str">
        <f t="shared" si="3262"/>
        <v>-</v>
      </c>
      <c r="CN353" s="72">
        <f t="shared" si="3263"/>
        <v>173</v>
      </c>
      <c r="CO353" s="72">
        <f t="shared" si="3264"/>
        <v>189</v>
      </c>
      <c r="CP353" s="72">
        <f t="shared" si="3265"/>
        <v>236</v>
      </c>
      <c r="CQ353" s="72">
        <f t="shared" si="3266"/>
        <v>278</v>
      </c>
      <c r="CR353" s="72">
        <f t="shared" si="3267"/>
        <v>309</v>
      </c>
      <c r="CS353" s="72">
        <f t="shared" si="3268"/>
        <v>322</v>
      </c>
      <c r="CT353" s="23">
        <f t="shared" si="3269"/>
        <v>4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29" x14ac:dyDescent="0.2">
      <c r="A354" s="3" t="str">
        <f t="shared" si="3242"/>
        <v>opsd_bovin_6FKD</v>
      </c>
      <c r="B354" s="3" t="s">
        <v>913</v>
      </c>
      <c r="C354" s="3" t="s">
        <v>1482</v>
      </c>
      <c r="D354" s="3" t="str">
        <f>IFERROR(MID(VLOOKUP($B354,Seqs!$A:$B,2,0),E354,1),"")</f>
        <v>E</v>
      </c>
      <c r="E354" s="3">
        <v>33</v>
      </c>
      <c r="F354" s="3" t="str">
        <f>IFERROR(MID(VLOOKUP($B354,Seqs!$A:$B,2,0),G354,1),"")</f>
        <v>Q</v>
      </c>
      <c r="G354" s="3">
        <v>64</v>
      </c>
      <c r="H354" s="3" t="str">
        <f>IFERROR(MID(VLOOKUP($B354,Seqs!$A:$B,2,0),I354,1),"")</f>
        <v>K</v>
      </c>
      <c r="I354" s="23">
        <v>66</v>
      </c>
      <c r="J354" s="3" t="str">
        <f>IFERROR(MID(VLOOKUP($B354,Seqs!$A:$B,2,0),K354,1),"")</f>
        <v>R</v>
      </c>
      <c r="K354" s="23">
        <v>69</v>
      </c>
      <c r="L354" s="3" t="str">
        <f>IFERROR(MID(VLOOKUP($B354,Seqs!$A:$B,2,0),M354,1),"")</f>
        <v>N</v>
      </c>
      <c r="M354" s="3">
        <v>73</v>
      </c>
      <c r="N354" s="3" t="str">
        <f>IFERROR(MID(VLOOKUP($B354,Seqs!$A:$B,2,0),O354,1),"")</f>
        <v>G</v>
      </c>
      <c r="O354" s="3">
        <v>101</v>
      </c>
      <c r="P354" s="3" t="str">
        <f>IFERROR(MID(VLOOKUP($B354,Seqs!$A:$B,2,0),Q354,1),"")</f>
        <v>Y</v>
      </c>
      <c r="Q354" s="3">
        <v>102</v>
      </c>
      <c r="R354" s="3" t="str">
        <f>IFERROR(MID(VLOOKUP($B354,Seqs!$A:$B,2,0),S354,1),"")</f>
        <v>F</v>
      </c>
      <c r="S354" s="3">
        <v>105</v>
      </c>
      <c r="T354" s="3" t="str">
        <f>IFERROR(MID(VLOOKUP($B354,Seqs!$A:$B,2,0),U354,1),"")</f>
        <v>G</v>
      </c>
      <c r="U354" s="3">
        <v>106</v>
      </c>
      <c r="V354" s="3" t="str">
        <f>IFERROR(MID(VLOOKUP($B354,Seqs!$A:$B,2,0),W354,1),"")</f>
        <v>K</v>
      </c>
      <c r="W354" s="3">
        <v>141</v>
      </c>
      <c r="X354" s="3" t="str">
        <f>IFERROR(MID(VLOOKUP($B354,Seqs!$A:$B,2,0),Y354,1),"")</f>
        <v/>
      </c>
      <c r="Y354" s="3" t="s">
        <v>23</v>
      </c>
      <c r="Z354" s="3" t="str">
        <f>IFERROR(MID(VLOOKUP($B354,Seqs!$A:$B,2,0),AA354,1),"")</f>
        <v/>
      </c>
      <c r="AA354" s="3" t="s">
        <v>23</v>
      </c>
      <c r="AB354" s="3" t="str">
        <f>IFERROR(MID(VLOOKUP($B354,Seqs!$A:$B,2,0),AC354,1),"")</f>
        <v>G</v>
      </c>
      <c r="AC354" s="3">
        <v>149</v>
      </c>
      <c r="AD354" s="3" t="str">
        <f>IFERROR(MID(VLOOKUP($B354,Seqs!$A:$B,2,0),AE354,1),"")</f>
        <v>V</v>
      </c>
      <c r="AE354" s="3">
        <v>173</v>
      </c>
      <c r="AF354" s="3" t="str">
        <f>IFERROR(MID(VLOOKUP($B354,Seqs!$A:$B,2,0),AG354,1),"")</f>
        <v>C</v>
      </c>
      <c r="AG354" s="3">
        <v>187</v>
      </c>
      <c r="AH354" s="3" t="str">
        <f>IFERROR(MID(VLOOKUP($B354,Seqs!$A:$B,2,0),AI354,1),"")</f>
        <v>I</v>
      </c>
      <c r="AI354" s="3">
        <v>189</v>
      </c>
      <c r="AJ354" s="3" t="str">
        <f>IFERROR(MID(VLOOKUP($B354,Seqs!$A:$B,2,0),AK354,1),"")</f>
        <v>N</v>
      </c>
      <c r="AK354" s="3">
        <v>199</v>
      </c>
      <c r="AL354" s="3" t="str">
        <f>IFERROR(MID(VLOOKUP($B354,Seqs!$A:$B,2,0),AM354,1),"")</f>
        <v>Q</v>
      </c>
      <c r="AM354" s="3">
        <v>236</v>
      </c>
      <c r="AN354" s="3" t="str">
        <f>IFERROR(MID(VLOOKUP($B354,Seqs!$A:$B,2,0),AO354,1),"")</f>
        <v>S</v>
      </c>
      <c r="AO354" s="3">
        <v>240</v>
      </c>
      <c r="AP354" s="3" t="str">
        <f>IFERROR(MID(VLOOKUP($B354,Seqs!$A:$B,2,0),AQ354,1),"")</f>
        <v>H</v>
      </c>
      <c r="AQ354" s="3">
        <v>278</v>
      </c>
      <c r="AR354" s="3" t="str">
        <f>IFERROR(MID(VLOOKUP($B354,Seqs!$A:$B,2,0),AS354,1),"")</f>
        <v>T</v>
      </c>
      <c r="AS354" s="3">
        <v>289</v>
      </c>
      <c r="AT354" s="3" t="str">
        <f>IFERROR(MID(VLOOKUP($B354,Seqs!$A:$B,2,0),AU354,1),"")</f>
        <v>M</v>
      </c>
      <c r="AU354" s="3">
        <v>309</v>
      </c>
      <c r="AV354" s="3" t="str">
        <f>IFERROR(MID(VLOOKUP($B354,Seqs!$A:$B,2,0),AW354,1),"")</f>
        <v>N</v>
      </c>
      <c r="AW354" s="3">
        <v>310</v>
      </c>
      <c r="AX354" s="3" t="str">
        <f>IFERROR(MID(VLOOKUP($B354,Seqs!$A:$B,2,0),AY354,1),"")</f>
        <v>C</v>
      </c>
      <c r="AY354" s="3">
        <v>322</v>
      </c>
      <c r="AZ354" s="77" t="str">
        <f>VLOOKUP(B354,Classification!A:D,2,0)</f>
        <v>A</v>
      </c>
      <c r="BA354" s="94" t="str">
        <f>VLOOKUP(B354,Classification!A:D,4,0)</f>
        <v>Opsins</v>
      </c>
      <c r="BB354" s="27" t="b">
        <f t="shared" si="3243"/>
        <v>1</v>
      </c>
      <c r="BC354" s="23">
        <f t="shared" si="3244"/>
        <v>245</v>
      </c>
      <c r="BD354" s="2" t="s">
        <v>23</v>
      </c>
      <c r="BE354" s="3" t="s">
        <v>1285</v>
      </c>
      <c r="BF354" s="118">
        <v>2.4900000000000002</v>
      </c>
      <c r="BG354" s="49" t="s">
        <v>1</v>
      </c>
      <c r="BH354" s="49" t="s">
        <v>1</v>
      </c>
      <c r="BI354" s="1"/>
      <c r="BJ354" s="70" t="s">
        <v>1281</v>
      </c>
      <c r="BK354" s="57" t="s">
        <v>1281</v>
      </c>
      <c r="BL354" s="57" t="s">
        <v>1281</v>
      </c>
      <c r="BM354" s="57" t="s">
        <v>1281</v>
      </c>
      <c r="BN354" s="57" t="s">
        <v>1281</v>
      </c>
      <c r="BO354" s="57" t="s">
        <v>1281</v>
      </c>
      <c r="BP354" s="57" t="s">
        <v>1281</v>
      </c>
      <c r="BQ354" s="57" t="s">
        <v>1281</v>
      </c>
      <c r="BR354" s="57" t="s">
        <v>1281</v>
      </c>
      <c r="BS354" s="57" t="s">
        <v>1281</v>
      </c>
      <c r="BT354" s="57" t="s">
        <v>1281</v>
      </c>
      <c r="BU354" s="57" t="s">
        <v>1281</v>
      </c>
      <c r="BV354" s="70">
        <f t="shared" si="3245"/>
        <v>33</v>
      </c>
      <c r="BW354" s="71">
        <f t="shared" si="3246"/>
        <v>66</v>
      </c>
      <c r="BX354" s="72">
        <f t="shared" si="3247"/>
        <v>73</v>
      </c>
      <c r="BY354" s="71">
        <f t="shared" si="3248"/>
        <v>102</v>
      </c>
      <c r="BZ354" s="72">
        <f t="shared" si="3249"/>
        <v>106</v>
      </c>
      <c r="CA354" s="71" t="str">
        <f t="shared" si="3250"/>
        <v>-</v>
      </c>
      <c r="CB354" s="72">
        <f t="shared" si="3251"/>
        <v>149</v>
      </c>
      <c r="CC354" s="71">
        <f t="shared" si="3252"/>
        <v>187</v>
      </c>
      <c r="CD354" s="72">
        <f t="shared" si="3253"/>
        <v>199</v>
      </c>
      <c r="CE354" s="71">
        <f t="shared" si="3254"/>
        <v>240</v>
      </c>
      <c r="CF354" s="72">
        <f t="shared" si="3255"/>
        <v>289</v>
      </c>
      <c r="CG354" s="71">
        <f t="shared" si="3256"/>
        <v>310</v>
      </c>
      <c r="CH354" s="70">
        <f t="shared" si="3257"/>
        <v>64</v>
      </c>
      <c r="CI354" s="71">
        <f t="shared" si="3258"/>
        <v>69</v>
      </c>
      <c r="CJ354" s="72">
        <f t="shared" si="3259"/>
        <v>101</v>
      </c>
      <c r="CK354" s="72">
        <f t="shared" si="3260"/>
        <v>105</v>
      </c>
      <c r="CL354" s="72">
        <f t="shared" si="3261"/>
        <v>141</v>
      </c>
      <c r="CM354" s="72" t="str">
        <f t="shared" si="3262"/>
        <v>-</v>
      </c>
      <c r="CN354" s="72">
        <f t="shared" si="3263"/>
        <v>173</v>
      </c>
      <c r="CO354" s="72">
        <f t="shared" si="3264"/>
        <v>189</v>
      </c>
      <c r="CP354" s="72">
        <f t="shared" si="3265"/>
        <v>236</v>
      </c>
      <c r="CQ354" s="72">
        <f t="shared" si="3266"/>
        <v>278</v>
      </c>
      <c r="CR354" s="72">
        <f t="shared" si="3267"/>
        <v>309</v>
      </c>
      <c r="CS354" s="72">
        <f t="shared" si="3268"/>
        <v>322</v>
      </c>
      <c r="CT354" s="23">
        <f t="shared" si="3269"/>
        <v>4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29" x14ac:dyDescent="0.2">
      <c r="A355" s="3" t="str">
        <f t="shared" ref="A355" si="3270">CONCATENATE(B355,"_",C355)</f>
        <v>opsd_bovin_6FUF</v>
      </c>
      <c r="B355" s="3" t="s">
        <v>913</v>
      </c>
      <c r="C355" s="3" t="s">
        <v>1512</v>
      </c>
      <c r="D355" s="3" t="str">
        <f>IFERROR(MID(VLOOKUP($B355,Seqs!$A:$B,2,0),E355,1),"")</f>
        <v>E</v>
      </c>
      <c r="E355" s="3">
        <v>33</v>
      </c>
      <c r="F355" s="3" t="str">
        <f>IFERROR(MID(VLOOKUP($B355,Seqs!$A:$B,2,0),G355,1),"")</f>
        <v>H</v>
      </c>
      <c r="G355" s="3">
        <v>65</v>
      </c>
      <c r="H355" s="3" t="str">
        <f>IFERROR(MID(VLOOKUP($B355,Seqs!$A:$B,2,0),I355,1),"")</f>
        <v>K</v>
      </c>
      <c r="I355" s="23">
        <v>66</v>
      </c>
      <c r="J355" s="3" t="str">
        <f>IFERROR(MID(VLOOKUP($B355,Seqs!$A:$B,2,0),K355,1),"")</f>
        <v>R</v>
      </c>
      <c r="K355" s="23">
        <v>69</v>
      </c>
      <c r="L355" s="3" t="str">
        <f>IFERROR(MID(VLOOKUP($B355,Seqs!$A:$B,2,0),M355,1),"")</f>
        <v>N</v>
      </c>
      <c r="M355" s="3">
        <v>73</v>
      </c>
      <c r="N355" s="3" t="str">
        <f>IFERROR(MID(VLOOKUP($B355,Seqs!$A:$B,2,0),O355,1),"")</f>
        <v>G</v>
      </c>
      <c r="O355" s="3">
        <v>101</v>
      </c>
      <c r="P355" s="3" t="str">
        <f>IFERROR(MID(VLOOKUP($B355,Seqs!$A:$B,2,0),Q355,1),"")</f>
        <v>Y</v>
      </c>
      <c r="Q355" s="3">
        <v>102</v>
      </c>
      <c r="R355" s="3" t="str">
        <f>IFERROR(MID(VLOOKUP($B355,Seqs!$A:$B,2,0),S355,1),"")</f>
        <v>F</v>
      </c>
      <c r="S355" s="3">
        <v>105</v>
      </c>
      <c r="T355" s="3" t="str">
        <f>IFERROR(MID(VLOOKUP($B355,Seqs!$A:$B,2,0),U355,1),"")</f>
        <v>G</v>
      </c>
      <c r="U355" s="3">
        <v>106</v>
      </c>
      <c r="V355" s="3" t="str">
        <f>IFERROR(MID(VLOOKUP($B355,Seqs!$A:$B,2,0),W355,1),"")</f>
        <v>K</v>
      </c>
      <c r="W355" s="3">
        <v>141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G</v>
      </c>
      <c r="AC355" s="3">
        <v>149</v>
      </c>
      <c r="AD355" s="3" t="str">
        <f>IFERROR(MID(VLOOKUP($B355,Seqs!$A:$B,2,0),AE355,1),"")</f>
        <v>V</v>
      </c>
      <c r="AE355" s="3">
        <v>173</v>
      </c>
      <c r="AF355" s="3" t="str">
        <f>IFERROR(MID(VLOOKUP($B355,Seqs!$A:$B,2,0),AG355,1),"")</f>
        <v>C</v>
      </c>
      <c r="AG355" s="3">
        <v>187</v>
      </c>
      <c r="AH355" s="3" t="str">
        <f>IFERROR(MID(VLOOKUP($B355,Seqs!$A:$B,2,0),AI355,1),"")</f>
        <v>I</v>
      </c>
      <c r="AI355" s="3">
        <v>189</v>
      </c>
      <c r="AJ355" s="3" t="str">
        <f>IFERROR(MID(VLOOKUP($B355,Seqs!$A:$B,2,0),AK355,1),"")</f>
        <v>N</v>
      </c>
      <c r="AK355" s="3">
        <v>199</v>
      </c>
      <c r="AL355" s="3" t="str">
        <f>IFERROR(MID(VLOOKUP($B355,Seqs!$A:$B,2,0),AM355,1),"")</f>
        <v>Q</v>
      </c>
      <c r="AM355" s="3">
        <v>237</v>
      </c>
      <c r="AN355" s="3" t="str">
        <f>IFERROR(MID(VLOOKUP($B355,Seqs!$A:$B,2,0),AO355,1),"")</f>
        <v>S</v>
      </c>
      <c r="AO355" s="3">
        <v>240</v>
      </c>
      <c r="AP355" s="3" t="str">
        <f>IFERROR(MID(VLOOKUP($B355,Seqs!$A:$B,2,0),AQ355,1),"")</f>
        <v>H</v>
      </c>
      <c r="AQ355" s="3">
        <v>278</v>
      </c>
      <c r="AR355" s="3" t="str">
        <f>IFERROR(MID(VLOOKUP($B355,Seqs!$A:$B,2,0),AS355,1),"")</f>
        <v>T</v>
      </c>
      <c r="AS355" s="3">
        <v>289</v>
      </c>
      <c r="AT355" s="3" t="str">
        <f>IFERROR(MID(VLOOKUP($B355,Seqs!$A:$B,2,0),AU355,1),"")</f>
        <v>M</v>
      </c>
      <c r="AU355" s="3">
        <v>309</v>
      </c>
      <c r="AV355" s="3" t="str">
        <f>IFERROR(MID(VLOOKUP($B355,Seqs!$A:$B,2,0),AW355,1),"")</f>
        <v>N</v>
      </c>
      <c r="AW355" s="3">
        <v>310</v>
      </c>
      <c r="AX355" s="3" t="str">
        <f>IFERROR(MID(VLOOKUP($B355,Seqs!$A:$B,2,0),AY355,1),"")</f>
        <v>R</v>
      </c>
      <c r="AY355" s="3">
        <v>314</v>
      </c>
      <c r="AZ355" s="77" t="str">
        <f>VLOOKUP(B355,Classification!A:D,2,0)</f>
        <v>A</v>
      </c>
      <c r="BA355" s="94" t="str">
        <f>VLOOKUP(B355,Classification!A:D,4,0)</f>
        <v>Opsins</v>
      </c>
      <c r="BB355" s="27" t="b">
        <f t="shared" ref="BB355" si="3271">AND(E355&lt;G355,OR(G355&lt;I355,I355="-"),OR(I355&lt;K355,I355="-"),OR(K355&lt;M355,K355="-"),M355&lt;O355,OR(O355&lt;Q355,Q355="-"),OR(Q355&lt;S355,Q355="-"),OR(S355&lt;U355,S355="-"),U355&lt;W355,OR(W355&lt;Y355,Y355="-"),OR(Y355&lt;AA355,Y355="-"),OR(AA355&lt;AC355,AA355="-"),AC355&lt;AE355,OR(AE355&lt;AG355,AG355="-"),OR(AG355&lt;AI355,AG355="-"),OR(AI355&lt;AK355,AI355="-"),AK355&lt;AM355,AM355&lt;AO355,AO355&lt;AQ355,AQ355&lt;AS355,AS355&lt;AU355,OR(AU355&lt;AW355,AW355="-"),OR(AW355&lt;AY355,AW355="-"))</f>
        <v>1</v>
      </c>
      <c r="BC355" s="23">
        <f t="shared" ref="BC355" si="3272">_xlfn.AGGREGATE(9,6,CH355:CS355)-_xlfn.AGGREGATE(9,6,BV355:CG355)+12</f>
        <v>239</v>
      </c>
      <c r="BD355" s="2" t="s">
        <v>23</v>
      </c>
      <c r="BE355" s="3" t="s">
        <v>1285</v>
      </c>
      <c r="BF355" s="118">
        <v>3.12</v>
      </c>
      <c r="BG355" s="49" t="s">
        <v>1</v>
      </c>
      <c r="BH355" s="49" t="s">
        <v>1</v>
      </c>
      <c r="BI355" s="1"/>
      <c r="BJ355" s="70" t="s">
        <v>1281</v>
      </c>
      <c r="BK355" s="57" t="s">
        <v>1281</v>
      </c>
      <c r="BL355" s="57" t="s">
        <v>1281</v>
      </c>
      <c r="BM355" s="57" t="s">
        <v>1281</v>
      </c>
      <c r="BN355" s="57" t="s">
        <v>1281</v>
      </c>
      <c r="BO355" s="57" t="s">
        <v>1281</v>
      </c>
      <c r="BP355" s="57" t="s">
        <v>1281</v>
      </c>
      <c r="BQ355" s="57" t="s">
        <v>1281</v>
      </c>
      <c r="BR355" s="57" t="s">
        <v>1281</v>
      </c>
      <c r="BS355" s="57" t="s">
        <v>1281</v>
      </c>
      <c r="BT355" s="57" t="s">
        <v>1281</v>
      </c>
      <c r="BU355" s="57" t="s">
        <v>1281</v>
      </c>
      <c r="BV355" s="70">
        <f t="shared" ref="BV355" si="3273">E355</f>
        <v>33</v>
      </c>
      <c r="BW355" s="71">
        <f t="shared" ref="BW355" si="3274">I355</f>
        <v>66</v>
      </c>
      <c r="BX355" s="72">
        <f t="shared" ref="BX355" si="3275">M355</f>
        <v>73</v>
      </c>
      <c r="BY355" s="71">
        <f t="shared" ref="BY355" si="3276">Q355</f>
        <v>102</v>
      </c>
      <c r="BZ355" s="72">
        <f t="shared" ref="BZ355" si="3277">U355</f>
        <v>106</v>
      </c>
      <c r="CA355" s="71" t="str">
        <f t="shared" ref="CA355" si="3278">Y355</f>
        <v>-</v>
      </c>
      <c r="CB355" s="72">
        <f t="shared" ref="CB355" si="3279">AC355</f>
        <v>149</v>
      </c>
      <c r="CC355" s="71">
        <f t="shared" ref="CC355" si="3280">AG355</f>
        <v>187</v>
      </c>
      <c r="CD355" s="72">
        <f t="shared" ref="CD355" si="3281">AK355</f>
        <v>199</v>
      </c>
      <c r="CE355" s="71">
        <f t="shared" ref="CE355" si="3282">AO355</f>
        <v>240</v>
      </c>
      <c r="CF355" s="72">
        <f t="shared" ref="CF355" si="3283">AS355</f>
        <v>289</v>
      </c>
      <c r="CG355" s="71">
        <f t="shared" ref="CG355" si="3284">AW355</f>
        <v>310</v>
      </c>
      <c r="CH355" s="70">
        <f t="shared" ref="CH355" si="3285">G355</f>
        <v>65</v>
      </c>
      <c r="CI355" s="71">
        <f t="shared" ref="CI355" si="3286">K355</f>
        <v>69</v>
      </c>
      <c r="CJ355" s="72">
        <f t="shared" ref="CJ355" si="3287">O355</f>
        <v>101</v>
      </c>
      <c r="CK355" s="72">
        <f t="shared" ref="CK355" si="3288">S355</f>
        <v>105</v>
      </c>
      <c r="CL355" s="72">
        <f t="shared" ref="CL355" si="3289">W355</f>
        <v>141</v>
      </c>
      <c r="CM355" s="72" t="str">
        <f t="shared" ref="CM355" si="3290">AA355</f>
        <v>-</v>
      </c>
      <c r="CN355" s="72">
        <f t="shared" ref="CN355" si="3291">AE355</f>
        <v>173</v>
      </c>
      <c r="CO355" s="72">
        <f t="shared" ref="CO355" si="3292">AI355</f>
        <v>189</v>
      </c>
      <c r="CP355" s="72">
        <f t="shared" ref="CP355" si="3293">AM355</f>
        <v>237</v>
      </c>
      <c r="CQ355" s="72">
        <f t="shared" ref="CQ355" si="3294">AQ355</f>
        <v>278</v>
      </c>
      <c r="CR355" s="72">
        <f t="shared" ref="CR355" si="3295">AU355</f>
        <v>309</v>
      </c>
      <c r="CS355" s="72">
        <f t="shared" ref="CS355" si="3296">AY355</f>
        <v>314</v>
      </c>
      <c r="CT355" s="23">
        <f t="shared" ref="CT355" si="3297">M355-K355</f>
        <v>4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29" x14ac:dyDescent="0.2">
      <c r="A356" s="3" t="str">
        <f t="shared" ref="A356" si="3298">CONCATENATE(B356,"_",C356)</f>
        <v>opsd_bovin_6QNO</v>
      </c>
      <c r="B356" s="3" t="s">
        <v>913</v>
      </c>
      <c r="C356" s="3" t="s">
        <v>1579</v>
      </c>
      <c r="D356" s="3" t="str">
        <f>IFERROR(MID(VLOOKUP($B356,Seqs!$A:$B,2,0),E356,1),"")</f>
        <v>E</v>
      </c>
      <c r="E356" s="3">
        <v>33</v>
      </c>
      <c r="F356" s="3" t="str">
        <f>IFERROR(MID(VLOOKUP($B356,Seqs!$A:$B,2,0),G356,1),"")</f>
        <v>H</v>
      </c>
      <c r="G356" s="3">
        <v>65</v>
      </c>
      <c r="H356" s="3" t="str">
        <f>IFERROR(MID(VLOOKUP($B356,Seqs!$A:$B,2,0),I356,1),"")</f>
        <v>K</v>
      </c>
      <c r="I356" s="23">
        <v>66</v>
      </c>
      <c r="J356" s="3" t="str">
        <f>IFERROR(MID(VLOOKUP($B356,Seqs!$A:$B,2,0),K356,1),"")</f>
        <v>R</v>
      </c>
      <c r="K356" s="23">
        <v>69</v>
      </c>
      <c r="L356" s="3" t="str">
        <f>IFERROR(MID(VLOOKUP($B356,Seqs!$A:$B,2,0),M356,1),"")</f>
        <v>N</v>
      </c>
      <c r="M356" s="3">
        <v>73</v>
      </c>
      <c r="N356" s="3" t="str">
        <f>IFERROR(MID(VLOOKUP($B356,Seqs!$A:$B,2,0),O356,1),"")</f>
        <v>H</v>
      </c>
      <c r="O356" s="3">
        <v>100</v>
      </c>
      <c r="P356" s="3" t="str">
        <f>IFERROR(MID(VLOOKUP($B356,Seqs!$A:$B,2,0),Q356,1),"")</f>
        <v>Y</v>
      </c>
      <c r="Q356" s="3">
        <v>102</v>
      </c>
      <c r="R356" s="3" t="str">
        <f>IFERROR(MID(VLOOKUP($B356,Seqs!$A:$B,2,0),S356,1),"")</f>
        <v>F</v>
      </c>
      <c r="S356" s="3">
        <v>105</v>
      </c>
      <c r="T356" s="3" t="str">
        <f>IFERROR(MID(VLOOKUP($B356,Seqs!$A:$B,2,0),U356,1),"")</f>
        <v>G</v>
      </c>
      <c r="U356" s="3">
        <v>106</v>
      </c>
      <c r="V356" s="3" t="str">
        <f>IFERROR(MID(VLOOKUP($B356,Seqs!$A:$B,2,0),W356,1),"")</f>
        <v>K</v>
      </c>
      <c r="W356" s="3">
        <v>141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E</v>
      </c>
      <c r="AC356" s="3">
        <v>150</v>
      </c>
      <c r="AD356" s="3" t="str">
        <f>IFERROR(MID(VLOOKUP($B356,Seqs!$A:$B,2,0),AE356,1),"")</f>
        <v>V</v>
      </c>
      <c r="AE356" s="3">
        <v>173</v>
      </c>
      <c r="AF356" s="3" t="str">
        <f>IFERROR(MID(VLOOKUP($B356,Seqs!$A:$B,2,0),AG356,1),"")</f>
        <v>C</v>
      </c>
      <c r="AG356" s="3">
        <v>187</v>
      </c>
      <c r="AH356" s="3" t="str">
        <f>IFERROR(MID(VLOOKUP($B356,Seqs!$A:$B,2,0),AI356,1),"")</f>
        <v>I</v>
      </c>
      <c r="AI356" s="3">
        <v>189</v>
      </c>
      <c r="AJ356" s="3" t="str">
        <f>IFERROR(MID(VLOOKUP($B356,Seqs!$A:$B,2,0),AK356,1),"")</f>
        <v>N</v>
      </c>
      <c r="AK356" s="3">
        <v>200</v>
      </c>
      <c r="AL356" s="3" t="str">
        <f>IFERROR(MID(VLOOKUP($B356,Seqs!$A:$B,2,0),AM356,1),"")</f>
        <v>Q</v>
      </c>
      <c r="AM356" s="3">
        <v>237</v>
      </c>
      <c r="AN356" s="3" t="str">
        <f>IFERROR(MID(VLOOKUP($B356,Seqs!$A:$B,2,0),AO356,1),"")</f>
        <v>S</v>
      </c>
      <c r="AO356" s="3">
        <v>240</v>
      </c>
      <c r="AP356" s="3" t="str">
        <f>IFERROR(MID(VLOOKUP($B356,Seqs!$A:$B,2,0),AQ356,1),"")</f>
        <v>H</v>
      </c>
      <c r="AQ356" s="3">
        <v>278</v>
      </c>
      <c r="AR356" s="3" t="str">
        <f>IFERROR(MID(VLOOKUP($B356,Seqs!$A:$B,2,0),AS356,1),"")</f>
        <v>G</v>
      </c>
      <c r="AS356" s="3">
        <v>284</v>
      </c>
      <c r="AT356" s="3" t="str">
        <f>IFERROR(MID(VLOOKUP($B356,Seqs!$A:$B,2,0),AU356,1),"")</f>
        <v>M</v>
      </c>
      <c r="AU356" s="3">
        <v>309</v>
      </c>
      <c r="AV356" s="3" t="str">
        <f>IFERROR(MID(VLOOKUP($B356,Seqs!$A:$B,2,0),AW356,1),"")</f>
        <v>N</v>
      </c>
      <c r="AW356" s="3">
        <v>310</v>
      </c>
      <c r="AX356" s="3" t="str">
        <f>IFERROR(MID(VLOOKUP($B356,Seqs!$A:$B,2,0),AY356,1),"")</f>
        <v>C</v>
      </c>
      <c r="AY356" s="3">
        <v>322</v>
      </c>
      <c r="AZ356" s="77" t="str">
        <f>VLOOKUP(B356,Classification!A:D,2,0)</f>
        <v>A</v>
      </c>
      <c r="BA356" s="94" t="str">
        <f>VLOOKUP(B356,Classification!A:D,4,0)</f>
        <v>Opsins</v>
      </c>
      <c r="BB356" s="27" t="b">
        <f t="shared" ref="BB356" si="3299">AND(E356&lt;G356,OR(G356&lt;I356,I356="-"),OR(I356&lt;K356,I356="-"),OR(K356&lt;M356,K356="-"),M356&lt;O356,OR(O356&lt;Q356,Q356="-"),OR(Q356&lt;S356,Q356="-"),OR(S356&lt;U356,S356="-"),U356&lt;W356,OR(W356&lt;Y356,Y356="-"),OR(Y356&lt;AA356,Y356="-"),OR(AA356&lt;AC356,AA356="-"),AC356&lt;AE356,OR(AE356&lt;AG356,AG356="-"),OR(AG356&lt;AI356,AG356="-"),OR(AI356&lt;AK356,AI356="-"),AK356&lt;AM356,AM356&lt;AO356,AO356&lt;AQ356,AQ356&lt;AS356,AS356&lt;AU356,OR(AU356&lt;AW356,AW356="-"),OR(AW356&lt;AY356,AW356="-"))</f>
        <v>1</v>
      </c>
      <c r="BC356" s="23">
        <f t="shared" ref="BC356" si="3300">_xlfn.AGGREGATE(9,6,CH356:CS356)-_xlfn.AGGREGATE(9,6,BV356:CG356)+12</f>
        <v>249</v>
      </c>
      <c r="BD356" s="2" t="s">
        <v>23</v>
      </c>
      <c r="BE356" s="3" t="s">
        <v>1285</v>
      </c>
      <c r="BF356" s="118">
        <v>4.38</v>
      </c>
      <c r="BG356" s="49" t="s">
        <v>1416</v>
      </c>
      <c r="BH356" s="49" t="s">
        <v>1416</v>
      </c>
      <c r="BI356" s="1"/>
      <c r="BJ356" s="70" t="s">
        <v>1281</v>
      </c>
      <c r="BK356" s="57" t="s">
        <v>1281</v>
      </c>
      <c r="BL356" s="57" t="s">
        <v>1281</v>
      </c>
      <c r="BM356" s="57" t="s">
        <v>1281</v>
      </c>
      <c r="BN356" s="57" t="s">
        <v>1281</v>
      </c>
      <c r="BO356" s="57" t="s">
        <v>1281</v>
      </c>
      <c r="BP356" s="57" t="s">
        <v>1281</v>
      </c>
      <c r="BQ356" s="57" t="s">
        <v>1281</v>
      </c>
      <c r="BR356" s="57" t="s">
        <v>1281</v>
      </c>
      <c r="BS356" s="57" t="s">
        <v>1281</v>
      </c>
      <c r="BT356" s="57" t="s">
        <v>1281</v>
      </c>
      <c r="BU356" s="57" t="s">
        <v>1281</v>
      </c>
      <c r="BV356" s="70">
        <f t="shared" ref="BV356" si="3301">E356</f>
        <v>33</v>
      </c>
      <c r="BW356" s="71">
        <f t="shared" ref="BW356" si="3302">I356</f>
        <v>66</v>
      </c>
      <c r="BX356" s="72">
        <f t="shared" ref="BX356" si="3303">M356</f>
        <v>73</v>
      </c>
      <c r="BY356" s="71">
        <f t="shared" ref="BY356" si="3304">Q356</f>
        <v>102</v>
      </c>
      <c r="BZ356" s="72">
        <f t="shared" ref="BZ356" si="3305">U356</f>
        <v>106</v>
      </c>
      <c r="CA356" s="71" t="str">
        <f t="shared" ref="CA356" si="3306">Y356</f>
        <v>-</v>
      </c>
      <c r="CB356" s="72">
        <f t="shared" ref="CB356" si="3307">AC356</f>
        <v>150</v>
      </c>
      <c r="CC356" s="71">
        <f t="shared" ref="CC356" si="3308">AG356</f>
        <v>187</v>
      </c>
      <c r="CD356" s="72">
        <f t="shared" ref="CD356" si="3309">AK356</f>
        <v>200</v>
      </c>
      <c r="CE356" s="71">
        <f t="shared" ref="CE356" si="3310">AO356</f>
        <v>240</v>
      </c>
      <c r="CF356" s="72">
        <f t="shared" ref="CF356" si="3311">AS356</f>
        <v>284</v>
      </c>
      <c r="CG356" s="71">
        <f t="shared" ref="CG356" si="3312">AW356</f>
        <v>310</v>
      </c>
      <c r="CH356" s="70">
        <f t="shared" ref="CH356" si="3313">G356</f>
        <v>65</v>
      </c>
      <c r="CI356" s="71">
        <f t="shared" ref="CI356" si="3314">K356</f>
        <v>69</v>
      </c>
      <c r="CJ356" s="72">
        <f t="shared" ref="CJ356" si="3315">O356</f>
        <v>100</v>
      </c>
      <c r="CK356" s="72">
        <f t="shared" ref="CK356" si="3316">S356</f>
        <v>105</v>
      </c>
      <c r="CL356" s="72">
        <f t="shared" ref="CL356" si="3317">W356</f>
        <v>141</v>
      </c>
      <c r="CM356" s="72" t="str">
        <f t="shared" ref="CM356" si="3318">AA356</f>
        <v>-</v>
      </c>
      <c r="CN356" s="72">
        <f t="shared" ref="CN356" si="3319">AE356</f>
        <v>173</v>
      </c>
      <c r="CO356" s="72">
        <f t="shared" ref="CO356" si="3320">AI356</f>
        <v>189</v>
      </c>
      <c r="CP356" s="72">
        <f t="shared" ref="CP356" si="3321">AM356</f>
        <v>237</v>
      </c>
      <c r="CQ356" s="72">
        <f t="shared" ref="CQ356" si="3322">AQ356</f>
        <v>278</v>
      </c>
      <c r="CR356" s="72">
        <f t="shared" ref="CR356" si="3323">AU356</f>
        <v>309</v>
      </c>
      <c r="CS356" s="72">
        <f t="shared" ref="CS356" si="3324">AY356</f>
        <v>322</v>
      </c>
      <c r="CT356" s="23">
        <f t="shared" ref="CT356" si="3325">M356-K356</f>
        <v>4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</row>
    <row r="357" spans="1:1029" x14ac:dyDescent="0.2">
      <c r="A357" s="3" t="str">
        <f t="shared" ref="A357" si="3326">CONCATENATE(B357,"_",C357)</f>
        <v>opsd_bovin_6OY9</v>
      </c>
      <c r="B357" s="3" t="s">
        <v>913</v>
      </c>
      <c r="C357" s="3" t="s">
        <v>1581</v>
      </c>
      <c r="D357" s="3" t="str">
        <f>IFERROR(MID(VLOOKUP($B357,Seqs!$A:$B,2,0),E357,1),"")</f>
        <v>E</v>
      </c>
      <c r="E357" s="3">
        <v>33</v>
      </c>
      <c r="F357" s="3" t="str">
        <f>IFERROR(MID(VLOOKUP($B357,Seqs!$A:$B,2,0),G357,1),"")</f>
        <v>Q</v>
      </c>
      <c r="G357" s="3">
        <v>64</v>
      </c>
      <c r="H357" s="3" t="str">
        <f>IFERROR(MID(VLOOKUP($B357,Seqs!$A:$B,2,0),I357,1),"")</f>
        <v/>
      </c>
      <c r="I357" s="23" t="s">
        <v>23</v>
      </c>
      <c r="J357" s="3" t="str">
        <f>IFERROR(MID(VLOOKUP($B357,Seqs!$A:$B,2,0),K357,1),"")</f>
        <v/>
      </c>
      <c r="K357" s="23" t="s">
        <v>23</v>
      </c>
      <c r="L357" s="3" t="str">
        <f>IFERROR(MID(VLOOKUP($B357,Seqs!$A:$B,2,0),M357,1),"")</f>
        <v>N</v>
      </c>
      <c r="M357" s="3">
        <v>73</v>
      </c>
      <c r="N357" s="3" t="str">
        <f>IFERROR(MID(VLOOKUP($B357,Seqs!$A:$B,2,0),O357,1),"")</f>
        <v>H</v>
      </c>
      <c r="O357" s="3">
        <v>100</v>
      </c>
      <c r="P357" s="3" t="str">
        <f>IFERROR(MID(VLOOKUP($B357,Seqs!$A:$B,2,0),Q357,1),"")</f>
        <v>Y</v>
      </c>
      <c r="Q357" s="3">
        <v>102</v>
      </c>
      <c r="R357" s="3" t="str">
        <f>IFERROR(MID(VLOOKUP($B357,Seqs!$A:$B,2,0),S357,1),"")</f>
        <v>F</v>
      </c>
      <c r="S357" s="3">
        <v>105</v>
      </c>
      <c r="T357" s="3" t="str">
        <f>IFERROR(MID(VLOOKUP($B357,Seqs!$A:$B,2,0),U357,1),"")</f>
        <v>G</v>
      </c>
      <c r="U357" s="3">
        <v>106</v>
      </c>
      <c r="V357" s="3" t="str">
        <f>IFERROR(MID(VLOOKUP($B357,Seqs!$A:$B,2,0),W357,1),"")</f>
        <v>C</v>
      </c>
      <c r="W357" s="3">
        <v>140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E</v>
      </c>
      <c r="AC357" s="3">
        <v>150</v>
      </c>
      <c r="AD357" s="3" t="str">
        <f>IFERROR(MID(VLOOKUP($B357,Seqs!$A:$B,2,0),AE357,1),"")</f>
        <v>L</v>
      </c>
      <c r="AE357" s="3">
        <v>172</v>
      </c>
      <c r="AF357" s="3" t="str">
        <f>IFERROR(MID(VLOOKUP($B357,Seqs!$A:$B,2,0),AG357,1),"")</f>
        <v>C</v>
      </c>
      <c r="AG357" s="3">
        <v>187</v>
      </c>
      <c r="AH357" s="3" t="str">
        <f>IFERROR(MID(VLOOKUP($B357,Seqs!$A:$B,2,0),AI357,1),"")</f>
        <v>I</v>
      </c>
      <c r="AI357" s="3">
        <v>189</v>
      </c>
      <c r="AJ357" s="3" t="str">
        <f>IFERROR(MID(VLOOKUP($B357,Seqs!$A:$B,2,0),AK357,1),"")</f>
        <v>N</v>
      </c>
      <c r="AK357" s="3">
        <v>199</v>
      </c>
      <c r="AL357" s="3" t="str">
        <f>IFERROR(MID(VLOOKUP($B357,Seqs!$A:$B,2,0),AM357,1),"")</f>
        <v>Q</v>
      </c>
      <c r="AM357" s="3">
        <v>236</v>
      </c>
      <c r="AN357" s="3" t="str">
        <f>IFERROR(MID(VLOOKUP($B357,Seqs!$A:$B,2,0),AO357,1),"")</f>
        <v>S</v>
      </c>
      <c r="AO357" s="3">
        <v>240</v>
      </c>
      <c r="AP357" s="3" t="str">
        <f>IFERROR(MID(VLOOKUP($B357,Seqs!$A:$B,2,0),AQ357,1),"")</f>
        <v>H</v>
      </c>
      <c r="AQ357" s="3">
        <v>278</v>
      </c>
      <c r="AR357" s="3" t="str">
        <f>IFERROR(MID(VLOOKUP($B357,Seqs!$A:$B,2,0),AS357,1),"")</f>
        <v>G</v>
      </c>
      <c r="AS357" s="3">
        <v>284</v>
      </c>
      <c r="AT357" s="3" t="str">
        <f>IFERROR(MID(VLOOKUP($B357,Seqs!$A:$B,2,0),AU357,1),"")</f>
        <v>M</v>
      </c>
      <c r="AU357" s="3">
        <v>309</v>
      </c>
      <c r="AV357" s="3" t="str">
        <f>IFERROR(MID(VLOOKUP($B357,Seqs!$A:$B,2,0),AW357,1),"")</f>
        <v>F</v>
      </c>
      <c r="AW357" s="3">
        <v>313</v>
      </c>
      <c r="AX357" s="3" t="str">
        <f>IFERROR(MID(VLOOKUP($B357,Seqs!$A:$B,2,0),AY357,1),"")</f>
        <v>C</v>
      </c>
      <c r="AY357" s="3">
        <v>322</v>
      </c>
      <c r="AZ357" s="77" t="str">
        <f>VLOOKUP(B357,Classification!A:D,2,0)</f>
        <v>A</v>
      </c>
      <c r="BA357" s="94" t="str">
        <f>VLOOKUP(B357,Classification!A:D,4,0)</f>
        <v>Opsins</v>
      </c>
      <c r="BB357" s="27" t="b">
        <f t="shared" ref="BB357" si="3327">AND(E357&lt;G357,OR(G357&lt;I357,I357="-"),OR(I357&lt;K357,I357="-"),OR(K357&lt;M357,K357="-"),M357&lt;O357,OR(O357&lt;Q357,Q357="-"),OR(Q357&lt;S357,Q357="-"),OR(S357&lt;U357,S357="-"),U357&lt;W357,OR(W357&lt;Y357,Y357="-"),OR(Y357&lt;AA357,Y357="-"),OR(AA357&lt;AC357,AA357="-"),AC357&lt;AE357,OR(AE357&lt;AG357,AG357="-"),OR(AG357&lt;AI357,AG357="-"),OR(AI357&lt;AK357,AI357="-"),AK357&lt;AM357,AM357&lt;AO357,AO357&lt;AQ357,AQ357&lt;AS357,AS357&lt;AU357,OR(AU357&lt;AW357,AW357="-"),OR(AW357&lt;AY357,AW357="-"))</f>
        <v>1</v>
      </c>
      <c r="BC357" s="23">
        <f t="shared" ref="BC357" si="3328">_xlfn.AGGREGATE(9,6,CH357:CS357)-_xlfn.AGGREGATE(9,6,BV357:CG357)+12</f>
        <v>240</v>
      </c>
      <c r="BD357" s="2" t="s">
        <v>23</v>
      </c>
      <c r="BE357" s="3" t="s">
        <v>1285</v>
      </c>
      <c r="BF357" s="118">
        <v>3.9</v>
      </c>
      <c r="BG357" s="49" t="s">
        <v>1416</v>
      </c>
      <c r="BH357" s="49" t="s">
        <v>1416</v>
      </c>
      <c r="BI357" s="1"/>
      <c r="BJ357" s="70" t="s">
        <v>1281</v>
      </c>
      <c r="BK357" s="57" t="s">
        <v>1281</v>
      </c>
      <c r="BL357" s="57" t="s">
        <v>1281</v>
      </c>
      <c r="BM357" s="57" t="s">
        <v>1281</v>
      </c>
      <c r="BN357" s="57" t="s">
        <v>1281</v>
      </c>
      <c r="BO357" s="57" t="s">
        <v>1281</v>
      </c>
      <c r="BP357" s="57" t="s">
        <v>1281</v>
      </c>
      <c r="BQ357" s="57" t="s">
        <v>1281</v>
      </c>
      <c r="BR357" s="57" t="s">
        <v>1281</v>
      </c>
      <c r="BS357" s="57" t="s">
        <v>1281</v>
      </c>
      <c r="BT357" s="57" t="s">
        <v>1281</v>
      </c>
      <c r="BU357" s="57" t="s">
        <v>1281</v>
      </c>
      <c r="BV357" s="70">
        <f t="shared" ref="BV357" si="3329">E357</f>
        <v>33</v>
      </c>
      <c r="BW357" s="71" t="str">
        <f t="shared" ref="BW357" si="3330">I357</f>
        <v>-</v>
      </c>
      <c r="BX357" s="72">
        <f t="shared" ref="BX357" si="3331">M357</f>
        <v>73</v>
      </c>
      <c r="BY357" s="71">
        <f t="shared" ref="BY357" si="3332">Q357</f>
        <v>102</v>
      </c>
      <c r="BZ357" s="72">
        <f t="shared" ref="BZ357" si="3333">U357</f>
        <v>106</v>
      </c>
      <c r="CA357" s="71" t="str">
        <f t="shared" ref="CA357" si="3334">Y357</f>
        <v>-</v>
      </c>
      <c r="CB357" s="72">
        <f t="shared" ref="CB357" si="3335">AC357</f>
        <v>150</v>
      </c>
      <c r="CC357" s="71">
        <f t="shared" ref="CC357" si="3336">AG357</f>
        <v>187</v>
      </c>
      <c r="CD357" s="72">
        <f t="shared" ref="CD357" si="3337">AK357</f>
        <v>199</v>
      </c>
      <c r="CE357" s="71">
        <f t="shared" ref="CE357" si="3338">AO357</f>
        <v>240</v>
      </c>
      <c r="CF357" s="72">
        <f t="shared" ref="CF357" si="3339">AS357</f>
        <v>284</v>
      </c>
      <c r="CG357" s="71">
        <f t="shared" ref="CG357" si="3340">AW357</f>
        <v>313</v>
      </c>
      <c r="CH357" s="70">
        <f t="shared" ref="CH357" si="3341">G357</f>
        <v>64</v>
      </c>
      <c r="CI357" s="71" t="str">
        <f t="shared" ref="CI357" si="3342">K357</f>
        <v>-</v>
      </c>
      <c r="CJ357" s="72">
        <f t="shared" ref="CJ357" si="3343">O357</f>
        <v>100</v>
      </c>
      <c r="CK357" s="72">
        <f t="shared" ref="CK357" si="3344">S357</f>
        <v>105</v>
      </c>
      <c r="CL357" s="72">
        <f t="shared" ref="CL357" si="3345">W357</f>
        <v>140</v>
      </c>
      <c r="CM357" s="72" t="str">
        <f t="shared" ref="CM357" si="3346">AA357</f>
        <v>-</v>
      </c>
      <c r="CN357" s="72">
        <f t="shared" ref="CN357" si="3347">AE357</f>
        <v>172</v>
      </c>
      <c r="CO357" s="72">
        <f t="shared" ref="CO357" si="3348">AI357</f>
        <v>189</v>
      </c>
      <c r="CP357" s="72">
        <f t="shared" ref="CP357" si="3349">AM357</f>
        <v>236</v>
      </c>
      <c r="CQ357" s="72">
        <f t="shared" ref="CQ357" si="3350">AQ357</f>
        <v>278</v>
      </c>
      <c r="CR357" s="72">
        <f t="shared" ref="CR357" si="3351">AU357</f>
        <v>309</v>
      </c>
      <c r="CS357" s="72">
        <f t="shared" ref="CS357" si="3352">AY357</f>
        <v>322</v>
      </c>
      <c r="CT357" s="23" t="e">
        <f t="shared" ref="CT357" si="3353">M357-K357</f>
        <v>#VALUE!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</row>
    <row r="358" spans="1:1029" x14ac:dyDescent="0.2">
      <c r="A358" s="3" t="str">
        <f t="shared" ref="A358" si="3354">CONCATENATE(B358,"_",C358)</f>
        <v>opsd_bovin_6OYA</v>
      </c>
      <c r="B358" s="3" t="s">
        <v>913</v>
      </c>
      <c r="C358" s="3" t="s">
        <v>1582</v>
      </c>
      <c r="D358" s="3" t="str">
        <f>IFERROR(MID(VLOOKUP($B358,Seqs!$A:$B,2,0),E358,1),"")</f>
        <v>E</v>
      </c>
      <c r="E358" s="3">
        <v>33</v>
      </c>
      <c r="F358" s="3" t="str">
        <f>IFERROR(MID(VLOOKUP($B358,Seqs!$A:$B,2,0),G358,1),"")</f>
        <v>H</v>
      </c>
      <c r="G358" s="3">
        <v>65</v>
      </c>
      <c r="H358" s="3" t="str">
        <f>IFERROR(MID(VLOOKUP($B358,Seqs!$A:$B,2,0),I358,1),"")</f>
        <v>K</v>
      </c>
      <c r="I358" s="23">
        <v>66</v>
      </c>
      <c r="J358" s="3" t="str">
        <f>IFERROR(MID(VLOOKUP($B358,Seqs!$A:$B,2,0),K358,1),"")</f>
        <v>R</v>
      </c>
      <c r="K358" s="23">
        <v>69</v>
      </c>
      <c r="L358" s="3" t="str">
        <f>IFERROR(MID(VLOOKUP($B358,Seqs!$A:$B,2,0),M358,1),"")</f>
        <v>T</v>
      </c>
      <c r="M358" s="3">
        <v>70</v>
      </c>
      <c r="N358" s="3" t="str">
        <f>IFERROR(MID(VLOOKUP($B358,Seqs!$A:$B,2,0),O358,1),"")</f>
        <v>G</v>
      </c>
      <c r="O358" s="3">
        <v>101</v>
      </c>
      <c r="P358" s="3" t="str">
        <f>IFERROR(MID(VLOOKUP($B358,Seqs!$A:$B,2,0),Q358,1),"")</f>
        <v>Y</v>
      </c>
      <c r="Q358" s="3">
        <v>102</v>
      </c>
      <c r="R358" s="3" t="str">
        <f>IFERROR(MID(VLOOKUP($B358,Seqs!$A:$B,2,0),S358,1),"")</f>
        <v>F</v>
      </c>
      <c r="S358" s="3">
        <v>105</v>
      </c>
      <c r="T358" s="3" t="str">
        <f>IFERROR(MID(VLOOKUP($B358,Seqs!$A:$B,2,0),U358,1),"")</f>
        <v>G</v>
      </c>
      <c r="U358" s="3">
        <v>106</v>
      </c>
      <c r="V358" s="3" t="str">
        <f>IFERROR(MID(VLOOKUP($B358,Seqs!$A:$B,2,0),W358,1),"")</f>
        <v>C</v>
      </c>
      <c r="W358" s="3">
        <v>140</v>
      </c>
      <c r="X358" s="3" t="str">
        <f>IFERROR(MID(VLOOKUP($B358,Seqs!$A:$B,2,0),Y358,1),"")</f>
        <v/>
      </c>
      <c r="Y358" s="3" t="s">
        <v>23</v>
      </c>
      <c r="Z358" s="3" t="str">
        <f>IFERROR(MID(VLOOKUP($B358,Seqs!$A:$B,2,0),AA358,1),"")</f>
        <v/>
      </c>
      <c r="AA358" s="3" t="s">
        <v>23</v>
      </c>
      <c r="AB358" s="3" t="str">
        <f>IFERROR(MID(VLOOKUP($B358,Seqs!$A:$B,2,0),AC358,1),"")</f>
        <v>G</v>
      </c>
      <c r="AC358" s="3">
        <v>149</v>
      </c>
      <c r="AD358" s="3" t="str">
        <f>IFERROR(MID(VLOOKUP($B358,Seqs!$A:$B,2,0),AE358,1),"")</f>
        <v>G</v>
      </c>
      <c r="AE358" s="3">
        <v>174</v>
      </c>
      <c r="AF358" s="3" t="str">
        <f>IFERROR(MID(VLOOKUP($B358,Seqs!$A:$B,2,0),AG358,1),"")</f>
        <v>C</v>
      </c>
      <c r="AG358" s="3">
        <v>187</v>
      </c>
      <c r="AH358" s="3" t="str">
        <f>IFERROR(MID(VLOOKUP($B358,Seqs!$A:$B,2,0),AI358,1),"")</f>
        <v>I</v>
      </c>
      <c r="AI358" s="3">
        <v>189</v>
      </c>
      <c r="AJ358" s="3" t="str">
        <f>IFERROR(MID(VLOOKUP($B358,Seqs!$A:$B,2,0),AK358,1),"")</f>
        <v>N</v>
      </c>
      <c r="AK358" s="3">
        <v>199</v>
      </c>
      <c r="AL358" s="3" t="str">
        <f>IFERROR(MID(VLOOKUP($B358,Seqs!$A:$B,2,0),AM358,1),"")</f>
        <v>A</v>
      </c>
      <c r="AM358" s="3">
        <v>235</v>
      </c>
      <c r="AN358" s="3" t="str">
        <f>IFERROR(MID(VLOOKUP($B358,Seqs!$A:$B,2,0),AO358,1),"")</f>
        <v>T</v>
      </c>
      <c r="AO358" s="3">
        <v>243</v>
      </c>
      <c r="AP358" s="3" t="str">
        <f>IFERROR(MID(VLOOKUP($B358,Seqs!$A:$B,2,0),AQ358,1),"")</f>
        <v>H</v>
      </c>
      <c r="AQ358" s="3">
        <v>278</v>
      </c>
      <c r="AR358" s="3" t="str">
        <f>IFERROR(MID(VLOOKUP($B358,Seqs!$A:$B,2,0),AS358,1),"")</f>
        <v>G</v>
      </c>
      <c r="AS358" s="3">
        <v>284</v>
      </c>
      <c r="AT358" s="3" t="str">
        <f>IFERROR(MID(VLOOKUP($B358,Seqs!$A:$B,2,0),AU358,1),"")</f>
        <v>M</v>
      </c>
      <c r="AU358" s="3">
        <v>308</v>
      </c>
      <c r="AV358" s="3" t="str">
        <f>IFERROR(MID(VLOOKUP($B358,Seqs!$A:$B,2,0),AW358,1),"")</f>
        <v>F</v>
      </c>
      <c r="AW358" s="3">
        <v>313</v>
      </c>
      <c r="AX358" s="3" t="str">
        <f>IFERROR(MID(VLOOKUP($B358,Seqs!$A:$B,2,0),AY358,1),"")</f>
        <v>C</v>
      </c>
      <c r="AY358" s="3">
        <v>322</v>
      </c>
      <c r="AZ358" s="77" t="str">
        <f>VLOOKUP(B358,Classification!A:D,2,0)</f>
        <v>A</v>
      </c>
      <c r="BA358" s="94" t="str">
        <f>VLOOKUP(B358,Classification!A:D,4,0)</f>
        <v>Opsins</v>
      </c>
      <c r="BB358" s="27" t="b">
        <f t="shared" ref="BB358" si="3355">AND(E358&lt;G358,OR(G358&lt;I358,I358="-"),OR(I358&lt;K358,I358="-"),OR(K358&lt;M358,K358="-"),M358&lt;O358,OR(O358&lt;Q358,Q358="-"),OR(Q358&lt;S358,Q358="-"),OR(S358&lt;U358,S358="-"),U358&lt;W358,OR(W358&lt;Y358,Y358="-"),OR(Y358&lt;AA358,Y358="-"),OR(AA358&lt;AC358,AA358="-"),AC358&lt;AE358,OR(AE358&lt;AG358,AG358="-"),OR(AG358&lt;AI358,AG358="-"),OR(AI358&lt;AK358,AI358="-"),AK358&lt;AM358,AM358&lt;AO358,AO358&lt;AQ358,AQ358&lt;AS358,AS358&lt;AU358,OR(AU358&lt;AW358,AW358="-"),OR(AW358&lt;AY358,AW358="-"))</f>
        <v>1</v>
      </c>
      <c r="BC358" s="23">
        <f t="shared" ref="BC358" si="3356">_xlfn.AGGREGATE(9,6,CH358:CS358)-_xlfn.AGGREGATE(9,6,BV358:CG358)+12</f>
        <v>246</v>
      </c>
      <c r="BD358" s="2" t="s">
        <v>23</v>
      </c>
      <c r="BE358" s="3" t="s">
        <v>1285</v>
      </c>
      <c r="BF358" s="118">
        <v>3.3</v>
      </c>
      <c r="BG358" s="49" t="s">
        <v>1416</v>
      </c>
      <c r="BH358" s="49" t="s">
        <v>1416</v>
      </c>
      <c r="BI358" s="1"/>
      <c r="BJ358" s="70" t="s">
        <v>1281</v>
      </c>
      <c r="BK358" s="57" t="s">
        <v>1281</v>
      </c>
      <c r="BL358" s="57" t="s">
        <v>1281</v>
      </c>
      <c r="BM358" s="57" t="s">
        <v>1281</v>
      </c>
      <c r="BN358" s="57" t="s">
        <v>1281</v>
      </c>
      <c r="BO358" s="57" t="s">
        <v>1281</v>
      </c>
      <c r="BP358" s="57" t="s">
        <v>1281</v>
      </c>
      <c r="BQ358" s="57" t="s">
        <v>1281</v>
      </c>
      <c r="BR358" s="57" t="s">
        <v>1281</v>
      </c>
      <c r="BS358" s="57" t="s">
        <v>1281</v>
      </c>
      <c r="BT358" s="57" t="s">
        <v>1281</v>
      </c>
      <c r="BU358" s="57" t="s">
        <v>1281</v>
      </c>
      <c r="BV358" s="70">
        <f t="shared" ref="BV358" si="3357">E358</f>
        <v>33</v>
      </c>
      <c r="BW358" s="71">
        <f t="shared" ref="BW358" si="3358">I358</f>
        <v>66</v>
      </c>
      <c r="BX358" s="72">
        <f t="shared" ref="BX358" si="3359">M358</f>
        <v>70</v>
      </c>
      <c r="BY358" s="71">
        <f t="shared" ref="BY358" si="3360">Q358</f>
        <v>102</v>
      </c>
      <c r="BZ358" s="72">
        <f t="shared" ref="BZ358" si="3361">U358</f>
        <v>106</v>
      </c>
      <c r="CA358" s="71" t="str">
        <f t="shared" ref="CA358" si="3362">Y358</f>
        <v>-</v>
      </c>
      <c r="CB358" s="72">
        <f t="shared" ref="CB358" si="3363">AC358</f>
        <v>149</v>
      </c>
      <c r="CC358" s="71">
        <f t="shared" ref="CC358" si="3364">AG358</f>
        <v>187</v>
      </c>
      <c r="CD358" s="72">
        <f t="shared" ref="CD358" si="3365">AK358</f>
        <v>199</v>
      </c>
      <c r="CE358" s="71">
        <f t="shared" ref="CE358" si="3366">AO358</f>
        <v>243</v>
      </c>
      <c r="CF358" s="72">
        <f t="shared" ref="CF358" si="3367">AS358</f>
        <v>284</v>
      </c>
      <c r="CG358" s="71">
        <f t="shared" ref="CG358" si="3368">AW358</f>
        <v>313</v>
      </c>
      <c r="CH358" s="70">
        <f t="shared" ref="CH358" si="3369">G358</f>
        <v>65</v>
      </c>
      <c r="CI358" s="71">
        <f t="shared" ref="CI358" si="3370">K358</f>
        <v>69</v>
      </c>
      <c r="CJ358" s="72">
        <f t="shared" ref="CJ358" si="3371">O358</f>
        <v>101</v>
      </c>
      <c r="CK358" s="72">
        <f t="shared" ref="CK358" si="3372">S358</f>
        <v>105</v>
      </c>
      <c r="CL358" s="72">
        <f t="shared" ref="CL358" si="3373">W358</f>
        <v>140</v>
      </c>
      <c r="CM358" s="72" t="str">
        <f t="shared" ref="CM358" si="3374">AA358</f>
        <v>-</v>
      </c>
      <c r="CN358" s="72">
        <f t="shared" ref="CN358" si="3375">AE358</f>
        <v>174</v>
      </c>
      <c r="CO358" s="72">
        <f t="shared" ref="CO358" si="3376">AI358</f>
        <v>189</v>
      </c>
      <c r="CP358" s="72">
        <f t="shared" ref="CP358" si="3377">AM358</f>
        <v>235</v>
      </c>
      <c r="CQ358" s="72">
        <f t="shared" ref="CQ358" si="3378">AQ358</f>
        <v>278</v>
      </c>
      <c r="CR358" s="72">
        <f t="shared" ref="CR358" si="3379">AU358</f>
        <v>308</v>
      </c>
      <c r="CS358" s="72">
        <f t="shared" ref="CS358" si="3380">AY358</f>
        <v>322</v>
      </c>
      <c r="CT358" s="23">
        <f t="shared" ref="CT358" si="3381">M358-K358</f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</row>
    <row r="359" spans="1:1029" x14ac:dyDescent="0.2">
      <c r="A359" s="3" t="str">
        <f t="shared" ref="A359" si="3382">CONCATENATE(B359,"_",C359)</f>
        <v>opsd_bovin_6OFJ</v>
      </c>
      <c r="B359" s="3" t="s">
        <v>913</v>
      </c>
      <c r="C359" s="3" t="s">
        <v>1585</v>
      </c>
      <c r="D359" s="3" t="str">
        <f>IFERROR(MID(VLOOKUP($B359,Seqs!$A:$B,2,0),E359,1),"")</f>
        <v>P</v>
      </c>
      <c r="E359" s="3">
        <v>34</v>
      </c>
      <c r="F359" s="3" t="str">
        <f>IFERROR(MID(VLOOKUP($B359,Seqs!$A:$B,2,0),G359,1),"")</f>
        <v>H</v>
      </c>
      <c r="G359" s="3">
        <v>65</v>
      </c>
      <c r="H359" s="3" t="str">
        <f>IFERROR(MID(VLOOKUP($B359,Seqs!$A:$B,2,0),I359,1),"")</f>
        <v/>
      </c>
      <c r="I359" s="23" t="s">
        <v>23</v>
      </c>
      <c r="J359" s="3" t="str">
        <f>IFERROR(MID(VLOOKUP($B359,Seqs!$A:$B,2,0),K359,1),"")</f>
        <v/>
      </c>
      <c r="K359" s="23" t="s">
        <v>23</v>
      </c>
      <c r="L359" s="3" t="str">
        <f>IFERROR(MID(VLOOKUP($B359,Seqs!$A:$B,2,0),M359,1),"")</f>
        <v>T</v>
      </c>
      <c r="M359" s="3">
        <v>70</v>
      </c>
      <c r="N359" s="3" t="str">
        <f>IFERROR(MID(VLOOKUP($B359,Seqs!$A:$B,2,0),O359,1),"")</f>
        <v>G</v>
      </c>
      <c r="O359" s="3">
        <v>101</v>
      </c>
      <c r="P359" s="3" t="str">
        <f>IFERROR(MID(VLOOKUP($B359,Seqs!$A:$B,2,0),Q359,1),"")</f>
        <v>Y</v>
      </c>
      <c r="Q359" s="3">
        <v>102</v>
      </c>
      <c r="R359" s="3" t="str">
        <f>IFERROR(MID(VLOOKUP($B359,Seqs!$A:$B,2,0),S359,1),"")</f>
        <v>F</v>
      </c>
      <c r="S359" s="3">
        <v>105</v>
      </c>
      <c r="T359" s="3" t="str">
        <f>IFERROR(MID(VLOOKUP($B359,Seqs!$A:$B,2,0),U359,1),"")</f>
        <v>G</v>
      </c>
      <c r="U359" s="3">
        <v>106</v>
      </c>
      <c r="V359" s="3" t="str">
        <f>IFERROR(MID(VLOOKUP($B359,Seqs!$A:$B,2,0),W359,1),"")</f>
        <v>K</v>
      </c>
      <c r="W359" s="3">
        <v>141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A</v>
      </c>
      <c r="AC359" s="3">
        <v>153</v>
      </c>
      <c r="AD359" s="3" t="str">
        <f>IFERROR(MID(VLOOKUP($B359,Seqs!$A:$B,2,0),AE359,1),"")</f>
        <v>V</v>
      </c>
      <c r="AE359" s="3">
        <v>173</v>
      </c>
      <c r="AF359" s="3" t="str">
        <f>IFERROR(MID(VLOOKUP($B359,Seqs!$A:$B,2,0),AG359,1),"")</f>
        <v>C</v>
      </c>
      <c r="AG359" s="3">
        <v>187</v>
      </c>
      <c r="AH359" s="3" t="str">
        <f>IFERROR(MID(VLOOKUP($B359,Seqs!$A:$B,2,0),AI359,1),"")</f>
        <v>I</v>
      </c>
      <c r="AI359" s="3">
        <v>189</v>
      </c>
      <c r="AJ359" s="3" t="str">
        <f>IFERROR(MID(VLOOKUP($B359,Seqs!$A:$B,2,0),AK359,1),"")</f>
        <v>N</v>
      </c>
      <c r="AK359" s="3">
        <v>200</v>
      </c>
      <c r="AL359" s="3" t="str">
        <f>IFERROR(MID(VLOOKUP($B359,Seqs!$A:$B,2,0),AM359,1),"")</f>
        <v>L</v>
      </c>
      <c r="AM359" s="3">
        <v>226</v>
      </c>
      <c r="AN359" s="3" t="str">
        <f>IFERROR(MID(VLOOKUP($B359,Seqs!$A:$B,2,0),AO359,1),"")</f>
        <v>A</v>
      </c>
      <c r="AO359" s="3">
        <v>241</v>
      </c>
      <c r="AP359" s="3" t="str">
        <f>IFERROR(MID(VLOOKUP($B359,Seqs!$A:$B,2,0),AQ359,1),"")</f>
        <v>H</v>
      </c>
      <c r="AQ359" s="3">
        <v>278</v>
      </c>
      <c r="AR359" s="3" t="str">
        <f>IFERROR(MID(VLOOKUP($B359,Seqs!$A:$B,2,0),AS359,1),"")</f>
        <v>M</v>
      </c>
      <c r="AS359" s="3">
        <v>288</v>
      </c>
      <c r="AT359" s="3" t="str">
        <f>IFERROR(MID(VLOOKUP($B359,Seqs!$A:$B,2,0),AU359,1),"")</f>
        <v>M</v>
      </c>
      <c r="AU359" s="3">
        <v>309</v>
      </c>
      <c r="AV359" s="3" t="str">
        <f>IFERROR(MID(VLOOKUP($B359,Seqs!$A:$B,2,0),AW359,1),"")</f>
        <v>N</v>
      </c>
      <c r="AW359" s="3">
        <v>310</v>
      </c>
      <c r="AX359" s="3" t="str">
        <f>IFERROR(MID(VLOOKUP($B359,Seqs!$A:$B,2,0),AY359,1),"")</f>
        <v>T</v>
      </c>
      <c r="AY359" s="3">
        <v>320</v>
      </c>
      <c r="AZ359" s="77" t="str">
        <f>VLOOKUP(B359,Classification!A:D,2,0)</f>
        <v>A</v>
      </c>
      <c r="BA359" s="94" t="str">
        <f>VLOOKUP(B359,Classification!A:D,4,0)</f>
        <v>Opsins</v>
      </c>
      <c r="BB359" s="27" t="b">
        <f t="shared" ref="BB359" si="3383">AND(E359&lt;G359,OR(G359&lt;I359,I359="-"),OR(I359&lt;K359,I359="-"),OR(K359&lt;M359,K359="-"),M359&lt;O359,OR(O359&lt;Q359,Q359="-"),OR(Q359&lt;S359,Q359="-"),OR(S359&lt;U359,S359="-"),U359&lt;W359,OR(W359&lt;Y359,Y359="-"),OR(Y359&lt;AA359,Y359="-"),OR(AA359&lt;AC359,AA359="-"),AC359&lt;AE359,OR(AE359&lt;AG359,AG359="-"),OR(AG359&lt;AI359,AG359="-"),OR(AI359&lt;AK359,AI359="-"),AK359&lt;AM359,AM359&lt;AO359,AO359&lt;AQ359,AQ359&lt;AS359,AS359&lt;AU359,OR(AU359&lt;AW359,AW359="-"),OR(AW359&lt;AY359,AW359="-"))</f>
        <v>1</v>
      </c>
      <c r="BC359" s="23">
        <f t="shared" ref="BC359" si="3384">_xlfn.AGGREGATE(9,6,CH359:CS359)-_xlfn.AGGREGATE(9,6,BV359:CG359)+12</f>
        <v>228</v>
      </c>
      <c r="BD359" s="2" t="s">
        <v>1423</v>
      </c>
      <c r="BE359" s="3" t="s">
        <v>1422</v>
      </c>
      <c r="BF359" s="118">
        <v>4.5</v>
      </c>
      <c r="BG359" s="49" t="s">
        <v>1</v>
      </c>
      <c r="BH359" s="49" t="s">
        <v>1</v>
      </c>
      <c r="BI359" s="1"/>
      <c r="BJ359" s="70" t="s">
        <v>1281</v>
      </c>
      <c r="BK359" s="57" t="s">
        <v>1281</v>
      </c>
      <c r="BL359" s="57" t="s">
        <v>1281</v>
      </c>
      <c r="BM359" s="57" t="s">
        <v>1281</v>
      </c>
      <c r="BN359" s="57" t="s">
        <v>1281</v>
      </c>
      <c r="BO359" s="57" t="s">
        <v>1281</v>
      </c>
      <c r="BP359" s="57" t="s">
        <v>1281</v>
      </c>
      <c r="BQ359" s="57" t="s">
        <v>1281</v>
      </c>
      <c r="BR359" s="57" t="s">
        <v>1281</v>
      </c>
      <c r="BS359" s="57" t="s">
        <v>1281</v>
      </c>
      <c r="BT359" s="57" t="s">
        <v>1281</v>
      </c>
      <c r="BU359" s="57" t="s">
        <v>1281</v>
      </c>
      <c r="BV359" s="70">
        <f t="shared" ref="BV359" si="3385">E359</f>
        <v>34</v>
      </c>
      <c r="BW359" s="71" t="str">
        <f t="shared" ref="BW359" si="3386">I359</f>
        <v>-</v>
      </c>
      <c r="BX359" s="72">
        <f t="shared" ref="BX359" si="3387">M359</f>
        <v>70</v>
      </c>
      <c r="BY359" s="71">
        <f t="shared" ref="BY359" si="3388">Q359</f>
        <v>102</v>
      </c>
      <c r="BZ359" s="72">
        <f t="shared" ref="BZ359" si="3389">U359</f>
        <v>106</v>
      </c>
      <c r="CA359" s="71" t="str">
        <f t="shared" ref="CA359" si="3390">Y359</f>
        <v>-</v>
      </c>
      <c r="CB359" s="72">
        <f t="shared" ref="CB359" si="3391">AC359</f>
        <v>153</v>
      </c>
      <c r="CC359" s="71">
        <f t="shared" ref="CC359" si="3392">AG359</f>
        <v>187</v>
      </c>
      <c r="CD359" s="72">
        <f t="shared" ref="CD359" si="3393">AK359</f>
        <v>200</v>
      </c>
      <c r="CE359" s="71">
        <f t="shared" ref="CE359" si="3394">AO359</f>
        <v>241</v>
      </c>
      <c r="CF359" s="72">
        <f t="shared" ref="CF359" si="3395">AS359</f>
        <v>288</v>
      </c>
      <c r="CG359" s="71">
        <f t="shared" ref="CG359" si="3396">AW359</f>
        <v>310</v>
      </c>
      <c r="CH359" s="70">
        <f t="shared" ref="CH359" si="3397">G359</f>
        <v>65</v>
      </c>
      <c r="CI359" s="71" t="str">
        <f t="shared" ref="CI359" si="3398">K359</f>
        <v>-</v>
      </c>
      <c r="CJ359" s="72">
        <f t="shared" ref="CJ359" si="3399">O359</f>
        <v>101</v>
      </c>
      <c r="CK359" s="72">
        <f t="shared" ref="CK359" si="3400">S359</f>
        <v>105</v>
      </c>
      <c r="CL359" s="72">
        <f t="shared" ref="CL359" si="3401">W359</f>
        <v>141</v>
      </c>
      <c r="CM359" s="72" t="str">
        <f t="shared" ref="CM359" si="3402">AA359</f>
        <v>-</v>
      </c>
      <c r="CN359" s="72">
        <f t="shared" ref="CN359" si="3403">AE359</f>
        <v>173</v>
      </c>
      <c r="CO359" s="72">
        <f t="shared" ref="CO359" si="3404">AI359</f>
        <v>189</v>
      </c>
      <c r="CP359" s="72">
        <f t="shared" ref="CP359" si="3405">AM359</f>
        <v>226</v>
      </c>
      <c r="CQ359" s="72">
        <f t="shared" ref="CQ359" si="3406">AQ359</f>
        <v>278</v>
      </c>
      <c r="CR359" s="72">
        <f t="shared" ref="CR359" si="3407">AU359</f>
        <v>309</v>
      </c>
      <c r="CS359" s="72">
        <f t="shared" ref="CS359" si="3408">AY359</f>
        <v>320</v>
      </c>
      <c r="CT359" s="23" t="e">
        <f t="shared" ref="CT359" si="3409">M359-K359</f>
        <v>#VALUE!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</row>
    <row r="360" spans="1:1029" x14ac:dyDescent="0.2">
      <c r="A360" s="3" t="str">
        <f t="shared" ref="A360" si="3410">CONCATENATE(B360,"_",C360)</f>
        <v>opsd_bovin_6NWE</v>
      </c>
      <c r="B360" s="3" t="s">
        <v>913</v>
      </c>
      <c r="C360" s="3" t="s">
        <v>1648</v>
      </c>
      <c r="D360" s="3" t="str">
        <f>IFERROR(MID(VLOOKUP($B360,Seqs!$A:$B,2,0),E360,1),"")</f>
        <v>E</v>
      </c>
      <c r="E360" s="3">
        <v>33</v>
      </c>
      <c r="F360" s="3" t="str">
        <f>IFERROR(MID(VLOOKUP($B360,Seqs!$A:$B,2,0),G360,1),"")</f>
        <v>H</v>
      </c>
      <c r="G360" s="3">
        <v>65</v>
      </c>
      <c r="H360" s="3" t="str">
        <f>IFERROR(MID(VLOOKUP($B360,Seqs!$A:$B,2,0),I360,1),"")</f>
        <v>K</v>
      </c>
      <c r="I360" s="23">
        <v>66</v>
      </c>
      <c r="J360" s="3" t="str">
        <f>IFERROR(MID(VLOOKUP($B360,Seqs!$A:$B,2,0),K360,1),"")</f>
        <v>R</v>
      </c>
      <c r="K360" s="23">
        <v>69</v>
      </c>
      <c r="L360" s="3" t="str">
        <f>IFERROR(MID(VLOOKUP($B360,Seqs!$A:$B,2,0),M360,1),"")</f>
        <v>T</v>
      </c>
      <c r="M360" s="3">
        <v>70</v>
      </c>
      <c r="N360" s="3" t="str">
        <f>IFERROR(MID(VLOOKUP($B360,Seqs!$A:$B,2,0),O360,1),"")</f>
        <v>G</v>
      </c>
      <c r="O360" s="3">
        <v>101</v>
      </c>
      <c r="P360" s="3" t="str">
        <f>IFERROR(MID(VLOOKUP($B360,Seqs!$A:$B,2,0),Q360,1),"")</f>
        <v>Y</v>
      </c>
      <c r="Q360" s="3">
        <v>102</v>
      </c>
      <c r="R360" s="3" t="str">
        <f>IFERROR(MID(VLOOKUP($B360,Seqs!$A:$B,2,0),S360,1),"")</f>
        <v>F</v>
      </c>
      <c r="S360" s="3">
        <v>105</v>
      </c>
      <c r="T360" s="3" t="str">
        <f>IFERROR(MID(VLOOKUP($B360,Seqs!$A:$B,2,0),U360,1),"")</f>
        <v>G</v>
      </c>
      <c r="U360" s="3">
        <v>106</v>
      </c>
      <c r="V360" s="3" t="str">
        <f>IFERROR(MID(VLOOKUP($B360,Seqs!$A:$B,2,0),W360,1),"")</f>
        <v>K</v>
      </c>
      <c r="W360" s="3">
        <v>141</v>
      </c>
      <c r="X360" s="3" t="str">
        <f>IFERROR(MID(VLOOKUP($B360,Seqs!$A:$B,2,0),Y360,1),"")</f>
        <v/>
      </c>
      <c r="Y360" s="3" t="s">
        <v>23</v>
      </c>
      <c r="Z360" s="3" t="str">
        <f>IFERROR(MID(VLOOKUP($B360,Seqs!$A:$B,2,0),AA360,1),"")</f>
        <v/>
      </c>
      <c r="AA360" s="3" t="s">
        <v>23</v>
      </c>
      <c r="AB360" s="3" t="str">
        <f>IFERROR(MID(VLOOKUP($B360,Seqs!$A:$B,2,0),AC360,1),"")</f>
        <v>G</v>
      </c>
      <c r="AC360" s="3">
        <v>149</v>
      </c>
      <c r="AD360" s="3" t="str">
        <f>IFERROR(MID(VLOOKUP($B360,Seqs!$A:$B,2,0),AE360,1),"")</f>
        <v>V</v>
      </c>
      <c r="AE360" s="3">
        <v>173</v>
      </c>
      <c r="AF360" s="3" t="str">
        <f>IFERROR(MID(VLOOKUP($B360,Seqs!$A:$B,2,0),AG360,1),"")</f>
        <v>C</v>
      </c>
      <c r="AG360" s="3">
        <v>187</v>
      </c>
      <c r="AH360" s="3" t="str">
        <f>IFERROR(MID(VLOOKUP($B360,Seqs!$A:$B,2,0),AI360,1),"")</f>
        <v>I</v>
      </c>
      <c r="AI360" s="3">
        <v>189</v>
      </c>
      <c r="AJ360" s="3" t="str">
        <f>IFERROR(MID(VLOOKUP($B360,Seqs!$A:$B,2,0),AK360,1),"")</f>
        <v>N</v>
      </c>
      <c r="AK360" s="3">
        <v>199</v>
      </c>
      <c r="AL360" s="3" t="str">
        <f>IFERROR(MID(VLOOKUP($B360,Seqs!$A:$B,2,0),AM360,1),"")</f>
        <v>Q</v>
      </c>
      <c r="AM360" s="3">
        <v>237</v>
      </c>
      <c r="AN360" s="3" t="str">
        <f>IFERROR(MID(VLOOKUP($B360,Seqs!$A:$B,2,0),AO360,1),"")</f>
        <v>S</v>
      </c>
      <c r="AO360" s="3">
        <v>240</v>
      </c>
      <c r="AP360" s="3" t="str">
        <f>IFERROR(MID(VLOOKUP($B360,Seqs!$A:$B,2,0),AQ360,1),"")</f>
        <v>H</v>
      </c>
      <c r="AQ360" s="3">
        <v>278</v>
      </c>
      <c r="AR360" s="3" t="str">
        <f>IFERROR(MID(VLOOKUP($B360,Seqs!$A:$B,2,0),AS360,1),"")</f>
        <v>G</v>
      </c>
      <c r="AS360" s="3">
        <v>284</v>
      </c>
      <c r="AT360" s="3" t="str">
        <f>IFERROR(MID(VLOOKUP($B360,Seqs!$A:$B,2,0),AU360,1),"")</f>
        <v>M</v>
      </c>
      <c r="AU360" s="3">
        <v>309</v>
      </c>
      <c r="AV360" s="3" t="str">
        <f>IFERROR(MID(VLOOKUP($B360,Seqs!$A:$B,2,0),AW360,1),"")</f>
        <v>N</v>
      </c>
      <c r="AW360" s="3">
        <v>310</v>
      </c>
      <c r="AX360" s="3" t="str">
        <f>IFERROR(MID(VLOOKUP($B360,Seqs!$A:$B,2,0),AY360,1),"")</f>
        <v>C</v>
      </c>
      <c r="AY360" s="3">
        <v>323</v>
      </c>
      <c r="AZ360" s="77" t="str">
        <f>VLOOKUP(B360,Classification!A:D,2,0)</f>
        <v>A</v>
      </c>
      <c r="BA360" s="94" t="str">
        <f>VLOOKUP(B360,Classification!A:D,4,0)</f>
        <v>Opsins</v>
      </c>
      <c r="BB360" s="27" t="b">
        <f t="shared" ref="BB360" si="3411"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23">
        <f t="shared" ref="BC360" si="3412">_xlfn.AGGREGATE(9,6,CH360:CS360)-_xlfn.AGGREGATE(9,6,BV360:CG360)+12</f>
        <v>256</v>
      </c>
      <c r="BD360" s="2" t="s">
        <v>23</v>
      </c>
      <c r="BE360" s="3" t="s">
        <v>1285</v>
      </c>
      <c r="BF360" s="118">
        <v>2.71</v>
      </c>
      <c r="BG360" s="49" t="s">
        <v>1</v>
      </c>
      <c r="BH360" s="49" t="s">
        <v>1</v>
      </c>
      <c r="BI360" s="1"/>
      <c r="BJ360" s="70" t="s">
        <v>1281</v>
      </c>
      <c r="BK360" s="57" t="s">
        <v>1281</v>
      </c>
      <c r="BL360" s="57" t="s">
        <v>1281</v>
      </c>
      <c r="BM360" s="57" t="s">
        <v>1281</v>
      </c>
      <c r="BN360" s="57" t="s">
        <v>1281</v>
      </c>
      <c r="BO360" s="57" t="s">
        <v>1281</v>
      </c>
      <c r="BP360" s="57" t="s">
        <v>1281</v>
      </c>
      <c r="BQ360" s="57" t="s">
        <v>1281</v>
      </c>
      <c r="BR360" s="57" t="s">
        <v>1281</v>
      </c>
      <c r="BS360" s="57" t="s">
        <v>1281</v>
      </c>
      <c r="BT360" s="57" t="s">
        <v>1281</v>
      </c>
      <c r="BU360" s="57" t="s">
        <v>1281</v>
      </c>
      <c r="BV360" s="70">
        <f t="shared" ref="BV360" si="3413">E360</f>
        <v>33</v>
      </c>
      <c r="BW360" s="71">
        <f t="shared" ref="BW360" si="3414">I360</f>
        <v>66</v>
      </c>
      <c r="BX360" s="72">
        <f t="shared" ref="BX360" si="3415">M360</f>
        <v>70</v>
      </c>
      <c r="BY360" s="71">
        <f t="shared" ref="BY360" si="3416">Q360</f>
        <v>102</v>
      </c>
      <c r="BZ360" s="72">
        <f t="shared" ref="BZ360" si="3417">U360</f>
        <v>106</v>
      </c>
      <c r="CA360" s="71" t="str">
        <f t="shared" ref="CA360" si="3418">Y360</f>
        <v>-</v>
      </c>
      <c r="CB360" s="72">
        <f t="shared" ref="CB360" si="3419">AC360</f>
        <v>149</v>
      </c>
      <c r="CC360" s="71">
        <f t="shared" ref="CC360" si="3420">AG360</f>
        <v>187</v>
      </c>
      <c r="CD360" s="72">
        <f t="shared" ref="CD360" si="3421">AK360</f>
        <v>199</v>
      </c>
      <c r="CE360" s="71">
        <f t="shared" ref="CE360" si="3422">AO360</f>
        <v>240</v>
      </c>
      <c r="CF360" s="72">
        <f t="shared" ref="CF360" si="3423">AS360</f>
        <v>284</v>
      </c>
      <c r="CG360" s="71">
        <f t="shared" ref="CG360" si="3424">AW360</f>
        <v>310</v>
      </c>
      <c r="CH360" s="70">
        <f t="shared" ref="CH360" si="3425">G360</f>
        <v>65</v>
      </c>
      <c r="CI360" s="71">
        <f t="shared" ref="CI360" si="3426">K360</f>
        <v>69</v>
      </c>
      <c r="CJ360" s="72">
        <f t="shared" ref="CJ360" si="3427">O360</f>
        <v>101</v>
      </c>
      <c r="CK360" s="72">
        <f t="shared" ref="CK360" si="3428">S360</f>
        <v>105</v>
      </c>
      <c r="CL360" s="72">
        <f t="shared" ref="CL360" si="3429">W360</f>
        <v>141</v>
      </c>
      <c r="CM360" s="72" t="str">
        <f t="shared" ref="CM360" si="3430">AA360</f>
        <v>-</v>
      </c>
      <c r="CN360" s="72">
        <f t="shared" ref="CN360" si="3431">AE360</f>
        <v>173</v>
      </c>
      <c r="CO360" s="72">
        <f t="shared" ref="CO360" si="3432">AI360</f>
        <v>189</v>
      </c>
      <c r="CP360" s="72">
        <f t="shared" ref="CP360" si="3433">AM360</f>
        <v>237</v>
      </c>
      <c r="CQ360" s="72">
        <f t="shared" ref="CQ360" si="3434">AQ360</f>
        <v>278</v>
      </c>
      <c r="CR360" s="72">
        <f t="shared" ref="CR360" si="3435">AU360</f>
        <v>309</v>
      </c>
      <c r="CS360" s="72">
        <f t="shared" ref="CS360" si="3436">AY360</f>
        <v>323</v>
      </c>
      <c r="CT360" s="23">
        <f t="shared" ref="CT360" si="3437">M360-K360</f>
        <v>1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</row>
    <row r="361" spans="1:1029" s="12" customFormat="1" x14ac:dyDescent="0.2">
      <c r="A361" s="9" t="str">
        <f t="shared" ref="A361" si="3438">CONCATENATE(B361,"_",C361)</f>
        <v>opsd_bovin_6PEL</v>
      </c>
      <c r="B361" s="9" t="s">
        <v>913</v>
      </c>
      <c r="C361" s="9" t="s">
        <v>1685</v>
      </c>
      <c r="D361" s="9" t="str">
        <f>IFERROR(MID(VLOOKUP($B361,Seqs!$A:$B,2,0),E361,1),"")</f>
        <v>E</v>
      </c>
      <c r="E361" s="9">
        <v>33</v>
      </c>
      <c r="F361" s="9" t="str">
        <f>IFERROR(MID(VLOOKUP($B361,Seqs!$A:$B,2,0),G361,1),"")</f>
        <v>H</v>
      </c>
      <c r="G361" s="9">
        <v>65</v>
      </c>
      <c r="H361" s="9" t="str">
        <f>IFERROR(MID(VLOOKUP($B361,Seqs!$A:$B,2,0),I361,1),"")</f>
        <v>K</v>
      </c>
      <c r="I361" s="109">
        <v>66</v>
      </c>
      <c r="J361" s="9" t="str">
        <f>IFERROR(MID(VLOOKUP($B361,Seqs!$A:$B,2,0),K361,1),"")</f>
        <v>R</v>
      </c>
      <c r="K361" s="109">
        <v>69</v>
      </c>
      <c r="L361" s="9" t="str">
        <f>IFERROR(MID(VLOOKUP($B361,Seqs!$A:$B,2,0),M361,1),"")</f>
        <v>N</v>
      </c>
      <c r="M361" s="9">
        <v>73</v>
      </c>
      <c r="N361" s="9" t="str">
        <f>IFERROR(MID(VLOOKUP($B361,Seqs!$A:$B,2,0),O361,1),"")</f>
        <v>G</v>
      </c>
      <c r="O361" s="9">
        <v>101</v>
      </c>
      <c r="P361" s="9" t="str">
        <f>IFERROR(MID(VLOOKUP($B361,Seqs!$A:$B,2,0),Q361,1),"")</f>
        <v>Y</v>
      </c>
      <c r="Q361" s="9">
        <v>102</v>
      </c>
      <c r="R361" s="9" t="str">
        <f>IFERROR(MID(VLOOKUP($B361,Seqs!$A:$B,2,0),S361,1),"")</f>
        <v>F</v>
      </c>
      <c r="S361" s="9">
        <v>105</v>
      </c>
      <c r="T361" s="9" t="str">
        <f>IFERROR(MID(VLOOKUP($B361,Seqs!$A:$B,2,0),U361,1),"")</f>
        <v>G</v>
      </c>
      <c r="U361" s="9">
        <v>106</v>
      </c>
      <c r="V361" s="9" t="str">
        <f>IFERROR(MID(VLOOKUP($B361,Seqs!$A:$B,2,0),W361,1),"")</f>
        <v>K</v>
      </c>
      <c r="W361" s="9">
        <v>141</v>
      </c>
      <c r="X361" s="9" t="str">
        <f>IFERROR(MID(VLOOKUP($B361,Seqs!$A:$B,2,0),Y361,1),"")</f>
        <v/>
      </c>
      <c r="Y361" s="9" t="s">
        <v>23</v>
      </c>
      <c r="Z361" s="9" t="str">
        <f>IFERROR(MID(VLOOKUP($B361,Seqs!$A:$B,2,0),AA361,1),"")</f>
        <v/>
      </c>
      <c r="AA361" s="9" t="s">
        <v>23</v>
      </c>
      <c r="AB361" s="9" t="str">
        <f>IFERROR(MID(VLOOKUP($B361,Seqs!$A:$B,2,0),AC361,1),"")</f>
        <v>G</v>
      </c>
      <c r="AC361" s="9">
        <v>149</v>
      </c>
      <c r="AD361" s="9" t="str">
        <f>IFERROR(MID(VLOOKUP($B361,Seqs!$A:$B,2,0),AE361,1),"")</f>
        <v>G</v>
      </c>
      <c r="AE361" s="9">
        <v>174</v>
      </c>
      <c r="AF361" s="9" t="str">
        <f>IFERROR(MID(VLOOKUP($B361,Seqs!$A:$B,2,0),AG361,1),"")</f>
        <v>C</v>
      </c>
      <c r="AG361" s="9">
        <v>187</v>
      </c>
      <c r="AH361" s="9" t="str">
        <f>IFERROR(MID(VLOOKUP($B361,Seqs!$A:$B,2,0),AI361,1),"")</f>
        <v>I</v>
      </c>
      <c r="AI361" s="9">
        <v>189</v>
      </c>
      <c r="AJ361" s="9" t="str">
        <f>IFERROR(MID(VLOOKUP($B361,Seqs!$A:$B,2,0),AK361,1),"")</f>
        <v>N</v>
      </c>
      <c r="AK361" s="9">
        <v>199</v>
      </c>
      <c r="AL361" s="9" t="str">
        <f>IFERROR(MID(VLOOKUP($B361,Seqs!$A:$B,2,0),AM361,1),"")</f>
        <v>Q</v>
      </c>
      <c r="AM361" s="9">
        <v>237</v>
      </c>
      <c r="AN361" s="9" t="str">
        <f>IFERROR(MID(VLOOKUP($B361,Seqs!$A:$B,2,0),AO361,1),"")</f>
        <v>S</v>
      </c>
      <c r="AO361" s="9">
        <v>240</v>
      </c>
      <c r="AP361" s="9" t="str">
        <f>IFERROR(MID(VLOOKUP($B361,Seqs!$A:$B,2,0),AQ361,1),"")</f>
        <v>H</v>
      </c>
      <c r="AQ361" s="9">
        <v>278</v>
      </c>
      <c r="AR361" s="9" t="str">
        <f>IFERROR(MID(VLOOKUP($B361,Seqs!$A:$B,2,0),AS361,1),"")</f>
        <v>G</v>
      </c>
      <c r="AS361" s="9">
        <v>284</v>
      </c>
      <c r="AT361" s="9" t="str">
        <f>IFERROR(MID(VLOOKUP($B361,Seqs!$A:$B,2,0),AU361,1),"")</f>
        <v>M</v>
      </c>
      <c r="AU361" s="9">
        <v>309</v>
      </c>
      <c r="AV361" s="9" t="str">
        <f>IFERROR(MID(VLOOKUP($B361,Seqs!$A:$B,2,0),AW361,1),"")</f>
        <v>N</v>
      </c>
      <c r="AW361" s="9">
        <v>310</v>
      </c>
      <c r="AX361" s="9" t="str">
        <f>IFERROR(MID(VLOOKUP($B361,Seqs!$A:$B,2,0),AY361,1),"")</f>
        <v>C</v>
      </c>
      <c r="AY361" s="9">
        <v>322</v>
      </c>
      <c r="AZ361" s="110" t="str">
        <f>VLOOKUP(B361,Classification!A:D,2,0)</f>
        <v>A</v>
      </c>
      <c r="BA361" s="98" t="str">
        <f>VLOOKUP(B361,Classification!A:D,4,0)</f>
        <v>Opsins</v>
      </c>
      <c r="BB361" s="36" t="b">
        <f t="shared" ref="BB361" si="3439"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109">
        <f t="shared" ref="BC361" si="3440">_xlfn.AGGREGATE(9,6,CH361:CS361)-_xlfn.AGGREGATE(9,6,BV361:CG361)+12</f>
        <v>253</v>
      </c>
      <c r="BD361" s="40" t="s">
        <v>23</v>
      </c>
      <c r="BE361" s="9" t="s">
        <v>1285</v>
      </c>
      <c r="BF361" s="119">
        <v>3.19</v>
      </c>
      <c r="BG361" s="51" t="s">
        <v>1</v>
      </c>
      <c r="BH361" s="51" t="s">
        <v>1</v>
      </c>
      <c r="BJ361" s="111" t="s">
        <v>1281</v>
      </c>
      <c r="BK361" s="112" t="s">
        <v>1281</v>
      </c>
      <c r="BL361" s="112" t="s">
        <v>1281</v>
      </c>
      <c r="BM361" s="112" t="s">
        <v>1281</v>
      </c>
      <c r="BN361" s="112" t="s">
        <v>1281</v>
      </c>
      <c r="BO361" s="112" t="s">
        <v>1281</v>
      </c>
      <c r="BP361" s="112" t="s">
        <v>1281</v>
      </c>
      <c r="BQ361" s="112" t="s">
        <v>1281</v>
      </c>
      <c r="BR361" s="112" t="s">
        <v>1281</v>
      </c>
      <c r="BS361" s="112" t="s">
        <v>1281</v>
      </c>
      <c r="BT361" s="112" t="s">
        <v>1281</v>
      </c>
      <c r="BU361" s="112" t="s">
        <v>1281</v>
      </c>
      <c r="BV361" s="111">
        <f t="shared" ref="BV361" si="3441">E361</f>
        <v>33</v>
      </c>
      <c r="BW361" s="113">
        <f t="shared" ref="BW361" si="3442">I361</f>
        <v>66</v>
      </c>
      <c r="BX361" s="114">
        <f t="shared" ref="BX361" si="3443">M361</f>
        <v>73</v>
      </c>
      <c r="BY361" s="113">
        <f t="shared" ref="BY361" si="3444">Q361</f>
        <v>102</v>
      </c>
      <c r="BZ361" s="114">
        <f t="shared" ref="BZ361" si="3445">U361</f>
        <v>106</v>
      </c>
      <c r="CA361" s="113" t="str">
        <f t="shared" ref="CA361" si="3446">Y361</f>
        <v>-</v>
      </c>
      <c r="CB361" s="114">
        <f t="shared" ref="CB361" si="3447">AC361</f>
        <v>149</v>
      </c>
      <c r="CC361" s="113">
        <f t="shared" ref="CC361" si="3448">AG361</f>
        <v>187</v>
      </c>
      <c r="CD361" s="114">
        <f t="shared" ref="CD361" si="3449">AK361</f>
        <v>199</v>
      </c>
      <c r="CE361" s="113">
        <f t="shared" ref="CE361" si="3450">AO361</f>
        <v>240</v>
      </c>
      <c r="CF361" s="114">
        <f t="shared" ref="CF361" si="3451">AS361</f>
        <v>284</v>
      </c>
      <c r="CG361" s="113">
        <f t="shared" ref="CG361" si="3452">AW361</f>
        <v>310</v>
      </c>
      <c r="CH361" s="111">
        <f t="shared" ref="CH361" si="3453">G361</f>
        <v>65</v>
      </c>
      <c r="CI361" s="113">
        <f t="shared" ref="CI361" si="3454">K361</f>
        <v>69</v>
      </c>
      <c r="CJ361" s="114">
        <f t="shared" ref="CJ361" si="3455">O361</f>
        <v>101</v>
      </c>
      <c r="CK361" s="114">
        <f t="shared" ref="CK361" si="3456">S361</f>
        <v>105</v>
      </c>
      <c r="CL361" s="114">
        <f t="shared" ref="CL361" si="3457">W361</f>
        <v>141</v>
      </c>
      <c r="CM361" s="114" t="str">
        <f t="shared" ref="CM361" si="3458">AA361</f>
        <v>-</v>
      </c>
      <c r="CN361" s="114">
        <f t="shared" ref="CN361" si="3459">AE361</f>
        <v>174</v>
      </c>
      <c r="CO361" s="114">
        <f t="shared" ref="CO361" si="3460">AI361</f>
        <v>189</v>
      </c>
      <c r="CP361" s="114">
        <f t="shared" ref="CP361" si="3461">AM361</f>
        <v>237</v>
      </c>
      <c r="CQ361" s="114">
        <f t="shared" ref="CQ361" si="3462">AQ361</f>
        <v>278</v>
      </c>
      <c r="CR361" s="114">
        <f t="shared" ref="CR361" si="3463">AU361</f>
        <v>309</v>
      </c>
      <c r="CS361" s="114">
        <f t="shared" ref="CS361" si="3464">AY361</f>
        <v>322</v>
      </c>
      <c r="CT361" s="109">
        <f t="shared" ref="CT361" si="3465">M361-K361</f>
        <v>4</v>
      </c>
    </row>
    <row r="362" spans="1:1029" s="12" customFormat="1" x14ac:dyDescent="0.2">
      <c r="A362" s="9" t="str">
        <f t="shared" ref="A362" si="3466">CONCATENATE(B362,"_",C362)</f>
        <v>opsd_bovin_6PGS</v>
      </c>
      <c r="B362" s="9" t="s">
        <v>913</v>
      </c>
      <c r="C362" s="9" t="s">
        <v>1686</v>
      </c>
      <c r="D362" s="9" t="str">
        <f>IFERROR(MID(VLOOKUP($B362,Seqs!$A:$B,2,0),E362,1),"")</f>
        <v>E</v>
      </c>
      <c r="E362" s="9">
        <v>33</v>
      </c>
      <c r="F362" s="9" t="str">
        <f>IFERROR(MID(VLOOKUP($B362,Seqs!$A:$B,2,0),G362,1),"")</f>
        <v>Q</v>
      </c>
      <c r="G362" s="9">
        <v>64</v>
      </c>
      <c r="H362" s="9" t="str">
        <f>IFERROR(MID(VLOOKUP($B362,Seqs!$A:$B,2,0),I362,1),"")</f>
        <v>K</v>
      </c>
      <c r="I362" s="109">
        <v>66</v>
      </c>
      <c r="J362" s="9" t="str">
        <f>IFERROR(MID(VLOOKUP($B362,Seqs!$A:$B,2,0),K362,1),"")</f>
        <v>R</v>
      </c>
      <c r="K362" s="109">
        <v>69</v>
      </c>
      <c r="L362" s="9" t="str">
        <f>IFERROR(MID(VLOOKUP($B362,Seqs!$A:$B,2,0),M362,1),"")</f>
        <v>N</v>
      </c>
      <c r="M362" s="9">
        <v>73</v>
      </c>
      <c r="N362" s="9" t="str">
        <f>IFERROR(MID(VLOOKUP($B362,Seqs!$A:$B,2,0),O362,1),"")</f>
        <v>G</v>
      </c>
      <c r="O362" s="9">
        <v>101</v>
      </c>
      <c r="P362" s="9" t="str">
        <f>IFERROR(MID(VLOOKUP($B362,Seqs!$A:$B,2,0),Q362,1),"")</f>
        <v>Y</v>
      </c>
      <c r="Q362" s="9">
        <v>102</v>
      </c>
      <c r="R362" s="9" t="str">
        <f>IFERROR(MID(VLOOKUP($B362,Seqs!$A:$B,2,0),S362,1),"")</f>
        <v>F</v>
      </c>
      <c r="S362" s="9">
        <v>105</v>
      </c>
      <c r="T362" s="9" t="str">
        <f>IFERROR(MID(VLOOKUP($B362,Seqs!$A:$B,2,0),U362,1),"")</f>
        <v>G</v>
      </c>
      <c r="U362" s="9">
        <v>106</v>
      </c>
      <c r="V362" s="9" t="str">
        <f>IFERROR(MID(VLOOKUP($B362,Seqs!$A:$B,2,0),W362,1),"")</f>
        <v>K</v>
      </c>
      <c r="W362" s="9">
        <v>141</v>
      </c>
      <c r="X362" s="9" t="str">
        <f>IFERROR(MID(VLOOKUP($B362,Seqs!$A:$B,2,0),Y362,1),"")</f>
        <v/>
      </c>
      <c r="Y362" s="9" t="s">
        <v>23</v>
      </c>
      <c r="Z362" s="9" t="str">
        <f>IFERROR(MID(VLOOKUP($B362,Seqs!$A:$B,2,0),AA362,1),"")</f>
        <v/>
      </c>
      <c r="AA362" s="9" t="s">
        <v>23</v>
      </c>
      <c r="AB362" s="9" t="str">
        <f>IFERROR(MID(VLOOKUP($B362,Seqs!$A:$B,2,0),AC362,1),"")</f>
        <v>G</v>
      </c>
      <c r="AC362" s="9">
        <v>149</v>
      </c>
      <c r="AD362" s="9" t="str">
        <f>IFERROR(MID(VLOOKUP($B362,Seqs!$A:$B,2,0),AE362,1),"")</f>
        <v>G</v>
      </c>
      <c r="AE362" s="9">
        <v>174</v>
      </c>
      <c r="AF362" s="9" t="str">
        <f>IFERROR(MID(VLOOKUP($B362,Seqs!$A:$B,2,0),AG362,1),"")</f>
        <v>C</v>
      </c>
      <c r="AG362" s="9">
        <v>187</v>
      </c>
      <c r="AH362" s="9" t="str">
        <f>IFERROR(MID(VLOOKUP($B362,Seqs!$A:$B,2,0),AI362,1),"")</f>
        <v>I</v>
      </c>
      <c r="AI362" s="9">
        <v>189</v>
      </c>
      <c r="AJ362" s="9" t="str">
        <f>IFERROR(MID(VLOOKUP($B362,Seqs!$A:$B,2,0),AK362,1),"")</f>
        <v>N</v>
      </c>
      <c r="AK362" s="9">
        <v>199</v>
      </c>
      <c r="AL362" s="9" t="str">
        <f>IFERROR(MID(VLOOKUP($B362,Seqs!$A:$B,2,0),AM362,1),"")</f>
        <v>Q</v>
      </c>
      <c r="AM362" s="9">
        <v>237</v>
      </c>
      <c r="AN362" s="9" t="str">
        <f>IFERROR(MID(VLOOKUP($B362,Seqs!$A:$B,2,0),AO362,1),"")</f>
        <v>S</v>
      </c>
      <c r="AO362" s="9">
        <v>240</v>
      </c>
      <c r="AP362" s="9" t="str">
        <f>IFERROR(MID(VLOOKUP($B362,Seqs!$A:$B,2,0),AQ362,1),"")</f>
        <v>H</v>
      </c>
      <c r="AQ362" s="9">
        <v>278</v>
      </c>
      <c r="AR362" s="9" t="str">
        <f>IFERROR(MID(VLOOKUP($B362,Seqs!$A:$B,2,0),AS362,1),"")</f>
        <v>G</v>
      </c>
      <c r="AS362" s="9">
        <v>284</v>
      </c>
      <c r="AT362" s="9" t="str">
        <f>IFERROR(MID(VLOOKUP($B362,Seqs!$A:$B,2,0),AU362,1),"")</f>
        <v>M</v>
      </c>
      <c r="AU362" s="9">
        <v>309</v>
      </c>
      <c r="AV362" s="9" t="str">
        <f>IFERROR(MID(VLOOKUP($B362,Seqs!$A:$B,2,0),AW362,1),"")</f>
        <v>N</v>
      </c>
      <c r="AW362" s="9">
        <v>310</v>
      </c>
      <c r="AX362" s="9" t="str">
        <f>IFERROR(MID(VLOOKUP($B362,Seqs!$A:$B,2,0),AY362,1),"")</f>
        <v>C</v>
      </c>
      <c r="AY362" s="9">
        <v>322</v>
      </c>
      <c r="AZ362" s="110" t="str">
        <f>VLOOKUP(B362,Classification!A:D,2,0)</f>
        <v>A</v>
      </c>
      <c r="BA362" s="98" t="str">
        <f>VLOOKUP(B362,Classification!A:D,4,0)</f>
        <v>Opsins</v>
      </c>
      <c r="BB362" s="36" t="b">
        <f t="shared" ref="BB362" si="3467"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109">
        <f t="shared" ref="BC362" si="3468">_xlfn.AGGREGATE(9,6,CH362:CS362)-_xlfn.AGGREGATE(9,6,BV362:CG362)+12</f>
        <v>252</v>
      </c>
      <c r="BD362" s="40" t="s">
        <v>23</v>
      </c>
      <c r="BE362" s="9" t="s">
        <v>1285</v>
      </c>
      <c r="BF362" s="119">
        <v>2.9</v>
      </c>
      <c r="BG362" s="51" t="s">
        <v>1</v>
      </c>
      <c r="BH362" s="51" t="s">
        <v>1</v>
      </c>
      <c r="BJ362" s="111" t="s">
        <v>1281</v>
      </c>
      <c r="BK362" s="112" t="s">
        <v>1281</v>
      </c>
      <c r="BL362" s="112" t="s">
        <v>1281</v>
      </c>
      <c r="BM362" s="112" t="s">
        <v>1281</v>
      </c>
      <c r="BN362" s="112" t="s">
        <v>1281</v>
      </c>
      <c r="BO362" s="112" t="s">
        <v>1281</v>
      </c>
      <c r="BP362" s="112" t="s">
        <v>1281</v>
      </c>
      <c r="BQ362" s="112" t="s">
        <v>1281</v>
      </c>
      <c r="BR362" s="112" t="s">
        <v>1281</v>
      </c>
      <c r="BS362" s="112" t="s">
        <v>1281</v>
      </c>
      <c r="BT362" s="112" t="s">
        <v>1281</v>
      </c>
      <c r="BU362" s="112" t="s">
        <v>1281</v>
      </c>
      <c r="BV362" s="111">
        <f t="shared" ref="BV362" si="3469">E362</f>
        <v>33</v>
      </c>
      <c r="BW362" s="113">
        <f t="shared" ref="BW362" si="3470">I362</f>
        <v>66</v>
      </c>
      <c r="BX362" s="114">
        <f t="shared" ref="BX362" si="3471">M362</f>
        <v>73</v>
      </c>
      <c r="BY362" s="113">
        <f t="shared" ref="BY362" si="3472">Q362</f>
        <v>102</v>
      </c>
      <c r="BZ362" s="114">
        <f t="shared" ref="BZ362" si="3473">U362</f>
        <v>106</v>
      </c>
      <c r="CA362" s="113" t="str">
        <f t="shared" ref="CA362" si="3474">Y362</f>
        <v>-</v>
      </c>
      <c r="CB362" s="114">
        <f t="shared" ref="CB362" si="3475">AC362</f>
        <v>149</v>
      </c>
      <c r="CC362" s="113">
        <f t="shared" ref="CC362" si="3476">AG362</f>
        <v>187</v>
      </c>
      <c r="CD362" s="114">
        <f t="shared" ref="CD362" si="3477">AK362</f>
        <v>199</v>
      </c>
      <c r="CE362" s="113">
        <f t="shared" ref="CE362" si="3478">AO362</f>
        <v>240</v>
      </c>
      <c r="CF362" s="114">
        <f t="shared" ref="CF362" si="3479">AS362</f>
        <v>284</v>
      </c>
      <c r="CG362" s="113">
        <f t="shared" ref="CG362" si="3480">AW362</f>
        <v>310</v>
      </c>
      <c r="CH362" s="111">
        <f t="shared" ref="CH362" si="3481">G362</f>
        <v>64</v>
      </c>
      <c r="CI362" s="113">
        <f t="shared" ref="CI362" si="3482">K362</f>
        <v>69</v>
      </c>
      <c r="CJ362" s="114">
        <f t="shared" ref="CJ362" si="3483">O362</f>
        <v>101</v>
      </c>
      <c r="CK362" s="114">
        <f t="shared" ref="CK362" si="3484">S362</f>
        <v>105</v>
      </c>
      <c r="CL362" s="114">
        <f t="shared" ref="CL362" si="3485">W362</f>
        <v>141</v>
      </c>
      <c r="CM362" s="114" t="str">
        <f t="shared" ref="CM362" si="3486">AA362</f>
        <v>-</v>
      </c>
      <c r="CN362" s="114">
        <f t="shared" ref="CN362" si="3487">AE362</f>
        <v>174</v>
      </c>
      <c r="CO362" s="114">
        <f t="shared" ref="CO362" si="3488">AI362</f>
        <v>189</v>
      </c>
      <c r="CP362" s="114">
        <f t="shared" ref="CP362" si="3489">AM362</f>
        <v>237</v>
      </c>
      <c r="CQ362" s="114">
        <f t="shared" ref="CQ362" si="3490">AQ362</f>
        <v>278</v>
      </c>
      <c r="CR362" s="114">
        <f t="shared" ref="CR362" si="3491">AU362</f>
        <v>309</v>
      </c>
      <c r="CS362" s="114">
        <f t="shared" ref="CS362" si="3492">AY362</f>
        <v>322</v>
      </c>
      <c r="CT362" s="109">
        <f t="shared" ref="CT362" si="3493">M362-K362</f>
        <v>4</v>
      </c>
    </row>
    <row r="363" spans="1:1029" s="12" customFormat="1" x14ac:dyDescent="0.2">
      <c r="A363" s="9" t="str">
        <f t="shared" ref="A363" si="3494">CONCATENATE(B363,"_",C363)</f>
        <v>opsd_bovin_6PH7</v>
      </c>
      <c r="B363" s="9" t="s">
        <v>913</v>
      </c>
      <c r="C363" s="9" t="s">
        <v>1687</v>
      </c>
      <c r="D363" s="9" t="str">
        <f>IFERROR(MID(VLOOKUP($B363,Seqs!$A:$B,2,0),E363,1),"")</f>
        <v>E</v>
      </c>
      <c r="E363" s="9">
        <v>33</v>
      </c>
      <c r="F363" s="9" t="str">
        <f>IFERROR(MID(VLOOKUP($B363,Seqs!$A:$B,2,0),G363,1),"")</f>
        <v>H</v>
      </c>
      <c r="G363" s="9">
        <v>65</v>
      </c>
      <c r="H363" s="9" t="str">
        <f>IFERROR(MID(VLOOKUP($B363,Seqs!$A:$B,2,0),I363,1),"")</f>
        <v>K</v>
      </c>
      <c r="I363" s="109">
        <v>66</v>
      </c>
      <c r="J363" s="9" t="str">
        <f>IFERROR(MID(VLOOKUP($B363,Seqs!$A:$B,2,0),K363,1),"")</f>
        <v>R</v>
      </c>
      <c r="K363" s="109">
        <v>69</v>
      </c>
      <c r="L363" s="9" t="str">
        <f>IFERROR(MID(VLOOKUP($B363,Seqs!$A:$B,2,0),M363,1),"")</f>
        <v>N</v>
      </c>
      <c r="M363" s="9">
        <v>73</v>
      </c>
      <c r="N363" s="9" t="str">
        <f>IFERROR(MID(VLOOKUP($B363,Seqs!$A:$B,2,0),O363,1),"")</f>
        <v>G</v>
      </c>
      <c r="O363" s="9">
        <v>101</v>
      </c>
      <c r="P363" s="9" t="str">
        <f>IFERROR(MID(VLOOKUP($B363,Seqs!$A:$B,2,0),Q363,1),"")</f>
        <v>Y</v>
      </c>
      <c r="Q363" s="9">
        <v>102</v>
      </c>
      <c r="R363" s="9" t="str">
        <f>IFERROR(MID(VLOOKUP($B363,Seqs!$A:$B,2,0),S363,1),"")</f>
        <v>F</v>
      </c>
      <c r="S363" s="9">
        <v>105</v>
      </c>
      <c r="T363" s="9" t="str">
        <f>IFERROR(MID(VLOOKUP($B363,Seqs!$A:$B,2,0),U363,1),"")</f>
        <v>G</v>
      </c>
      <c r="U363" s="9">
        <v>106</v>
      </c>
      <c r="V363" s="9" t="str">
        <f>IFERROR(MID(VLOOKUP($B363,Seqs!$A:$B,2,0),W363,1),"")</f>
        <v>K</v>
      </c>
      <c r="W363" s="9">
        <v>141</v>
      </c>
      <c r="X363" s="9" t="str">
        <f>IFERROR(MID(VLOOKUP($B363,Seqs!$A:$B,2,0),Y363,1),"")</f>
        <v/>
      </c>
      <c r="Y363" s="9" t="s">
        <v>23</v>
      </c>
      <c r="Z363" s="9" t="str">
        <f>IFERROR(MID(VLOOKUP($B363,Seqs!$A:$B,2,0),AA363,1),"")</f>
        <v/>
      </c>
      <c r="AA363" s="9" t="s">
        <v>23</v>
      </c>
      <c r="AB363" s="9" t="str">
        <f>IFERROR(MID(VLOOKUP($B363,Seqs!$A:$B,2,0),AC363,1),"")</f>
        <v>G</v>
      </c>
      <c r="AC363" s="9">
        <v>149</v>
      </c>
      <c r="AD363" s="9" t="str">
        <f>IFERROR(MID(VLOOKUP($B363,Seqs!$A:$B,2,0),AE363,1),"")</f>
        <v>V</v>
      </c>
      <c r="AE363" s="9">
        <v>173</v>
      </c>
      <c r="AF363" s="9" t="str">
        <f>IFERROR(MID(VLOOKUP($B363,Seqs!$A:$B,2,0),AG363,1),"")</f>
        <v>C</v>
      </c>
      <c r="AG363" s="9">
        <v>187</v>
      </c>
      <c r="AH363" s="9" t="str">
        <f>IFERROR(MID(VLOOKUP($B363,Seqs!$A:$B,2,0),AI363,1),"")</f>
        <v>I</v>
      </c>
      <c r="AI363" s="9">
        <v>189</v>
      </c>
      <c r="AJ363" s="9" t="str">
        <f>IFERROR(MID(VLOOKUP($B363,Seqs!$A:$B,2,0),AK363,1),"")</f>
        <v>N</v>
      </c>
      <c r="AK363" s="9">
        <v>199</v>
      </c>
      <c r="AL363" s="9" t="str">
        <f>IFERROR(MID(VLOOKUP($B363,Seqs!$A:$B,2,0),AM363,1),"")</f>
        <v>Q</v>
      </c>
      <c r="AM363" s="9">
        <v>237</v>
      </c>
      <c r="AN363" s="9" t="str">
        <f>IFERROR(MID(VLOOKUP($B363,Seqs!$A:$B,2,0),AO363,1),"")</f>
        <v>S</v>
      </c>
      <c r="AO363" s="9">
        <v>240</v>
      </c>
      <c r="AP363" s="9" t="str">
        <f>IFERROR(MID(VLOOKUP($B363,Seqs!$A:$B,2,0),AQ363,1),"")</f>
        <v>H</v>
      </c>
      <c r="AQ363" s="9">
        <v>278</v>
      </c>
      <c r="AR363" s="9" t="str">
        <f>IFERROR(MID(VLOOKUP($B363,Seqs!$A:$B,2,0),AS363,1),"")</f>
        <v>G</v>
      </c>
      <c r="AS363" s="9">
        <v>284</v>
      </c>
      <c r="AT363" s="9" t="str">
        <f>IFERROR(MID(VLOOKUP($B363,Seqs!$A:$B,2,0),AU363,1),"")</f>
        <v>M</v>
      </c>
      <c r="AU363" s="9">
        <v>309</v>
      </c>
      <c r="AV363" s="9" t="str">
        <f>IFERROR(MID(VLOOKUP($B363,Seqs!$A:$B,2,0),AW363,1),"")</f>
        <v>N</v>
      </c>
      <c r="AW363" s="9">
        <v>310</v>
      </c>
      <c r="AX363" s="9" t="str">
        <f>IFERROR(MID(VLOOKUP($B363,Seqs!$A:$B,2,0),AY363,1),"")</f>
        <v>C</v>
      </c>
      <c r="AY363" s="9">
        <v>322</v>
      </c>
      <c r="AZ363" s="110" t="str">
        <f>VLOOKUP(B363,Classification!A:D,2,0)</f>
        <v>A</v>
      </c>
      <c r="BA363" s="98" t="str">
        <f>VLOOKUP(B363,Classification!A:D,4,0)</f>
        <v>Opsins</v>
      </c>
      <c r="BB363" s="36" t="b">
        <f t="shared" ref="BB363" si="3495">AND(E363&lt;G363,OR(G363&lt;I363,I363="-"),OR(I363&lt;K363,I363="-"),OR(K363&lt;M363,K363="-"),M363&lt;O363,OR(O363&lt;Q363,Q363="-"),OR(Q363&lt;S363,Q363="-"),OR(S363&lt;U363,S363="-"),U363&lt;W363,OR(W363&lt;Y363,Y363="-"),OR(Y363&lt;AA363,Y363="-"),OR(AA363&lt;AC363,AA363="-"),AC363&lt;AE363,OR(AE363&lt;AG363,AG363="-"),OR(AG363&lt;AI363,AG363="-"),OR(AI363&lt;AK363,AI363="-"),AK363&lt;AM363,AM363&lt;AO363,AO363&lt;AQ363,AQ363&lt;AS363,AS363&lt;AU363,OR(AU363&lt;AW363,AW363="-"),OR(AW363&lt;AY363,AW363="-"))</f>
        <v>1</v>
      </c>
      <c r="BC363" s="109">
        <f t="shared" ref="BC363" si="3496">_xlfn.AGGREGATE(9,6,CH363:CS363)-_xlfn.AGGREGATE(9,6,BV363:CG363)+12</f>
        <v>252</v>
      </c>
      <c r="BD363" s="40" t="s">
        <v>23</v>
      </c>
      <c r="BE363" s="9" t="s">
        <v>1285</v>
      </c>
      <c r="BF363" s="119">
        <v>2.9</v>
      </c>
      <c r="BG363" s="51" t="s">
        <v>1</v>
      </c>
      <c r="BH363" s="51" t="s">
        <v>1</v>
      </c>
      <c r="BJ363" s="111" t="s">
        <v>1281</v>
      </c>
      <c r="BK363" s="112" t="s">
        <v>1281</v>
      </c>
      <c r="BL363" s="112" t="s">
        <v>1281</v>
      </c>
      <c r="BM363" s="112" t="s">
        <v>1281</v>
      </c>
      <c r="BN363" s="112" t="s">
        <v>1281</v>
      </c>
      <c r="BO363" s="112" t="s">
        <v>1281</v>
      </c>
      <c r="BP363" s="112" t="s">
        <v>1281</v>
      </c>
      <c r="BQ363" s="112" t="s">
        <v>1281</v>
      </c>
      <c r="BR363" s="112" t="s">
        <v>1281</v>
      </c>
      <c r="BS363" s="112" t="s">
        <v>1281</v>
      </c>
      <c r="BT363" s="112" t="s">
        <v>1281</v>
      </c>
      <c r="BU363" s="112" t="s">
        <v>1281</v>
      </c>
      <c r="BV363" s="111">
        <f t="shared" ref="BV363" si="3497">E363</f>
        <v>33</v>
      </c>
      <c r="BW363" s="113">
        <f t="shared" ref="BW363" si="3498">I363</f>
        <v>66</v>
      </c>
      <c r="BX363" s="114">
        <f t="shared" ref="BX363" si="3499">M363</f>
        <v>73</v>
      </c>
      <c r="BY363" s="113">
        <f t="shared" ref="BY363" si="3500">Q363</f>
        <v>102</v>
      </c>
      <c r="BZ363" s="114">
        <f t="shared" ref="BZ363" si="3501">U363</f>
        <v>106</v>
      </c>
      <c r="CA363" s="113" t="str">
        <f t="shared" ref="CA363" si="3502">Y363</f>
        <v>-</v>
      </c>
      <c r="CB363" s="114">
        <f t="shared" ref="CB363" si="3503">AC363</f>
        <v>149</v>
      </c>
      <c r="CC363" s="113">
        <f t="shared" ref="CC363" si="3504">AG363</f>
        <v>187</v>
      </c>
      <c r="CD363" s="114">
        <f t="shared" ref="CD363" si="3505">AK363</f>
        <v>199</v>
      </c>
      <c r="CE363" s="113">
        <f t="shared" ref="CE363" si="3506">AO363</f>
        <v>240</v>
      </c>
      <c r="CF363" s="114">
        <f t="shared" ref="CF363" si="3507">AS363</f>
        <v>284</v>
      </c>
      <c r="CG363" s="113">
        <f t="shared" ref="CG363" si="3508">AW363</f>
        <v>310</v>
      </c>
      <c r="CH363" s="111">
        <f t="shared" ref="CH363" si="3509">G363</f>
        <v>65</v>
      </c>
      <c r="CI363" s="113">
        <f t="shared" ref="CI363" si="3510">K363</f>
        <v>69</v>
      </c>
      <c r="CJ363" s="114">
        <f t="shared" ref="CJ363" si="3511">O363</f>
        <v>101</v>
      </c>
      <c r="CK363" s="114">
        <f t="shared" ref="CK363" si="3512">S363</f>
        <v>105</v>
      </c>
      <c r="CL363" s="114">
        <f t="shared" ref="CL363" si="3513">W363</f>
        <v>141</v>
      </c>
      <c r="CM363" s="114" t="str">
        <f t="shared" ref="CM363" si="3514">AA363</f>
        <v>-</v>
      </c>
      <c r="CN363" s="114">
        <f t="shared" ref="CN363" si="3515">AE363</f>
        <v>173</v>
      </c>
      <c r="CO363" s="114">
        <f t="shared" ref="CO363" si="3516">AI363</f>
        <v>189</v>
      </c>
      <c r="CP363" s="114">
        <f t="shared" ref="CP363" si="3517">AM363</f>
        <v>237</v>
      </c>
      <c r="CQ363" s="114">
        <f t="shared" ref="CQ363" si="3518">AQ363</f>
        <v>278</v>
      </c>
      <c r="CR363" s="114">
        <f t="shared" ref="CR363" si="3519">AU363</f>
        <v>309</v>
      </c>
      <c r="CS363" s="114">
        <f t="shared" ref="CS363" si="3520">AY363</f>
        <v>322</v>
      </c>
      <c r="CT363" s="109">
        <f t="shared" ref="CT363" si="3521">M363-K363</f>
        <v>4</v>
      </c>
    </row>
    <row r="364" spans="1:1029" x14ac:dyDescent="0.2">
      <c r="A364" s="3" t="str">
        <f t="shared" si="3240"/>
        <v>opsd_human__wt</v>
      </c>
      <c r="B364" s="3" t="s">
        <v>338</v>
      </c>
      <c r="C364" s="3" t="s">
        <v>100</v>
      </c>
      <c r="D364" s="3" t="str">
        <f>IFERROR(MID(VLOOKUP($B364,Seqs!$A:$B,2,0),E364,1),"")</f>
        <v>P</v>
      </c>
      <c r="E364" s="3">
        <v>34</v>
      </c>
      <c r="F364" s="3" t="str">
        <f>IFERROR(MID(VLOOKUP($B364,Seqs!$A:$B,2,0),G364,1),"")</f>
        <v>H</v>
      </c>
      <c r="G364" s="3">
        <v>65</v>
      </c>
      <c r="H364" s="3" t="str">
        <f>IFERROR(MID(VLOOKUP($B364,Seqs!$A:$B,2,0),I364,1),"")</f>
        <v>K</v>
      </c>
      <c r="I364" s="23">
        <v>66</v>
      </c>
      <c r="J364" s="3" t="str">
        <f>IFERROR(MID(VLOOKUP($B364,Seqs!$A:$B,2,0),K364,1),"")</f>
        <v>R</v>
      </c>
      <c r="K364" s="23">
        <v>69</v>
      </c>
      <c r="L364" s="3" t="str">
        <f>IFERROR(MID(VLOOKUP($B364,Seqs!$A:$B,2,0),M364,1),"")</f>
        <v>T</v>
      </c>
      <c r="M364" s="3">
        <v>70</v>
      </c>
      <c r="N364" s="3" t="str">
        <f>IFERROR(MID(VLOOKUP($B364,Seqs!$A:$B,2,0),O364,1),"")</f>
        <v>H</v>
      </c>
      <c r="O364" s="3">
        <v>100</v>
      </c>
      <c r="P364" s="3" t="str">
        <f>IFERROR(MID(VLOOKUP($B364,Seqs!$A:$B,2,0),Q364,1),"")</f>
        <v>Y</v>
      </c>
      <c r="Q364" s="3">
        <v>102</v>
      </c>
      <c r="R364" s="3" t="str">
        <f>IFERROR(MID(VLOOKUP($B364,Seqs!$A:$B,2,0),S364,1),"")</f>
        <v>F</v>
      </c>
      <c r="S364" s="3">
        <v>105</v>
      </c>
      <c r="T364" s="3" t="str">
        <f>IFERROR(MID(VLOOKUP($B364,Seqs!$A:$B,2,0),U364,1),"")</f>
        <v>G</v>
      </c>
      <c r="U364" s="3">
        <v>106</v>
      </c>
      <c r="V364" s="3" t="str">
        <f>IFERROR(MID(VLOOKUP($B364,Seqs!$A:$B,2,0),W364,1),"")</f>
        <v>K</v>
      </c>
      <c r="W364" s="3">
        <v>141</v>
      </c>
      <c r="X364" s="3" t="str">
        <f>IFERROR(MID(VLOOKUP($B364,Seqs!$A:$B,2,0),Y364,1),"")</f>
        <v>P</v>
      </c>
      <c r="Y364" s="3">
        <v>142</v>
      </c>
      <c r="Z364" s="3" t="str">
        <f>IFERROR(MID(VLOOKUP($B364,Seqs!$A:$B,2,0),AA364,1),"")</f>
        <v>F</v>
      </c>
      <c r="AA364" s="3">
        <v>148</v>
      </c>
      <c r="AB364" s="3" t="str">
        <f>IFERROR(MID(VLOOKUP($B364,Seqs!$A:$B,2,0),AC364,1),"")</f>
        <v>G</v>
      </c>
      <c r="AC364" s="9">
        <v>149</v>
      </c>
      <c r="AD364" s="3" t="str">
        <f>IFERROR(MID(VLOOKUP($B364,Seqs!$A:$B,2,0),AE364,1),"")</f>
        <v>A</v>
      </c>
      <c r="AE364" s="3">
        <v>173</v>
      </c>
      <c r="AF364" s="3" t="str">
        <f>IFERROR(MID(VLOOKUP($B364,Seqs!$A:$B,2,0),AG364,1),"")</f>
        <v>C</v>
      </c>
      <c r="AG364" s="3">
        <v>187</v>
      </c>
      <c r="AH364" s="3" t="str">
        <f>IFERROR(MID(VLOOKUP($B364,Seqs!$A:$B,2,0),AI364,1),"")</f>
        <v>I</v>
      </c>
      <c r="AI364" s="3">
        <v>189</v>
      </c>
      <c r="AJ364" s="3" t="str">
        <f>IFERROR(MID(VLOOKUP($B364,Seqs!$A:$B,2,0),AK364,1),"")</f>
        <v>N</v>
      </c>
      <c r="AK364" s="3">
        <v>199</v>
      </c>
      <c r="AL364" s="3" t="str">
        <f>IFERROR(MID(VLOOKUP($B364,Seqs!$A:$B,2,0),AM364,1),"")</f>
        <v>Q</v>
      </c>
      <c r="AM364" s="3">
        <v>237</v>
      </c>
      <c r="AN364" s="3" t="str">
        <f>IFERROR(MID(VLOOKUP($B364,Seqs!$A:$B,2,0),AO364,1),"")</f>
        <v>A</v>
      </c>
      <c r="AO364" s="3">
        <v>241</v>
      </c>
      <c r="AP364" s="3" t="str">
        <f>IFERROR(MID(VLOOKUP($B364,Seqs!$A:$B,2,0),AQ364,1),"")</f>
        <v>H</v>
      </c>
      <c r="AQ364" s="3">
        <v>278</v>
      </c>
      <c r="AR364" s="3" t="str">
        <f>IFERROR(MID(VLOOKUP($B364,Seqs!$A:$B,2,0),AS364,1),"")</f>
        <v>G</v>
      </c>
      <c r="AS364" s="3">
        <v>284</v>
      </c>
      <c r="AT364" s="3" t="str">
        <f>IFERROR(MID(VLOOKUP($B364,Seqs!$A:$B,2,0),AU364,1),"")</f>
        <v>M</v>
      </c>
      <c r="AU364" s="3">
        <v>309</v>
      </c>
      <c r="AV364" s="3" t="str">
        <f>IFERROR(MID(VLOOKUP($B364,Seqs!$A:$B,2,0),AW364,1),"")</f>
        <v>N</v>
      </c>
      <c r="AW364" s="3">
        <v>310</v>
      </c>
      <c r="AX364" s="3" t="str">
        <f>IFERROR(MID(VLOOKUP($B364,Seqs!$A:$B,2,0),AY364,1),"")</f>
        <v>C</v>
      </c>
      <c r="AY364" s="3">
        <v>322</v>
      </c>
      <c r="AZ364" s="77" t="str">
        <f>VLOOKUP(B364,Classification!A:D,2,0)</f>
        <v>A</v>
      </c>
      <c r="BA364" s="94" t="str">
        <f>VLOOKUP(B364,Classification!A:D,4,0)</f>
        <v>Opsins</v>
      </c>
      <c r="BB364" s="27" t="b">
        <f t="shared" si="3241"/>
        <v>1</v>
      </c>
      <c r="BC364" s="23">
        <f t="shared" si="3214"/>
        <v>258</v>
      </c>
      <c r="BD364" s="56" t="s">
        <v>23</v>
      </c>
      <c r="BE364" s="3" t="s">
        <v>23</v>
      </c>
      <c r="BF364" s="118" t="s">
        <v>23</v>
      </c>
      <c r="BG364" s="49" t="s">
        <v>1366</v>
      </c>
      <c r="BH364" s="49" t="s">
        <v>1371</v>
      </c>
      <c r="BI364" s="1"/>
      <c r="BJ364" s="70" t="s">
        <v>1281</v>
      </c>
      <c r="BK364" s="57" t="s">
        <v>1281</v>
      </c>
      <c r="BL364" s="57" t="s">
        <v>1281</v>
      </c>
      <c r="BM364" s="57" t="s">
        <v>1281</v>
      </c>
      <c r="BN364" s="57" t="s">
        <v>1281</v>
      </c>
      <c r="BO364" s="57" t="s">
        <v>1281</v>
      </c>
      <c r="BP364" s="57" t="s">
        <v>1281</v>
      </c>
      <c r="BQ364" s="57" t="s">
        <v>1281</v>
      </c>
      <c r="BR364" s="57" t="s">
        <v>1281</v>
      </c>
      <c r="BS364" s="57" t="s">
        <v>1281</v>
      </c>
      <c r="BT364" s="57" t="s">
        <v>1281</v>
      </c>
      <c r="BU364" s="57" t="s">
        <v>1281</v>
      </c>
      <c r="BV364" s="70">
        <f t="shared" si="3215"/>
        <v>34</v>
      </c>
      <c r="BW364" s="71">
        <f t="shared" si="3216"/>
        <v>66</v>
      </c>
      <c r="BX364" s="72">
        <f t="shared" si="3217"/>
        <v>70</v>
      </c>
      <c r="BY364" s="71">
        <f t="shared" si="3218"/>
        <v>102</v>
      </c>
      <c r="BZ364" s="72">
        <f t="shared" si="3219"/>
        <v>106</v>
      </c>
      <c r="CA364" s="71">
        <f t="shared" si="3220"/>
        <v>142</v>
      </c>
      <c r="CB364" s="72">
        <f t="shared" si="3221"/>
        <v>149</v>
      </c>
      <c r="CC364" s="71">
        <f t="shared" si="3222"/>
        <v>187</v>
      </c>
      <c r="CD364" s="72">
        <f t="shared" si="3223"/>
        <v>199</v>
      </c>
      <c r="CE364" s="71">
        <f t="shared" si="3224"/>
        <v>241</v>
      </c>
      <c r="CF364" s="72">
        <f t="shared" si="3225"/>
        <v>284</v>
      </c>
      <c r="CG364" s="71">
        <f t="shared" si="3226"/>
        <v>310</v>
      </c>
      <c r="CH364" s="70">
        <f t="shared" si="3227"/>
        <v>65</v>
      </c>
      <c r="CI364" s="71">
        <f t="shared" si="3228"/>
        <v>69</v>
      </c>
      <c r="CJ364" s="72">
        <f t="shared" si="3229"/>
        <v>100</v>
      </c>
      <c r="CK364" s="72">
        <f t="shared" si="3230"/>
        <v>105</v>
      </c>
      <c r="CL364" s="72">
        <f t="shared" si="3231"/>
        <v>141</v>
      </c>
      <c r="CM364" s="72">
        <f t="shared" si="3232"/>
        <v>148</v>
      </c>
      <c r="CN364" s="72">
        <f t="shared" si="3233"/>
        <v>173</v>
      </c>
      <c r="CO364" s="72">
        <f t="shared" si="3234"/>
        <v>189</v>
      </c>
      <c r="CP364" s="72">
        <f t="shared" si="3235"/>
        <v>237</v>
      </c>
      <c r="CQ364" s="72">
        <f t="shared" si="3236"/>
        <v>278</v>
      </c>
      <c r="CR364" s="72">
        <f t="shared" si="3237"/>
        <v>309</v>
      </c>
      <c r="CS364" s="72">
        <f t="shared" si="3238"/>
        <v>322</v>
      </c>
      <c r="CT364" s="23">
        <f t="shared" si="3239"/>
        <v>1</v>
      </c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</row>
    <row r="365" spans="1:1029" x14ac:dyDescent="0.2">
      <c r="A365" s="3" t="str">
        <f t="shared" si="3240"/>
        <v>opsd_human_4ZWJ</v>
      </c>
      <c r="B365" s="3" t="s">
        <v>338</v>
      </c>
      <c r="C365" s="3" t="s">
        <v>55</v>
      </c>
      <c r="D365" s="3" t="str">
        <f>IFERROR(MID(VLOOKUP($B365,Seqs!$A:$B,2,0),E365,1),"")</f>
        <v>P</v>
      </c>
      <c r="E365" s="3">
        <v>34</v>
      </c>
      <c r="F365" s="3" t="str">
        <f>IFERROR(MID(VLOOKUP($B365,Seqs!$A:$B,2,0),G365,1),"")</f>
        <v>H</v>
      </c>
      <c r="G365" s="3">
        <v>65</v>
      </c>
      <c r="H365" s="3" t="str">
        <f>IFERROR(MID(VLOOKUP($B365,Seqs!$A:$B,2,0),I365,1),"")</f>
        <v>K</v>
      </c>
      <c r="I365" s="23">
        <v>66</v>
      </c>
      <c r="J365" s="3" t="str">
        <f>IFERROR(MID(VLOOKUP($B365,Seqs!$A:$B,2,0),K365,1),"")</f>
        <v>R</v>
      </c>
      <c r="K365" s="23">
        <v>69</v>
      </c>
      <c r="L365" s="3" t="str">
        <f>IFERROR(MID(VLOOKUP($B365,Seqs!$A:$B,2,0),M365,1),"")</f>
        <v>T</v>
      </c>
      <c r="M365" s="3">
        <v>70</v>
      </c>
      <c r="N365" s="3" t="str">
        <f>IFERROR(MID(VLOOKUP($B365,Seqs!$A:$B,2,0),O365,1),"")</f>
        <v>H</v>
      </c>
      <c r="O365" s="3">
        <v>100</v>
      </c>
      <c r="P365" s="3" t="str">
        <f>IFERROR(MID(VLOOKUP($B365,Seqs!$A:$B,2,0),Q365,1),"")</f>
        <v>Y</v>
      </c>
      <c r="Q365" s="3">
        <v>102</v>
      </c>
      <c r="R365" s="3" t="str">
        <f>IFERROR(MID(VLOOKUP($B365,Seqs!$A:$B,2,0),S365,1),"")</f>
        <v>F</v>
      </c>
      <c r="S365" s="3">
        <v>105</v>
      </c>
      <c r="T365" s="3" t="str">
        <f>IFERROR(MID(VLOOKUP($B365,Seqs!$A:$B,2,0),U365,1),"")</f>
        <v>G</v>
      </c>
      <c r="U365" s="3">
        <v>106</v>
      </c>
      <c r="V365" s="3" t="str">
        <f>IFERROR(MID(VLOOKUP($B365,Seqs!$A:$B,2,0),W365,1),"")</f>
        <v>K</v>
      </c>
      <c r="W365" s="3">
        <v>141</v>
      </c>
      <c r="X365" s="3" t="str">
        <f>IFERROR(MID(VLOOKUP($B365,Seqs!$A:$B,2,0),Y365,1),"")</f>
        <v>P</v>
      </c>
      <c r="Y365" s="3">
        <v>142</v>
      </c>
      <c r="Z365" s="3" t="str">
        <f>IFERROR(MID(VLOOKUP($B365,Seqs!$A:$B,2,0),AA365,1),"")</f>
        <v>F</v>
      </c>
      <c r="AA365" s="3">
        <v>148</v>
      </c>
      <c r="AB365" s="3" t="str">
        <f>IFERROR(MID(VLOOKUP($B365,Seqs!$A:$B,2,0),AC365,1),"")</f>
        <v>G</v>
      </c>
      <c r="AC365" s="9">
        <v>149</v>
      </c>
      <c r="AD365" s="3" t="str">
        <f>IFERROR(MID(VLOOKUP($B365,Seqs!$A:$B,2,0),AE365,1),"")</f>
        <v>A</v>
      </c>
      <c r="AE365" s="3">
        <v>173</v>
      </c>
      <c r="AF365" s="3" t="str">
        <f>IFERROR(MID(VLOOKUP($B365,Seqs!$A:$B,2,0),AG365,1),"")</f>
        <v>C</v>
      </c>
      <c r="AG365" s="3">
        <v>187</v>
      </c>
      <c r="AH365" s="3" t="str">
        <f>IFERROR(MID(VLOOKUP($B365,Seqs!$A:$B,2,0),AI365,1),"")</f>
        <v>I</v>
      </c>
      <c r="AI365" s="3">
        <v>189</v>
      </c>
      <c r="AJ365" s="3" t="str">
        <f>IFERROR(MID(VLOOKUP($B365,Seqs!$A:$B,2,0),AK365,1),"")</f>
        <v>N</v>
      </c>
      <c r="AK365" s="3">
        <v>199</v>
      </c>
      <c r="AL365" s="3" t="str">
        <f>IFERROR(MID(VLOOKUP($B365,Seqs!$A:$B,2,0),AM365,1),"")</f>
        <v>Q</v>
      </c>
      <c r="AM365" s="3">
        <v>237</v>
      </c>
      <c r="AN365" s="3" t="str">
        <f>IFERROR(MID(VLOOKUP($B365,Seqs!$A:$B,2,0),AO365,1),"")</f>
        <v>A</v>
      </c>
      <c r="AO365" s="3">
        <v>241</v>
      </c>
      <c r="AP365" s="3" t="str">
        <f>IFERROR(MID(VLOOKUP($B365,Seqs!$A:$B,2,0),AQ365,1),"")</f>
        <v>H</v>
      </c>
      <c r="AQ365" s="3">
        <v>278</v>
      </c>
      <c r="AR365" s="3" t="str">
        <f>IFERROR(MID(VLOOKUP($B365,Seqs!$A:$B,2,0),AS365,1),"")</f>
        <v>G</v>
      </c>
      <c r="AS365" s="3">
        <v>284</v>
      </c>
      <c r="AT365" s="3" t="str">
        <f>IFERROR(MID(VLOOKUP($B365,Seqs!$A:$B,2,0),AU365,1),"")</f>
        <v>M</v>
      </c>
      <c r="AU365" s="3">
        <v>309</v>
      </c>
      <c r="AV365" s="3" t="str">
        <f>IFERROR(MID(VLOOKUP($B365,Seqs!$A:$B,2,0),AW365,1),"")</f>
        <v>N</v>
      </c>
      <c r="AW365" s="3">
        <v>310</v>
      </c>
      <c r="AX365" s="3" t="str">
        <f>IFERROR(MID(VLOOKUP($B365,Seqs!$A:$B,2,0),AY365,1),"")</f>
        <v>C</v>
      </c>
      <c r="AY365" s="3">
        <v>322</v>
      </c>
      <c r="AZ365" s="77" t="str">
        <f>VLOOKUP(B365,Classification!A:D,2,0)</f>
        <v>A</v>
      </c>
      <c r="BA365" s="94" t="str">
        <f>VLOOKUP(B365,Classification!A:D,4,0)</f>
        <v>Opsins</v>
      </c>
      <c r="BB365" s="27" t="b">
        <f t="shared" si="3241"/>
        <v>1</v>
      </c>
      <c r="BC365" s="23">
        <f t="shared" si="3214"/>
        <v>258</v>
      </c>
      <c r="BD365" s="2" t="s">
        <v>1369</v>
      </c>
      <c r="BE365" s="3" t="s">
        <v>1285</v>
      </c>
      <c r="BF365" s="118">
        <v>3.3</v>
      </c>
      <c r="BG365" s="49" t="s">
        <v>1371</v>
      </c>
      <c r="BH365" s="49" t="s">
        <v>1371</v>
      </c>
      <c r="BI365" s="1"/>
      <c r="BJ365" s="70" t="s">
        <v>1281</v>
      </c>
      <c r="BK365" s="57" t="s">
        <v>1281</v>
      </c>
      <c r="BL365" s="57" t="s">
        <v>1281</v>
      </c>
      <c r="BM365" s="57" t="s">
        <v>1281</v>
      </c>
      <c r="BN365" s="57" t="s">
        <v>1281</v>
      </c>
      <c r="BO365" s="57" t="s">
        <v>1281</v>
      </c>
      <c r="BP365" s="57" t="s">
        <v>1281</v>
      </c>
      <c r="BQ365" s="57" t="s">
        <v>1281</v>
      </c>
      <c r="BR365" s="57" t="s">
        <v>1281</v>
      </c>
      <c r="BS365" s="57" t="s">
        <v>1281</v>
      </c>
      <c r="BT365" s="57" t="s">
        <v>1281</v>
      </c>
      <c r="BU365" s="57" t="s">
        <v>1281</v>
      </c>
      <c r="BV365" s="70">
        <f t="shared" si="3215"/>
        <v>34</v>
      </c>
      <c r="BW365" s="71">
        <f t="shared" si="3216"/>
        <v>66</v>
      </c>
      <c r="BX365" s="72">
        <f t="shared" si="3217"/>
        <v>70</v>
      </c>
      <c r="BY365" s="71">
        <f t="shared" si="3218"/>
        <v>102</v>
      </c>
      <c r="BZ365" s="72">
        <f t="shared" si="3219"/>
        <v>106</v>
      </c>
      <c r="CA365" s="71">
        <f t="shared" si="3220"/>
        <v>142</v>
      </c>
      <c r="CB365" s="72">
        <f t="shared" si="3221"/>
        <v>149</v>
      </c>
      <c r="CC365" s="71">
        <f t="shared" si="3222"/>
        <v>187</v>
      </c>
      <c r="CD365" s="72">
        <f t="shared" si="3223"/>
        <v>199</v>
      </c>
      <c r="CE365" s="71">
        <f t="shared" si="3224"/>
        <v>241</v>
      </c>
      <c r="CF365" s="72">
        <f t="shared" si="3225"/>
        <v>284</v>
      </c>
      <c r="CG365" s="71">
        <f t="shared" si="3226"/>
        <v>310</v>
      </c>
      <c r="CH365" s="70">
        <f t="shared" si="3227"/>
        <v>65</v>
      </c>
      <c r="CI365" s="71">
        <f t="shared" si="3228"/>
        <v>69</v>
      </c>
      <c r="CJ365" s="72">
        <f t="shared" si="3229"/>
        <v>100</v>
      </c>
      <c r="CK365" s="72">
        <f t="shared" si="3230"/>
        <v>105</v>
      </c>
      <c r="CL365" s="72">
        <f t="shared" si="3231"/>
        <v>141</v>
      </c>
      <c r="CM365" s="72">
        <f t="shared" si="3232"/>
        <v>148</v>
      </c>
      <c r="CN365" s="72">
        <f t="shared" si="3233"/>
        <v>173</v>
      </c>
      <c r="CO365" s="72">
        <f t="shared" si="3234"/>
        <v>189</v>
      </c>
      <c r="CP365" s="72">
        <f t="shared" si="3235"/>
        <v>237</v>
      </c>
      <c r="CQ365" s="72">
        <f t="shared" si="3236"/>
        <v>278</v>
      </c>
      <c r="CR365" s="72">
        <f t="shared" si="3237"/>
        <v>309</v>
      </c>
      <c r="CS365" s="72">
        <f t="shared" si="3238"/>
        <v>322</v>
      </c>
      <c r="CT365" s="23">
        <f t="shared" si="3239"/>
        <v>1</v>
      </c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</row>
    <row r="366" spans="1:1029" x14ac:dyDescent="0.2">
      <c r="A366" s="3" t="str">
        <f t="shared" si="3240"/>
        <v>opsd_human_5DGY</v>
      </c>
      <c r="B366" s="3" t="s">
        <v>338</v>
      </c>
      <c r="C366" s="3" t="s">
        <v>1428</v>
      </c>
      <c r="D366" s="3" t="str">
        <f>IFERROR(MID(VLOOKUP($B366,Seqs!$A:$B,2,0),E366,1),"")</f>
        <v>P</v>
      </c>
      <c r="E366" s="3">
        <v>34</v>
      </c>
      <c r="F366" s="3" t="str">
        <f>IFERROR(MID(VLOOKUP($B366,Seqs!$A:$B,2,0),G366,1),"")</f>
        <v>H</v>
      </c>
      <c r="G366" s="3">
        <v>65</v>
      </c>
      <c r="H366" s="3" t="str">
        <f>IFERROR(MID(VLOOKUP($B366,Seqs!$A:$B,2,0),I366,1),"")</f>
        <v>K</v>
      </c>
      <c r="I366" s="23">
        <v>66</v>
      </c>
      <c r="J366" s="3" t="str">
        <f>IFERROR(MID(VLOOKUP($B366,Seqs!$A:$B,2,0),K366,1),"")</f>
        <v>R</v>
      </c>
      <c r="K366" s="23">
        <v>69</v>
      </c>
      <c r="L366" s="3" t="str">
        <f>IFERROR(MID(VLOOKUP($B366,Seqs!$A:$B,2,0),M366,1),"")</f>
        <v>T</v>
      </c>
      <c r="M366" s="3">
        <v>70</v>
      </c>
      <c r="N366" s="3" t="str">
        <f>IFERROR(MID(VLOOKUP($B366,Seqs!$A:$B,2,0),O366,1),"")</f>
        <v>H</v>
      </c>
      <c r="O366" s="3">
        <v>100</v>
      </c>
      <c r="P366" s="3" t="str">
        <f>IFERROR(MID(VLOOKUP($B366,Seqs!$A:$B,2,0),Q366,1),"")</f>
        <v>Y</v>
      </c>
      <c r="Q366" s="3">
        <v>102</v>
      </c>
      <c r="R366" s="3" t="str">
        <f>IFERROR(MID(VLOOKUP($B366,Seqs!$A:$B,2,0),S366,1),"")</f>
        <v>F</v>
      </c>
      <c r="S366" s="3">
        <v>105</v>
      </c>
      <c r="T366" s="3" t="str">
        <f>IFERROR(MID(VLOOKUP($B366,Seqs!$A:$B,2,0),U366,1),"")</f>
        <v>G</v>
      </c>
      <c r="U366" s="3">
        <v>106</v>
      </c>
      <c r="V366" s="3" t="str">
        <f>IFERROR(MID(VLOOKUP($B366,Seqs!$A:$B,2,0),W366,1),"")</f>
        <v>K</v>
      </c>
      <c r="W366" s="3">
        <v>141</v>
      </c>
      <c r="X366" s="3" t="str">
        <f>IFERROR(MID(VLOOKUP($B366,Seqs!$A:$B,2,0),Y366,1),"")</f>
        <v>P</v>
      </c>
      <c r="Y366" s="3">
        <v>142</v>
      </c>
      <c r="Z366" s="3" t="str">
        <f>IFERROR(MID(VLOOKUP($B366,Seqs!$A:$B,2,0),AA366,1),"")</f>
        <v>F</v>
      </c>
      <c r="AA366" s="3">
        <v>148</v>
      </c>
      <c r="AB366" s="3" t="str">
        <f>IFERROR(MID(VLOOKUP($B366,Seqs!$A:$B,2,0),AC366,1),"")</f>
        <v>G</v>
      </c>
      <c r="AC366" s="3">
        <v>149</v>
      </c>
      <c r="AD366" s="3" t="str">
        <f>IFERROR(MID(VLOOKUP($B366,Seqs!$A:$B,2,0),AE366,1),"")</f>
        <v>A</v>
      </c>
      <c r="AE366" s="3">
        <v>173</v>
      </c>
      <c r="AF366" s="3" t="str">
        <f>IFERROR(MID(VLOOKUP($B366,Seqs!$A:$B,2,0),AG366,1),"")</f>
        <v>C</v>
      </c>
      <c r="AG366" s="3">
        <v>187</v>
      </c>
      <c r="AH366" s="3" t="str">
        <f>IFERROR(MID(VLOOKUP($B366,Seqs!$A:$B,2,0),AI366,1),"")</f>
        <v>I</v>
      </c>
      <c r="AI366" s="3">
        <v>189</v>
      </c>
      <c r="AJ366" s="3" t="str">
        <f>IFERROR(MID(VLOOKUP($B366,Seqs!$A:$B,2,0),AK366,1),"")</f>
        <v>N</v>
      </c>
      <c r="AK366" s="3">
        <v>199</v>
      </c>
      <c r="AL366" s="3" t="str">
        <f>IFERROR(MID(VLOOKUP($B366,Seqs!$A:$B,2,0),AM366,1),"")</f>
        <v>Q</v>
      </c>
      <c r="AM366" s="3">
        <v>237</v>
      </c>
      <c r="AN366" s="3" t="str">
        <f>IFERROR(MID(VLOOKUP($B366,Seqs!$A:$B,2,0),AO366,1),"")</f>
        <v>A</v>
      </c>
      <c r="AO366" s="3">
        <v>241</v>
      </c>
      <c r="AP366" s="3" t="str">
        <f>IFERROR(MID(VLOOKUP($B366,Seqs!$A:$B,2,0),AQ366,1),"")</f>
        <v>H</v>
      </c>
      <c r="AQ366" s="3">
        <v>278</v>
      </c>
      <c r="AR366" s="3" t="str">
        <f>IFERROR(MID(VLOOKUP($B366,Seqs!$A:$B,2,0),AS366,1),"")</f>
        <v>G</v>
      </c>
      <c r="AS366" s="3">
        <v>284</v>
      </c>
      <c r="AT366" s="3" t="str">
        <f>IFERROR(MID(VLOOKUP($B366,Seqs!$A:$B,2,0),AU366,1),"")</f>
        <v>M</v>
      </c>
      <c r="AU366" s="3">
        <v>309</v>
      </c>
      <c r="AV366" s="3" t="str">
        <f>IFERROR(MID(VLOOKUP($B366,Seqs!$A:$B,2,0),AW366,1),"")</f>
        <v>N</v>
      </c>
      <c r="AW366" s="3">
        <v>310</v>
      </c>
      <c r="AX366" s="3" t="str">
        <f>IFERROR(MID(VLOOKUP($B366,Seqs!$A:$B,2,0),AY366,1),"")</f>
        <v>C</v>
      </c>
      <c r="AY366" s="3">
        <v>322</v>
      </c>
      <c r="AZ366" s="77" t="str">
        <f>VLOOKUP(B366,Classification!A:D,2,0)</f>
        <v>A</v>
      </c>
      <c r="BA366" s="94" t="str">
        <f>VLOOKUP(B366,Classification!A:D,4,0)</f>
        <v>Opsins</v>
      </c>
      <c r="BB366" s="27" t="b">
        <f t="shared" si="3241"/>
        <v>1</v>
      </c>
      <c r="BC366" s="23">
        <f t="shared" si="3214"/>
        <v>258</v>
      </c>
      <c r="BD366" s="2" t="s">
        <v>23</v>
      </c>
      <c r="BE366" s="3" t="s">
        <v>1285</v>
      </c>
      <c r="BF366" s="118">
        <v>7.7</v>
      </c>
      <c r="BG366" s="49" t="s">
        <v>1427</v>
      </c>
      <c r="BH366" s="49" t="s">
        <v>1427</v>
      </c>
      <c r="BI366" s="1"/>
      <c r="BJ366" s="70" t="s">
        <v>1281</v>
      </c>
      <c r="BK366" s="57" t="s">
        <v>1281</v>
      </c>
      <c r="BL366" s="57" t="s">
        <v>1281</v>
      </c>
      <c r="BM366" s="57" t="s">
        <v>1281</v>
      </c>
      <c r="BN366" s="57" t="s">
        <v>1281</v>
      </c>
      <c r="BO366" s="57" t="s">
        <v>1281</v>
      </c>
      <c r="BP366" s="57" t="s">
        <v>1281</v>
      </c>
      <c r="BQ366" s="57" t="s">
        <v>1281</v>
      </c>
      <c r="BR366" s="57" t="s">
        <v>1281</v>
      </c>
      <c r="BS366" s="57" t="s">
        <v>1281</v>
      </c>
      <c r="BT366" s="57" t="s">
        <v>1281</v>
      </c>
      <c r="BU366" s="57" t="s">
        <v>1281</v>
      </c>
      <c r="BV366" s="70">
        <f t="shared" si="3215"/>
        <v>34</v>
      </c>
      <c r="BW366" s="71">
        <f t="shared" si="3216"/>
        <v>66</v>
      </c>
      <c r="BX366" s="72">
        <f t="shared" si="3217"/>
        <v>70</v>
      </c>
      <c r="BY366" s="71">
        <f t="shared" si="3218"/>
        <v>102</v>
      </c>
      <c r="BZ366" s="72">
        <f t="shared" si="3219"/>
        <v>106</v>
      </c>
      <c r="CA366" s="71">
        <f t="shared" si="3220"/>
        <v>142</v>
      </c>
      <c r="CB366" s="72">
        <f t="shared" si="3221"/>
        <v>149</v>
      </c>
      <c r="CC366" s="71">
        <f t="shared" si="3222"/>
        <v>187</v>
      </c>
      <c r="CD366" s="72">
        <f t="shared" si="3223"/>
        <v>199</v>
      </c>
      <c r="CE366" s="71">
        <f t="shared" si="3224"/>
        <v>241</v>
      </c>
      <c r="CF366" s="72">
        <f t="shared" si="3225"/>
        <v>284</v>
      </c>
      <c r="CG366" s="71">
        <f t="shared" si="3226"/>
        <v>310</v>
      </c>
      <c r="CH366" s="70">
        <f t="shared" si="3227"/>
        <v>65</v>
      </c>
      <c r="CI366" s="71">
        <f t="shared" si="3228"/>
        <v>69</v>
      </c>
      <c r="CJ366" s="72">
        <f t="shared" si="3229"/>
        <v>100</v>
      </c>
      <c r="CK366" s="72">
        <f t="shared" si="3230"/>
        <v>105</v>
      </c>
      <c r="CL366" s="72">
        <f t="shared" si="3231"/>
        <v>141</v>
      </c>
      <c r="CM366" s="72">
        <f t="shared" si="3232"/>
        <v>148</v>
      </c>
      <c r="CN366" s="72">
        <f t="shared" si="3233"/>
        <v>173</v>
      </c>
      <c r="CO366" s="72">
        <f t="shared" si="3234"/>
        <v>189</v>
      </c>
      <c r="CP366" s="72">
        <f t="shared" si="3235"/>
        <v>237</v>
      </c>
      <c r="CQ366" s="72">
        <f t="shared" si="3236"/>
        <v>278</v>
      </c>
      <c r="CR366" s="72">
        <f t="shared" si="3237"/>
        <v>309</v>
      </c>
      <c r="CS366" s="72">
        <f t="shared" si="3238"/>
        <v>322</v>
      </c>
      <c r="CT366" s="23">
        <f t="shared" si="3239"/>
        <v>1</v>
      </c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</row>
    <row r="367" spans="1:1029" x14ac:dyDescent="0.2">
      <c r="A367" s="3" t="str">
        <f>CONCATENATE(B367,"_",C367)</f>
        <v>opsd_human_5W0P</v>
      </c>
      <c r="B367" s="3" t="s">
        <v>338</v>
      </c>
      <c r="C367" s="3" t="s">
        <v>1426</v>
      </c>
      <c r="D367" s="3" t="str">
        <f>IFERROR(MID(VLOOKUP($B367,Seqs!$A:$B,2,0),E367,1),"")</f>
        <v>P</v>
      </c>
      <c r="E367" s="3">
        <v>34</v>
      </c>
      <c r="F367" s="3" t="str">
        <f>IFERROR(MID(VLOOKUP($B367,Seqs!$A:$B,2,0),G367,1),"")</f>
        <v>H</v>
      </c>
      <c r="G367" s="3">
        <v>65</v>
      </c>
      <c r="H367" s="3" t="str">
        <f>IFERROR(MID(VLOOKUP($B367,Seqs!$A:$B,2,0),I367,1),"")</f>
        <v>K</v>
      </c>
      <c r="I367" s="23">
        <v>66</v>
      </c>
      <c r="J367" s="3" t="str">
        <f>IFERROR(MID(VLOOKUP($B367,Seqs!$A:$B,2,0),K367,1),"")</f>
        <v>R</v>
      </c>
      <c r="K367" s="23">
        <v>69</v>
      </c>
      <c r="L367" s="3" t="str">
        <f>IFERROR(MID(VLOOKUP($B367,Seqs!$A:$B,2,0),M367,1),"")</f>
        <v>T</v>
      </c>
      <c r="M367" s="3">
        <v>70</v>
      </c>
      <c r="N367" s="3" t="str">
        <f>IFERROR(MID(VLOOKUP($B367,Seqs!$A:$B,2,0),O367,1),"")</f>
        <v>H</v>
      </c>
      <c r="O367" s="3">
        <v>100</v>
      </c>
      <c r="P367" s="3" t="str">
        <f>IFERROR(MID(VLOOKUP($B367,Seqs!$A:$B,2,0),Q367,1),"")</f>
        <v>Y</v>
      </c>
      <c r="Q367" s="3">
        <v>102</v>
      </c>
      <c r="R367" s="3" t="str">
        <f>IFERROR(MID(VLOOKUP($B367,Seqs!$A:$B,2,0),S367,1),"")</f>
        <v>F</v>
      </c>
      <c r="S367" s="3">
        <v>105</v>
      </c>
      <c r="T367" s="3" t="str">
        <f>IFERROR(MID(VLOOKUP($B367,Seqs!$A:$B,2,0),U367,1),"")</f>
        <v>G</v>
      </c>
      <c r="U367" s="3">
        <v>106</v>
      </c>
      <c r="V367" s="3" t="str">
        <f>IFERROR(MID(VLOOKUP($B367,Seqs!$A:$B,2,0),W367,1),"")</f>
        <v>K</v>
      </c>
      <c r="W367" s="3">
        <v>141</v>
      </c>
      <c r="X367" s="3" t="str">
        <f>IFERROR(MID(VLOOKUP($B367,Seqs!$A:$B,2,0),Y367,1),"")</f>
        <v>P</v>
      </c>
      <c r="Y367" s="3">
        <v>142</v>
      </c>
      <c r="Z367" s="3" t="str">
        <f>IFERROR(MID(VLOOKUP($B367,Seqs!$A:$B,2,0),AA367,1),"")</f>
        <v>F</v>
      </c>
      <c r="AA367" s="3">
        <v>148</v>
      </c>
      <c r="AB367" s="3" t="str">
        <f>IFERROR(MID(VLOOKUP($B367,Seqs!$A:$B,2,0),AC367,1),"")</f>
        <v>G</v>
      </c>
      <c r="AC367" s="3">
        <v>149</v>
      </c>
      <c r="AD367" s="3" t="str">
        <f>IFERROR(MID(VLOOKUP($B367,Seqs!$A:$B,2,0),AE367,1),"")</f>
        <v>A</v>
      </c>
      <c r="AE367" s="3">
        <v>173</v>
      </c>
      <c r="AF367" s="3" t="str">
        <f>IFERROR(MID(VLOOKUP($B367,Seqs!$A:$B,2,0),AG367,1),"")</f>
        <v>C</v>
      </c>
      <c r="AG367" s="3">
        <v>187</v>
      </c>
      <c r="AH367" s="3" t="str">
        <f>IFERROR(MID(VLOOKUP($B367,Seqs!$A:$B,2,0),AI367,1),"")</f>
        <v>I</v>
      </c>
      <c r="AI367" s="3">
        <v>189</v>
      </c>
      <c r="AJ367" s="3" t="str">
        <f>IFERROR(MID(VLOOKUP($B367,Seqs!$A:$B,2,0),AK367,1),"")</f>
        <v>N</v>
      </c>
      <c r="AK367" s="3">
        <v>199</v>
      </c>
      <c r="AL367" s="3" t="str">
        <f>IFERROR(MID(VLOOKUP($B367,Seqs!$A:$B,2,0),AM367,1),"")</f>
        <v>Q</v>
      </c>
      <c r="AM367" s="3">
        <v>237</v>
      </c>
      <c r="AN367" s="3" t="str">
        <f>IFERROR(MID(VLOOKUP($B367,Seqs!$A:$B,2,0),AO367,1),"")</f>
        <v>A</v>
      </c>
      <c r="AO367" s="3">
        <v>241</v>
      </c>
      <c r="AP367" s="3" t="str">
        <f>IFERROR(MID(VLOOKUP($B367,Seqs!$A:$B,2,0),AQ367,1),"")</f>
        <v>H</v>
      </c>
      <c r="AQ367" s="3">
        <v>278</v>
      </c>
      <c r="AR367" s="3" t="str">
        <f>IFERROR(MID(VLOOKUP($B367,Seqs!$A:$B,2,0),AS367,1),"")</f>
        <v>G</v>
      </c>
      <c r="AS367" s="3">
        <v>284</v>
      </c>
      <c r="AT367" s="3" t="str">
        <f>IFERROR(MID(VLOOKUP($B367,Seqs!$A:$B,2,0),AU367,1),"")</f>
        <v>M</v>
      </c>
      <c r="AU367" s="3">
        <v>309</v>
      </c>
      <c r="AV367" s="3" t="str">
        <f>IFERROR(MID(VLOOKUP($B367,Seqs!$A:$B,2,0),AW367,1),"")</f>
        <v>N</v>
      </c>
      <c r="AW367" s="3">
        <v>310</v>
      </c>
      <c r="AX367" s="3" t="str">
        <f>IFERROR(MID(VLOOKUP($B367,Seqs!$A:$B,2,0),AY367,1),"")</f>
        <v>C</v>
      </c>
      <c r="AY367" s="3">
        <v>322</v>
      </c>
      <c r="AZ367" s="77" t="str">
        <f>VLOOKUP(B367,Classification!A:D,2,0)</f>
        <v>A</v>
      </c>
      <c r="BA367" s="94" t="str">
        <f>VLOOKUP(B367,Classification!A:D,4,0)</f>
        <v>Opsins</v>
      </c>
      <c r="BB367" s="27" t="b">
        <f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23">
        <f>_xlfn.AGGREGATE(9,6,CH367:CS367)-_xlfn.AGGREGATE(9,6,BV367:CG367)+12</f>
        <v>258</v>
      </c>
      <c r="BD367" s="2" t="s">
        <v>23</v>
      </c>
      <c r="BE367" s="3" t="s">
        <v>1285</v>
      </c>
      <c r="BF367" s="118">
        <v>3.01</v>
      </c>
      <c r="BG367" s="49" t="s">
        <v>1427</v>
      </c>
      <c r="BH367" s="49" t="s">
        <v>1427</v>
      </c>
      <c r="BI367" s="1"/>
      <c r="BJ367" s="70" t="s">
        <v>1281</v>
      </c>
      <c r="BK367" s="57" t="s">
        <v>1281</v>
      </c>
      <c r="BL367" s="57" t="s">
        <v>1281</v>
      </c>
      <c r="BM367" s="57" t="s">
        <v>1281</v>
      </c>
      <c r="BN367" s="57" t="s">
        <v>1281</v>
      </c>
      <c r="BO367" s="57" t="s">
        <v>1281</v>
      </c>
      <c r="BP367" s="57" t="s">
        <v>1281</v>
      </c>
      <c r="BQ367" s="57" t="s">
        <v>1281</v>
      </c>
      <c r="BR367" s="57" t="s">
        <v>1281</v>
      </c>
      <c r="BS367" s="57" t="s">
        <v>1281</v>
      </c>
      <c r="BT367" s="57" t="s">
        <v>1281</v>
      </c>
      <c r="BU367" s="57" t="s">
        <v>1281</v>
      </c>
      <c r="BV367" s="70">
        <f>E367</f>
        <v>34</v>
      </c>
      <c r="BW367" s="71">
        <f>I367</f>
        <v>66</v>
      </c>
      <c r="BX367" s="72">
        <f>M367</f>
        <v>70</v>
      </c>
      <c r="BY367" s="71">
        <f>Q367</f>
        <v>102</v>
      </c>
      <c r="BZ367" s="72">
        <f>U367</f>
        <v>106</v>
      </c>
      <c r="CA367" s="71">
        <f>Y367</f>
        <v>142</v>
      </c>
      <c r="CB367" s="72">
        <f>AC367</f>
        <v>149</v>
      </c>
      <c r="CC367" s="71">
        <f>AG367</f>
        <v>187</v>
      </c>
      <c r="CD367" s="72">
        <f>AK367</f>
        <v>199</v>
      </c>
      <c r="CE367" s="71">
        <f>AO367</f>
        <v>241</v>
      </c>
      <c r="CF367" s="72">
        <f>AS367</f>
        <v>284</v>
      </c>
      <c r="CG367" s="71">
        <f>AW367</f>
        <v>310</v>
      </c>
      <c r="CH367" s="70">
        <f>G367</f>
        <v>65</v>
      </c>
      <c r="CI367" s="71">
        <f>K367</f>
        <v>69</v>
      </c>
      <c r="CJ367" s="72">
        <f>O367</f>
        <v>100</v>
      </c>
      <c r="CK367" s="72">
        <f>S367</f>
        <v>105</v>
      </c>
      <c r="CL367" s="72">
        <f>W367</f>
        <v>141</v>
      </c>
      <c r="CM367" s="72">
        <f>AA367</f>
        <v>148</v>
      </c>
      <c r="CN367" s="72">
        <f>AE367</f>
        <v>173</v>
      </c>
      <c r="CO367" s="72">
        <f>AI367</f>
        <v>189</v>
      </c>
      <c r="CP367" s="72">
        <f>AM367</f>
        <v>237</v>
      </c>
      <c r="CQ367" s="72">
        <f>AQ367</f>
        <v>278</v>
      </c>
      <c r="CR367" s="72">
        <f>AU367</f>
        <v>309</v>
      </c>
      <c r="CS367" s="72">
        <f>AY367</f>
        <v>322</v>
      </c>
      <c r="CT367" s="23">
        <f>M367-K367</f>
        <v>1</v>
      </c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</row>
    <row r="368" spans="1:1029" x14ac:dyDescent="0.2">
      <c r="A368" s="3" t="str">
        <f>CONCATENATE(B368,"_",C368)</f>
        <v>opsd_human_6CMO</v>
      </c>
      <c r="B368" s="3" t="s">
        <v>338</v>
      </c>
      <c r="C368" s="3" t="s">
        <v>1496</v>
      </c>
      <c r="D368" s="3" t="str">
        <f>IFERROR(MID(VLOOKUP($B368,Seqs!$A:$B,2,0),E368,1),"")</f>
        <v>E</v>
      </c>
      <c r="E368" s="3">
        <v>33</v>
      </c>
      <c r="F368" s="3" t="str">
        <f>IFERROR(MID(VLOOKUP($B368,Seqs!$A:$B,2,0),G368,1),"")</f>
        <v>H</v>
      </c>
      <c r="G368" s="3">
        <v>65</v>
      </c>
      <c r="H368" s="3" t="str">
        <f>IFERROR(MID(VLOOKUP($B368,Seqs!$A:$B,2,0),I368,1),"")</f>
        <v>K</v>
      </c>
      <c r="I368" s="23">
        <v>66</v>
      </c>
      <c r="J368" s="3" t="str">
        <f>IFERROR(MID(VLOOKUP($B368,Seqs!$A:$B,2,0),K368,1),"")</f>
        <v>R</v>
      </c>
      <c r="K368" s="23">
        <v>69</v>
      </c>
      <c r="L368" s="3" t="str">
        <f>IFERROR(MID(VLOOKUP($B368,Seqs!$A:$B,2,0),M368,1),"")</f>
        <v>T</v>
      </c>
      <c r="M368" s="3">
        <v>70</v>
      </c>
      <c r="N368" s="3" t="str">
        <f>IFERROR(MID(VLOOKUP($B368,Seqs!$A:$B,2,0),O368,1),"")</f>
        <v>G</v>
      </c>
      <c r="O368" s="3">
        <v>101</v>
      </c>
      <c r="P368" s="3" t="str">
        <f>IFERROR(MID(VLOOKUP($B368,Seqs!$A:$B,2,0),Q368,1),"")</f>
        <v>Y</v>
      </c>
      <c r="Q368" s="3">
        <v>102</v>
      </c>
      <c r="R368" s="3" t="str">
        <f>IFERROR(MID(VLOOKUP($B368,Seqs!$A:$B,2,0),S368,1),"")</f>
        <v>F</v>
      </c>
      <c r="S368" s="3">
        <v>105</v>
      </c>
      <c r="T368" s="3" t="str">
        <f>IFERROR(MID(VLOOKUP($B368,Seqs!$A:$B,2,0),U368,1),"")</f>
        <v>G</v>
      </c>
      <c r="U368" s="3">
        <v>106</v>
      </c>
      <c r="V368" s="3" t="str">
        <f>IFERROR(MID(VLOOKUP($B368,Seqs!$A:$B,2,0),W368,1),"")</f>
        <v>K</v>
      </c>
      <c r="W368" s="3">
        <v>141</v>
      </c>
      <c r="X368" s="3" t="str">
        <f>IFERROR(MID(VLOOKUP($B368,Seqs!$A:$B,2,0),Y368,1),"")</f>
        <v/>
      </c>
      <c r="Y368" s="3" t="s">
        <v>23</v>
      </c>
      <c r="Z368" s="3" t="str">
        <f>IFERROR(MID(VLOOKUP($B368,Seqs!$A:$B,2,0),AA368,1),"")</f>
        <v/>
      </c>
      <c r="AA368" s="3" t="s">
        <v>23</v>
      </c>
      <c r="AB368" s="3" t="str">
        <f>IFERROR(MID(VLOOKUP($B368,Seqs!$A:$B,2,0),AC368,1),"")</f>
        <v>E</v>
      </c>
      <c r="AC368" s="3">
        <v>150</v>
      </c>
      <c r="AD368" s="3" t="str">
        <f>IFERROR(MID(VLOOKUP($B368,Seqs!$A:$B,2,0),AE368,1),"")</f>
        <v>A</v>
      </c>
      <c r="AE368" s="3">
        <v>173</v>
      </c>
      <c r="AF368" s="3" t="str">
        <f>IFERROR(MID(VLOOKUP($B368,Seqs!$A:$B,2,0),AG368,1),"")</f>
        <v>C</v>
      </c>
      <c r="AG368" s="3">
        <v>187</v>
      </c>
      <c r="AH368" s="3" t="str">
        <f>IFERROR(MID(VLOOKUP($B368,Seqs!$A:$B,2,0),AI368,1),"")</f>
        <v>I</v>
      </c>
      <c r="AI368" s="3">
        <v>189</v>
      </c>
      <c r="AJ368" s="3" t="str">
        <f>IFERROR(MID(VLOOKUP($B368,Seqs!$A:$B,2,0),AK368,1),"")</f>
        <v>N</v>
      </c>
      <c r="AK368" s="3">
        <v>200</v>
      </c>
      <c r="AL368" s="3" t="str">
        <f>IFERROR(MID(VLOOKUP($B368,Seqs!$A:$B,2,0),AM368,1),"")</f>
        <v>Q</v>
      </c>
      <c r="AM368" s="3">
        <v>238</v>
      </c>
      <c r="AN368" s="3" t="str">
        <f>IFERROR(MID(VLOOKUP($B368,Seqs!$A:$B,2,0),AO368,1),"")</f>
        <v>S</v>
      </c>
      <c r="AO368" s="3">
        <v>240</v>
      </c>
      <c r="AP368" s="3" t="str">
        <f>IFERROR(MID(VLOOKUP($B368,Seqs!$A:$B,2,0),AQ368,1),"")</f>
        <v>H</v>
      </c>
      <c r="AQ368" s="3">
        <v>278</v>
      </c>
      <c r="AR368" s="3" t="str">
        <f>IFERROR(MID(VLOOKUP($B368,Seqs!$A:$B,2,0),AS368,1),"")</f>
        <v>I</v>
      </c>
      <c r="AS368" s="3">
        <v>286</v>
      </c>
      <c r="AT368" s="3" t="str">
        <f>IFERROR(MID(VLOOKUP($B368,Seqs!$A:$B,2,0),AU368,1),"")</f>
        <v>M</v>
      </c>
      <c r="AU368" s="3">
        <v>309</v>
      </c>
      <c r="AV368" s="3" t="str">
        <f>IFERROR(MID(VLOOKUP($B368,Seqs!$A:$B,2,0),AW368,1),"")</f>
        <v>N</v>
      </c>
      <c r="AW368" s="3">
        <v>310</v>
      </c>
      <c r="AX368" s="3" t="str">
        <f>IFERROR(MID(VLOOKUP($B368,Seqs!$A:$B,2,0),AY368,1),"")</f>
        <v>C</v>
      </c>
      <c r="AY368" s="3">
        <v>323</v>
      </c>
      <c r="AZ368" s="77" t="str">
        <f>VLOOKUP(B368,Classification!A:D,2,0)</f>
        <v>A</v>
      </c>
      <c r="BA368" s="94" t="str">
        <f>VLOOKUP(B368,Classification!A:D,4,0)</f>
        <v>Opsins</v>
      </c>
      <c r="BB368" s="27" t="b">
        <f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23">
        <f>_xlfn.AGGREGATE(9,6,CH368:CS368)-_xlfn.AGGREGATE(9,6,BV368:CG368)+12</f>
        <v>253</v>
      </c>
      <c r="BD368" s="2" t="s">
        <v>23</v>
      </c>
      <c r="BE368" s="3" t="s">
        <v>1285</v>
      </c>
      <c r="BF368" s="118">
        <v>4.5</v>
      </c>
      <c r="BG368" s="49" t="s">
        <v>1427</v>
      </c>
      <c r="BH368" s="49" t="s">
        <v>1427</v>
      </c>
      <c r="BI368" s="1"/>
      <c r="BJ368" s="70" t="s">
        <v>1281</v>
      </c>
      <c r="BK368" s="57" t="s">
        <v>1281</v>
      </c>
      <c r="BL368" s="57" t="s">
        <v>1281</v>
      </c>
      <c r="BM368" s="57" t="s">
        <v>1281</v>
      </c>
      <c r="BN368" s="57" t="s">
        <v>1281</v>
      </c>
      <c r="BO368" s="57" t="s">
        <v>1281</v>
      </c>
      <c r="BP368" s="57" t="s">
        <v>1281</v>
      </c>
      <c r="BQ368" s="57" t="s">
        <v>1281</v>
      </c>
      <c r="BR368" s="57" t="s">
        <v>1281</v>
      </c>
      <c r="BS368" s="57" t="s">
        <v>1281</v>
      </c>
      <c r="BT368" s="57" t="s">
        <v>1281</v>
      </c>
      <c r="BU368" s="57" t="s">
        <v>1281</v>
      </c>
      <c r="BV368" s="70">
        <f>E368</f>
        <v>33</v>
      </c>
      <c r="BW368" s="71">
        <f>I368</f>
        <v>66</v>
      </c>
      <c r="BX368" s="72">
        <f>M368</f>
        <v>70</v>
      </c>
      <c r="BY368" s="71">
        <f>Q368</f>
        <v>102</v>
      </c>
      <c r="BZ368" s="72">
        <f>U368</f>
        <v>106</v>
      </c>
      <c r="CA368" s="71" t="str">
        <f>Y368</f>
        <v>-</v>
      </c>
      <c r="CB368" s="72">
        <f>AC368</f>
        <v>150</v>
      </c>
      <c r="CC368" s="71">
        <f>AG368</f>
        <v>187</v>
      </c>
      <c r="CD368" s="72">
        <f>AK368</f>
        <v>200</v>
      </c>
      <c r="CE368" s="71">
        <f>AO368</f>
        <v>240</v>
      </c>
      <c r="CF368" s="72">
        <f>AS368</f>
        <v>286</v>
      </c>
      <c r="CG368" s="71">
        <f>AW368</f>
        <v>310</v>
      </c>
      <c r="CH368" s="70">
        <f>G368</f>
        <v>65</v>
      </c>
      <c r="CI368" s="71">
        <f>K368</f>
        <v>69</v>
      </c>
      <c r="CJ368" s="72">
        <f>O368</f>
        <v>101</v>
      </c>
      <c r="CK368" s="72">
        <f>S368</f>
        <v>105</v>
      </c>
      <c r="CL368" s="72">
        <f>W368</f>
        <v>141</v>
      </c>
      <c r="CM368" s="72" t="str">
        <f>AA368</f>
        <v>-</v>
      </c>
      <c r="CN368" s="72">
        <f>AE368</f>
        <v>173</v>
      </c>
      <c r="CO368" s="72">
        <f>AI368</f>
        <v>189</v>
      </c>
      <c r="CP368" s="72">
        <f>AM368</f>
        <v>238</v>
      </c>
      <c r="CQ368" s="72">
        <f>AQ368</f>
        <v>278</v>
      </c>
      <c r="CR368" s="72">
        <f>AU368</f>
        <v>309</v>
      </c>
      <c r="CS368" s="72">
        <f>AY368</f>
        <v>323</v>
      </c>
      <c r="CT368" s="23">
        <f>M368-K368</f>
        <v>1</v>
      </c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  <c r="AMO368" s="1"/>
    </row>
    <row r="369" spans="1:1030" x14ac:dyDescent="0.2">
      <c r="A369" s="3" t="str">
        <f t="shared" si="3240"/>
        <v>opsd_todpa__wt</v>
      </c>
      <c r="B369" s="3" t="s">
        <v>915</v>
      </c>
      <c r="C369" s="3" t="s">
        <v>100</v>
      </c>
      <c r="D369" s="3" t="str">
        <f>IFERROR(MID(VLOOKUP($B369,Seqs!$A:$B,2,0),E369,1),"")</f>
        <v>D</v>
      </c>
      <c r="E369" s="3">
        <v>31</v>
      </c>
      <c r="F369" s="3" t="str">
        <f>IFERROR(MID(VLOOKUP($B369,Seqs!$A:$B,2,0),G369,1),"")</f>
        <v>T</v>
      </c>
      <c r="G369" s="3">
        <v>62</v>
      </c>
      <c r="H369" s="3" t="str">
        <f>IFERROR(MID(VLOOKUP($B369,Seqs!$A:$B,2,0),I369,1),"")</f>
        <v>K</v>
      </c>
      <c r="I369" s="23">
        <v>63</v>
      </c>
      <c r="J369" s="3" t="str">
        <f>IFERROR(MID(VLOOKUP($B369,Seqs!$A:$B,2,0),K369,1),"")</f>
        <v>Q</v>
      </c>
      <c r="K369" s="23">
        <v>66</v>
      </c>
      <c r="L369" s="3" t="str">
        <f>IFERROR(MID(VLOOKUP($B369,Seqs!$A:$B,2,0),M369,1),"")</f>
        <v>T</v>
      </c>
      <c r="M369" s="3">
        <v>67</v>
      </c>
      <c r="N369" s="3" t="str">
        <f>IFERROR(MID(VLOOKUP($B369,Seqs!$A:$B,2,0),O369,1),"")</f>
        <v>K</v>
      </c>
      <c r="O369" s="3">
        <v>99</v>
      </c>
      <c r="P369" s="3" t="str">
        <f>IFERROR(MID(VLOOKUP($B369,Seqs!$A:$B,2,0),Q369,1),"")</f>
        <v>K</v>
      </c>
      <c r="Q369" s="3">
        <v>100</v>
      </c>
      <c r="R369" s="3" t="str">
        <f>IFERROR(MID(VLOOKUP($B369,Seqs!$A:$B,2,0),S369,1),"")</f>
        <v>F</v>
      </c>
      <c r="S369" s="3">
        <v>103</v>
      </c>
      <c r="T369" s="3" t="str">
        <f>IFERROR(MID(VLOOKUP($B369,Seqs!$A:$B,2,0),U369,1),"")</f>
        <v>G</v>
      </c>
      <c r="U369" s="3">
        <v>104</v>
      </c>
      <c r="V369" s="3" t="str">
        <f>IFERROR(MID(VLOOKUP($B369,Seqs!$A:$B,2,0),W369,1),"")</f>
        <v>R</v>
      </c>
      <c r="W369" s="3">
        <v>139</v>
      </c>
      <c r="X369" s="3" t="str">
        <f>IFERROR(MID(VLOOKUP($B369,Seqs!$A:$B,2,0),Y369,1),"")</f>
        <v>P</v>
      </c>
      <c r="Y369" s="3">
        <v>140</v>
      </c>
      <c r="Z369" s="3" t="str">
        <f>IFERROR(MID(VLOOKUP($B369,Seqs!$A:$B,2,0),AA369,1),"")</f>
        <v>M</v>
      </c>
      <c r="AA369" s="3">
        <v>147</v>
      </c>
      <c r="AB369" s="3" t="str">
        <f>IFERROR(MID(VLOOKUP($B369,Seqs!$A:$B,2,0),AC369,1),"")</f>
        <v>S</v>
      </c>
      <c r="AC369" s="9">
        <v>148</v>
      </c>
      <c r="AD369" s="3" t="str">
        <f>IFERROR(MID(VLOOKUP($B369,Seqs!$A:$B,2,0),AE369,1),"")</f>
        <v>F</v>
      </c>
      <c r="AE369" s="3">
        <v>172</v>
      </c>
      <c r="AF369" s="3" t="str">
        <f>IFERROR(MID(VLOOKUP($B369,Seqs!$A:$B,2,0),AG369,1),"")</f>
        <v>C</v>
      </c>
      <c r="AG369" s="3">
        <v>186</v>
      </c>
      <c r="AH369" s="3" t="str">
        <f>IFERROR(MID(VLOOKUP($B369,Seqs!$A:$B,2,0),AI369,1),"")</f>
        <v>F</v>
      </c>
      <c r="AI369" s="3">
        <v>188</v>
      </c>
      <c r="AJ369" s="3" t="str">
        <f>IFERROR(MID(VLOOKUP($B369,Seqs!$A:$B,2,0),AK369,1),"")</f>
        <v>D</v>
      </c>
      <c r="AK369" s="3">
        <v>194</v>
      </c>
      <c r="AL369" s="3" t="str">
        <f>IFERROR(MID(VLOOKUP($B369,Seqs!$A:$B,2,0),AM369,1),"")</f>
        <v>K</v>
      </c>
      <c r="AM369" s="3">
        <v>239</v>
      </c>
      <c r="AN369" s="3" t="str">
        <f>IFERROR(MID(VLOOKUP($B369,Seqs!$A:$B,2,0),AO369,1),"")</f>
        <v>K</v>
      </c>
      <c r="AO369" s="3">
        <v>244</v>
      </c>
      <c r="AP369" s="3" t="str">
        <f>IFERROR(MID(VLOOKUP($B369,Seqs!$A:$B,2,0),AQ369,1),"")</f>
        <v>G</v>
      </c>
      <c r="AQ369" s="3">
        <v>287</v>
      </c>
      <c r="AR369" s="3" t="str">
        <f>IFERROR(MID(VLOOKUP($B369,Seqs!$A:$B,2,0),AS369,1),"")</f>
        <v>T</v>
      </c>
      <c r="AS369" s="3">
        <v>293</v>
      </c>
      <c r="AT369" s="3" t="str">
        <f>IFERROR(MID(VLOOKUP($B369,Seqs!$A:$B,2,0),AU369,1),"")</f>
        <v>S</v>
      </c>
      <c r="AU369" s="3">
        <v>318</v>
      </c>
      <c r="AV369" s="3" t="str">
        <f>IFERROR(MID(VLOOKUP($B369,Seqs!$A:$B,2,0),AW369,1),"")</f>
        <v>H</v>
      </c>
      <c r="AW369" s="3">
        <v>319</v>
      </c>
      <c r="AX369" s="3" t="str">
        <f>IFERROR(MID(VLOOKUP($B369,Seqs!$A:$B,2,0),AY369,1),"")</f>
        <v>F</v>
      </c>
      <c r="AY369" s="3">
        <v>330</v>
      </c>
      <c r="AZ369" s="77" t="str">
        <f>VLOOKUP(B369,Classification!A:D,2,0)</f>
        <v>A</v>
      </c>
      <c r="BA369" s="94" t="str">
        <f>VLOOKUP(B369,Classification!A:D,4,0)</f>
        <v>Opsins</v>
      </c>
      <c r="BB369" s="27" t="b">
        <f t="shared" si="3241"/>
        <v>1</v>
      </c>
      <c r="BC369" s="23">
        <f t="shared" si="3214"/>
        <v>273</v>
      </c>
      <c r="BD369" s="56" t="s">
        <v>23</v>
      </c>
      <c r="BE369" s="3" t="s">
        <v>23</v>
      </c>
      <c r="BF369" s="118" t="s">
        <v>23</v>
      </c>
      <c r="BG369" s="49" t="s">
        <v>1366</v>
      </c>
      <c r="BH369" s="49" t="s">
        <v>1371</v>
      </c>
      <c r="BI369" s="1"/>
      <c r="BJ369" s="70" t="s">
        <v>1281</v>
      </c>
      <c r="BK369" s="57" t="s">
        <v>1281</v>
      </c>
      <c r="BL369" s="57" t="s">
        <v>1281</v>
      </c>
      <c r="BM369" s="57" t="s">
        <v>1281</v>
      </c>
      <c r="BN369" s="57" t="s">
        <v>1281</v>
      </c>
      <c r="BO369" s="57" t="s">
        <v>1281</v>
      </c>
      <c r="BP369" s="57" t="s">
        <v>1281</v>
      </c>
      <c r="BQ369" s="57" t="s">
        <v>1281</v>
      </c>
      <c r="BR369" s="57" t="s">
        <v>1281</v>
      </c>
      <c r="BS369" s="57" t="s">
        <v>1281</v>
      </c>
      <c r="BT369" s="57" t="s">
        <v>1281</v>
      </c>
      <c r="BU369" s="57" t="s">
        <v>1281</v>
      </c>
      <c r="BV369" s="70">
        <f t="shared" si="3215"/>
        <v>31</v>
      </c>
      <c r="BW369" s="71">
        <f t="shared" si="3216"/>
        <v>63</v>
      </c>
      <c r="BX369" s="72">
        <f t="shared" si="3217"/>
        <v>67</v>
      </c>
      <c r="BY369" s="71">
        <f t="shared" si="3218"/>
        <v>100</v>
      </c>
      <c r="BZ369" s="72">
        <f t="shared" si="3219"/>
        <v>104</v>
      </c>
      <c r="CA369" s="71">
        <f t="shared" si="3220"/>
        <v>140</v>
      </c>
      <c r="CB369" s="72">
        <f t="shared" si="3221"/>
        <v>148</v>
      </c>
      <c r="CC369" s="71">
        <f t="shared" si="3222"/>
        <v>186</v>
      </c>
      <c r="CD369" s="72">
        <f t="shared" si="3223"/>
        <v>194</v>
      </c>
      <c r="CE369" s="71">
        <f t="shared" si="3224"/>
        <v>244</v>
      </c>
      <c r="CF369" s="72">
        <f t="shared" si="3225"/>
        <v>293</v>
      </c>
      <c r="CG369" s="71">
        <f t="shared" si="3226"/>
        <v>319</v>
      </c>
      <c r="CH369" s="70">
        <f t="shared" si="3227"/>
        <v>62</v>
      </c>
      <c r="CI369" s="71">
        <f t="shared" si="3228"/>
        <v>66</v>
      </c>
      <c r="CJ369" s="72">
        <f t="shared" si="3229"/>
        <v>99</v>
      </c>
      <c r="CK369" s="72">
        <f t="shared" si="3230"/>
        <v>103</v>
      </c>
      <c r="CL369" s="72">
        <f t="shared" si="3231"/>
        <v>139</v>
      </c>
      <c r="CM369" s="72">
        <f t="shared" si="3232"/>
        <v>147</v>
      </c>
      <c r="CN369" s="72">
        <f t="shared" si="3233"/>
        <v>172</v>
      </c>
      <c r="CO369" s="72">
        <f t="shared" si="3234"/>
        <v>188</v>
      </c>
      <c r="CP369" s="72">
        <f t="shared" si="3235"/>
        <v>239</v>
      </c>
      <c r="CQ369" s="72">
        <f t="shared" si="3236"/>
        <v>287</v>
      </c>
      <c r="CR369" s="72">
        <f t="shared" si="3237"/>
        <v>318</v>
      </c>
      <c r="CS369" s="72">
        <f t="shared" si="3238"/>
        <v>330</v>
      </c>
      <c r="CT369" s="23">
        <f t="shared" si="3239"/>
        <v>1</v>
      </c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  <c r="AMO369" s="1"/>
    </row>
    <row r="370" spans="1:1030" x14ac:dyDescent="0.2">
      <c r="A370" s="3" t="str">
        <f t="shared" si="3240"/>
        <v>opsd_todpa_2Z73</v>
      </c>
      <c r="B370" s="3" t="s">
        <v>915</v>
      </c>
      <c r="C370" s="3" t="s">
        <v>97</v>
      </c>
      <c r="D370" s="3" t="str">
        <f>IFERROR(MID(VLOOKUP($B370,Seqs!$A:$B,2,0),E370,1),"")</f>
        <v>D</v>
      </c>
      <c r="E370" s="3">
        <v>31</v>
      </c>
      <c r="F370" s="3" t="str">
        <f>IFERROR(MID(VLOOKUP($B370,Seqs!$A:$B,2,0),G370,1),"")</f>
        <v>T</v>
      </c>
      <c r="G370" s="3">
        <v>62</v>
      </c>
      <c r="H370" s="3" t="str">
        <f>IFERROR(MID(VLOOKUP($B370,Seqs!$A:$B,2,0),I370,1),"")</f>
        <v>K</v>
      </c>
      <c r="I370" s="23">
        <v>63</v>
      </c>
      <c r="J370" s="3" t="str">
        <f>IFERROR(MID(VLOOKUP($B370,Seqs!$A:$B,2,0),K370,1),"")</f>
        <v>Q</v>
      </c>
      <c r="K370" s="23">
        <v>66</v>
      </c>
      <c r="L370" s="3" t="str">
        <f>IFERROR(MID(VLOOKUP($B370,Seqs!$A:$B,2,0),M370,1),"")</f>
        <v>T</v>
      </c>
      <c r="M370" s="3">
        <v>67</v>
      </c>
      <c r="N370" s="3" t="str">
        <f>IFERROR(MID(VLOOKUP($B370,Seqs!$A:$B,2,0),O370,1),"")</f>
        <v>K</v>
      </c>
      <c r="O370" s="3">
        <v>99</v>
      </c>
      <c r="P370" s="3" t="str">
        <f>IFERROR(MID(VLOOKUP($B370,Seqs!$A:$B,2,0),Q370,1),"")</f>
        <v>K</v>
      </c>
      <c r="Q370" s="3">
        <v>100</v>
      </c>
      <c r="R370" s="3" t="str">
        <f>IFERROR(MID(VLOOKUP($B370,Seqs!$A:$B,2,0),S370,1),"")</f>
        <v>F</v>
      </c>
      <c r="S370" s="3">
        <v>103</v>
      </c>
      <c r="T370" s="3" t="str">
        <f>IFERROR(MID(VLOOKUP($B370,Seqs!$A:$B,2,0),U370,1),"")</f>
        <v>G</v>
      </c>
      <c r="U370" s="3">
        <v>104</v>
      </c>
      <c r="V370" s="3" t="str">
        <f>IFERROR(MID(VLOOKUP($B370,Seqs!$A:$B,2,0),W370,1),"")</f>
        <v>R</v>
      </c>
      <c r="W370" s="3">
        <v>139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S</v>
      </c>
      <c r="AC370" s="9">
        <v>148</v>
      </c>
      <c r="AD370" s="3" t="str">
        <f>IFERROR(MID(VLOOKUP($B370,Seqs!$A:$B,2,0),AE370,1),"")</f>
        <v>F</v>
      </c>
      <c r="AE370" s="3">
        <v>172</v>
      </c>
      <c r="AF370" s="3" t="str">
        <f>IFERROR(MID(VLOOKUP($B370,Seqs!$A:$B,2,0),AG370,1),"")</f>
        <v>C</v>
      </c>
      <c r="AG370" s="3">
        <v>186</v>
      </c>
      <c r="AH370" s="3" t="str">
        <f>IFERROR(MID(VLOOKUP($B370,Seqs!$A:$B,2,0),AI370,1),"")</f>
        <v>F</v>
      </c>
      <c r="AI370" s="3">
        <v>188</v>
      </c>
      <c r="AJ370" s="3" t="str">
        <f>IFERROR(MID(VLOOKUP($B370,Seqs!$A:$B,2,0),AK370,1),"")</f>
        <v>D</v>
      </c>
      <c r="AK370" s="3">
        <v>194</v>
      </c>
      <c r="AL370" s="3" t="str">
        <f>IFERROR(MID(VLOOKUP($B370,Seqs!$A:$B,2,0),AM370,1),"")</f>
        <v>K</v>
      </c>
      <c r="AM370" s="3">
        <v>239</v>
      </c>
      <c r="AN370" s="3" t="str">
        <f>IFERROR(MID(VLOOKUP($B370,Seqs!$A:$B,2,0),AO370,1),"")</f>
        <v>K</v>
      </c>
      <c r="AO370" s="3">
        <v>244</v>
      </c>
      <c r="AP370" s="3" t="str">
        <f>IFERROR(MID(VLOOKUP($B370,Seqs!$A:$B,2,0),AQ370,1),"")</f>
        <v>G</v>
      </c>
      <c r="AQ370" s="3">
        <v>287</v>
      </c>
      <c r="AR370" s="3" t="str">
        <f>IFERROR(MID(VLOOKUP($B370,Seqs!$A:$B,2,0),AS370,1),"")</f>
        <v>T</v>
      </c>
      <c r="AS370" s="3">
        <v>293</v>
      </c>
      <c r="AT370" s="3" t="str">
        <f>IFERROR(MID(VLOOKUP($B370,Seqs!$A:$B,2,0),AU370,1),"")</f>
        <v>S</v>
      </c>
      <c r="AU370" s="3">
        <v>318</v>
      </c>
      <c r="AV370" s="3" t="str">
        <f>IFERROR(MID(VLOOKUP($B370,Seqs!$A:$B,2,0),AW370,1),"")</f>
        <v>H</v>
      </c>
      <c r="AW370" s="3">
        <v>319</v>
      </c>
      <c r="AX370" s="3" t="str">
        <f>IFERROR(MID(VLOOKUP($B370,Seqs!$A:$B,2,0),AY370,1),"")</f>
        <v>F</v>
      </c>
      <c r="AY370" s="3">
        <v>330</v>
      </c>
      <c r="AZ370" s="77" t="str">
        <f>VLOOKUP(B370,Classification!A:D,2,0)</f>
        <v>A</v>
      </c>
      <c r="BA370" s="94" t="str">
        <f>VLOOKUP(B370,Classification!A:D,4,0)</f>
        <v>Opsins</v>
      </c>
      <c r="BB370" s="27" t="b">
        <f t="shared" si="3241"/>
        <v>1</v>
      </c>
      <c r="BC370" s="23">
        <f t="shared" si="3214"/>
        <v>266</v>
      </c>
      <c r="BD370" s="2" t="s">
        <v>23</v>
      </c>
      <c r="BE370" s="3" t="s">
        <v>1368</v>
      </c>
      <c r="BF370" s="118">
        <v>2.5</v>
      </c>
      <c r="BG370" s="49" t="s">
        <v>1371</v>
      </c>
      <c r="BH370" s="49" t="s">
        <v>1371</v>
      </c>
      <c r="BI370" s="1"/>
      <c r="BJ370" s="70" t="s">
        <v>1281</v>
      </c>
      <c r="BK370" s="57" t="s">
        <v>1281</v>
      </c>
      <c r="BL370" s="57" t="s">
        <v>1281</v>
      </c>
      <c r="BM370" s="57" t="s">
        <v>1281</v>
      </c>
      <c r="BN370" s="57" t="s">
        <v>1281</v>
      </c>
      <c r="BO370" s="57" t="s">
        <v>1281</v>
      </c>
      <c r="BP370" s="57" t="s">
        <v>1281</v>
      </c>
      <c r="BQ370" s="57" t="s">
        <v>1281</v>
      </c>
      <c r="BR370" s="57" t="s">
        <v>1281</v>
      </c>
      <c r="BS370" s="57" t="s">
        <v>1281</v>
      </c>
      <c r="BT370" s="57" t="s">
        <v>1281</v>
      </c>
      <c r="BU370" s="57" t="s">
        <v>1281</v>
      </c>
      <c r="BV370" s="70">
        <f t="shared" si="3215"/>
        <v>31</v>
      </c>
      <c r="BW370" s="71">
        <f t="shared" si="3216"/>
        <v>63</v>
      </c>
      <c r="BX370" s="72">
        <f t="shared" si="3217"/>
        <v>67</v>
      </c>
      <c r="BY370" s="71">
        <f t="shared" si="3218"/>
        <v>100</v>
      </c>
      <c r="BZ370" s="72">
        <f t="shared" si="3219"/>
        <v>104</v>
      </c>
      <c r="CA370" s="71" t="str">
        <f t="shared" si="3220"/>
        <v>-</v>
      </c>
      <c r="CB370" s="72">
        <f t="shared" si="3221"/>
        <v>148</v>
      </c>
      <c r="CC370" s="71">
        <f t="shared" si="3222"/>
        <v>186</v>
      </c>
      <c r="CD370" s="72">
        <f t="shared" si="3223"/>
        <v>194</v>
      </c>
      <c r="CE370" s="71">
        <f t="shared" si="3224"/>
        <v>244</v>
      </c>
      <c r="CF370" s="72">
        <f t="shared" si="3225"/>
        <v>293</v>
      </c>
      <c r="CG370" s="71">
        <f t="shared" si="3226"/>
        <v>319</v>
      </c>
      <c r="CH370" s="70">
        <f t="shared" si="3227"/>
        <v>62</v>
      </c>
      <c r="CI370" s="71">
        <f t="shared" si="3228"/>
        <v>66</v>
      </c>
      <c r="CJ370" s="72">
        <f t="shared" si="3229"/>
        <v>99</v>
      </c>
      <c r="CK370" s="72">
        <f t="shared" si="3230"/>
        <v>103</v>
      </c>
      <c r="CL370" s="72">
        <f t="shared" si="3231"/>
        <v>139</v>
      </c>
      <c r="CM370" s="72" t="str">
        <f t="shared" si="3232"/>
        <v>-</v>
      </c>
      <c r="CN370" s="72">
        <f t="shared" si="3233"/>
        <v>172</v>
      </c>
      <c r="CO370" s="72">
        <f t="shared" si="3234"/>
        <v>188</v>
      </c>
      <c r="CP370" s="72">
        <f t="shared" si="3235"/>
        <v>239</v>
      </c>
      <c r="CQ370" s="72">
        <f t="shared" si="3236"/>
        <v>287</v>
      </c>
      <c r="CR370" s="72">
        <f t="shared" si="3237"/>
        <v>318</v>
      </c>
      <c r="CS370" s="72">
        <f t="shared" si="3238"/>
        <v>330</v>
      </c>
      <c r="CT370" s="23">
        <f t="shared" si="3239"/>
        <v>1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  <c r="AMP370" s="2"/>
    </row>
    <row r="371" spans="1:1030" x14ac:dyDescent="0.2">
      <c r="A371" s="3" t="str">
        <f t="shared" si="3240"/>
        <v>ox1r_human__wt</v>
      </c>
      <c r="B371" s="3" t="s">
        <v>1168</v>
      </c>
      <c r="C371" s="3" t="s">
        <v>100</v>
      </c>
      <c r="D371" s="3" t="str">
        <f>IFERROR(MID(VLOOKUP($B371,Seqs!$A:$B,2,0),E371,1),"")</f>
        <v>E</v>
      </c>
      <c r="E371" s="3">
        <v>46</v>
      </c>
      <c r="F371" s="3" t="str">
        <f>IFERROR(MID(VLOOKUP($B371,Seqs!$A:$B,2,0),G371,1),"")</f>
        <v>N</v>
      </c>
      <c r="G371" s="3">
        <v>74</v>
      </c>
      <c r="H371" s="3" t="str">
        <f>IFERROR(MID(VLOOKUP($B371,Seqs!$A:$B,2,0),I371,1),"")</f>
        <v>H</v>
      </c>
      <c r="I371" s="23">
        <v>75</v>
      </c>
      <c r="J371" s="3" t="str">
        <f>IFERROR(MID(VLOOKUP($B371,Seqs!$A:$B,2,0),K371,1),"")</f>
        <v>R</v>
      </c>
      <c r="K371" s="23">
        <v>78</v>
      </c>
      <c r="L371" s="3" t="str">
        <f>IFERROR(MID(VLOOKUP($B371,Seqs!$A:$B,2,0),M371,1),"")</f>
        <v>T</v>
      </c>
      <c r="M371" s="3">
        <v>79</v>
      </c>
      <c r="N371" s="3" t="str">
        <f>IFERROR(MID(VLOOKUP($B371,Seqs!$A:$B,2,0),O371,1),"")</f>
        <v>E</v>
      </c>
      <c r="O371" s="105">
        <v>110</v>
      </c>
      <c r="P371" s="3" t="str">
        <f>IFERROR(MID(VLOOKUP($B371,Seqs!$A:$B,2,0),Q371,1),"")</f>
        <v>S</v>
      </c>
      <c r="Q371" s="3">
        <v>111</v>
      </c>
      <c r="R371" s="3" t="str">
        <f>IFERROR(MID(VLOOKUP($B371,Seqs!$A:$B,2,0),S371,1),"")</f>
        <v>F</v>
      </c>
      <c r="S371" s="3">
        <v>114</v>
      </c>
      <c r="T371" s="3" t="str">
        <f>IFERROR(MID(VLOOKUP($B371,Seqs!$A:$B,2,0),U371,1),"")</f>
        <v>G</v>
      </c>
      <c r="U371" s="3">
        <v>115</v>
      </c>
      <c r="V371" s="3" t="str">
        <f>IFERROR(MID(VLOOKUP($B371,Seqs!$A:$B,2,0),W371,1),"")</f>
        <v>H</v>
      </c>
      <c r="W371" s="3">
        <v>150</v>
      </c>
      <c r="X371" s="3" t="str">
        <f>IFERROR(MID(VLOOKUP($B371,Seqs!$A:$B,2,0),Y371,1),"")</f>
        <v>P</v>
      </c>
      <c r="Y371" s="3">
        <v>151</v>
      </c>
      <c r="Z371" s="3" t="str">
        <f>IFERROR(MID(VLOOKUP($B371,Seqs!$A:$B,2,0),AA371,1),"")</f>
        <v>F</v>
      </c>
      <c r="AA371" s="73">
        <v>154</v>
      </c>
      <c r="AB371" s="3" t="str">
        <f>IFERROR(MID(VLOOKUP($B371,Seqs!$A:$B,2,0),AC371,1),"")</f>
        <v>T</v>
      </c>
      <c r="AC371" s="9">
        <v>157</v>
      </c>
      <c r="AD371" s="3" t="str">
        <f>IFERROR(MID(VLOOKUP($B371,Seqs!$A:$B,2,0),AE371,1),"")</f>
        <v>M</v>
      </c>
      <c r="AE371" s="3">
        <v>183</v>
      </c>
      <c r="AF371" s="3" t="str">
        <f>IFERROR(MID(VLOOKUP($B371,Seqs!$A:$B,2,0),AG371,1),"")</f>
        <v>C</v>
      </c>
      <c r="AG371" s="3">
        <v>202</v>
      </c>
      <c r="AH371" s="3" t="str">
        <f>IFERROR(MID(VLOOKUP($B371,Seqs!$A:$B,2,0),AI371,1),"")</f>
        <v>E</v>
      </c>
      <c r="AI371" s="3">
        <v>204</v>
      </c>
      <c r="AJ371" s="3" t="str">
        <f>IFERROR(MID(VLOOKUP($B371,Seqs!$A:$B,2,0),AK371,1),"")</f>
        <v>L</v>
      </c>
      <c r="AK371" s="105">
        <v>210</v>
      </c>
      <c r="AL371" s="3" t="str">
        <f>IFERROR(MID(VLOOKUP($B371,Seqs!$A:$B,2,0),AM371,1),"")</f>
        <v>P</v>
      </c>
      <c r="AM371" s="3">
        <v>248</v>
      </c>
      <c r="AN371" s="3" t="str">
        <f>IFERROR(MID(VLOOKUP($B371,Seqs!$A:$B,2,0),AO371,1),"")</f>
        <v>F</v>
      </c>
      <c r="AO371" s="3">
        <v>283</v>
      </c>
      <c r="AP371" s="3" t="str">
        <f>IFERROR(MID(VLOOKUP($B371,Seqs!$A:$B,2,0),AQ371,1),"")</f>
        <v>F</v>
      </c>
      <c r="AQ371" s="3">
        <v>324</v>
      </c>
      <c r="AR371" s="3" t="str">
        <f>IFERROR(MID(VLOOKUP($B371,Seqs!$A:$B,2,0),AS371,1),"")</f>
        <v>D</v>
      </c>
      <c r="AS371" s="105">
        <v>332</v>
      </c>
      <c r="AT371" s="3" t="str">
        <f>IFERROR(MID(VLOOKUP($B371,Seqs!$A:$B,2,0),AU371,1),"")</f>
        <v>L</v>
      </c>
      <c r="AU371" s="3">
        <v>361</v>
      </c>
      <c r="AV371" s="3" t="str">
        <f>IFERROR(MID(VLOOKUP($B371,Seqs!$A:$B,2,0),AW371,1),"")</f>
        <v>S</v>
      </c>
      <c r="AW371" s="3">
        <v>362</v>
      </c>
      <c r="AX371" s="3" t="str">
        <f>IFERROR(MID(VLOOKUP($B371,Seqs!$A:$B,2,0),AY371,1),"")</f>
        <v>P</v>
      </c>
      <c r="AY371" s="3">
        <v>378</v>
      </c>
      <c r="AZ371" s="77" t="str">
        <f>VLOOKUP(B371,Classification!A:D,2,0)</f>
        <v>A</v>
      </c>
      <c r="BA371" s="94" t="str">
        <f>VLOOKUP(B371,Classification!A:D,4,0)</f>
        <v>Orexin</v>
      </c>
      <c r="BB371" s="27" t="b">
        <f t="shared" si="3241"/>
        <v>1</v>
      </c>
      <c r="BC371" s="23">
        <f t="shared" si="3214"/>
        <v>267</v>
      </c>
      <c r="BD371" s="56" t="s">
        <v>23</v>
      </c>
      <c r="BE371" s="3" t="s">
        <v>23</v>
      </c>
      <c r="BF371" s="118" t="s">
        <v>23</v>
      </c>
      <c r="BG371" s="49" t="s">
        <v>1366</v>
      </c>
      <c r="BH371" s="49" t="s">
        <v>1371</v>
      </c>
      <c r="BI371" s="1"/>
      <c r="BJ371" s="70" t="s">
        <v>1281</v>
      </c>
      <c r="BK371" s="57" t="s">
        <v>1281</v>
      </c>
      <c r="BL371" s="57" t="s">
        <v>1281</v>
      </c>
      <c r="BM371" s="57" t="s">
        <v>1281</v>
      </c>
      <c r="BN371" s="57" t="s">
        <v>1281</v>
      </c>
      <c r="BO371" s="57" t="s">
        <v>1281</v>
      </c>
      <c r="BP371" s="57" t="s">
        <v>1281</v>
      </c>
      <c r="BQ371" s="57" t="s">
        <v>1281</v>
      </c>
      <c r="BR371" s="57" t="s">
        <v>1281</v>
      </c>
      <c r="BS371" s="57" t="s">
        <v>1281</v>
      </c>
      <c r="BT371" s="57" t="s">
        <v>1281</v>
      </c>
      <c r="BU371" s="57" t="s">
        <v>1281</v>
      </c>
      <c r="BV371" s="70">
        <f t="shared" si="3215"/>
        <v>46</v>
      </c>
      <c r="BW371" s="71">
        <f t="shared" si="3216"/>
        <v>75</v>
      </c>
      <c r="BX371" s="72">
        <f t="shared" si="3217"/>
        <v>79</v>
      </c>
      <c r="BY371" s="71">
        <f t="shared" si="3218"/>
        <v>111</v>
      </c>
      <c r="BZ371" s="72">
        <f t="shared" si="3219"/>
        <v>115</v>
      </c>
      <c r="CA371" s="71">
        <f t="shared" si="3220"/>
        <v>151</v>
      </c>
      <c r="CB371" s="72">
        <f t="shared" si="3221"/>
        <v>157</v>
      </c>
      <c r="CC371" s="71">
        <f t="shared" si="3222"/>
        <v>202</v>
      </c>
      <c r="CD371" s="72">
        <f t="shared" si="3223"/>
        <v>210</v>
      </c>
      <c r="CE371" s="71">
        <f t="shared" si="3224"/>
        <v>283</v>
      </c>
      <c r="CF371" s="72">
        <f t="shared" si="3225"/>
        <v>332</v>
      </c>
      <c r="CG371" s="71">
        <f t="shared" si="3226"/>
        <v>362</v>
      </c>
      <c r="CH371" s="70">
        <f t="shared" si="3227"/>
        <v>74</v>
      </c>
      <c r="CI371" s="71">
        <f t="shared" si="3228"/>
        <v>78</v>
      </c>
      <c r="CJ371" s="72">
        <f t="shared" si="3229"/>
        <v>110</v>
      </c>
      <c r="CK371" s="72">
        <f t="shared" si="3230"/>
        <v>114</v>
      </c>
      <c r="CL371" s="72">
        <f t="shared" si="3231"/>
        <v>150</v>
      </c>
      <c r="CM371" s="72">
        <f t="shared" si="3232"/>
        <v>154</v>
      </c>
      <c r="CN371" s="72">
        <f t="shared" si="3233"/>
        <v>183</v>
      </c>
      <c r="CO371" s="72">
        <f t="shared" si="3234"/>
        <v>204</v>
      </c>
      <c r="CP371" s="72">
        <f t="shared" si="3235"/>
        <v>248</v>
      </c>
      <c r="CQ371" s="72">
        <f t="shared" si="3236"/>
        <v>324</v>
      </c>
      <c r="CR371" s="72">
        <f t="shared" si="3237"/>
        <v>361</v>
      </c>
      <c r="CS371" s="72">
        <f t="shared" si="3238"/>
        <v>378</v>
      </c>
      <c r="CT371" s="23">
        <f t="shared" si="3239"/>
        <v>1</v>
      </c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</row>
    <row r="372" spans="1:1030" x14ac:dyDescent="0.2">
      <c r="A372" s="3" t="str">
        <f t="shared" si="3240"/>
        <v>ox1r_human_4ZJ8</v>
      </c>
      <c r="B372" s="3" t="s">
        <v>1168</v>
      </c>
      <c r="C372" s="3" t="s">
        <v>90</v>
      </c>
      <c r="D372" s="3" t="str">
        <f>IFERROR(MID(VLOOKUP($B372,Seqs!$A:$B,2,0),E372,1),"")</f>
        <v>E</v>
      </c>
      <c r="E372" s="3">
        <v>46</v>
      </c>
      <c r="F372" s="3" t="str">
        <f>IFERROR(MID(VLOOKUP($B372,Seqs!$A:$B,2,0),G372,1),"")</f>
        <v>N</v>
      </c>
      <c r="G372" s="3">
        <v>74</v>
      </c>
      <c r="H372" s="3" t="str">
        <f>IFERROR(MID(VLOOKUP($B372,Seqs!$A:$B,2,0),I372,1),"")</f>
        <v>H</v>
      </c>
      <c r="I372" s="23">
        <v>75</v>
      </c>
      <c r="J372" s="3" t="str">
        <f>IFERROR(MID(VLOOKUP($B372,Seqs!$A:$B,2,0),K372,1),"")</f>
        <v>R</v>
      </c>
      <c r="K372" s="23">
        <v>78</v>
      </c>
      <c r="L372" s="3" t="str">
        <f>IFERROR(MID(VLOOKUP($B372,Seqs!$A:$B,2,0),M372,1),"")</f>
        <v>T</v>
      </c>
      <c r="M372" s="3">
        <v>79</v>
      </c>
      <c r="N372" s="3" t="str">
        <f>IFERROR(MID(VLOOKUP($B372,Seqs!$A:$B,2,0),O372,1),"")</f>
        <v>E</v>
      </c>
      <c r="O372" s="3">
        <v>110</v>
      </c>
      <c r="P372" s="3" t="str">
        <f>IFERROR(MID(VLOOKUP($B372,Seqs!$A:$B,2,0),Q372,1),"")</f>
        <v>S</v>
      </c>
      <c r="Q372" s="3">
        <v>111</v>
      </c>
      <c r="R372" s="3" t="str">
        <f>IFERROR(MID(VLOOKUP($B372,Seqs!$A:$B,2,0),S372,1),"")</f>
        <v>F</v>
      </c>
      <c r="S372" s="3">
        <v>114</v>
      </c>
      <c r="T372" s="3" t="str">
        <f>IFERROR(MID(VLOOKUP($B372,Seqs!$A:$B,2,0),U372,1),"")</f>
        <v>G</v>
      </c>
      <c r="U372" s="3">
        <v>115</v>
      </c>
      <c r="V372" s="3" t="str">
        <f>IFERROR(MID(VLOOKUP($B372,Seqs!$A:$B,2,0),W372,1),"")</f>
        <v>H</v>
      </c>
      <c r="W372" s="3">
        <v>150</v>
      </c>
      <c r="X372" s="3" t="str">
        <f>IFERROR(MID(VLOOKUP($B372,Seqs!$A:$B,2,0),Y372,1),"")</f>
        <v>P</v>
      </c>
      <c r="Y372" s="3">
        <v>151</v>
      </c>
      <c r="Z372" s="3" t="str">
        <f>IFERROR(MID(VLOOKUP($B372,Seqs!$A:$B,2,0),AA372,1),"")</f>
        <v>F</v>
      </c>
      <c r="AA372" s="3">
        <v>154</v>
      </c>
      <c r="AB372" s="3" t="str">
        <f>IFERROR(MID(VLOOKUP($B372,Seqs!$A:$B,2,0),AC372,1),"")</f>
        <v>T</v>
      </c>
      <c r="AC372" s="9">
        <v>157</v>
      </c>
      <c r="AD372" s="3" t="str">
        <f>IFERROR(MID(VLOOKUP($B372,Seqs!$A:$B,2,0),AE372,1),"")</f>
        <v>M</v>
      </c>
      <c r="AE372" s="3">
        <v>183</v>
      </c>
      <c r="AF372" s="3" t="str">
        <f>IFERROR(MID(VLOOKUP($B372,Seqs!$A:$B,2,0),AG372,1),"")</f>
        <v>C</v>
      </c>
      <c r="AG372" s="3">
        <v>202</v>
      </c>
      <c r="AH372" s="3" t="str">
        <f>IFERROR(MID(VLOOKUP($B372,Seqs!$A:$B,2,0),AI372,1),"")</f>
        <v>E</v>
      </c>
      <c r="AI372" s="3">
        <v>204</v>
      </c>
      <c r="AJ372" s="3" t="str">
        <f>IFERROR(MID(VLOOKUP($B372,Seqs!$A:$B,2,0),AK372,1),"")</f>
        <v>L</v>
      </c>
      <c r="AK372" s="3">
        <v>210</v>
      </c>
      <c r="AL372" s="3" t="str">
        <f>IFERROR(MID(VLOOKUP($B372,Seqs!$A:$B,2,0),AM372,1),"")</f>
        <v>L</v>
      </c>
      <c r="AM372" s="3">
        <v>242</v>
      </c>
      <c r="AN372" s="3" t="str">
        <f>IFERROR(MID(VLOOKUP($B372,Seqs!$A:$B,2,0),AO372,1),"")</f>
        <v>K</v>
      </c>
      <c r="AO372" s="3">
        <v>288</v>
      </c>
      <c r="AP372" s="3" t="str">
        <f>IFERROR(MID(VLOOKUP($B372,Seqs!$A:$B,2,0),AQ372,1),"")</f>
        <v>F</v>
      </c>
      <c r="AQ372" s="3">
        <v>324</v>
      </c>
      <c r="AR372" s="3" t="str">
        <f>IFERROR(MID(VLOOKUP($B372,Seqs!$A:$B,2,0),AS372,1),"")</f>
        <v>R</v>
      </c>
      <c r="AS372" s="3">
        <v>333</v>
      </c>
      <c r="AT372" s="3" t="str">
        <f>IFERROR(MID(VLOOKUP($B372,Seqs!$A:$B,2,0),AU372,1),"")</f>
        <v>L</v>
      </c>
      <c r="AU372" s="3">
        <v>361</v>
      </c>
      <c r="AV372" s="3" t="str">
        <f>IFERROR(MID(VLOOKUP($B372,Seqs!$A:$B,2,0),AW372,1),"")</f>
        <v>S</v>
      </c>
      <c r="AW372" s="3">
        <v>362</v>
      </c>
      <c r="AX372" s="3" t="str">
        <f>IFERROR(MID(VLOOKUP($B372,Seqs!$A:$B,2,0),AY372,1),"")</f>
        <v>F</v>
      </c>
      <c r="AY372" s="3">
        <v>373</v>
      </c>
      <c r="AZ372" s="77" t="str">
        <f>VLOOKUP(B372,Classification!A:D,2,0)</f>
        <v>A</v>
      </c>
      <c r="BA372" s="94" t="str">
        <f>VLOOKUP(B372,Classification!A:D,4,0)</f>
        <v>Orexin</v>
      </c>
      <c r="BB372" s="27" t="b">
        <f t="shared" si="3241"/>
        <v>1</v>
      </c>
      <c r="BC372" s="23">
        <f t="shared" si="3214"/>
        <v>250</v>
      </c>
      <c r="BD372" s="4" t="s">
        <v>23</v>
      </c>
      <c r="BE372" s="3" t="s">
        <v>1368</v>
      </c>
      <c r="BF372" s="118">
        <v>2.75</v>
      </c>
      <c r="BG372" s="49" t="s">
        <v>1371</v>
      </c>
      <c r="BH372" s="49" t="s">
        <v>1371</v>
      </c>
      <c r="BI372" s="1"/>
      <c r="BJ372" s="70" t="s">
        <v>1281</v>
      </c>
      <c r="BK372" s="57" t="s">
        <v>1281</v>
      </c>
      <c r="BL372" s="57" t="s">
        <v>1281</v>
      </c>
      <c r="BM372" s="57" t="s">
        <v>1281</v>
      </c>
      <c r="BN372" s="57" t="s">
        <v>1281</v>
      </c>
      <c r="BO372" s="57" t="s">
        <v>1281</v>
      </c>
      <c r="BP372" s="57" t="s">
        <v>1281</v>
      </c>
      <c r="BQ372" s="57" t="s">
        <v>1281</v>
      </c>
      <c r="BR372" s="57" t="s">
        <v>1281</v>
      </c>
      <c r="BS372" s="57" t="s">
        <v>1281</v>
      </c>
      <c r="BT372" s="57" t="s">
        <v>1281</v>
      </c>
      <c r="BU372" s="57" t="s">
        <v>1281</v>
      </c>
      <c r="BV372" s="70">
        <f t="shared" si="3215"/>
        <v>46</v>
      </c>
      <c r="BW372" s="71">
        <f t="shared" si="3216"/>
        <v>75</v>
      </c>
      <c r="BX372" s="72">
        <f t="shared" si="3217"/>
        <v>79</v>
      </c>
      <c r="BY372" s="71">
        <f t="shared" si="3218"/>
        <v>111</v>
      </c>
      <c r="BZ372" s="72">
        <f t="shared" si="3219"/>
        <v>115</v>
      </c>
      <c r="CA372" s="71">
        <f t="shared" si="3220"/>
        <v>151</v>
      </c>
      <c r="CB372" s="72">
        <f t="shared" si="3221"/>
        <v>157</v>
      </c>
      <c r="CC372" s="71">
        <f t="shared" si="3222"/>
        <v>202</v>
      </c>
      <c r="CD372" s="72">
        <f t="shared" si="3223"/>
        <v>210</v>
      </c>
      <c r="CE372" s="71">
        <f t="shared" si="3224"/>
        <v>288</v>
      </c>
      <c r="CF372" s="72">
        <f t="shared" si="3225"/>
        <v>333</v>
      </c>
      <c r="CG372" s="71">
        <f t="shared" si="3226"/>
        <v>362</v>
      </c>
      <c r="CH372" s="70">
        <f t="shared" si="3227"/>
        <v>74</v>
      </c>
      <c r="CI372" s="71">
        <f t="shared" si="3228"/>
        <v>78</v>
      </c>
      <c r="CJ372" s="72">
        <f t="shared" si="3229"/>
        <v>110</v>
      </c>
      <c r="CK372" s="72">
        <f t="shared" si="3230"/>
        <v>114</v>
      </c>
      <c r="CL372" s="72">
        <f t="shared" si="3231"/>
        <v>150</v>
      </c>
      <c r="CM372" s="72">
        <f t="shared" si="3232"/>
        <v>154</v>
      </c>
      <c r="CN372" s="72">
        <f t="shared" si="3233"/>
        <v>183</v>
      </c>
      <c r="CO372" s="72">
        <f t="shared" si="3234"/>
        <v>204</v>
      </c>
      <c r="CP372" s="72">
        <f t="shared" si="3235"/>
        <v>242</v>
      </c>
      <c r="CQ372" s="72">
        <f t="shared" si="3236"/>
        <v>324</v>
      </c>
      <c r="CR372" s="72">
        <f t="shared" si="3237"/>
        <v>361</v>
      </c>
      <c r="CS372" s="72">
        <f t="shared" si="3238"/>
        <v>373</v>
      </c>
      <c r="CT372" s="23">
        <f t="shared" si="3239"/>
        <v>1</v>
      </c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  <c r="AMP372" s="2"/>
    </row>
    <row r="373" spans="1:1030" x14ac:dyDescent="0.2">
      <c r="A373" s="3" t="str">
        <f t="shared" si="3240"/>
        <v>ox1r_human_4ZJC</v>
      </c>
      <c r="B373" s="3" t="s">
        <v>1168</v>
      </c>
      <c r="C373" s="3" t="s">
        <v>91</v>
      </c>
      <c r="D373" s="3" t="str">
        <f>IFERROR(MID(VLOOKUP($B373,Seqs!$A:$B,2,0),E373,1),"")</f>
        <v>E</v>
      </c>
      <c r="E373" s="3">
        <v>46</v>
      </c>
      <c r="F373" s="3" t="str">
        <f>IFERROR(MID(VLOOKUP($B373,Seqs!$A:$B,2,0),G373,1),"")</f>
        <v>N</v>
      </c>
      <c r="G373" s="3">
        <v>74</v>
      </c>
      <c r="H373" s="3" t="str">
        <f>IFERROR(MID(VLOOKUP($B373,Seqs!$A:$B,2,0),I373,1),"")</f>
        <v>H</v>
      </c>
      <c r="I373" s="23">
        <v>75</v>
      </c>
      <c r="J373" s="3" t="str">
        <f>IFERROR(MID(VLOOKUP($B373,Seqs!$A:$B,2,0),K373,1),"")</f>
        <v>R</v>
      </c>
      <c r="K373" s="23">
        <v>78</v>
      </c>
      <c r="L373" s="3" t="str">
        <f>IFERROR(MID(VLOOKUP($B373,Seqs!$A:$B,2,0),M373,1),"")</f>
        <v>T</v>
      </c>
      <c r="M373" s="3">
        <v>79</v>
      </c>
      <c r="N373" s="3" t="str">
        <f>IFERROR(MID(VLOOKUP($B373,Seqs!$A:$B,2,0),O373,1),"")</f>
        <v>E</v>
      </c>
      <c r="O373" s="3">
        <v>110</v>
      </c>
      <c r="P373" s="3" t="str">
        <f>IFERROR(MID(VLOOKUP($B373,Seqs!$A:$B,2,0),Q373,1),"")</f>
        <v>S</v>
      </c>
      <c r="Q373" s="3">
        <v>111</v>
      </c>
      <c r="R373" s="3" t="str">
        <f>IFERROR(MID(VLOOKUP($B373,Seqs!$A:$B,2,0),S373,1),"")</f>
        <v>F</v>
      </c>
      <c r="S373" s="3">
        <v>114</v>
      </c>
      <c r="T373" s="3" t="str">
        <f>IFERROR(MID(VLOOKUP($B373,Seqs!$A:$B,2,0),U373,1),"")</f>
        <v>G</v>
      </c>
      <c r="U373" s="3">
        <v>115</v>
      </c>
      <c r="V373" s="3" t="str">
        <f>IFERROR(MID(VLOOKUP($B373,Seqs!$A:$B,2,0),W373,1),"")</f>
        <v>H</v>
      </c>
      <c r="W373" s="3">
        <v>150</v>
      </c>
      <c r="X373" s="3" t="str">
        <f>IFERROR(MID(VLOOKUP($B373,Seqs!$A:$B,2,0),Y373,1),"")</f>
        <v>P</v>
      </c>
      <c r="Y373" s="3">
        <v>151</v>
      </c>
      <c r="Z373" s="3" t="str">
        <f>IFERROR(MID(VLOOKUP($B373,Seqs!$A:$B,2,0),AA373,1),"")</f>
        <v>F</v>
      </c>
      <c r="AA373" s="3">
        <v>154</v>
      </c>
      <c r="AB373" s="3" t="str">
        <f>IFERROR(MID(VLOOKUP($B373,Seqs!$A:$B,2,0),AC373,1),"")</f>
        <v>T</v>
      </c>
      <c r="AC373" s="9">
        <v>157</v>
      </c>
      <c r="AD373" s="3" t="str">
        <f>IFERROR(MID(VLOOKUP($B373,Seqs!$A:$B,2,0),AE373,1),"")</f>
        <v>M</v>
      </c>
      <c r="AE373" s="3">
        <v>183</v>
      </c>
      <c r="AF373" s="3" t="str">
        <f>IFERROR(MID(VLOOKUP($B373,Seqs!$A:$B,2,0),AG373,1),"")</f>
        <v>C</v>
      </c>
      <c r="AG373" s="3">
        <v>202</v>
      </c>
      <c r="AH373" s="3" t="str">
        <f>IFERROR(MID(VLOOKUP($B373,Seqs!$A:$B,2,0),AI373,1),"")</f>
        <v>E</v>
      </c>
      <c r="AI373" s="3">
        <v>204</v>
      </c>
      <c r="AJ373" s="3" t="str">
        <f>IFERROR(MID(VLOOKUP($B373,Seqs!$A:$B,2,0),AK373,1),"")</f>
        <v>L</v>
      </c>
      <c r="AK373" s="3">
        <v>210</v>
      </c>
      <c r="AL373" s="3" t="str">
        <f>IFERROR(MID(VLOOKUP($B373,Seqs!$A:$B,2,0),AM373,1),"")</f>
        <v>L</v>
      </c>
      <c r="AM373" s="3">
        <v>242</v>
      </c>
      <c r="AN373" s="3" t="str">
        <f>IFERROR(MID(VLOOKUP($B373,Seqs!$A:$B,2,0),AO373,1),"")</f>
        <v>K</v>
      </c>
      <c r="AO373" s="3">
        <v>288</v>
      </c>
      <c r="AP373" s="3" t="str">
        <f>IFERROR(MID(VLOOKUP($B373,Seqs!$A:$B,2,0),AQ373,1),"")</f>
        <v>F</v>
      </c>
      <c r="AQ373" s="3">
        <v>324</v>
      </c>
      <c r="AR373" s="3" t="str">
        <f>IFERROR(MID(VLOOKUP($B373,Seqs!$A:$B,2,0),AS373,1),"")</f>
        <v>R</v>
      </c>
      <c r="AS373" s="3">
        <v>333</v>
      </c>
      <c r="AT373" s="3" t="str">
        <f>IFERROR(MID(VLOOKUP($B373,Seqs!$A:$B,2,0),AU373,1),"")</f>
        <v>L</v>
      </c>
      <c r="AU373" s="3">
        <v>361</v>
      </c>
      <c r="AV373" s="3" t="str">
        <f>IFERROR(MID(VLOOKUP($B373,Seqs!$A:$B,2,0),AW373,1),"")</f>
        <v>S</v>
      </c>
      <c r="AW373" s="3">
        <v>362</v>
      </c>
      <c r="AX373" s="3" t="str">
        <f>IFERROR(MID(VLOOKUP($B373,Seqs!$A:$B,2,0),AY373,1),"")</f>
        <v>F</v>
      </c>
      <c r="AY373" s="3">
        <v>373</v>
      </c>
      <c r="AZ373" s="77" t="str">
        <f>VLOOKUP(B373,Classification!A:D,2,0)</f>
        <v>A</v>
      </c>
      <c r="BA373" s="94" t="str">
        <f>VLOOKUP(B373,Classification!A:D,4,0)</f>
        <v>Orexin</v>
      </c>
      <c r="BB373" s="27" t="b">
        <f t="shared" si="3241"/>
        <v>1</v>
      </c>
      <c r="BC373" s="23">
        <f t="shared" si="3214"/>
        <v>250</v>
      </c>
      <c r="BD373" s="2" t="s">
        <v>23</v>
      </c>
      <c r="BE373" s="3" t="s">
        <v>1368</v>
      </c>
      <c r="BF373" s="118">
        <v>2.83</v>
      </c>
      <c r="BG373" s="49" t="s">
        <v>1371</v>
      </c>
      <c r="BH373" s="49" t="s">
        <v>1371</v>
      </c>
      <c r="BI373" s="1"/>
      <c r="BJ373" s="70" t="s">
        <v>1281</v>
      </c>
      <c r="BK373" s="57" t="s">
        <v>1281</v>
      </c>
      <c r="BL373" s="57" t="s">
        <v>1281</v>
      </c>
      <c r="BM373" s="57" t="s">
        <v>1281</v>
      </c>
      <c r="BN373" s="57" t="s">
        <v>1281</v>
      </c>
      <c r="BO373" s="57" t="s">
        <v>1281</v>
      </c>
      <c r="BP373" s="57" t="s">
        <v>1281</v>
      </c>
      <c r="BQ373" s="57" t="s">
        <v>1281</v>
      </c>
      <c r="BR373" s="57" t="s">
        <v>1281</v>
      </c>
      <c r="BS373" s="57" t="s">
        <v>1281</v>
      </c>
      <c r="BT373" s="57" t="s">
        <v>1281</v>
      </c>
      <c r="BU373" s="57" t="s">
        <v>1281</v>
      </c>
      <c r="BV373" s="70">
        <f t="shared" si="3215"/>
        <v>46</v>
      </c>
      <c r="BW373" s="71">
        <f t="shared" si="3216"/>
        <v>75</v>
      </c>
      <c r="BX373" s="72">
        <f t="shared" si="3217"/>
        <v>79</v>
      </c>
      <c r="BY373" s="71">
        <f t="shared" si="3218"/>
        <v>111</v>
      </c>
      <c r="BZ373" s="72">
        <f t="shared" si="3219"/>
        <v>115</v>
      </c>
      <c r="CA373" s="71">
        <f t="shared" si="3220"/>
        <v>151</v>
      </c>
      <c r="CB373" s="72">
        <f t="shared" si="3221"/>
        <v>157</v>
      </c>
      <c r="CC373" s="71">
        <f t="shared" si="3222"/>
        <v>202</v>
      </c>
      <c r="CD373" s="72">
        <f t="shared" si="3223"/>
        <v>210</v>
      </c>
      <c r="CE373" s="71">
        <f t="shared" si="3224"/>
        <v>288</v>
      </c>
      <c r="CF373" s="72">
        <f t="shared" si="3225"/>
        <v>333</v>
      </c>
      <c r="CG373" s="71">
        <f t="shared" si="3226"/>
        <v>362</v>
      </c>
      <c r="CH373" s="70">
        <f t="shared" si="3227"/>
        <v>74</v>
      </c>
      <c r="CI373" s="71">
        <f t="shared" si="3228"/>
        <v>78</v>
      </c>
      <c r="CJ373" s="72">
        <f t="shared" si="3229"/>
        <v>110</v>
      </c>
      <c r="CK373" s="72">
        <f t="shared" si="3230"/>
        <v>114</v>
      </c>
      <c r="CL373" s="72">
        <f t="shared" si="3231"/>
        <v>150</v>
      </c>
      <c r="CM373" s="72">
        <f t="shared" si="3232"/>
        <v>154</v>
      </c>
      <c r="CN373" s="72">
        <f t="shared" si="3233"/>
        <v>183</v>
      </c>
      <c r="CO373" s="72">
        <f t="shared" si="3234"/>
        <v>204</v>
      </c>
      <c r="CP373" s="72">
        <f t="shared" si="3235"/>
        <v>242</v>
      </c>
      <c r="CQ373" s="72">
        <f t="shared" si="3236"/>
        <v>324</v>
      </c>
      <c r="CR373" s="72">
        <f t="shared" si="3237"/>
        <v>361</v>
      </c>
      <c r="CS373" s="72">
        <f t="shared" si="3238"/>
        <v>373</v>
      </c>
      <c r="CT373" s="23">
        <f t="shared" si="3239"/>
        <v>1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  <c r="AMP373" s="2"/>
    </row>
    <row r="374" spans="1:1030" x14ac:dyDescent="0.2">
      <c r="A374" s="3" t="str">
        <f t="shared" ref="A374" si="3522">CONCATENATE(B374,"_",C374)</f>
        <v>ox1r_human_6TO7</v>
      </c>
      <c r="B374" s="3" t="s">
        <v>1168</v>
      </c>
      <c r="C374" s="3" t="s">
        <v>1619</v>
      </c>
      <c r="D374" s="3" t="str">
        <f>IFERROR(MID(VLOOKUP($B374,Seqs!$A:$B,2,0),E374,1),"")</f>
        <v>Y</v>
      </c>
      <c r="E374" s="3">
        <v>45</v>
      </c>
      <c r="F374" s="3" t="str">
        <f>IFERROR(MID(VLOOKUP($B374,Seqs!$A:$B,2,0),G374,1),"")</f>
        <v>N</v>
      </c>
      <c r="G374" s="3">
        <v>74</v>
      </c>
      <c r="H374" s="3" t="str">
        <f>IFERROR(MID(VLOOKUP($B374,Seqs!$A:$B,2,0),I374,1),"")</f>
        <v>H</v>
      </c>
      <c r="I374" s="23">
        <v>75</v>
      </c>
      <c r="J374" s="3" t="str">
        <f>IFERROR(MID(VLOOKUP($B374,Seqs!$A:$B,2,0),K374,1),"")</f>
        <v>R</v>
      </c>
      <c r="K374" s="23">
        <v>78</v>
      </c>
      <c r="L374" s="3" t="str">
        <f>IFERROR(MID(VLOOKUP($B374,Seqs!$A:$B,2,0),M374,1),"")</f>
        <v>T</v>
      </c>
      <c r="M374" s="3">
        <v>79</v>
      </c>
      <c r="N374" s="3" t="str">
        <f>IFERROR(MID(VLOOKUP($B374,Seqs!$A:$B,2,0),O374,1),"")</f>
        <v>E</v>
      </c>
      <c r="O374" s="3">
        <v>110</v>
      </c>
      <c r="P374" s="3" t="str">
        <f>IFERROR(MID(VLOOKUP($B374,Seqs!$A:$B,2,0),Q374,1),"")</f>
        <v>S</v>
      </c>
      <c r="Q374" s="3">
        <v>111</v>
      </c>
      <c r="R374" s="3" t="str">
        <f>IFERROR(MID(VLOOKUP($B374,Seqs!$A:$B,2,0),S374,1),"")</f>
        <v>F</v>
      </c>
      <c r="S374" s="3">
        <v>114</v>
      </c>
      <c r="T374" s="3" t="str">
        <f>IFERROR(MID(VLOOKUP($B374,Seqs!$A:$B,2,0),U374,1),"")</f>
        <v>G</v>
      </c>
      <c r="U374" s="3">
        <v>115</v>
      </c>
      <c r="V374" s="3" t="str">
        <f>IFERROR(MID(VLOOKUP($B374,Seqs!$A:$B,2,0),W374,1),"")</f>
        <v>H</v>
      </c>
      <c r="W374" s="3">
        <v>150</v>
      </c>
      <c r="X374" s="3" t="str">
        <f>IFERROR(MID(VLOOKUP($B374,Seqs!$A:$B,2,0),Y374,1),"")</f>
        <v>P</v>
      </c>
      <c r="Y374" s="3">
        <v>151</v>
      </c>
      <c r="Z374" s="3" t="str">
        <f>IFERROR(MID(VLOOKUP($B374,Seqs!$A:$B,2,0),AA374,1),"")</f>
        <v>F</v>
      </c>
      <c r="AA374" s="3">
        <v>154</v>
      </c>
      <c r="AB374" s="3" t="str">
        <f>IFERROR(MID(VLOOKUP($B374,Seqs!$A:$B,2,0),AC374,1),"")</f>
        <v>T</v>
      </c>
      <c r="AC374" s="3">
        <v>157</v>
      </c>
      <c r="AD374" s="3" t="str">
        <f>IFERROR(MID(VLOOKUP($B374,Seqs!$A:$B,2,0),AE374,1),"")</f>
        <v>M</v>
      </c>
      <c r="AE374" s="3">
        <v>183</v>
      </c>
      <c r="AF374" s="3" t="str">
        <f>IFERROR(MID(VLOOKUP($B374,Seqs!$A:$B,2,0),AG374,1),"")</f>
        <v>C</v>
      </c>
      <c r="AG374" s="3">
        <v>202</v>
      </c>
      <c r="AH374" s="3" t="str">
        <f>IFERROR(MID(VLOOKUP($B374,Seqs!$A:$B,2,0),AI374,1),"")</f>
        <v>E</v>
      </c>
      <c r="AI374" s="3">
        <v>204</v>
      </c>
      <c r="AJ374" s="3" t="str">
        <f>IFERROR(MID(VLOOKUP($B374,Seqs!$A:$B,2,0),AK374,1),"")</f>
        <v>L</v>
      </c>
      <c r="AK374" s="3">
        <v>210</v>
      </c>
      <c r="AL374" s="3" t="str">
        <f>IFERROR(MID(VLOOKUP($B374,Seqs!$A:$B,2,0),AM374,1),"")</f>
        <v>G</v>
      </c>
      <c r="AM374" s="3">
        <v>244</v>
      </c>
      <c r="AN374" s="3" t="str">
        <f>IFERROR(MID(VLOOKUP($B374,Seqs!$A:$B,2,0),AO374,1),"")</f>
        <v>E</v>
      </c>
      <c r="AO374" s="3">
        <v>286</v>
      </c>
      <c r="AP374" s="3" t="str">
        <f>IFERROR(MID(VLOOKUP($B374,Seqs!$A:$B,2,0),AQ374,1),"")</f>
        <v>F</v>
      </c>
      <c r="AQ374" s="3">
        <v>324</v>
      </c>
      <c r="AR374" s="3" t="str">
        <f>IFERROR(MID(VLOOKUP($B374,Seqs!$A:$B,2,0),AS374,1),"")</f>
        <v>D</v>
      </c>
      <c r="AS374" s="3">
        <v>332</v>
      </c>
      <c r="AT374" s="3" t="str">
        <f>IFERROR(MID(VLOOKUP($B374,Seqs!$A:$B,2,0),AU374,1),"")</f>
        <v>L</v>
      </c>
      <c r="AU374" s="3">
        <v>361</v>
      </c>
      <c r="AV374" s="3" t="str">
        <f>IFERROR(MID(VLOOKUP($B374,Seqs!$A:$B,2,0),AW374,1),"")</f>
        <v>S</v>
      </c>
      <c r="AW374" s="3">
        <v>362</v>
      </c>
      <c r="AX374" s="3" t="str">
        <f>IFERROR(MID(VLOOKUP($B374,Seqs!$A:$B,2,0),AY374,1),"")</f>
        <v>L</v>
      </c>
      <c r="AY374" s="3">
        <v>377</v>
      </c>
      <c r="AZ374" s="77" t="str">
        <f>VLOOKUP(B374,Classification!A:D,2,0)</f>
        <v>A</v>
      </c>
      <c r="BA374" s="94" t="str">
        <f>VLOOKUP(B374,Classification!A:D,4,0)</f>
        <v>Orexin</v>
      </c>
      <c r="BB374" s="27" t="b">
        <f t="shared" ref="BB374" si="3523">AND(E374&lt;G374,OR(G374&lt;I374,I374="-"),OR(I374&lt;K374,I374="-"),OR(K374&lt;M374,K374="-"),M374&lt;O374,OR(O374&lt;Q374,Q374="-"),OR(Q374&lt;S374,Q374="-"),OR(S374&lt;U374,S374="-"),U374&lt;W374,OR(W374&lt;Y374,Y374="-"),OR(Y374&lt;AA374,Y374="-"),OR(AA374&lt;AC374,AA374="-"),AC374&lt;AE374,OR(AE374&lt;AG374,AG374="-"),OR(AG374&lt;AI374,AG374="-"),OR(AI374&lt;AK374,AI374="-"),AK374&lt;AM374,AM374&lt;AO374,AO374&lt;AQ374,AQ374&lt;AS374,AS374&lt;AU374,OR(AU374&lt;AW374,AW374="-"),OR(AW374&lt;AY374,AW374="-"))</f>
        <v>1</v>
      </c>
      <c r="BC374" s="23">
        <f t="shared" ref="BC374" si="3524">_xlfn.AGGREGATE(9,6,CH374:CS374)-_xlfn.AGGREGATE(9,6,BV374:CG374)+12</f>
        <v>260</v>
      </c>
      <c r="BD374" s="2" t="s">
        <v>1370</v>
      </c>
      <c r="BE374" s="3" t="s">
        <v>1368</v>
      </c>
      <c r="BF374" s="118">
        <v>2.2599999999999998</v>
      </c>
      <c r="BG374" s="49" t="s">
        <v>1</v>
      </c>
      <c r="BH374" s="49" t="s">
        <v>1</v>
      </c>
      <c r="BI374" s="1"/>
      <c r="BJ374" s="70" t="s">
        <v>1281</v>
      </c>
      <c r="BK374" s="57" t="s">
        <v>1281</v>
      </c>
      <c r="BL374" s="57" t="s">
        <v>1281</v>
      </c>
      <c r="BM374" s="57" t="s">
        <v>1281</v>
      </c>
      <c r="BN374" s="57" t="s">
        <v>1281</v>
      </c>
      <c r="BO374" s="57" t="s">
        <v>1281</v>
      </c>
      <c r="BP374" s="57" t="s">
        <v>1281</v>
      </c>
      <c r="BQ374" s="57" t="s">
        <v>1281</v>
      </c>
      <c r="BR374" s="57" t="s">
        <v>1281</v>
      </c>
      <c r="BS374" s="57" t="s">
        <v>1281</v>
      </c>
      <c r="BT374" s="57" t="s">
        <v>1281</v>
      </c>
      <c r="BU374" s="57" t="s">
        <v>1281</v>
      </c>
      <c r="BV374" s="70">
        <f t="shared" ref="BV374" si="3525">E374</f>
        <v>45</v>
      </c>
      <c r="BW374" s="71">
        <f t="shared" ref="BW374" si="3526">I374</f>
        <v>75</v>
      </c>
      <c r="BX374" s="72">
        <f t="shared" ref="BX374" si="3527">M374</f>
        <v>79</v>
      </c>
      <c r="BY374" s="71">
        <f t="shared" ref="BY374" si="3528">Q374</f>
        <v>111</v>
      </c>
      <c r="BZ374" s="72">
        <f t="shared" ref="BZ374" si="3529">U374</f>
        <v>115</v>
      </c>
      <c r="CA374" s="71">
        <f t="shared" ref="CA374" si="3530">Y374</f>
        <v>151</v>
      </c>
      <c r="CB374" s="72">
        <f t="shared" ref="CB374" si="3531">AC374</f>
        <v>157</v>
      </c>
      <c r="CC374" s="71">
        <f t="shared" ref="CC374" si="3532">AG374</f>
        <v>202</v>
      </c>
      <c r="CD374" s="72">
        <f t="shared" ref="CD374" si="3533">AK374</f>
        <v>210</v>
      </c>
      <c r="CE374" s="71">
        <f t="shared" ref="CE374" si="3534">AO374</f>
        <v>286</v>
      </c>
      <c r="CF374" s="72">
        <f t="shared" ref="CF374" si="3535">AS374</f>
        <v>332</v>
      </c>
      <c r="CG374" s="71">
        <f t="shared" ref="CG374" si="3536">AW374</f>
        <v>362</v>
      </c>
      <c r="CH374" s="70">
        <f t="shared" ref="CH374" si="3537">G374</f>
        <v>74</v>
      </c>
      <c r="CI374" s="71">
        <f t="shared" ref="CI374" si="3538">K374</f>
        <v>78</v>
      </c>
      <c r="CJ374" s="72">
        <f t="shared" ref="CJ374" si="3539">O374</f>
        <v>110</v>
      </c>
      <c r="CK374" s="72">
        <f t="shared" ref="CK374" si="3540">S374</f>
        <v>114</v>
      </c>
      <c r="CL374" s="72">
        <f t="shared" ref="CL374" si="3541">W374</f>
        <v>150</v>
      </c>
      <c r="CM374" s="72">
        <f t="shared" ref="CM374" si="3542">AA374</f>
        <v>154</v>
      </c>
      <c r="CN374" s="72">
        <f t="shared" ref="CN374" si="3543">AE374</f>
        <v>183</v>
      </c>
      <c r="CO374" s="72">
        <f t="shared" ref="CO374" si="3544">AI374</f>
        <v>204</v>
      </c>
      <c r="CP374" s="72">
        <f t="shared" ref="CP374" si="3545">AM374</f>
        <v>244</v>
      </c>
      <c r="CQ374" s="72">
        <f t="shared" ref="CQ374" si="3546">AQ374</f>
        <v>324</v>
      </c>
      <c r="CR374" s="72">
        <f t="shared" ref="CR374" si="3547">AU374</f>
        <v>361</v>
      </c>
      <c r="CS374" s="72">
        <f t="shared" ref="CS374" si="3548">AY374</f>
        <v>377</v>
      </c>
      <c r="CT374" s="23">
        <f t="shared" ref="CT374" si="3549">M374-K374</f>
        <v>1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  <c r="AMP374" s="2"/>
    </row>
    <row r="375" spans="1:1030" x14ac:dyDescent="0.2">
      <c r="A375" s="3" t="str">
        <f t="shared" ref="A375" si="3550">CONCATENATE(B375,"_",C375)</f>
        <v>ox1r_human_6TOD</v>
      </c>
      <c r="B375" s="3" t="s">
        <v>1168</v>
      </c>
      <c r="C375" s="3" t="s">
        <v>1620</v>
      </c>
      <c r="D375" s="3" t="str">
        <f>IFERROR(MID(VLOOKUP($B375,Seqs!$A:$B,2,0),E375,1),"")</f>
        <v>Y</v>
      </c>
      <c r="E375" s="3">
        <v>45</v>
      </c>
      <c r="F375" s="3" t="str">
        <f>IFERROR(MID(VLOOKUP($B375,Seqs!$A:$B,2,0),G375,1),"")</f>
        <v>N</v>
      </c>
      <c r="G375" s="3">
        <v>74</v>
      </c>
      <c r="H375" s="3" t="str">
        <f>IFERROR(MID(VLOOKUP($B375,Seqs!$A:$B,2,0),I375,1),"")</f>
        <v>H</v>
      </c>
      <c r="I375" s="23">
        <v>75</v>
      </c>
      <c r="J375" s="3" t="str">
        <f>IFERROR(MID(VLOOKUP($B375,Seqs!$A:$B,2,0),K375,1),"")</f>
        <v>R</v>
      </c>
      <c r="K375" s="23">
        <v>78</v>
      </c>
      <c r="L375" s="3" t="str">
        <f>IFERROR(MID(VLOOKUP($B375,Seqs!$A:$B,2,0),M375,1),"")</f>
        <v>T</v>
      </c>
      <c r="M375" s="3">
        <v>79</v>
      </c>
      <c r="N375" s="3" t="str">
        <f>IFERROR(MID(VLOOKUP($B375,Seqs!$A:$B,2,0),O375,1),"")</f>
        <v>E</v>
      </c>
      <c r="O375" s="3">
        <v>110</v>
      </c>
      <c r="P375" s="3" t="str">
        <f>IFERROR(MID(VLOOKUP($B375,Seqs!$A:$B,2,0),Q375,1),"")</f>
        <v>S</v>
      </c>
      <c r="Q375" s="3">
        <v>111</v>
      </c>
      <c r="R375" s="3" t="str">
        <f>IFERROR(MID(VLOOKUP($B375,Seqs!$A:$B,2,0),S375,1),"")</f>
        <v>F</v>
      </c>
      <c r="S375" s="3">
        <v>114</v>
      </c>
      <c r="T375" s="3" t="str">
        <f>IFERROR(MID(VLOOKUP($B375,Seqs!$A:$B,2,0),U375,1),"")</f>
        <v>G</v>
      </c>
      <c r="U375" s="3">
        <v>115</v>
      </c>
      <c r="V375" s="3" t="str">
        <f>IFERROR(MID(VLOOKUP($B375,Seqs!$A:$B,2,0),W375,1),"")</f>
        <v>H</v>
      </c>
      <c r="W375" s="3">
        <v>150</v>
      </c>
      <c r="X375" s="3" t="str">
        <f>IFERROR(MID(VLOOKUP($B375,Seqs!$A:$B,2,0),Y375,1),"")</f>
        <v>P</v>
      </c>
      <c r="Y375" s="3">
        <v>151</v>
      </c>
      <c r="Z375" s="3" t="str">
        <f>IFERROR(MID(VLOOKUP($B375,Seqs!$A:$B,2,0),AA375,1),"")</f>
        <v>F</v>
      </c>
      <c r="AA375" s="3">
        <v>154</v>
      </c>
      <c r="AB375" s="3" t="str">
        <f>IFERROR(MID(VLOOKUP($B375,Seqs!$A:$B,2,0),AC375,1),"")</f>
        <v>T</v>
      </c>
      <c r="AC375" s="3">
        <v>157</v>
      </c>
      <c r="AD375" s="3" t="str">
        <f>IFERROR(MID(VLOOKUP($B375,Seqs!$A:$B,2,0),AE375,1),"")</f>
        <v>M</v>
      </c>
      <c r="AE375" s="3">
        <v>183</v>
      </c>
      <c r="AF375" s="3" t="str">
        <f>IFERROR(MID(VLOOKUP($B375,Seqs!$A:$B,2,0),AG375,1),"")</f>
        <v>C</v>
      </c>
      <c r="AG375" s="3">
        <v>202</v>
      </c>
      <c r="AH375" s="3" t="str">
        <f>IFERROR(MID(VLOOKUP($B375,Seqs!$A:$B,2,0),AI375,1),"")</f>
        <v>E</v>
      </c>
      <c r="AI375" s="3">
        <v>204</v>
      </c>
      <c r="AJ375" s="3" t="str">
        <f>IFERROR(MID(VLOOKUP($B375,Seqs!$A:$B,2,0),AK375,1),"")</f>
        <v>L</v>
      </c>
      <c r="AK375" s="3">
        <v>210</v>
      </c>
      <c r="AL375" s="3" t="str">
        <f>IFERROR(MID(VLOOKUP($B375,Seqs!$A:$B,2,0),AM375,1),"")</f>
        <v>G</v>
      </c>
      <c r="AM375" s="3">
        <v>244</v>
      </c>
      <c r="AN375" s="3" t="str">
        <f>IFERROR(MID(VLOOKUP($B375,Seqs!$A:$B,2,0),AO375,1),"")</f>
        <v>E</v>
      </c>
      <c r="AO375" s="3">
        <v>286</v>
      </c>
      <c r="AP375" s="3" t="str">
        <f>IFERROR(MID(VLOOKUP($B375,Seqs!$A:$B,2,0),AQ375,1),"")</f>
        <v>F</v>
      </c>
      <c r="AQ375" s="3">
        <v>324</v>
      </c>
      <c r="AR375" s="3" t="str">
        <f>IFERROR(MID(VLOOKUP($B375,Seqs!$A:$B,2,0),AS375,1),"")</f>
        <v>D</v>
      </c>
      <c r="AS375" s="3">
        <v>332</v>
      </c>
      <c r="AT375" s="3" t="str">
        <f>IFERROR(MID(VLOOKUP($B375,Seqs!$A:$B,2,0),AU375,1),"")</f>
        <v>L</v>
      </c>
      <c r="AU375" s="3">
        <v>361</v>
      </c>
      <c r="AV375" s="3" t="str">
        <f>IFERROR(MID(VLOOKUP($B375,Seqs!$A:$B,2,0),AW375,1),"")</f>
        <v>S</v>
      </c>
      <c r="AW375" s="3">
        <v>362</v>
      </c>
      <c r="AX375" s="3" t="str">
        <f>IFERROR(MID(VLOOKUP($B375,Seqs!$A:$B,2,0),AY375,1),"")</f>
        <v>C</v>
      </c>
      <c r="AY375" s="3">
        <v>375</v>
      </c>
      <c r="AZ375" s="77" t="str">
        <f>VLOOKUP(B375,Classification!A:D,2,0)</f>
        <v>A</v>
      </c>
      <c r="BA375" s="94" t="str">
        <f>VLOOKUP(B375,Classification!A:D,4,0)</f>
        <v>Orexin</v>
      </c>
      <c r="BB375" s="27" t="b">
        <f t="shared" ref="BB375" si="3551"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 t="shared" ref="BC375" si="3552">_xlfn.AGGREGATE(9,6,CH375:CS375)-_xlfn.AGGREGATE(9,6,BV375:CG375)+12</f>
        <v>258</v>
      </c>
      <c r="BD375" s="2" t="s">
        <v>23</v>
      </c>
      <c r="BE375" s="3" t="s">
        <v>1368</v>
      </c>
      <c r="BF375" s="118">
        <v>2.11</v>
      </c>
      <c r="BG375" s="49" t="s">
        <v>1</v>
      </c>
      <c r="BH375" s="49" t="s">
        <v>1</v>
      </c>
      <c r="BI375" s="1"/>
      <c r="BJ375" s="70" t="s">
        <v>1281</v>
      </c>
      <c r="BK375" s="57" t="s">
        <v>1281</v>
      </c>
      <c r="BL375" s="57" t="s">
        <v>1281</v>
      </c>
      <c r="BM375" s="57" t="s">
        <v>1281</v>
      </c>
      <c r="BN375" s="57" t="s">
        <v>1281</v>
      </c>
      <c r="BO375" s="57" t="s">
        <v>1281</v>
      </c>
      <c r="BP375" s="57" t="s">
        <v>1281</v>
      </c>
      <c r="BQ375" s="57" t="s">
        <v>1281</v>
      </c>
      <c r="BR375" s="57" t="s">
        <v>1281</v>
      </c>
      <c r="BS375" s="57" t="s">
        <v>1281</v>
      </c>
      <c r="BT375" s="57" t="s">
        <v>1281</v>
      </c>
      <c r="BU375" s="57" t="s">
        <v>1281</v>
      </c>
      <c r="BV375" s="70">
        <f t="shared" ref="BV375" si="3553">E375</f>
        <v>45</v>
      </c>
      <c r="BW375" s="71">
        <f t="shared" ref="BW375" si="3554">I375</f>
        <v>75</v>
      </c>
      <c r="BX375" s="72">
        <f t="shared" ref="BX375" si="3555">M375</f>
        <v>79</v>
      </c>
      <c r="BY375" s="71">
        <f t="shared" ref="BY375" si="3556">Q375</f>
        <v>111</v>
      </c>
      <c r="BZ375" s="72">
        <f t="shared" ref="BZ375" si="3557">U375</f>
        <v>115</v>
      </c>
      <c r="CA375" s="71">
        <f t="shared" ref="CA375" si="3558">Y375</f>
        <v>151</v>
      </c>
      <c r="CB375" s="72">
        <f t="shared" ref="CB375" si="3559">AC375</f>
        <v>157</v>
      </c>
      <c r="CC375" s="71">
        <f t="shared" ref="CC375" si="3560">AG375</f>
        <v>202</v>
      </c>
      <c r="CD375" s="72">
        <f t="shared" ref="CD375" si="3561">AK375</f>
        <v>210</v>
      </c>
      <c r="CE375" s="71">
        <f t="shared" ref="CE375" si="3562">AO375</f>
        <v>286</v>
      </c>
      <c r="CF375" s="72">
        <f t="shared" ref="CF375" si="3563">AS375</f>
        <v>332</v>
      </c>
      <c r="CG375" s="71">
        <f t="shared" ref="CG375" si="3564">AW375</f>
        <v>362</v>
      </c>
      <c r="CH375" s="70">
        <f t="shared" ref="CH375" si="3565">G375</f>
        <v>74</v>
      </c>
      <c r="CI375" s="71">
        <f t="shared" ref="CI375" si="3566">K375</f>
        <v>78</v>
      </c>
      <c r="CJ375" s="72">
        <f t="shared" ref="CJ375" si="3567">O375</f>
        <v>110</v>
      </c>
      <c r="CK375" s="72">
        <f t="shared" ref="CK375" si="3568">S375</f>
        <v>114</v>
      </c>
      <c r="CL375" s="72">
        <f t="shared" ref="CL375" si="3569">W375</f>
        <v>150</v>
      </c>
      <c r="CM375" s="72">
        <f t="shared" ref="CM375" si="3570">AA375</f>
        <v>154</v>
      </c>
      <c r="CN375" s="72">
        <f t="shared" ref="CN375" si="3571">AE375</f>
        <v>183</v>
      </c>
      <c r="CO375" s="72">
        <f t="shared" ref="CO375" si="3572">AI375</f>
        <v>204</v>
      </c>
      <c r="CP375" s="72">
        <f t="shared" ref="CP375" si="3573">AM375</f>
        <v>244</v>
      </c>
      <c r="CQ375" s="72">
        <f t="shared" ref="CQ375" si="3574">AQ375</f>
        <v>324</v>
      </c>
      <c r="CR375" s="72">
        <f t="shared" ref="CR375" si="3575">AU375</f>
        <v>361</v>
      </c>
      <c r="CS375" s="72">
        <f t="shared" ref="CS375" si="3576">AY375</f>
        <v>375</v>
      </c>
      <c r="CT375" s="23">
        <f t="shared" ref="CT375" si="3577">M375-K375</f>
        <v>1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  <c r="AMP375" s="2"/>
    </row>
    <row r="376" spans="1:1030" x14ac:dyDescent="0.2">
      <c r="A376" s="3" t="str">
        <f t="shared" ref="A376" si="3578">CONCATENATE(B376,"_",C376)</f>
        <v>ox1r_human_6TP3</v>
      </c>
      <c r="B376" s="3" t="s">
        <v>1168</v>
      </c>
      <c r="C376" s="3" t="s">
        <v>1621</v>
      </c>
      <c r="D376" s="3" t="str">
        <f>IFERROR(MID(VLOOKUP($B376,Seqs!$A:$B,2,0),E376,1),"")</f>
        <v>Y</v>
      </c>
      <c r="E376" s="3">
        <v>45</v>
      </c>
      <c r="F376" s="3" t="str">
        <f>IFERROR(MID(VLOOKUP($B376,Seqs!$A:$B,2,0),G376,1),"")</f>
        <v>N</v>
      </c>
      <c r="G376" s="3">
        <v>74</v>
      </c>
      <c r="H376" s="3" t="str">
        <f>IFERROR(MID(VLOOKUP($B376,Seqs!$A:$B,2,0),I376,1),"")</f>
        <v>H</v>
      </c>
      <c r="I376" s="23">
        <v>75</v>
      </c>
      <c r="J376" s="3" t="str">
        <f>IFERROR(MID(VLOOKUP($B376,Seqs!$A:$B,2,0),K376,1),"")</f>
        <v>R</v>
      </c>
      <c r="K376" s="23">
        <v>78</v>
      </c>
      <c r="L376" s="3" t="str">
        <f>IFERROR(MID(VLOOKUP($B376,Seqs!$A:$B,2,0),M376,1),"")</f>
        <v>T</v>
      </c>
      <c r="M376" s="3">
        <v>79</v>
      </c>
      <c r="N376" s="3" t="str">
        <f>IFERROR(MID(VLOOKUP($B376,Seqs!$A:$B,2,0),O376,1),"")</f>
        <v>E</v>
      </c>
      <c r="O376" s="3">
        <v>110</v>
      </c>
      <c r="P376" s="3" t="str">
        <f>IFERROR(MID(VLOOKUP($B376,Seqs!$A:$B,2,0),Q376,1),"")</f>
        <v>S</v>
      </c>
      <c r="Q376" s="3">
        <v>111</v>
      </c>
      <c r="R376" s="3" t="str">
        <f>IFERROR(MID(VLOOKUP($B376,Seqs!$A:$B,2,0),S376,1),"")</f>
        <v>F</v>
      </c>
      <c r="S376" s="3">
        <v>114</v>
      </c>
      <c r="T376" s="3" t="str">
        <f>IFERROR(MID(VLOOKUP($B376,Seqs!$A:$B,2,0),U376,1),"")</f>
        <v>G</v>
      </c>
      <c r="U376" s="3">
        <v>115</v>
      </c>
      <c r="V376" s="3" t="str">
        <f>IFERROR(MID(VLOOKUP($B376,Seqs!$A:$B,2,0),W376,1),"")</f>
        <v>H</v>
      </c>
      <c r="W376" s="3">
        <v>150</v>
      </c>
      <c r="X376" s="3" t="str">
        <f>IFERROR(MID(VLOOKUP($B376,Seqs!$A:$B,2,0),Y376,1),"")</f>
        <v/>
      </c>
      <c r="Y376" s="3" t="s">
        <v>23</v>
      </c>
      <c r="Z376" s="3" t="str">
        <f>IFERROR(MID(VLOOKUP($B376,Seqs!$A:$B,2,0),AA376,1),"")</f>
        <v/>
      </c>
      <c r="AA376" s="3" t="s">
        <v>23</v>
      </c>
      <c r="AB376" s="3" t="str">
        <f>IFERROR(MID(VLOOKUP($B376,Seqs!$A:$B,2,0),AC376,1),"")</f>
        <v>T</v>
      </c>
      <c r="AC376" s="3">
        <v>157</v>
      </c>
      <c r="AD376" s="3" t="str">
        <f>IFERROR(MID(VLOOKUP($B376,Seqs!$A:$B,2,0),AE376,1),"")</f>
        <v>M</v>
      </c>
      <c r="AE376" s="3">
        <v>183</v>
      </c>
      <c r="AF376" s="3" t="str">
        <f>IFERROR(MID(VLOOKUP($B376,Seqs!$A:$B,2,0),AG376,1),"")</f>
        <v>C</v>
      </c>
      <c r="AG376" s="3">
        <v>202</v>
      </c>
      <c r="AH376" s="3" t="str">
        <f>IFERROR(MID(VLOOKUP($B376,Seqs!$A:$B,2,0),AI376,1),"")</f>
        <v>E</v>
      </c>
      <c r="AI376" s="3">
        <v>204</v>
      </c>
      <c r="AJ376" s="3" t="str">
        <f>IFERROR(MID(VLOOKUP($B376,Seqs!$A:$B,2,0),AK376,1),"")</f>
        <v>L</v>
      </c>
      <c r="AK376" s="3">
        <v>210</v>
      </c>
      <c r="AL376" s="3" t="str">
        <f>IFERROR(MID(VLOOKUP($B376,Seqs!$A:$B,2,0),AM376,1),"")</f>
        <v>W</v>
      </c>
      <c r="AM376" s="3">
        <v>243</v>
      </c>
      <c r="AN376" s="3" t="str">
        <f>IFERROR(MID(VLOOKUP($B376,Seqs!$A:$B,2,0),AO376,1),"")</f>
        <v>E</v>
      </c>
      <c r="AO376" s="3">
        <v>286</v>
      </c>
      <c r="AP376" s="3" t="str">
        <f>IFERROR(MID(VLOOKUP($B376,Seqs!$A:$B,2,0),AQ376,1),"")</f>
        <v>F</v>
      </c>
      <c r="AQ376" s="3">
        <v>324</v>
      </c>
      <c r="AR376" s="3" t="str">
        <f>IFERROR(MID(VLOOKUP($B376,Seqs!$A:$B,2,0),AS376,1),"")</f>
        <v>D</v>
      </c>
      <c r="AS376" s="3">
        <v>332</v>
      </c>
      <c r="AT376" s="3" t="str">
        <f>IFERROR(MID(VLOOKUP($B376,Seqs!$A:$B,2,0),AU376,1),"")</f>
        <v>L</v>
      </c>
      <c r="AU376" s="3">
        <v>361</v>
      </c>
      <c r="AV376" s="3" t="str">
        <f>IFERROR(MID(VLOOKUP($B376,Seqs!$A:$B,2,0),AW376,1),"")</f>
        <v>S</v>
      </c>
      <c r="AW376" s="3">
        <v>362</v>
      </c>
      <c r="AX376" s="3" t="str">
        <f>IFERROR(MID(VLOOKUP($B376,Seqs!$A:$B,2,0),AY376,1),"")</f>
        <v>L</v>
      </c>
      <c r="AY376" s="3">
        <v>377</v>
      </c>
      <c r="AZ376" s="77" t="str">
        <f>VLOOKUP(B376,Classification!A:D,2,0)</f>
        <v>A</v>
      </c>
      <c r="BA376" s="94" t="str">
        <f>VLOOKUP(B376,Classification!A:D,4,0)</f>
        <v>Orexin</v>
      </c>
      <c r="BB376" s="27" t="b">
        <f t="shared" ref="BB376" si="3579">AND(E376&lt;G376,OR(G376&lt;I376,I376="-"),OR(I376&lt;K376,I376="-"),OR(K376&lt;M376,K376="-"),M376&lt;O376,OR(O376&lt;Q376,Q376="-"),OR(Q376&lt;S376,Q376="-"),OR(S376&lt;U376,S376="-"),U376&lt;W376,OR(W376&lt;Y376,Y376="-"),OR(Y376&lt;AA376,Y376="-"),OR(AA376&lt;AC376,AA376="-"),AC376&lt;AE376,OR(AE376&lt;AG376,AG376="-"),OR(AG376&lt;AI376,AG376="-"),OR(AI376&lt;AK376,AI376="-"),AK376&lt;AM376,AM376&lt;AO376,AO376&lt;AQ376,AQ376&lt;AS376,AS376&lt;AU376,OR(AU376&lt;AW376,AW376="-"),OR(AW376&lt;AY376,AW376="-"))</f>
        <v>1</v>
      </c>
      <c r="BC376" s="23">
        <f t="shared" ref="BC376" si="3580">_xlfn.AGGREGATE(9,6,CH376:CS376)-_xlfn.AGGREGATE(9,6,BV376:CG376)+12</f>
        <v>256</v>
      </c>
      <c r="BD376" s="2" t="s">
        <v>23</v>
      </c>
      <c r="BE376" s="3" t="s">
        <v>1368</v>
      </c>
      <c r="BF376" s="118">
        <v>3.04</v>
      </c>
      <c r="BG376" s="49" t="s">
        <v>1</v>
      </c>
      <c r="BH376" s="49" t="s">
        <v>1</v>
      </c>
      <c r="BI376" s="1"/>
      <c r="BJ376" s="70" t="s">
        <v>1281</v>
      </c>
      <c r="BK376" s="57" t="s">
        <v>1281</v>
      </c>
      <c r="BL376" s="57" t="s">
        <v>1281</v>
      </c>
      <c r="BM376" s="57" t="s">
        <v>1281</v>
      </c>
      <c r="BN376" s="57" t="s">
        <v>1281</v>
      </c>
      <c r="BO376" s="57" t="s">
        <v>1281</v>
      </c>
      <c r="BP376" s="57" t="s">
        <v>1281</v>
      </c>
      <c r="BQ376" s="57" t="s">
        <v>1281</v>
      </c>
      <c r="BR376" s="57" t="s">
        <v>1281</v>
      </c>
      <c r="BS376" s="57" t="s">
        <v>1281</v>
      </c>
      <c r="BT376" s="57" t="s">
        <v>1281</v>
      </c>
      <c r="BU376" s="57" t="s">
        <v>1281</v>
      </c>
      <c r="BV376" s="70">
        <f t="shared" ref="BV376" si="3581">E376</f>
        <v>45</v>
      </c>
      <c r="BW376" s="71">
        <f t="shared" ref="BW376" si="3582">I376</f>
        <v>75</v>
      </c>
      <c r="BX376" s="72">
        <f t="shared" ref="BX376" si="3583">M376</f>
        <v>79</v>
      </c>
      <c r="BY376" s="71">
        <f t="shared" ref="BY376" si="3584">Q376</f>
        <v>111</v>
      </c>
      <c r="BZ376" s="72">
        <f t="shared" ref="BZ376" si="3585">U376</f>
        <v>115</v>
      </c>
      <c r="CA376" s="71" t="str">
        <f t="shared" ref="CA376" si="3586">Y376</f>
        <v>-</v>
      </c>
      <c r="CB376" s="72">
        <f t="shared" ref="CB376" si="3587">AC376</f>
        <v>157</v>
      </c>
      <c r="CC376" s="71">
        <f t="shared" ref="CC376" si="3588">AG376</f>
        <v>202</v>
      </c>
      <c r="CD376" s="72">
        <f t="shared" ref="CD376" si="3589">AK376</f>
        <v>210</v>
      </c>
      <c r="CE376" s="71">
        <f t="shared" ref="CE376" si="3590">AO376</f>
        <v>286</v>
      </c>
      <c r="CF376" s="72">
        <f t="shared" ref="CF376" si="3591">AS376</f>
        <v>332</v>
      </c>
      <c r="CG376" s="71">
        <f t="shared" ref="CG376" si="3592">AW376</f>
        <v>362</v>
      </c>
      <c r="CH376" s="70">
        <f t="shared" ref="CH376" si="3593">G376</f>
        <v>74</v>
      </c>
      <c r="CI376" s="71">
        <f t="shared" ref="CI376" si="3594">K376</f>
        <v>78</v>
      </c>
      <c r="CJ376" s="72">
        <f t="shared" ref="CJ376" si="3595">O376</f>
        <v>110</v>
      </c>
      <c r="CK376" s="72">
        <f t="shared" ref="CK376" si="3596">S376</f>
        <v>114</v>
      </c>
      <c r="CL376" s="72">
        <f t="shared" ref="CL376" si="3597">W376</f>
        <v>150</v>
      </c>
      <c r="CM376" s="72" t="str">
        <f t="shared" ref="CM376" si="3598">AA376</f>
        <v>-</v>
      </c>
      <c r="CN376" s="72">
        <f t="shared" ref="CN376" si="3599">AE376</f>
        <v>183</v>
      </c>
      <c r="CO376" s="72">
        <f t="shared" ref="CO376" si="3600">AI376</f>
        <v>204</v>
      </c>
      <c r="CP376" s="72">
        <f t="shared" ref="CP376" si="3601">AM376</f>
        <v>243</v>
      </c>
      <c r="CQ376" s="72">
        <f t="shared" ref="CQ376" si="3602">AQ376</f>
        <v>324</v>
      </c>
      <c r="CR376" s="72">
        <f t="shared" ref="CR376" si="3603">AU376</f>
        <v>361</v>
      </c>
      <c r="CS376" s="72">
        <f t="shared" ref="CS376" si="3604">AY376</f>
        <v>377</v>
      </c>
      <c r="CT376" s="23">
        <f t="shared" ref="CT376" si="3605">M376-K376</f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  <c r="AMP376" s="2"/>
    </row>
    <row r="377" spans="1:1030" x14ac:dyDescent="0.2">
      <c r="A377" s="3" t="str">
        <f t="shared" ref="A377" si="3606">CONCATENATE(B377,"_",C377)</f>
        <v>ox1r_human_6TP4</v>
      </c>
      <c r="B377" s="3" t="s">
        <v>1168</v>
      </c>
      <c r="C377" s="3" t="s">
        <v>1622</v>
      </c>
      <c r="D377" s="3" t="str">
        <f>IFERROR(MID(VLOOKUP($B377,Seqs!$A:$B,2,0),E377,1),"")</f>
        <v>E</v>
      </c>
      <c r="E377" s="3">
        <v>46</v>
      </c>
      <c r="F377" s="3" t="str">
        <f>IFERROR(MID(VLOOKUP($B377,Seqs!$A:$B,2,0),G377,1),"")</f>
        <v>N</v>
      </c>
      <c r="G377" s="3">
        <v>74</v>
      </c>
      <c r="H377" s="3" t="str">
        <f>IFERROR(MID(VLOOKUP($B377,Seqs!$A:$B,2,0),I377,1),"")</f>
        <v>H</v>
      </c>
      <c r="I377" s="23">
        <v>75</v>
      </c>
      <c r="J377" s="3" t="str">
        <f>IFERROR(MID(VLOOKUP($B377,Seqs!$A:$B,2,0),K377,1),"")</f>
        <v>R</v>
      </c>
      <c r="K377" s="23">
        <v>78</v>
      </c>
      <c r="L377" s="3" t="str">
        <f>IFERROR(MID(VLOOKUP($B377,Seqs!$A:$B,2,0),M377,1),"")</f>
        <v>T</v>
      </c>
      <c r="M377" s="3">
        <v>79</v>
      </c>
      <c r="N377" s="3" t="str">
        <f>IFERROR(MID(VLOOKUP($B377,Seqs!$A:$B,2,0),O377,1),"")</f>
        <v>E</v>
      </c>
      <c r="O377" s="3">
        <v>110</v>
      </c>
      <c r="P377" s="3" t="str">
        <f>IFERROR(MID(VLOOKUP($B377,Seqs!$A:$B,2,0),Q377,1),"")</f>
        <v>S</v>
      </c>
      <c r="Q377" s="3">
        <v>111</v>
      </c>
      <c r="R377" s="3" t="str">
        <f>IFERROR(MID(VLOOKUP($B377,Seqs!$A:$B,2,0),S377,1),"")</f>
        <v>F</v>
      </c>
      <c r="S377" s="3">
        <v>114</v>
      </c>
      <c r="T377" s="3" t="str">
        <f>IFERROR(MID(VLOOKUP($B377,Seqs!$A:$B,2,0),U377,1),"")</f>
        <v>G</v>
      </c>
      <c r="U377" s="3">
        <v>115</v>
      </c>
      <c r="V377" s="3" t="str">
        <f>IFERROR(MID(VLOOKUP($B377,Seqs!$A:$B,2,0),W377,1),"")</f>
        <v>H</v>
      </c>
      <c r="W377" s="3">
        <v>150</v>
      </c>
      <c r="X377" s="3" t="str">
        <f>IFERROR(MID(VLOOKUP($B377,Seqs!$A:$B,2,0),Y377,1),"")</f>
        <v>P</v>
      </c>
      <c r="Y377" s="3">
        <v>151</v>
      </c>
      <c r="Z377" s="3" t="str">
        <f>IFERROR(MID(VLOOKUP($B377,Seqs!$A:$B,2,0),AA377,1),"")</f>
        <v>F</v>
      </c>
      <c r="AA377" s="3">
        <v>154</v>
      </c>
      <c r="AB377" s="3" t="str">
        <f>IFERROR(MID(VLOOKUP($B377,Seqs!$A:$B,2,0),AC377,1),"")</f>
        <v>T</v>
      </c>
      <c r="AC377" s="3">
        <v>157</v>
      </c>
      <c r="AD377" s="3" t="str">
        <f>IFERROR(MID(VLOOKUP($B377,Seqs!$A:$B,2,0),AE377,1),"")</f>
        <v>M</v>
      </c>
      <c r="AE377" s="3">
        <v>183</v>
      </c>
      <c r="AF377" s="3" t="str">
        <f>IFERROR(MID(VLOOKUP($B377,Seqs!$A:$B,2,0),AG377,1),"")</f>
        <v>C</v>
      </c>
      <c r="AG377" s="3">
        <v>202</v>
      </c>
      <c r="AH377" s="3" t="str">
        <f>IFERROR(MID(VLOOKUP($B377,Seqs!$A:$B,2,0),AI377,1),"")</f>
        <v>E</v>
      </c>
      <c r="AI377" s="3">
        <v>204</v>
      </c>
      <c r="AJ377" s="3" t="str">
        <f>IFERROR(MID(VLOOKUP($B377,Seqs!$A:$B,2,0),AK377,1),"")</f>
        <v>L</v>
      </c>
      <c r="AK377" s="3">
        <v>210</v>
      </c>
      <c r="AL377" s="3" t="str">
        <f>IFERROR(MID(VLOOKUP($B377,Seqs!$A:$B,2,0),AM377,1),"")</f>
        <v>W</v>
      </c>
      <c r="AM377" s="3">
        <v>243</v>
      </c>
      <c r="AN377" s="3" t="str">
        <f>IFERROR(MID(VLOOKUP($B377,Seqs!$A:$B,2,0),AO377,1),"")</f>
        <v>E</v>
      </c>
      <c r="AO377" s="3">
        <v>286</v>
      </c>
      <c r="AP377" s="3" t="str">
        <f>IFERROR(MID(VLOOKUP($B377,Seqs!$A:$B,2,0),AQ377,1),"")</f>
        <v>F</v>
      </c>
      <c r="AQ377" s="3">
        <v>324</v>
      </c>
      <c r="AR377" s="3" t="str">
        <f>IFERROR(MID(VLOOKUP($B377,Seqs!$A:$B,2,0),AS377,1),"")</f>
        <v>D</v>
      </c>
      <c r="AS377" s="3">
        <v>332</v>
      </c>
      <c r="AT377" s="3" t="str">
        <f>IFERROR(MID(VLOOKUP($B377,Seqs!$A:$B,2,0),AU377,1),"")</f>
        <v>L</v>
      </c>
      <c r="AU377" s="3">
        <v>361</v>
      </c>
      <c r="AV377" s="3" t="str">
        <f>IFERROR(MID(VLOOKUP($B377,Seqs!$A:$B,2,0),AW377,1),"")</f>
        <v>S</v>
      </c>
      <c r="AW377" s="3">
        <v>362</v>
      </c>
      <c r="AX377" s="3" t="str">
        <f>IFERROR(MID(VLOOKUP($B377,Seqs!$A:$B,2,0),AY377,1),"")</f>
        <v>L</v>
      </c>
      <c r="AY377" s="3">
        <v>377</v>
      </c>
      <c r="AZ377" s="77" t="str">
        <f>VLOOKUP(B377,Classification!A:D,2,0)</f>
        <v>A</v>
      </c>
      <c r="BA377" s="94" t="str">
        <f>VLOOKUP(B377,Classification!A:D,4,0)</f>
        <v>Orexin</v>
      </c>
      <c r="BB377" s="27" t="b">
        <f t="shared" ref="BB377" si="3607">AND(E377&lt;G377,OR(G377&lt;I377,I377="-"),OR(I377&lt;K377,I377="-"),OR(K377&lt;M377,K377="-"),M377&lt;O377,OR(O377&lt;Q377,Q377="-"),OR(Q377&lt;S377,Q377="-"),OR(S377&lt;U377,S377="-"),U377&lt;W377,OR(W377&lt;Y377,Y377="-"),OR(Y377&lt;AA377,Y377="-"),OR(AA377&lt;AC377,AA377="-"),AC377&lt;AE377,OR(AE377&lt;AG377,AG377="-"),OR(AG377&lt;AI377,AG377="-"),OR(AI377&lt;AK377,AI377="-"),AK377&lt;AM377,AM377&lt;AO377,AO377&lt;AQ377,AQ377&lt;AS377,AS377&lt;AU377,OR(AU377&lt;AW377,AW377="-"),OR(AW377&lt;AY377,AW377="-"))</f>
        <v>1</v>
      </c>
      <c r="BC377" s="23">
        <f t="shared" ref="BC377" si="3608">_xlfn.AGGREGATE(9,6,CH377:CS377)-_xlfn.AGGREGATE(9,6,BV377:CG377)+12</f>
        <v>258</v>
      </c>
      <c r="BD377" s="2" t="s">
        <v>23</v>
      </c>
      <c r="BE377" s="3" t="s">
        <v>1368</v>
      </c>
      <c r="BF377" s="118">
        <v>3.01</v>
      </c>
      <c r="BG377" s="49" t="s">
        <v>1275</v>
      </c>
      <c r="BH377" s="49" t="s">
        <v>1275</v>
      </c>
      <c r="BI377" s="1"/>
      <c r="BJ377" s="70" t="s">
        <v>1281</v>
      </c>
      <c r="BK377" s="57" t="s">
        <v>1281</v>
      </c>
      <c r="BL377" s="57" t="s">
        <v>1281</v>
      </c>
      <c r="BM377" s="57" t="s">
        <v>1281</v>
      </c>
      <c r="BN377" s="57" t="s">
        <v>1281</v>
      </c>
      <c r="BO377" s="57" t="s">
        <v>1281</v>
      </c>
      <c r="BP377" s="57" t="s">
        <v>1281</v>
      </c>
      <c r="BQ377" s="57" t="s">
        <v>1281</v>
      </c>
      <c r="BR377" s="57" t="s">
        <v>1281</v>
      </c>
      <c r="BS377" s="57" t="s">
        <v>1281</v>
      </c>
      <c r="BT377" s="57" t="s">
        <v>1281</v>
      </c>
      <c r="BU377" s="57" t="s">
        <v>1281</v>
      </c>
      <c r="BV377" s="70">
        <f t="shared" ref="BV377" si="3609">E377</f>
        <v>46</v>
      </c>
      <c r="BW377" s="71">
        <f t="shared" ref="BW377" si="3610">I377</f>
        <v>75</v>
      </c>
      <c r="BX377" s="72">
        <f t="shared" ref="BX377" si="3611">M377</f>
        <v>79</v>
      </c>
      <c r="BY377" s="71">
        <f t="shared" ref="BY377" si="3612">Q377</f>
        <v>111</v>
      </c>
      <c r="BZ377" s="72">
        <f t="shared" ref="BZ377" si="3613">U377</f>
        <v>115</v>
      </c>
      <c r="CA377" s="71">
        <f t="shared" ref="CA377" si="3614">Y377</f>
        <v>151</v>
      </c>
      <c r="CB377" s="72">
        <f t="shared" ref="CB377" si="3615">AC377</f>
        <v>157</v>
      </c>
      <c r="CC377" s="71">
        <f t="shared" ref="CC377" si="3616">AG377</f>
        <v>202</v>
      </c>
      <c r="CD377" s="72">
        <f t="shared" ref="CD377" si="3617">AK377</f>
        <v>210</v>
      </c>
      <c r="CE377" s="71">
        <f t="shared" ref="CE377" si="3618">AO377</f>
        <v>286</v>
      </c>
      <c r="CF377" s="72">
        <f t="shared" ref="CF377" si="3619">AS377</f>
        <v>332</v>
      </c>
      <c r="CG377" s="71">
        <f t="shared" ref="CG377" si="3620">AW377</f>
        <v>362</v>
      </c>
      <c r="CH377" s="70">
        <f t="shared" ref="CH377" si="3621">G377</f>
        <v>74</v>
      </c>
      <c r="CI377" s="71">
        <f t="shared" ref="CI377" si="3622">K377</f>
        <v>78</v>
      </c>
      <c r="CJ377" s="72">
        <f t="shared" ref="CJ377" si="3623">O377</f>
        <v>110</v>
      </c>
      <c r="CK377" s="72">
        <f t="shared" ref="CK377" si="3624">S377</f>
        <v>114</v>
      </c>
      <c r="CL377" s="72">
        <f t="shared" ref="CL377" si="3625">W377</f>
        <v>150</v>
      </c>
      <c r="CM377" s="72">
        <f t="shared" ref="CM377" si="3626">AA377</f>
        <v>154</v>
      </c>
      <c r="CN377" s="72">
        <f t="shared" ref="CN377" si="3627">AE377</f>
        <v>183</v>
      </c>
      <c r="CO377" s="72">
        <f t="shared" ref="CO377" si="3628">AI377</f>
        <v>204</v>
      </c>
      <c r="CP377" s="72">
        <f t="shared" ref="CP377" si="3629">AM377</f>
        <v>243</v>
      </c>
      <c r="CQ377" s="72">
        <f t="shared" ref="CQ377" si="3630">AQ377</f>
        <v>324</v>
      </c>
      <c r="CR377" s="72">
        <f t="shared" ref="CR377" si="3631">AU377</f>
        <v>361</v>
      </c>
      <c r="CS377" s="72">
        <f t="shared" ref="CS377" si="3632">AY377</f>
        <v>377</v>
      </c>
      <c r="CT377" s="23">
        <f t="shared" ref="CT377" si="3633">M377-K377</f>
        <v>1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  <c r="AMP377" s="2"/>
    </row>
    <row r="378" spans="1:1030" x14ac:dyDescent="0.2">
      <c r="A378" s="3" t="str">
        <f t="shared" ref="A378" si="3634">CONCATENATE(B378,"_",C378)</f>
        <v>ox1r_human_6TP6</v>
      </c>
      <c r="B378" s="3" t="s">
        <v>1168</v>
      </c>
      <c r="C378" s="3" t="s">
        <v>1623</v>
      </c>
      <c r="D378" s="3" t="str">
        <f>IFERROR(MID(VLOOKUP($B378,Seqs!$A:$B,2,0),E378,1),"")</f>
        <v>Y</v>
      </c>
      <c r="E378" s="3">
        <v>45</v>
      </c>
      <c r="F378" s="3" t="str">
        <f>IFERROR(MID(VLOOKUP($B378,Seqs!$A:$B,2,0),G378,1),"")</f>
        <v>N</v>
      </c>
      <c r="G378" s="3">
        <v>74</v>
      </c>
      <c r="H378" s="3" t="str">
        <f>IFERROR(MID(VLOOKUP($B378,Seqs!$A:$B,2,0),I378,1),"")</f>
        <v>H</v>
      </c>
      <c r="I378" s="23">
        <v>75</v>
      </c>
      <c r="J378" s="3" t="str">
        <f>IFERROR(MID(VLOOKUP($B378,Seqs!$A:$B,2,0),K378,1),"")</f>
        <v>R</v>
      </c>
      <c r="K378" s="23">
        <v>78</v>
      </c>
      <c r="L378" s="3" t="str">
        <f>IFERROR(MID(VLOOKUP($B378,Seqs!$A:$B,2,0),M378,1),"")</f>
        <v>T</v>
      </c>
      <c r="M378" s="3">
        <v>79</v>
      </c>
      <c r="N378" s="3" t="str">
        <f>IFERROR(MID(VLOOKUP($B378,Seqs!$A:$B,2,0),O378,1),"")</f>
        <v>E</v>
      </c>
      <c r="O378" s="3">
        <v>110</v>
      </c>
      <c r="P378" s="3" t="str">
        <f>IFERROR(MID(VLOOKUP($B378,Seqs!$A:$B,2,0),Q378,1),"")</f>
        <v>S</v>
      </c>
      <c r="Q378" s="3">
        <v>111</v>
      </c>
      <c r="R378" s="3" t="str">
        <f>IFERROR(MID(VLOOKUP($B378,Seqs!$A:$B,2,0),S378,1),"")</f>
        <v>F</v>
      </c>
      <c r="S378" s="3">
        <v>114</v>
      </c>
      <c r="T378" s="3" t="str">
        <f>IFERROR(MID(VLOOKUP($B378,Seqs!$A:$B,2,0),U378,1),"")</f>
        <v>G</v>
      </c>
      <c r="U378" s="3">
        <v>115</v>
      </c>
      <c r="V378" s="3" t="str">
        <f>IFERROR(MID(VLOOKUP($B378,Seqs!$A:$B,2,0),W378,1),"")</f>
        <v>H</v>
      </c>
      <c r="W378" s="3">
        <v>150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T</v>
      </c>
      <c r="AC378" s="3">
        <v>157</v>
      </c>
      <c r="AD378" s="3" t="str">
        <f>IFERROR(MID(VLOOKUP($B378,Seqs!$A:$B,2,0),AE378,1),"")</f>
        <v>M</v>
      </c>
      <c r="AE378" s="3">
        <v>183</v>
      </c>
      <c r="AF378" s="3" t="str">
        <f>IFERROR(MID(VLOOKUP($B378,Seqs!$A:$B,2,0),AG378,1),"")</f>
        <v>C</v>
      </c>
      <c r="AG378" s="3">
        <v>202</v>
      </c>
      <c r="AH378" s="3" t="str">
        <f>IFERROR(MID(VLOOKUP($B378,Seqs!$A:$B,2,0),AI378,1),"")</f>
        <v>E</v>
      </c>
      <c r="AI378" s="3">
        <v>204</v>
      </c>
      <c r="AJ378" s="3" t="str">
        <f>IFERROR(MID(VLOOKUP($B378,Seqs!$A:$B,2,0),AK378,1),"")</f>
        <v>L</v>
      </c>
      <c r="AK378" s="3">
        <v>210</v>
      </c>
      <c r="AL378" s="3" t="str">
        <f>IFERROR(MID(VLOOKUP($B378,Seqs!$A:$B,2,0),AM378,1),"")</f>
        <v>W</v>
      </c>
      <c r="AM378" s="3">
        <v>243</v>
      </c>
      <c r="AN378" s="3" t="str">
        <f>IFERROR(MID(VLOOKUP($B378,Seqs!$A:$B,2,0),AO378,1),"")</f>
        <v>E</v>
      </c>
      <c r="AO378" s="3">
        <v>286</v>
      </c>
      <c r="AP378" s="3" t="str">
        <f>IFERROR(MID(VLOOKUP($B378,Seqs!$A:$B,2,0),AQ378,1),"")</f>
        <v>F</v>
      </c>
      <c r="AQ378" s="3">
        <v>324</v>
      </c>
      <c r="AR378" s="3" t="str">
        <f>IFERROR(MID(VLOOKUP($B378,Seqs!$A:$B,2,0),AS378,1),"")</f>
        <v>D</v>
      </c>
      <c r="AS378" s="3">
        <v>332</v>
      </c>
      <c r="AT378" s="3" t="str">
        <f>IFERROR(MID(VLOOKUP($B378,Seqs!$A:$B,2,0),AU378,1),"")</f>
        <v>L</v>
      </c>
      <c r="AU378" s="3">
        <v>361</v>
      </c>
      <c r="AV378" s="3" t="str">
        <f>IFERROR(MID(VLOOKUP($B378,Seqs!$A:$B,2,0),AW378,1),"")</f>
        <v>S</v>
      </c>
      <c r="AW378" s="3">
        <v>362</v>
      </c>
      <c r="AX378" s="3" t="str">
        <f>IFERROR(MID(VLOOKUP($B378,Seqs!$A:$B,2,0),AY378,1),"")</f>
        <v>L</v>
      </c>
      <c r="AY378" s="3">
        <v>377</v>
      </c>
      <c r="AZ378" s="77" t="str">
        <f>VLOOKUP(B378,Classification!A:D,2,0)</f>
        <v>A</v>
      </c>
      <c r="BA378" s="94" t="str">
        <f>VLOOKUP(B378,Classification!A:D,4,0)</f>
        <v>Orexin</v>
      </c>
      <c r="BB378" s="27" t="b">
        <f t="shared" ref="BB378" si="3635">AND(E378&lt;G378,OR(G378&lt;I378,I378="-"),OR(I378&lt;K378,I378="-"),OR(K378&lt;M378,K378="-"),M378&lt;O378,OR(O378&lt;Q378,Q378="-"),OR(Q378&lt;S378,Q378="-"),OR(S378&lt;U378,S378="-"),U378&lt;W378,OR(W378&lt;Y378,Y378="-"),OR(Y378&lt;AA378,Y378="-"),OR(AA378&lt;AC378,AA378="-"),AC378&lt;AE378,OR(AE378&lt;AG378,AG378="-"),OR(AG378&lt;AI378,AG378="-"),OR(AI378&lt;AK378,AI378="-"),AK378&lt;AM378,AM378&lt;AO378,AO378&lt;AQ378,AQ378&lt;AS378,AS378&lt;AU378,OR(AU378&lt;AW378,AW378="-"),OR(AW378&lt;AY378,AW378="-"))</f>
        <v>1</v>
      </c>
      <c r="BC378" s="23">
        <f t="shared" ref="BC378" si="3636">_xlfn.AGGREGATE(9,6,CH378:CS378)-_xlfn.AGGREGATE(9,6,BV378:CG378)+12</f>
        <v>256</v>
      </c>
      <c r="BD378" s="2" t="s">
        <v>23</v>
      </c>
      <c r="BE378" s="3" t="s">
        <v>1368</v>
      </c>
      <c r="BF378" s="118">
        <v>2.34</v>
      </c>
      <c r="BG378" s="49" t="s">
        <v>1275</v>
      </c>
      <c r="BH378" s="49" t="s">
        <v>1275</v>
      </c>
      <c r="BI378" s="1"/>
      <c r="BJ378" s="70" t="s">
        <v>1281</v>
      </c>
      <c r="BK378" s="57" t="s">
        <v>1281</v>
      </c>
      <c r="BL378" s="57" t="s">
        <v>1281</v>
      </c>
      <c r="BM378" s="57" t="s">
        <v>1281</v>
      </c>
      <c r="BN378" s="57" t="s">
        <v>1281</v>
      </c>
      <c r="BO378" s="57" t="s">
        <v>1281</v>
      </c>
      <c r="BP378" s="57" t="s">
        <v>1281</v>
      </c>
      <c r="BQ378" s="57" t="s">
        <v>1281</v>
      </c>
      <c r="BR378" s="57" t="s">
        <v>1281</v>
      </c>
      <c r="BS378" s="57" t="s">
        <v>1281</v>
      </c>
      <c r="BT378" s="57" t="s">
        <v>1281</v>
      </c>
      <c r="BU378" s="57" t="s">
        <v>1281</v>
      </c>
      <c r="BV378" s="70">
        <f t="shared" ref="BV378" si="3637">E378</f>
        <v>45</v>
      </c>
      <c r="BW378" s="71">
        <f t="shared" ref="BW378" si="3638">I378</f>
        <v>75</v>
      </c>
      <c r="BX378" s="72">
        <f t="shared" ref="BX378" si="3639">M378</f>
        <v>79</v>
      </c>
      <c r="BY378" s="71">
        <f t="shared" ref="BY378" si="3640">Q378</f>
        <v>111</v>
      </c>
      <c r="BZ378" s="72">
        <f t="shared" ref="BZ378" si="3641">U378</f>
        <v>115</v>
      </c>
      <c r="CA378" s="71" t="str">
        <f t="shared" ref="CA378" si="3642">Y378</f>
        <v>-</v>
      </c>
      <c r="CB378" s="72">
        <f t="shared" ref="CB378" si="3643">AC378</f>
        <v>157</v>
      </c>
      <c r="CC378" s="71">
        <f t="shared" ref="CC378" si="3644">AG378</f>
        <v>202</v>
      </c>
      <c r="CD378" s="72">
        <f t="shared" ref="CD378" si="3645">AK378</f>
        <v>210</v>
      </c>
      <c r="CE378" s="71">
        <f t="shared" ref="CE378" si="3646">AO378</f>
        <v>286</v>
      </c>
      <c r="CF378" s="72">
        <f t="shared" ref="CF378" si="3647">AS378</f>
        <v>332</v>
      </c>
      <c r="CG378" s="71">
        <f t="shared" ref="CG378" si="3648">AW378</f>
        <v>362</v>
      </c>
      <c r="CH378" s="70">
        <f t="shared" ref="CH378" si="3649">G378</f>
        <v>74</v>
      </c>
      <c r="CI378" s="71">
        <f t="shared" ref="CI378" si="3650">K378</f>
        <v>78</v>
      </c>
      <c r="CJ378" s="72">
        <f t="shared" ref="CJ378" si="3651">O378</f>
        <v>110</v>
      </c>
      <c r="CK378" s="72">
        <f t="shared" ref="CK378" si="3652">S378</f>
        <v>114</v>
      </c>
      <c r="CL378" s="72">
        <f t="shared" ref="CL378" si="3653">W378</f>
        <v>150</v>
      </c>
      <c r="CM378" s="72" t="str">
        <f t="shared" ref="CM378" si="3654">AA378</f>
        <v>-</v>
      </c>
      <c r="CN378" s="72">
        <f t="shared" ref="CN378" si="3655">AE378</f>
        <v>183</v>
      </c>
      <c r="CO378" s="72">
        <f t="shared" ref="CO378" si="3656">AI378</f>
        <v>204</v>
      </c>
      <c r="CP378" s="72">
        <f t="shared" ref="CP378" si="3657">AM378</f>
        <v>243</v>
      </c>
      <c r="CQ378" s="72">
        <f t="shared" ref="CQ378" si="3658">AQ378</f>
        <v>324</v>
      </c>
      <c r="CR378" s="72">
        <f t="shared" ref="CR378" si="3659">AU378</f>
        <v>361</v>
      </c>
      <c r="CS378" s="72">
        <f t="shared" ref="CS378" si="3660">AY378</f>
        <v>377</v>
      </c>
      <c r="CT378" s="23">
        <f t="shared" ref="CT378" si="3661">M378-K378</f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  <c r="AMP378" s="2"/>
    </row>
    <row r="379" spans="1:1030" x14ac:dyDescent="0.2">
      <c r="A379" s="3" t="str">
        <f t="shared" ref="A379" si="3662">CONCATENATE(B379,"_",C379)</f>
        <v>ox1r_human_6TQ4</v>
      </c>
      <c r="B379" s="3" t="s">
        <v>1168</v>
      </c>
      <c r="C379" s="3" t="s">
        <v>1624</v>
      </c>
      <c r="D379" s="3" t="str">
        <f>IFERROR(MID(VLOOKUP($B379,Seqs!$A:$B,2,0),E379,1),"")</f>
        <v>Y</v>
      </c>
      <c r="E379" s="3">
        <v>45</v>
      </c>
      <c r="F379" s="3" t="str">
        <f>IFERROR(MID(VLOOKUP($B379,Seqs!$A:$B,2,0),G379,1),"")</f>
        <v>N</v>
      </c>
      <c r="G379" s="3">
        <v>74</v>
      </c>
      <c r="H379" s="3" t="str">
        <f>IFERROR(MID(VLOOKUP($B379,Seqs!$A:$B,2,0),I379,1),"")</f>
        <v>H</v>
      </c>
      <c r="I379" s="23">
        <v>75</v>
      </c>
      <c r="J379" s="3" t="str">
        <f>IFERROR(MID(VLOOKUP($B379,Seqs!$A:$B,2,0),K379,1),"")</f>
        <v>R</v>
      </c>
      <c r="K379" s="23">
        <v>78</v>
      </c>
      <c r="L379" s="3" t="str">
        <f>IFERROR(MID(VLOOKUP($B379,Seqs!$A:$B,2,0),M379,1),"")</f>
        <v>T</v>
      </c>
      <c r="M379" s="3">
        <v>79</v>
      </c>
      <c r="N379" s="3" t="str">
        <f>IFERROR(MID(VLOOKUP($B379,Seqs!$A:$B,2,0),O379,1),"")</f>
        <v>E</v>
      </c>
      <c r="O379" s="3">
        <v>110</v>
      </c>
      <c r="P379" s="3" t="str">
        <f>IFERROR(MID(VLOOKUP($B379,Seqs!$A:$B,2,0),Q379,1),"")</f>
        <v>S</v>
      </c>
      <c r="Q379" s="3">
        <v>111</v>
      </c>
      <c r="R379" s="3" t="str">
        <f>IFERROR(MID(VLOOKUP($B379,Seqs!$A:$B,2,0),S379,1),"")</f>
        <v>F</v>
      </c>
      <c r="S379" s="3">
        <v>114</v>
      </c>
      <c r="T379" s="3" t="str">
        <f>IFERROR(MID(VLOOKUP($B379,Seqs!$A:$B,2,0),U379,1),"")</f>
        <v>G</v>
      </c>
      <c r="U379" s="3">
        <v>115</v>
      </c>
      <c r="V379" s="3" t="str">
        <f>IFERROR(MID(VLOOKUP($B379,Seqs!$A:$B,2,0),W379,1),"")</f>
        <v>H</v>
      </c>
      <c r="W379" s="3">
        <v>150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T</v>
      </c>
      <c r="AC379" s="3">
        <v>157</v>
      </c>
      <c r="AD379" s="3" t="str">
        <f>IFERROR(MID(VLOOKUP($B379,Seqs!$A:$B,2,0),AE379,1),"")</f>
        <v>M</v>
      </c>
      <c r="AE379" s="3">
        <v>183</v>
      </c>
      <c r="AF379" s="3" t="str">
        <f>IFERROR(MID(VLOOKUP($B379,Seqs!$A:$B,2,0),AG379,1),"")</f>
        <v>C</v>
      </c>
      <c r="AG379" s="3">
        <v>202</v>
      </c>
      <c r="AH379" s="3" t="str">
        <f>IFERROR(MID(VLOOKUP($B379,Seqs!$A:$B,2,0),AI379,1),"")</f>
        <v>E</v>
      </c>
      <c r="AI379" s="3">
        <v>204</v>
      </c>
      <c r="AJ379" s="3" t="str">
        <f>IFERROR(MID(VLOOKUP($B379,Seqs!$A:$B,2,0),AK379,1),"")</f>
        <v>L</v>
      </c>
      <c r="AK379" s="3">
        <v>210</v>
      </c>
      <c r="AL379" s="3" t="str">
        <f>IFERROR(MID(VLOOKUP($B379,Seqs!$A:$B,2,0),AM379,1),"")</f>
        <v>W</v>
      </c>
      <c r="AM379" s="3">
        <v>243</v>
      </c>
      <c r="AN379" s="3" t="str">
        <f>IFERROR(MID(VLOOKUP($B379,Seqs!$A:$B,2,0),AO379,1),"")</f>
        <v>E</v>
      </c>
      <c r="AO379" s="3">
        <v>286</v>
      </c>
      <c r="AP379" s="3" t="str">
        <f>IFERROR(MID(VLOOKUP($B379,Seqs!$A:$B,2,0),AQ379,1),"")</f>
        <v>F</v>
      </c>
      <c r="AQ379" s="3">
        <v>324</v>
      </c>
      <c r="AR379" s="3" t="str">
        <f>IFERROR(MID(VLOOKUP($B379,Seqs!$A:$B,2,0),AS379,1),"")</f>
        <v>D</v>
      </c>
      <c r="AS379" s="3">
        <v>332</v>
      </c>
      <c r="AT379" s="3" t="str">
        <f>IFERROR(MID(VLOOKUP($B379,Seqs!$A:$B,2,0),AU379,1),"")</f>
        <v>L</v>
      </c>
      <c r="AU379" s="3">
        <v>361</v>
      </c>
      <c r="AV379" s="3" t="str">
        <f>IFERROR(MID(VLOOKUP($B379,Seqs!$A:$B,2,0),AW379,1),"")</f>
        <v>S</v>
      </c>
      <c r="AW379" s="3">
        <v>362</v>
      </c>
      <c r="AX379" s="3" t="str">
        <f>IFERROR(MID(VLOOKUP($B379,Seqs!$A:$B,2,0),AY379,1),"")</f>
        <v>C</v>
      </c>
      <c r="AY379" s="3">
        <v>376</v>
      </c>
      <c r="AZ379" s="77" t="str">
        <f>VLOOKUP(B379,Classification!A:D,2,0)</f>
        <v>A</v>
      </c>
      <c r="BA379" s="94" t="str">
        <f>VLOOKUP(B379,Classification!A:D,4,0)</f>
        <v>Orexin</v>
      </c>
      <c r="BB379" s="27" t="b">
        <f t="shared" ref="BB379" si="3663">AND(E379&lt;G379,OR(G379&lt;I379,I379="-"),OR(I379&lt;K379,I379="-"),OR(K379&lt;M379,K379="-"),M379&lt;O379,OR(O379&lt;Q379,Q379="-"),OR(Q379&lt;S379,Q379="-"),OR(S379&lt;U379,S379="-"),U379&lt;W379,OR(W379&lt;Y379,Y379="-"),OR(Y379&lt;AA379,Y379="-"),OR(AA379&lt;AC379,AA379="-"),AC379&lt;AE379,OR(AE379&lt;AG379,AG379="-"),OR(AG379&lt;AI379,AG379="-"),OR(AI379&lt;AK379,AI379="-"),AK379&lt;AM379,AM379&lt;AO379,AO379&lt;AQ379,AQ379&lt;AS379,AS379&lt;AU379,OR(AU379&lt;AW379,AW379="-"),OR(AW379&lt;AY379,AW379="-"))</f>
        <v>1</v>
      </c>
      <c r="BC379" s="23">
        <f t="shared" ref="BC379" si="3664">_xlfn.AGGREGATE(9,6,CH379:CS379)-_xlfn.AGGREGATE(9,6,BV379:CG379)+12</f>
        <v>255</v>
      </c>
      <c r="BD379" s="2" t="s">
        <v>23</v>
      </c>
      <c r="BE379" s="3" t="s">
        <v>1368</v>
      </c>
      <c r="BF379" s="118">
        <v>2.2999999999999998</v>
      </c>
      <c r="BG379" s="49" t="s">
        <v>1275</v>
      </c>
      <c r="BH379" s="49" t="s">
        <v>1275</v>
      </c>
      <c r="BI379" s="1"/>
      <c r="BJ379" s="70" t="s">
        <v>1281</v>
      </c>
      <c r="BK379" s="57" t="s">
        <v>1281</v>
      </c>
      <c r="BL379" s="57" t="s">
        <v>1281</v>
      </c>
      <c r="BM379" s="57" t="s">
        <v>1281</v>
      </c>
      <c r="BN379" s="57" t="s">
        <v>1281</v>
      </c>
      <c r="BO379" s="57" t="s">
        <v>1281</v>
      </c>
      <c r="BP379" s="57" t="s">
        <v>1281</v>
      </c>
      <c r="BQ379" s="57" t="s">
        <v>1281</v>
      </c>
      <c r="BR379" s="57" t="s">
        <v>1281</v>
      </c>
      <c r="BS379" s="57" t="s">
        <v>1281</v>
      </c>
      <c r="BT379" s="57" t="s">
        <v>1281</v>
      </c>
      <c r="BU379" s="57" t="s">
        <v>1281</v>
      </c>
      <c r="BV379" s="70">
        <f t="shared" ref="BV379" si="3665">E379</f>
        <v>45</v>
      </c>
      <c r="BW379" s="71">
        <f t="shared" ref="BW379" si="3666">I379</f>
        <v>75</v>
      </c>
      <c r="BX379" s="72">
        <f t="shared" ref="BX379" si="3667">M379</f>
        <v>79</v>
      </c>
      <c r="BY379" s="71">
        <f t="shared" ref="BY379" si="3668">Q379</f>
        <v>111</v>
      </c>
      <c r="BZ379" s="72">
        <f t="shared" ref="BZ379" si="3669">U379</f>
        <v>115</v>
      </c>
      <c r="CA379" s="71" t="str">
        <f t="shared" ref="CA379" si="3670">Y379</f>
        <v>-</v>
      </c>
      <c r="CB379" s="72">
        <f t="shared" ref="CB379" si="3671">AC379</f>
        <v>157</v>
      </c>
      <c r="CC379" s="71">
        <f t="shared" ref="CC379" si="3672">AG379</f>
        <v>202</v>
      </c>
      <c r="CD379" s="72">
        <f t="shared" ref="CD379" si="3673">AK379</f>
        <v>210</v>
      </c>
      <c r="CE379" s="71">
        <f t="shared" ref="CE379" si="3674">AO379</f>
        <v>286</v>
      </c>
      <c r="CF379" s="72">
        <f t="shared" ref="CF379" si="3675">AS379</f>
        <v>332</v>
      </c>
      <c r="CG379" s="71">
        <f t="shared" ref="CG379" si="3676">AW379</f>
        <v>362</v>
      </c>
      <c r="CH379" s="70">
        <f t="shared" ref="CH379" si="3677">G379</f>
        <v>74</v>
      </c>
      <c r="CI379" s="71">
        <f t="shared" ref="CI379" si="3678">K379</f>
        <v>78</v>
      </c>
      <c r="CJ379" s="72">
        <f t="shared" ref="CJ379" si="3679">O379</f>
        <v>110</v>
      </c>
      <c r="CK379" s="72">
        <f t="shared" ref="CK379" si="3680">S379</f>
        <v>114</v>
      </c>
      <c r="CL379" s="72">
        <f t="shared" ref="CL379" si="3681">W379</f>
        <v>150</v>
      </c>
      <c r="CM379" s="72" t="str">
        <f t="shared" ref="CM379" si="3682">AA379</f>
        <v>-</v>
      </c>
      <c r="CN379" s="72">
        <f t="shared" ref="CN379" si="3683">AE379</f>
        <v>183</v>
      </c>
      <c r="CO379" s="72">
        <f t="shared" ref="CO379" si="3684">AI379</f>
        <v>204</v>
      </c>
      <c r="CP379" s="72">
        <f t="shared" ref="CP379" si="3685">AM379</f>
        <v>243</v>
      </c>
      <c r="CQ379" s="72">
        <f t="shared" ref="CQ379" si="3686">AQ379</f>
        <v>324</v>
      </c>
      <c r="CR379" s="72">
        <f t="shared" ref="CR379" si="3687">AU379</f>
        <v>361</v>
      </c>
      <c r="CS379" s="72">
        <f t="shared" ref="CS379" si="3688">AY379</f>
        <v>376</v>
      </c>
      <c r="CT379" s="23">
        <f t="shared" ref="CT379" si="3689">M379-K379</f>
        <v>1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  <c r="AMP379" s="2"/>
    </row>
    <row r="380" spans="1:1030" x14ac:dyDescent="0.2">
      <c r="A380" s="3" t="str">
        <f t="shared" ref="A380" si="3690">CONCATENATE(B380,"_",C380)</f>
        <v>ox1r_human_6TQ6</v>
      </c>
      <c r="B380" s="3" t="s">
        <v>1168</v>
      </c>
      <c r="C380" s="3" t="s">
        <v>1625</v>
      </c>
      <c r="D380" s="3" t="str">
        <f>IFERROR(MID(VLOOKUP($B380,Seqs!$A:$B,2,0),E380,1),"")</f>
        <v>Y</v>
      </c>
      <c r="E380" s="3">
        <v>45</v>
      </c>
      <c r="F380" s="3" t="str">
        <f>IFERROR(MID(VLOOKUP($B380,Seqs!$A:$B,2,0),G380,1),"")</f>
        <v>N</v>
      </c>
      <c r="G380" s="3">
        <v>74</v>
      </c>
      <c r="H380" s="3" t="str">
        <f>IFERROR(MID(VLOOKUP($B380,Seqs!$A:$B,2,0),I380,1),"")</f>
        <v>H</v>
      </c>
      <c r="I380" s="23">
        <v>75</v>
      </c>
      <c r="J380" s="3" t="str">
        <f>IFERROR(MID(VLOOKUP($B380,Seqs!$A:$B,2,0),K380,1),"")</f>
        <v>R</v>
      </c>
      <c r="K380" s="23">
        <v>78</v>
      </c>
      <c r="L380" s="3" t="str">
        <f>IFERROR(MID(VLOOKUP($B380,Seqs!$A:$B,2,0),M380,1),"")</f>
        <v>T</v>
      </c>
      <c r="M380" s="3">
        <v>79</v>
      </c>
      <c r="N380" s="3" t="str">
        <f>IFERROR(MID(VLOOKUP($B380,Seqs!$A:$B,2,0),O380,1),"")</f>
        <v>E</v>
      </c>
      <c r="O380" s="3">
        <v>110</v>
      </c>
      <c r="P380" s="3" t="str">
        <f>IFERROR(MID(VLOOKUP($B380,Seqs!$A:$B,2,0),Q380,1),"")</f>
        <v>S</v>
      </c>
      <c r="Q380" s="3">
        <v>111</v>
      </c>
      <c r="R380" s="3" t="str">
        <f>IFERROR(MID(VLOOKUP($B380,Seqs!$A:$B,2,0),S380,1),"")</f>
        <v>F</v>
      </c>
      <c r="S380" s="3">
        <v>114</v>
      </c>
      <c r="T380" s="3" t="str">
        <f>IFERROR(MID(VLOOKUP($B380,Seqs!$A:$B,2,0),U380,1),"")</f>
        <v>G</v>
      </c>
      <c r="U380" s="3">
        <v>115</v>
      </c>
      <c r="V380" s="3" t="str">
        <f>IFERROR(MID(VLOOKUP($B380,Seqs!$A:$B,2,0),W380,1),"")</f>
        <v>H</v>
      </c>
      <c r="W380" s="3">
        <v>150</v>
      </c>
      <c r="X380" s="3" t="str">
        <f>IFERROR(MID(VLOOKUP($B380,Seqs!$A:$B,2,0),Y380,1),"")</f>
        <v/>
      </c>
      <c r="Y380" s="3" t="s">
        <v>23</v>
      </c>
      <c r="Z380" s="3" t="str">
        <f>IFERROR(MID(VLOOKUP($B380,Seqs!$A:$B,2,0),AA380,1),"")</f>
        <v/>
      </c>
      <c r="AA380" s="3" t="s">
        <v>23</v>
      </c>
      <c r="AB380" s="3" t="str">
        <f>IFERROR(MID(VLOOKUP($B380,Seqs!$A:$B,2,0),AC380,1),"")</f>
        <v>T</v>
      </c>
      <c r="AC380" s="3">
        <v>157</v>
      </c>
      <c r="AD380" s="3" t="str">
        <f>IFERROR(MID(VLOOKUP($B380,Seqs!$A:$B,2,0),AE380,1),"")</f>
        <v>M</v>
      </c>
      <c r="AE380" s="3">
        <v>183</v>
      </c>
      <c r="AF380" s="3" t="str">
        <f>IFERROR(MID(VLOOKUP($B380,Seqs!$A:$B,2,0),AG380,1),"")</f>
        <v>C</v>
      </c>
      <c r="AG380" s="3">
        <v>202</v>
      </c>
      <c r="AH380" s="3" t="str">
        <f>IFERROR(MID(VLOOKUP($B380,Seqs!$A:$B,2,0),AI380,1),"")</f>
        <v>E</v>
      </c>
      <c r="AI380" s="3">
        <v>204</v>
      </c>
      <c r="AJ380" s="3" t="str">
        <f>IFERROR(MID(VLOOKUP($B380,Seqs!$A:$B,2,0),AK380,1),"")</f>
        <v>L</v>
      </c>
      <c r="AK380" s="3">
        <v>210</v>
      </c>
      <c r="AL380" s="3" t="str">
        <f>IFERROR(MID(VLOOKUP($B380,Seqs!$A:$B,2,0),AM380,1),"")</f>
        <v>W</v>
      </c>
      <c r="AM380" s="3">
        <v>243</v>
      </c>
      <c r="AN380" s="3" t="str">
        <f>IFERROR(MID(VLOOKUP($B380,Seqs!$A:$B,2,0),AO380,1),"")</f>
        <v>E</v>
      </c>
      <c r="AO380" s="3">
        <v>286</v>
      </c>
      <c r="AP380" s="3" t="str">
        <f>IFERROR(MID(VLOOKUP($B380,Seqs!$A:$B,2,0),AQ380,1),"")</f>
        <v>F</v>
      </c>
      <c r="AQ380" s="3">
        <v>324</v>
      </c>
      <c r="AR380" s="3" t="str">
        <f>IFERROR(MID(VLOOKUP($B380,Seqs!$A:$B,2,0),AS380,1),"")</f>
        <v>D</v>
      </c>
      <c r="AS380" s="3">
        <v>332</v>
      </c>
      <c r="AT380" s="3" t="str">
        <f>IFERROR(MID(VLOOKUP($B380,Seqs!$A:$B,2,0),AU380,1),"")</f>
        <v>L</v>
      </c>
      <c r="AU380" s="3">
        <v>361</v>
      </c>
      <c r="AV380" s="3" t="str">
        <f>IFERROR(MID(VLOOKUP($B380,Seqs!$A:$B,2,0),AW380,1),"")</f>
        <v>S</v>
      </c>
      <c r="AW380" s="3">
        <v>362</v>
      </c>
      <c r="AX380" s="3" t="str">
        <f>IFERROR(MID(VLOOKUP($B380,Seqs!$A:$B,2,0),AY380,1),"")</f>
        <v>L</v>
      </c>
      <c r="AY380" s="3">
        <v>377</v>
      </c>
      <c r="AZ380" s="77" t="str">
        <f>VLOOKUP(B380,Classification!A:D,2,0)</f>
        <v>A</v>
      </c>
      <c r="BA380" s="94" t="str">
        <f>VLOOKUP(B380,Classification!A:D,4,0)</f>
        <v>Orexin</v>
      </c>
      <c r="BB380" s="27" t="b">
        <f t="shared" ref="BB380" si="3691">AND(E380&lt;G380,OR(G380&lt;I380,I380="-"),OR(I380&lt;K380,I380="-"),OR(K380&lt;M380,K380="-"),M380&lt;O380,OR(O380&lt;Q380,Q380="-"),OR(Q380&lt;S380,Q380="-"),OR(S380&lt;U380,S380="-"),U380&lt;W380,OR(W380&lt;Y380,Y380="-"),OR(Y380&lt;AA380,Y380="-"),OR(AA380&lt;AC380,AA380="-"),AC380&lt;AE380,OR(AE380&lt;AG380,AG380="-"),OR(AG380&lt;AI380,AG380="-"),OR(AI380&lt;AK380,AI380="-"),AK380&lt;AM380,AM380&lt;AO380,AO380&lt;AQ380,AQ380&lt;AS380,AS380&lt;AU380,OR(AU380&lt;AW380,AW380="-"),OR(AW380&lt;AY380,AW380="-"))</f>
        <v>1</v>
      </c>
      <c r="BC380" s="23">
        <f t="shared" ref="BC380" si="3692">_xlfn.AGGREGATE(9,6,CH380:CS380)-_xlfn.AGGREGATE(9,6,BV380:CG380)+12</f>
        <v>256</v>
      </c>
      <c r="BD380" s="2" t="s">
        <v>23</v>
      </c>
      <c r="BE380" s="3" t="s">
        <v>1368</v>
      </c>
      <c r="BF380" s="118">
        <v>2.5499999999999998</v>
      </c>
      <c r="BG380" s="49" t="s">
        <v>1275</v>
      </c>
      <c r="BH380" s="49" t="s">
        <v>1275</v>
      </c>
      <c r="BI380" s="1"/>
      <c r="BJ380" s="70" t="s">
        <v>1281</v>
      </c>
      <c r="BK380" s="57" t="s">
        <v>1281</v>
      </c>
      <c r="BL380" s="57" t="s">
        <v>1281</v>
      </c>
      <c r="BM380" s="57" t="s">
        <v>1281</v>
      </c>
      <c r="BN380" s="57" t="s">
        <v>1281</v>
      </c>
      <c r="BO380" s="57" t="s">
        <v>1281</v>
      </c>
      <c r="BP380" s="57" t="s">
        <v>1281</v>
      </c>
      <c r="BQ380" s="57" t="s">
        <v>1281</v>
      </c>
      <c r="BR380" s="57" t="s">
        <v>1281</v>
      </c>
      <c r="BS380" s="57" t="s">
        <v>1281</v>
      </c>
      <c r="BT380" s="57" t="s">
        <v>1281</v>
      </c>
      <c r="BU380" s="57" t="s">
        <v>1281</v>
      </c>
      <c r="BV380" s="70">
        <f t="shared" ref="BV380" si="3693">E380</f>
        <v>45</v>
      </c>
      <c r="BW380" s="71">
        <f t="shared" ref="BW380" si="3694">I380</f>
        <v>75</v>
      </c>
      <c r="BX380" s="72">
        <f t="shared" ref="BX380" si="3695">M380</f>
        <v>79</v>
      </c>
      <c r="BY380" s="71">
        <f t="shared" ref="BY380" si="3696">Q380</f>
        <v>111</v>
      </c>
      <c r="BZ380" s="72">
        <f t="shared" ref="BZ380" si="3697">U380</f>
        <v>115</v>
      </c>
      <c r="CA380" s="71" t="str">
        <f t="shared" ref="CA380" si="3698">Y380</f>
        <v>-</v>
      </c>
      <c r="CB380" s="72">
        <f t="shared" ref="CB380" si="3699">AC380</f>
        <v>157</v>
      </c>
      <c r="CC380" s="71">
        <f t="shared" ref="CC380" si="3700">AG380</f>
        <v>202</v>
      </c>
      <c r="CD380" s="72">
        <f t="shared" ref="CD380" si="3701">AK380</f>
        <v>210</v>
      </c>
      <c r="CE380" s="71">
        <f t="shared" ref="CE380" si="3702">AO380</f>
        <v>286</v>
      </c>
      <c r="CF380" s="72">
        <f t="shared" ref="CF380" si="3703">AS380</f>
        <v>332</v>
      </c>
      <c r="CG380" s="71">
        <f t="shared" ref="CG380" si="3704">AW380</f>
        <v>362</v>
      </c>
      <c r="CH380" s="70">
        <f t="shared" ref="CH380" si="3705">G380</f>
        <v>74</v>
      </c>
      <c r="CI380" s="71">
        <f t="shared" ref="CI380" si="3706">K380</f>
        <v>78</v>
      </c>
      <c r="CJ380" s="72">
        <f t="shared" ref="CJ380" si="3707">O380</f>
        <v>110</v>
      </c>
      <c r="CK380" s="72">
        <f t="shared" ref="CK380" si="3708">S380</f>
        <v>114</v>
      </c>
      <c r="CL380" s="72">
        <f t="shared" ref="CL380" si="3709">W380</f>
        <v>150</v>
      </c>
      <c r="CM380" s="72" t="str">
        <f t="shared" ref="CM380" si="3710">AA380</f>
        <v>-</v>
      </c>
      <c r="CN380" s="72">
        <f t="shared" ref="CN380" si="3711">AE380</f>
        <v>183</v>
      </c>
      <c r="CO380" s="72">
        <f t="shared" ref="CO380" si="3712">AI380</f>
        <v>204</v>
      </c>
      <c r="CP380" s="72">
        <f t="shared" ref="CP380" si="3713">AM380</f>
        <v>243</v>
      </c>
      <c r="CQ380" s="72">
        <f t="shared" ref="CQ380" si="3714">AQ380</f>
        <v>324</v>
      </c>
      <c r="CR380" s="72">
        <f t="shared" ref="CR380" si="3715">AU380</f>
        <v>361</v>
      </c>
      <c r="CS380" s="72">
        <f t="shared" ref="CS380" si="3716">AY380</f>
        <v>377</v>
      </c>
      <c r="CT380" s="23">
        <f t="shared" ref="CT380" si="3717">M380-K380</f>
        <v>1</v>
      </c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  <c r="AMP380" s="2"/>
    </row>
    <row r="381" spans="1:1030" x14ac:dyDescent="0.2">
      <c r="A381" s="3" t="str">
        <f t="shared" ref="A381" si="3718">CONCATENATE(B381,"_",C381)</f>
        <v>ox1r_human_6TQ7</v>
      </c>
      <c r="B381" s="3" t="s">
        <v>1168</v>
      </c>
      <c r="C381" s="3" t="s">
        <v>1626</v>
      </c>
      <c r="D381" s="3" t="str">
        <f>IFERROR(MID(VLOOKUP($B381,Seqs!$A:$B,2,0),E381,1),"")</f>
        <v>Y</v>
      </c>
      <c r="E381" s="3">
        <v>45</v>
      </c>
      <c r="F381" s="3" t="str">
        <f>IFERROR(MID(VLOOKUP($B381,Seqs!$A:$B,2,0),G381,1),"")</f>
        <v>N</v>
      </c>
      <c r="G381" s="3">
        <v>74</v>
      </c>
      <c r="H381" s="3" t="str">
        <f>IFERROR(MID(VLOOKUP($B381,Seqs!$A:$B,2,0),I381,1),"")</f>
        <v>H</v>
      </c>
      <c r="I381" s="23">
        <v>75</v>
      </c>
      <c r="J381" s="3" t="str">
        <f>IFERROR(MID(VLOOKUP($B381,Seqs!$A:$B,2,0),K381,1),"")</f>
        <v>R</v>
      </c>
      <c r="K381" s="23">
        <v>78</v>
      </c>
      <c r="L381" s="3" t="str">
        <f>IFERROR(MID(VLOOKUP($B381,Seqs!$A:$B,2,0),M381,1),"")</f>
        <v>T</v>
      </c>
      <c r="M381" s="3">
        <v>79</v>
      </c>
      <c r="N381" s="3" t="str">
        <f>IFERROR(MID(VLOOKUP($B381,Seqs!$A:$B,2,0),O381,1),"")</f>
        <v>E</v>
      </c>
      <c r="O381" s="3">
        <v>110</v>
      </c>
      <c r="P381" s="3" t="str">
        <f>IFERROR(MID(VLOOKUP($B381,Seqs!$A:$B,2,0),Q381,1),"")</f>
        <v>S</v>
      </c>
      <c r="Q381" s="3">
        <v>111</v>
      </c>
      <c r="R381" s="3" t="str">
        <f>IFERROR(MID(VLOOKUP($B381,Seqs!$A:$B,2,0),S381,1),"")</f>
        <v>F</v>
      </c>
      <c r="S381" s="3">
        <v>114</v>
      </c>
      <c r="T381" s="3" t="str">
        <f>IFERROR(MID(VLOOKUP($B381,Seqs!$A:$B,2,0),U381,1),"")</f>
        <v>G</v>
      </c>
      <c r="U381" s="3">
        <v>115</v>
      </c>
      <c r="V381" s="3" t="str">
        <f>IFERROR(MID(VLOOKUP($B381,Seqs!$A:$B,2,0),W381,1),"")</f>
        <v>H</v>
      </c>
      <c r="W381" s="3">
        <v>150</v>
      </c>
      <c r="X381" s="3" t="str">
        <f>IFERROR(MID(VLOOKUP($B381,Seqs!$A:$B,2,0),Y381,1),"")</f>
        <v>P</v>
      </c>
      <c r="Y381" s="3">
        <v>151</v>
      </c>
      <c r="Z381" s="3" t="str">
        <f>IFERROR(MID(VLOOKUP($B381,Seqs!$A:$B,2,0),AA381,1),"")</f>
        <v>F</v>
      </c>
      <c r="AA381" s="3">
        <v>154</v>
      </c>
      <c r="AB381" s="3" t="str">
        <f>IFERROR(MID(VLOOKUP($B381,Seqs!$A:$B,2,0),AC381,1),"")</f>
        <v>T</v>
      </c>
      <c r="AC381" s="3">
        <v>157</v>
      </c>
      <c r="AD381" s="3" t="str">
        <f>IFERROR(MID(VLOOKUP($B381,Seqs!$A:$B,2,0),AE381,1),"")</f>
        <v>M</v>
      </c>
      <c r="AE381" s="3">
        <v>183</v>
      </c>
      <c r="AF381" s="3" t="str">
        <f>IFERROR(MID(VLOOKUP($B381,Seqs!$A:$B,2,0),AG381,1),"")</f>
        <v>C</v>
      </c>
      <c r="AG381" s="3">
        <v>202</v>
      </c>
      <c r="AH381" s="3" t="str">
        <f>IFERROR(MID(VLOOKUP($B381,Seqs!$A:$B,2,0),AI381,1),"")</f>
        <v>E</v>
      </c>
      <c r="AI381" s="3">
        <v>204</v>
      </c>
      <c r="AJ381" s="3" t="str">
        <f>IFERROR(MID(VLOOKUP($B381,Seqs!$A:$B,2,0),AK381,1),"")</f>
        <v>L</v>
      </c>
      <c r="AK381" s="3">
        <v>210</v>
      </c>
      <c r="AL381" s="3" t="str">
        <f>IFERROR(MID(VLOOKUP($B381,Seqs!$A:$B,2,0),AM381,1),"")</f>
        <v>W</v>
      </c>
      <c r="AM381" s="3">
        <v>243</v>
      </c>
      <c r="AN381" s="3" t="str">
        <f>IFERROR(MID(VLOOKUP($B381,Seqs!$A:$B,2,0),AO381,1),"")</f>
        <v>E</v>
      </c>
      <c r="AO381" s="3">
        <v>286</v>
      </c>
      <c r="AP381" s="3" t="str">
        <f>IFERROR(MID(VLOOKUP($B381,Seqs!$A:$B,2,0),AQ381,1),"")</f>
        <v>F</v>
      </c>
      <c r="AQ381" s="3">
        <v>324</v>
      </c>
      <c r="AR381" s="3" t="str">
        <f>IFERROR(MID(VLOOKUP($B381,Seqs!$A:$B,2,0),AS381,1),"")</f>
        <v>D</v>
      </c>
      <c r="AS381" s="3">
        <v>332</v>
      </c>
      <c r="AT381" s="3" t="str">
        <f>IFERROR(MID(VLOOKUP($B381,Seqs!$A:$B,2,0),AU381,1),"")</f>
        <v>L</v>
      </c>
      <c r="AU381" s="3">
        <v>361</v>
      </c>
      <c r="AV381" s="3" t="str">
        <f>IFERROR(MID(VLOOKUP($B381,Seqs!$A:$B,2,0),AW381,1),"")</f>
        <v>S</v>
      </c>
      <c r="AW381" s="3">
        <v>362</v>
      </c>
      <c r="AX381" s="3" t="str">
        <f>IFERROR(MID(VLOOKUP($B381,Seqs!$A:$B,2,0),AY381,1),"")</f>
        <v>L</v>
      </c>
      <c r="AY381" s="3">
        <v>377</v>
      </c>
      <c r="AZ381" s="77" t="str">
        <f>VLOOKUP(B381,Classification!A:D,2,0)</f>
        <v>A</v>
      </c>
      <c r="BA381" s="94" t="str">
        <f>VLOOKUP(B381,Classification!A:D,4,0)</f>
        <v>Orexin</v>
      </c>
      <c r="BB381" s="27" t="b">
        <f t="shared" ref="BB381" si="3719">AND(E381&lt;G381,OR(G381&lt;I381,I381="-"),OR(I381&lt;K381,I381="-"),OR(K381&lt;M381,K381="-"),M381&lt;O381,OR(O381&lt;Q381,Q381="-"),OR(Q381&lt;S381,Q381="-"),OR(S381&lt;U381,S381="-"),U381&lt;W381,OR(W381&lt;Y381,Y381="-"),OR(Y381&lt;AA381,Y381="-"),OR(AA381&lt;AC381,AA381="-"),AC381&lt;AE381,OR(AE381&lt;AG381,AG381="-"),OR(AG381&lt;AI381,AG381="-"),OR(AI381&lt;AK381,AI381="-"),AK381&lt;AM381,AM381&lt;AO381,AO381&lt;AQ381,AQ381&lt;AS381,AS381&lt;AU381,OR(AU381&lt;AW381,AW381="-"),OR(AW381&lt;AY381,AW381="-"))</f>
        <v>1</v>
      </c>
      <c r="BC381" s="23">
        <f t="shared" ref="BC381" si="3720">_xlfn.AGGREGATE(9,6,CH381:CS381)-_xlfn.AGGREGATE(9,6,BV381:CG381)+12</f>
        <v>259</v>
      </c>
      <c r="BD381" s="2" t="s">
        <v>23</v>
      </c>
      <c r="BE381" s="3" t="s">
        <v>1368</v>
      </c>
      <c r="BF381" s="118">
        <v>2.66</v>
      </c>
      <c r="BG381" s="49" t="s">
        <v>1</v>
      </c>
      <c r="BH381" s="49" t="s">
        <v>1</v>
      </c>
      <c r="BI381" s="1"/>
      <c r="BJ381" s="70" t="s">
        <v>1281</v>
      </c>
      <c r="BK381" s="57" t="s">
        <v>1281</v>
      </c>
      <c r="BL381" s="57" t="s">
        <v>1281</v>
      </c>
      <c r="BM381" s="57" t="s">
        <v>1281</v>
      </c>
      <c r="BN381" s="57" t="s">
        <v>1281</v>
      </c>
      <c r="BO381" s="57" t="s">
        <v>1281</v>
      </c>
      <c r="BP381" s="57" t="s">
        <v>1281</v>
      </c>
      <c r="BQ381" s="57" t="s">
        <v>1281</v>
      </c>
      <c r="BR381" s="57" t="s">
        <v>1281</v>
      </c>
      <c r="BS381" s="57" t="s">
        <v>1281</v>
      </c>
      <c r="BT381" s="57" t="s">
        <v>1281</v>
      </c>
      <c r="BU381" s="57" t="s">
        <v>1281</v>
      </c>
      <c r="BV381" s="70">
        <f t="shared" ref="BV381" si="3721">E381</f>
        <v>45</v>
      </c>
      <c r="BW381" s="71">
        <f t="shared" ref="BW381" si="3722">I381</f>
        <v>75</v>
      </c>
      <c r="BX381" s="72">
        <f t="shared" ref="BX381" si="3723">M381</f>
        <v>79</v>
      </c>
      <c r="BY381" s="71">
        <f t="shared" ref="BY381" si="3724">Q381</f>
        <v>111</v>
      </c>
      <c r="BZ381" s="72">
        <f t="shared" ref="BZ381" si="3725">U381</f>
        <v>115</v>
      </c>
      <c r="CA381" s="71">
        <f t="shared" ref="CA381" si="3726">Y381</f>
        <v>151</v>
      </c>
      <c r="CB381" s="72">
        <f t="shared" ref="CB381" si="3727">AC381</f>
        <v>157</v>
      </c>
      <c r="CC381" s="71">
        <f t="shared" ref="CC381" si="3728">AG381</f>
        <v>202</v>
      </c>
      <c r="CD381" s="72">
        <f t="shared" ref="CD381" si="3729">AK381</f>
        <v>210</v>
      </c>
      <c r="CE381" s="71">
        <f t="shared" ref="CE381" si="3730">AO381</f>
        <v>286</v>
      </c>
      <c r="CF381" s="72">
        <f t="shared" ref="CF381" si="3731">AS381</f>
        <v>332</v>
      </c>
      <c r="CG381" s="71">
        <f t="shared" ref="CG381" si="3732">AW381</f>
        <v>362</v>
      </c>
      <c r="CH381" s="70">
        <f t="shared" ref="CH381" si="3733">G381</f>
        <v>74</v>
      </c>
      <c r="CI381" s="71">
        <f t="shared" ref="CI381" si="3734">K381</f>
        <v>78</v>
      </c>
      <c r="CJ381" s="72">
        <f t="shared" ref="CJ381" si="3735">O381</f>
        <v>110</v>
      </c>
      <c r="CK381" s="72">
        <f t="shared" ref="CK381" si="3736">S381</f>
        <v>114</v>
      </c>
      <c r="CL381" s="72">
        <f t="shared" ref="CL381" si="3737">W381</f>
        <v>150</v>
      </c>
      <c r="CM381" s="72">
        <f t="shared" ref="CM381" si="3738">AA381</f>
        <v>154</v>
      </c>
      <c r="CN381" s="72">
        <f t="shared" ref="CN381" si="3739">AE381</f>
        <v>183</v>
      </c>
      <c r="CO381" s="72">
        <f t="shared" ref="CO381" si="3740">AI381</f>
        <v>204</v>
      </c>
      <c r="CP381" s="72">
        <f t="shared" ref="CP381" si="3741">AM381</f>
        <v>243</v>
      </c>
      <c r="CQ381" s="72">
        <f t="shared" ref="CQ381" si="3742">AQ381</f>
        <v>324</v>
      </c>
      <c r="CR381" s="72">
        <f t="shared" ref="CR381" si="3743">AU381</f>
        <v>361</v>
      </c>
      <c r="CS381" s="72">
        <f t="shared" ref="CS381" si="3744">AY381</f>
        <v>377</v>
      </c>
      <c r="CT381" s="23">
        <f t="shared" ref="CT381" si="3745">M381-K381</f>
        <v>1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  <c r="AMP381" s="2"/>
    </row>
    <row r="382" spans="1:1030" x14ac:dyDescent="0.2">
      <c r="A382" s="3" t="str">
        <f t="shared" ref="A382" si="3746">CONCATENATE(B382,"_",C382)</f>
        <v>ox1r_human_6TQ9</v>
      </c>
      <c r="B382" s="3" t="s">
        <v>1168</v>
      </c>
      <c r="C382" s="3" t="s">
        <v>1627</v>
      </c>
      <c r="D382" s="3" t="str">
        <f>IFERROR(MID(VLOOKUP($B382,Seqs!$A:$B,2,0),E382,1),"")</f>
        <v>Y</v>
      </c>
      <c r="E382" s="3">
        <v>45</v>
      </c>
      <c r="F382" s="3" t="str">
        <f>IFERROR(MID(VLOOKUP($B382,Seqs!$A:$B,2,0),G382,1),"")</f>
        <v>N</v>
      </c>
      <c r="G382" s="3">
        <v>74</v>
      </c>
      <c r="H382" s="3" t="str">
        <f>IFERROR(MID(VLOOKUP($B382,Seqs!$A:$B,2,0),I382,1),"")</f>
        <v>H</v>
      </c>
      <c r="I382" s="23">
        <v>75</v>
      </c>
      <c r="J382" s="3" t="str">
        <f>IFERROR(MID(VLOOKUP($B382,Seqs!$A:$B,2,0),K382,1),"")</f>
        <v>R</v>
      </c>
      <c r="K382" s="23">
        <v>78</v>
      </c>
      <c r="L382" s="3" t="str">
        <f>IFERROR(MID(VLOOKUP($B382,Seqs!$A:$B,2,0),M382,1),"")</f>
        <v>T</v>
      </c>
      <c r="M382" s="3">
        <v>79</v>
      </c>
      <c r="N382" s="3" t="str">
        <f>IFERROR(MID(VLOOKUP($B382,Seqs!$A:$B,2,0),O382,1),"")</f>
        <v>E</v>
      </c>
      <c r="O382" s="3">
        <v>110</v>
      </c>
      <c r="P382" s="3" t="str">
        <f>IFERROR(MID(VLOOKUP($B382,Seqs!$A:$B,2,0),Q382,1),"")</f>
        <v>S</v>
      </c>
      <c r="Q382" s="3">
        <v>111</v>
      </c>
      <c r="R382" s="3" t="str">
        <f>IFERROR(MID(VLOOKUP($B382,Seqs!$A:$B,2,0),S382,1),"")</f>
        <v>F</v>
      </c>
      <c r="S382" s="3">
        <v>114</v>
      </c>
      <c r="T382" s="3" t="str">
        <f>IFERROR(MID(VLOOKUP($B382,Seqs!$A:$B,2,0),U382,1),"")</f>
        <v>G</v>
      </c>
      <c r="U382" s="3">
        <v>115</v>
      </c>
      <c r="V382" s="3" t="str">
        <f>IFERROR(MID(VLOOKUP($B382,Seqs!$A:$B,2,0),W382,1),"")</f>
        <v>H</v>
      </c>
      <c r="W382" s="3">
        <v>150</v>
      </c>
      <c r="X382" s="3" t="str">
        <f>IFERROR(MID(VLOOKUP($B382,Seqs!$A:$B,2,0),Y382,1),"")</f>
        <v/>
      </c>
      <c r="Y382" s="3" t="s">
        <v>23</v>
      </c>
      <c r="Z382" s="3" t="str">
        <f>IFERROR(MID(VLOOKUP($B382,Seqs!$A:$B,2,0),AA382,1),"")</f>
        <v/>
      </c>
      <c r="AA382" s="3" t="s">
        <v>23</v>
      </c>
      <c r="AB382" s="3" t="str">
        <f>IFERROR(MID(VLOOKUP($B382,Seqs!$A:$B,2,0),AC382,1),"")</f>
        <v>T</v>
      </c>
      <c r="AC382" s="3">
        <v>157</v>
      </c>
      <c r="AD382" s="3" t="str">
        <f>IFERROR(MID(VLOOKUP($B382,Seqs!$A:$B,2,0),AE382,1),"")</f>
        <v>M</v>
      </c>
      <c r="AE382" s="3">
        <v>183</v>
      </c>
      <c r="AF382" s="3" t="str">
        <f>IFERROR(MID(VLOOKUP($B382,Seqs!$A:$B,2,0),AG382,1),"")</f>
        <v>C</v>
      </c>
      <c r="AG382" s="3">
        <v>202</v>
      </c>
      <c r="AH382" s="3" t="str">
        <f>IFERROR(MID(VLOOKUP($B382,Seqs!$A:$B,2,0),AI382,1),"")</f>
        <v>E</v>
      </c>
      <c r="AI382" s="3">
        <v>204</v>
      </c>
      <c r="AJ382" s="3" t="str">
        <f>IFERROR(MID(VLOOKUP($B382,Seqs!$A:$B,2,0),AK382,1),"")</f>
        <v>L</v>
      </c>
      <c r="AK382" s="3">
        <v>210</v>
      </c>
      <c r="AL382" s="3" t="str">
        <f>IFERROR(MID(VLOOKUP($B382,Seqs!$A:$B,2,0),AM382,1),"")</f>
        <v>W</v>
      </c>
      <c r="AM382" s="3">
        <v>243</v>
      </c>
      <c r="AN382" s="3" t="str">
        <f>IFERROR(MID(VLOOKUP($B382,Seqs!$A:$B,2,0),AO382,1),"")</f>
        <v>E</v>
      </c>
      <c r="AO382" s="3">
        <v>286</v>
      </c>
      <c r="AP382" s="3" t="str">
        <f>IFERROR(MID(VLOOKUP($B382,Seqs!$A:$B,2,0),AQ382,1),"")</f>
        <v>F</v>
      </c>
      <c r="AQ382" s="3">
        <v>324</v>
      </c>
      <c r="AR382" s="3" t="str">
        <f>IFERROR(MID(VLOOKUP($B382,Seqs!$A:$B,2,0),AS382,1),"")</f>
        <v>D</v>
      </c>
      <c r="AS382" s="3">
        <v>332</v>
      </c>
      <c r="AT382" s="3" t="str">
        <f>IFERROR(MID(VLOOKUP($B382,Seqs!$A:$B,2,0),AU382,1),"")</f>
        <v>L</v>
      </c>
      <c r="AU382" s="3">
        <v>361</v>
      </c>
      <c r="AV382" s="3" t="str">
        <f>IFERROR(MID(VLOOKUP($B382,Seqs!$A:$B,2,0),AW382,1),"")</f>
        <v>S</v>
      </c>
      <c r="AW382" s="3">
        <v>362</v>
      </c>
      <c r="AX382" s="3" t="str">
        <f>IFERROR(MID(VLOOKUP($B382,Seqs!$A:$B,2,0),AY382,1),"")</f>
        <v>L</v>
      </c>
      <c r="AY382" s="3">
        <v>377</v>
      </c>
      <c r="AZ382" s="77" t="str">
        <f>VLOOKUP(B382,Classification!A:D,2,0)</f>
        <v>A</v>
      </c>
      <c r="BA382" s="94" t="str">
        <f>VLOOKUP(B382,Classification!A:D,4,0)</f>
        <v>Orexin</v>
      </c>
      <c r="BB382" s="27" t="b">
        <f t="shared" ref="BB382" si="3747">AND(E382&lt;G382,OR(G382&lt;I382,I382="-"),OR(I382&lt;K382,I382="-"),OR(K382&lt;M382,K382="-"),M382&lt;O382,OR(O382&lt;Q382,Q382="-"),OR(Q382&lt;S382,Q382="-"),OR(S382&lt;U382,S382="-"),U382&lt;W382,OR(W382&lt;Y382,Y382="-"),OR(Y382&lt;AA382,Y382="-"),OR(AA382&lt;AC382,AA382="-"),AC382&lt;AE382,OR(AE382&lt;AG382,AG382="-"),OR(AG382&lt;AI382,AG382="-"),OR(AI382&lt;AK382,AI382="-"),AK382&lt;AM382,AM382&lt;AO382,AO382&lt;AQ382,AQ382&lt;AS382,AS382&lt;AU382,OR(AU382&lt;AW382,AW382="-"),OR(AW382&lt;AY382,AW382="-"))</f>
        <v>1</v>
      </c>
      <c r="BC382" s="23">
        <f t="shared" ref="BC382" si="3748">_xlfn.AGGREGATE(9,6,CH382:CS382)-_xlfn.AGGREGATE(9,6,BV382:CG382)+12</f>
        <v>256</v>
      </c>
      <c r="BD382" s="2" t="s">
        <v>23</v>
      </c>
      <c r="BE382" s="3" t="s">
        <v>1368</v>
      </c>
      <c r="BF382" s="118">
        <v>2.66</v>
      </c>
      <c r="BG382" s="49" t="s">
        <v>1275</v>
      </c>
      <c r="BH382" s="49" t="s">
        <v>1275</v>
      </c>
      <c r="BI382" s="1"/>
      <c r="BJ382" s="70" t="s">
        <v>1281</v>
      </c>
      <c r="BK382" s="57" t="s">
        <v>1281</v>
      </c>
      <c r="BL382" s="57" t="s">
        <v>1281</v>
      </c>
      <c r="BM382" s="57" t="s">
        <v>1281</v>
      </c>
      <c r="BN382" s="57" t="s">
        <v>1281</v>
      </c>
      <c r="BO382" s="57" t="s">
        <v>1281</v>
      </c>
      <c r="BP382" s="57" t="s">
        <v>1281</v>
      </c>
      <c r="BQ382" s="57" t="s">
        <v>1281</v>
      </c>
      <c r="BR382" s="57" t="s">
        <v>1281</v>
      </c>
      <c r="BS382" s="57" t="s">
        <v>1281</v>
      </c>
      <c r="BT382" s="57" t="s">
        <v>1281</v>
      </c>
      <c r="BU382" s="57" t="s">
        <v>1281</v>
      </c>
      <c r="BV382" s="70">
        <f t="shared" ref="BV382" si="3749">E382</f>
        <v>45</v>
      </c>
      <c r="BW382" s="71">
        <f t="shared" ref="BW382" si="3750">I382</f>
        <v>75</v>
      </c>
      <c r="BX382" s="72">
        <f t="shared" ref="BX382" si="3751">M382</f>
        <v>79</v>
      </c>
      <c r="BY382" s="71">
        <f t="shared" ref="BY382" si="3752">Q382</f>
        <v>111</v>
      </c>
      <c r="BZ382" s="72">
        <f t="shared" ref="BZ382" si="3753">U382</f>
        <v>115</v>
      </c>
      <c r="CA382" s="71" t="str">
        <f t="shared" ref="CA382" si="3754">Y382</f>
        <v>-</v>
      </c>
      <c r="CB382" s="72">
        <f t="shared" ref="CB382" si="3755">AC382</f>
        <v>157</v>
      </c>
      <c r="CC382" s="71">
        <f t="shared" ref="CC382" si="3756">AG382</f>
        <v>202</v>
      </c>
      <c r="CD382" s="72">
        <f t="shared" ref="CD382" si="3757">AK382</f>
        <v>210</v>
      </c>
      <c r="CE382" s="71">
        <f t="shared" ref="CE382" si="3758">AO382</f>
        <v>286</v>
      </c>
      <c r="CF382" s="72">
        <f t="shared" ref="CF382" si="3759">AS382</f>
        <v>332</v>
      </c>
      <c r="CG382" s="71">
        <f t="shared" ref="CG382" si="3760">AW382</f>
        <v>362</v>
      </c>
      <c r="CH382" s="70">
        <f t="shared" ref="CH382" si="3761">G382</f>
        <v>74</v>
      </c>
      <c r="CI382" s="71">
        <f t="shared" ref="CI382" si="3762">K382</f>
        <v>78</v>
      </c>
      <c r="CJ382" s="72">
        <f t="shared" ref="CJ382" si="3763">O382</f>
        <v>110</v>
      </c>
      <c r="CK382" s="72">
        <f t="shared" ref="CK382" si="3764">S382</f>
        <v>114</v>
      </c>
      <c r="CL382" s="72">
        <f t="shared" ref="CL382" si="3765">W382</f>
        <v>150</v>
      </c>
      <c r="CM382" s="72" t="str">
        <f t="shared" ref="CM382" si="3766">AA382</f>
        <v>-</v>
      </c>
      <c r="CN382" s="72">
        <f t="shared" ref="CN382" si="3767">AE382</f>
        <v>183</v>
      </c>
      <c r="CO382" s="72">
        <f t="shared" ref="CO382" si="3768">AI382</f>
        <v>204</v>
      </c>
      <c r="CP382" s="72">
        <f t="shared" ref="CP382" si="3769">AM382</f>
        <v>243</v>
      </c>
      <c r="CQ382" s="72">
        <f t="shared" ref="CQ382" si="3770">AQ382</f>
        <v>324</v>
      </c>
      <c r="CR382" s="72">
        <f t="shared" ref="CR382" si="3771">AU382</f>
        <v>361</v>
      </c>
      <c r="CS382" s="72">
        <f t="shared" ref="CS382" si="3772">AY382</f>
        <v>377</v>
      </c>
      <c r="CT382" s="23">
        <f t="shared" ref="CT382" si="3773">M382-K382</f>
        <v>1</v>
      </c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  <c r="AMP382" s="2"/>
    </row>
    <row r="383" spans="1:1030" x14ac:dyDescent="0.2">
      <c r="A383" s="3" t="str">
        <f t="shared" ref="A383" si="3774">CONCATENATE(B383,"_",C383)</f>
        <v>ox1r_human_6TOS</v>
      </c>
      <c r="B383" s="3" t="s">
        <v>1168</v>
      </c>
      <c r="C383" s="3" t="s">
        <v>1629</v>
      </c>
      <c r="D383" s="3" t="str">
        <f>IFERROR(MID(VLOOKUP($B383,Seqs!$A:$B,2,0),E383,1),"")</f>
        <v>Y</v>
      </c>
      <c r="E383" s="3">
        <v>45</v>
      </c>
      <c r="F383" s="3" t="str">
        <f>IFERROR(MID(VLOOKUP($B383,Seqs!$A:$B,2,0),G383,1),"")</f>
        <v>N</v>
      </c>
      <c r="G383" s="3">
        <v>74</v>
      </c>
      <c r="H383" s="3" t="str">
        <f>IFERROR(MID(VLOOKUP($B383,Seqs!$A:$B,2,0),I383,1),"")</f>
        <v>H</v>
      </c>
      <c r="I383" s="23">
        <v>75</v>
      </c>
      <c r="J383" s="3" t="str">
        <f>IFERROR(MID(VLOOKUP($B383,Seqs!$A:$B,2,0),K383,1),"")</f>
        <v>R</v>
      </c>
      <c r="K383" s="23">
        <v>78</v>
      </c>
      <c r="L383" s="3" t="str">
        <f>IFERROR(MID(VLOOKUP($B383,Seqs!$A:$B,2,0),M383,1),"")</f>
        <v>T</v>
      </c>
      <c r="M383" s="3">
        <v>79</v>
      </c>
      <c r="N383" s="3" t="str">
        <f>IFERROR(MID(VLOOKUP($B383,Seqs!$A:$B,2,0),O383,1),"")</f>
        <v>E</v>
      </c>
      <c r="O383" s="3">
        <v>110</v>
      </c>
      <c r="P383" s="3" t="str">
        <f>IFERROR(MID(VLOOKUP($B383,Seqs!$A:$B,2,0),Q383,1),"")</f>
        <v>S</v>
      </c>
      <c r="Q383" s="3">
        <v>111</v>
      </c>
      <c r="R383" s="3" t="str">
        <f>IFERROR(MID(VLOOKUP($B383,Seqs!$A:$B,2,0),S383,1),"")</f>
        <v>F</v>
      </c>
      <c r="S383" s="3">
        <v>114</v>
      </c>
      <c r="T383" s="3" t="str">
        <f>IFERROR(MID(VLOOKUP($B383,Seqs!$A:$B,2,0),U383,1),"")</f>
        <v>G</v>
      </c>
      <c r="U383" s="3">
        <v>115</v>
      </c>
      <c r="V383" s="3" t="str">
        <f>IFERROR(MID(VLOOKUP($B383,Seqs!$A:$B,2,0),W383,1),"")</f>
        <v>H</v>
      </c>
      <c r="W383" s="3">
        <v>150</v>
      </c>
      <c r="X383" s="3" t="str">
        <f>IFERROR(MID(VLOOKUP($B383,Seqs!$A:$B,2,0),Y383,1),"")</f>
        <v/>
      </c>
      <c r="Y383" s="3" t="s">
        <v>23</v>
      </c>
      <c r="Z383" s="3" t="str">
        <f>IFERROR(MID(VLOOKUP($B383,Seqs!$A:$B,2,0),AA383,1),"")</f>
        <v/>
      </c>
      <c r="AA383" s="3" t="s">
        <v>23</v>
      </c>
      <c r="AB383" s="3" t="str">
        <f>IFERROR(MID(VLOOKUP($B383,Seqs!$A:$B,2,0),AC383,1),"")</f>
        <v>T</v>
      </c>
      <c r="AC383" s="3">
        <v>157</v>
      </c>
      <c r="AD383" s="3" t="str">
        <f>IFERROR(MID(VLOOKUP($B383,Seqs!$A:$B,2,0),AE383,1),"")</f>
        <v>M</v>
      </c>
      <c r="AE383" s="3">
        <v>183</v>
      </c>
      <c r="AF383" s="3" t="str">
        <f>IFERROR(MID(VLOOKUP($B383,Seqs!$A:$B,2,0),AG383,1),"")</f>
        <v>C</v>
      </c>
      <c r="AG383" s="3">
        <v>202</v>
      </c>
      <c r="AH383" s="3" t="str">
        <f>IFERROR(MID(VLOOKUP($B383,Seqs!$A:$B,2,0),AI383,1),"")</f>
        <v>E</v>
      </c>
      <c r="AI383" s="3">
        <v>204</v>
      </c>
      <c r="AJ383" s="3" t="str">
        <f>IFERROR(MID(VLOOKUP($B383,Seqs!$A:$B,2,0),AK383,1),"")</f>
        <v>L</v>
      </c>
      <c r="AK383" s="3">
        <v>210</v>
      </c>
      <c r="AL383" s="3" t="str">
        <f>IFERROR(MID(VLOOKUP($B383,Seqs!$A:$B,2,0),AM383,1),"")</f>
        <v>W</v>
      </c>
      <c r="AM383" s="3">
        <v>243</v>
      </c>
      <c r="AN383" s="3" t="str">
        <f>IFERROR(MID(VLOOKUP($B383,Seqs!$A:$B,2,0),AO383,1),"")</f>
        <v>E</v>
      </c>
      <c r="AO383" s="3">
        <v>286</v>
      </c>
      <c r="AP383" s="3" t="str">
        <f>IFERROR(MID(VLOOKUP($B383,Seqs!$A:$B,2,0),AQ383,1),"")</f>
        <v>G</v>
      </c>
      <c r="AQ383" s="3">
        <v>325</v>
      </c>
      <c r="AR383" s="3" t="str">
        <f>IFERROR(MID(VLOOKUP($B383,Seqs!$A:$B,2,0),AS383,1),"")</f>
        <v>D</v>
      </c>
      <c r="AS383" s="3">
        <v>332</v>
      </c>
      <c r="AT383" s="3" t="str">
        <f>IFERROR(MID(VLOOKUP($B383,Seqs!$A:$B,2,0),AU383,1),"")</f>
        <v>L</v>
      </c>
      <c r="AU383" s="3">
        <v>361</v>
      </c>
      <c r="AV383" s="3" t="str">
        <f>IFERROR(MID(VLOOKUP($B383,Seqs!$A:$B,2,0),AW383,1),"")</f>
        <v>S</v>
      </c>
      <c r="AW383" s="3">
        <v>362</v>
      </c>
      <c r="AX383" s="3" t="str">
        <f>IFERROR(MID(VLOOKUP($B383,Seqs!$A:$B,2,0),AY383,1),"")</f>
        <v>L</v>
      </c>
      <c r="AY383" s="3">
        <v>377</v>
      </c>
      <c r="AZ383" s="77" t="str">
        <f>VLOOKUP(B383,Classification!A:D,2,0)</f>
        <v>A</v>
      </c>
      <c r="BA383" s="94" t="str">
        <f>VLOOKUP(B383,Classification!A:D,4,0)</f>
        <v>Orexin</v>
      </c>
      <c r="BB383" s="27" t="b">
        <f t="shared" ref="BB383" si="3775">AND(E383&lt;G383,OR(G383&lt;I383,I383="-"),OR(I383&lt;K383,I383="-"),OR(K383&lt;M383,K383="-"),M383&lt;O383,OR(O383&lt;Q383,Q383="-"),OR(Q383&lt;S383,Q383="-"),OR(S383&lt;U383,S383="-"),U383&lt;W383,OR(W383&lt;Y383,Y383="-"),OR(Y383&lt;AA383,Y383="-"),OR(AA383&lt;AC383,AA383="-"),AC383&lt;AE383,OR(AE383&lt;AG383,AG383="-"),OR(AG383&lt;AI383,AG383="-"),OR(AI383&lt;AK383,AI383="-"),AK383&lt;AM383,AM383&lt;AO383,AO383&lt;AQ383,AQ383&lt;AS383,AS383&lt;AU383,OR(AU383&lt;AW383,AW383="-"),OR(AW383&lt;AY383,AW383="-"))</f>
        <v>1</v>
      </c>
      <c r="BC383" s="23">
        <f t="shared" ref="BC383" si="3776">_xlfn.AGGREGATE(9,6,CH383:CS383)-_xlfn.AGGREGATE(9,6,BV383:CG383)+12</f>
        <v>257</v>
      </c>
      <c r="BD383" s="2" t="s">
        <v>23</v>
      </c>
      <c r="BE383" s="3" t="s">
        <v>1368</v>
      </c>
      <c r="BF383" s="118">
        <v>2.13</v>
      </c>
      <c r="BG383" s="49" t="s">
        <v>1275</v>
      </c>
      <c r="BH383" s="49" t="s">
        <v>1275</v>
      </c>
      <c r="BI383" s="1"/>
      <c r="BJ383" s="70" t="s">
        <v>1281</v>
      </c>
      <c r="BK383" s="57" t="s">
        <v>1281</v>
      </c>
      <c r="BL383" s="57" t="s">
        <v>1281</v>
      </c>
      <c r="BM383" s="57" t="s">
        <v>1281</v>
      </c>
      <c r="BN383" s="57" t="s">
        <v>1281</v>
      </c>
      <c r="BO383" s="57" t="s">
        <v>1281</v>
      </c>
      <c r="BP383" s="57" t="s">
        <v>1281</v>
      </c>
      <c r="BQ383" s="57" t="s">
        <v>1281</v>
      </c>
      <c r="BR383" s="57" t="s">
        <v>1281</v>
      </c>
      <c r="BS383" s="57" t="s">
        <v>1281</v>
      </c>
      <c r="BT383" s="57" t="s">
        <v>1281</v>
      </c>
      <c r="BU383" s="57" t="s">
        <v>1281</v>
      </c>
      <c r="BV383" s="70">
        <f t="shared" ref="BV383" si="3777">E383</f>
        <v>45</v>
      </c>
      <c r="BW383" s="71">
        <f t="shared" ref="BW383" si="3778">I383</f>
        <v>75</v>
      </c>
      <c r="BX383" s="72">
        <f t="shared" ref="BX383" si="3779">M383</f>
        <v>79</v>
      </c>
      <c r="BY383" s="71">
        <f t="shared" ref="BY383" si="3780">Q383</f>
        <v>111</v>
      </c>
      <c r="BZ383" s="72">
        <f t="shared" ref="BZ383" si="3781">U383</f>
        <v>115</v>
      </c>
      <c r="CA383" s="71" t="str">
        <f t="shared" ref="CA383" si="3782">Y383</f>
        <v>-</v>
      </c>
      <c r="CB383" s="72">
        <f t="shared" ref="CB383" si="3783">AC383</f>
        <v>157</v>
      </c>
      <c r="CC383" s="71">
        <f t="shared" ref="CC383" si="3784">AG383</f>
        <v>202</v>
      </c>
      <c r="CD383" s="72">
        <f t="shared" ref="CD383" si="3785">AK383</f>
        <v>210</v>
      </c>
      <c r="CE383" s="71">
        <f t="shared" ref="CE383" si="3786">AO383</f>
        <v>286</v>
      </c>
      <c r="CF383" s="72">
        <f t="shared" ref="CF383" si="3787">AS383</f>
        <v>332</v>
      </c>
      <c r="CG383" s="71">
        <f t="shared" ref="CG383" si="3788">AW383</f>
        <v>362</v>
      </c>
      <c r="CH383" s="70">
        <f t="shared" ref="CH383" si="3789">G383</f>
        <v>74</v>
      </c>
      <c r="CI383" s="71">
        <f t="shared" ref="CI383" si="3790">K383</f>
        <v>78</v>
      </c>
      <c r="CJ383" s="72">
        <f t="shared" ref="CJ383" si="3791">O383</f>
        <v>110</v>
      </c>
      <c r="CK383" s="72">
        <f t="shared" ref="CK383" si="3792">S383</f>
        <v>114</v>
      </c>
      <c r="CL383" s="72">
        <f t="shared" ref="CL383" si="3793">W383</f>
        <v>150</v>
      </c>
      <c r="CM383" s="72" t="str">
        <f t="shared" ref="CM383" si="3794">AA383</f>
        <v>-</v>
      </c>
      <c r="CN383" s="72">
        <f t="shared" ref="CN383" si="3795">AE383</f>
        <v>183</v>
      </c>
      <c r="CO383" s="72">
        <f t="shared" ref="CO383" si="3796">AI383</f>
        <v>204</v>
      </c>
      <c r="CP383" s="72">
        <f t="shared" ref="CP383" si="3797">AM383</f>
        <v>243</v>
      </c>
      <c r="CQ383" s="72">
        <f t="shared" ref="CQ383" si="3798">AQ383</f>
        <v>325</v>
      </c>
      <c r="CR383" s="72">
        <f t="shared" ref="CR383" si="3799">AU383</f>
        <v>361</v>
      </c>
      <c r="CS383" s="72">
        <f t="shared" ref="CS383" si="3800">AY383</f>
        <v>377</v>
      </c>
      <c r="CT383" s="23">
        <f t="shared" ref="CT383" si="3801">M383-K383</f>
        <v>1</v>
      </c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  <c r="AMP383" s="2"/>
    </row>
    <row r="384" spans="1:1030" x14ac:dyDescent="0.2">
      <c r="A384" s="3" t="str">
        <f t="shared" ref="A384" si="3802">CONCATENATE(B384,"_",C384)</f>
        <v>ox1r_human_6TOT</v>
      </c>
      <c r="B384" s="3" t="s">
        <v>1168</v>
      </c>
      <c r="C384" s="3" t="s">
        <v>1630</v>
      </c>
      <c r="D384" s="3" t="str">
        <f>IFERROR(MID(VLOOKUP($B384,Seqs!$A:$B,2,0),E384,1),"")</f>
        <v>Y</v>
      </c>
      <c r="E384" s="3">
        <v>45</v>
      </c>
      <c r="F384" s="3" t="str">
        <f>IFERROR(MID(VLOOKUP($B384,Seqs!$A:$B,2,0),G384,1),"")</f>
        <v>N</v>
      </c>
      <c r="G384" s="3">
        <v>74</v>
      </c>
      <c r="H384" s="3" t="str">
        <f>IFERROR(MID(VLOOKUP($B384,Seqs!$A:$B,2,0),I384,1),"")</f>
        <v>H</v>
      </c>
      <c r="I384" s="23">
        <v>75</v>
      </c>
      <c r="J384" s="3" t="str">
        <f>IFERROR(MID(VLOOKUP($B384,Seqs!$A:$B,2,0),K384,1),"")</f>
        <v>R</v>
      </c>
      <c r="K384" s="23">
        <v>78</v>
      </c>
      <c r="L384" s="3" t="str">
        <f>IFERROR(MID(VLOOKUP($B384,Seqs!$A:$B,2,0),M384,1),"")</f>
        <v>T</v>
      </c>
      <c r="M384" s="3">
        <v>79</v>
      </c>
      <c r="N384" s="3" t="str">
        <f>IFERROR(MID(VLOOKUP($B384,Seqs!$A:$B,2,0),O384,1),"")</f>
        <v>E</v>
      </c>
      <c r="O384" s="3">
        <v>110</v>
      </c>
      <c r="P384" s="3" t="str">
        <f>IFERROR(MID(VLOOKUP($B384,Seqs!$A:$B,2,0),Q384,1),"")</f>
        <v>S</v>
      </c>
      <c r="Q384" s="3">
        <v>111</v>
      </c>
      <c r="R384" s="3" t="str">
        <f>IFERROR(MID(VLOOKUP($B384,Seqs!$A:$B,2,0),S384,1),"")</f>
        <v>F</v>
      </c>
      <c r="S384" s="3">
        <v>114</v>
      </c>
      <c r="T384" s="3" t="str">
        <f>IFERROR(MID(VLOOKUP($B384,Seqs!$A:$B,2,0),U384,1),"")</f>
        <v>G</v>
      </c>
      <c r="U384" s="3">
        <v>115</v>
      </c>
      <c r="V384" s="3" t="str">
        <f>IFERROR(MID(VLOOKUP($B384,Seqs!$A:$B,2,0),W384,1),"")</f>
        <v>C</v>
      </c>
      <c r="W384" s="3">
        <v>149</v>
      </c>
      <c r="X384" s="3" t="str">
        <f>IFERROR(MID(VLOOKUP($B384,Seqs!$A:$B,2,0),Y384,1),"")</f>
        <v/>
      </c>
      <c r="Y384" s="3" t="s">
        <v>23</v>
      </c>
      <c r="Z384" s="3" t="str">
        <f>IFERROR(MID(VLOOKUP($B384,Seqs!$A:$B,2,0),AA384,1),"")</f>
        <v/>
      </c>
      <c r="AA384" s="3" t="s">
        <v>23</v>
      </c>
      <c r="AB384" s="3" t="str">
        <f>IFERROR(MID(VLOOKUP($B384,Seqs!$A:$B,2,0),AC384,1),"")</f>
        <v>T</v>
      </c>
      <c r="AC384" s="3">
        <v>157</v>
      </c>
      <c r="AD384" s="3" t="str">
        <f>IFERROR(MID(VLOOKUP($B384,Seqs!$A:$B,2,0),AE384,1),"")</f>
        <v>M</v>
      </c>
      <c r="AE384" s="3">
        <v>183</v>
      </c>
      <c r="AF384" s="3" t="str">
        <f>IFERROR(MID(VLOOKUP($B384,Seqs!$A:$B,2,0),AG384,1),"")</f>
        <v>C</v>
      </c>
      <c r="AG384" s="3">
        <v>202</v>
      </c>
      <c r="AH384" s="3" t="str">
        <f>IFERROR(MID(VLOOKUP($B384,Seqs!$A:$B,2,0),AI384,1),"")</f>
        <v>E</v>
      </c>
      <c r="AI384" s="3">
        <v>204</v>
      </c>
      <c r="AJ384" s="3" t="str">
        <f>IFERROR(MID(VLOOKUP($B384,Seqs!$A:$B,2,0),AK384,1),"")</f>
        <v>L</v>
      </c>
      <c r="AK384" s="3">
        <v>210</v>
      </c>
      <c r="AL384" s="3" t="str">
        <f>IFERROR(MID(VLOOKUP($B384,Seqs!$A:$B,2,0),AM384,1),"")</f>
        <v>W</v>
      </c>
      <c r="AM384" s="3">
        <v>243</v>
      </c>
      <c r="AN384" s="3" t="str">
        <f>IFERROR(MID(VLOOKUP($B384,Seqs!$A:$B,2,0),AO384,1),"")</f>
        <v>E</v>
      </c>
      <c r="AO384" s="3">
        <v>286</v>
      </c>
      <c r="AP384" s="3" t="str">
        <f>IFERROR(MID(VLOOKUP($B384,Seqs!$A:$B,2,0),AQ384,1),"")</f>
        <v>V</v>
      </c>
      <c r="AQ384" s="3">
        <v>323</v>
      </c>
      <c r="AR384" s="3" t="str">
        <f>IFERROR(MID(VLOOKUP($B384,Seqs!$A:$B,2,0),AS384,1),"")</f>
        <v>D</v>
      </c>
      <c r="AS384" s="3">
        <v>332</v>
      </c>
      <c r="AT384" s="3" t="str">
        <f>IFERROR(MID(VLOOKUP($B384,Seqs!$A:$B,2,0),AU384,1),"")</f>
        <v>L</v>
      </c>
      <c r="AU384" s="3">
        <v>361</v>
      </c>
      <c r="AV384" s="3" t="str">
        <f>IFERROR(MID(VLOOKUP($B384,Seqs!$A:$B,2,0),AW384,1),"")</f>
        <v>S</v>
      </c>
      <c r="AW384" s="3">
        <v>362</v>
      </c>
      <c r="AX384" s="3" t="str">
        <f>IFERROR(MID(VLOOKUP($B384,Seqs!$A:$B,2,0),AY384,1),"")</f>
        <v>L</v>
      </c>
      <c r="AY384" s="3">
        <v>377</v>
      </c>
      <c r="AZ384" s="77" t="str">
        <f>VLOOKUP(B384,Classification!A:D,2,0)</f>
        <v>A</v>
      </c>
      <c r="BA384" s="94" t="str">
        <f>VLOOKUP(B384,Classification!A:D,4,0)</f>
        <v>Orexin</v>
      </c>
      <c r="BB384" s="27" t="b">
        <f t="shared" ref="BB384" si="3803">AND(E384&lt;G384,OR(G384&lt;I384,I384="-"),OR(I384&lt;K384,I384="-"),OR(K384&lt;M384,K384="-"),M384&lt;O384,OR(O384&lt;Q384,Q384="-"),OR(Q384&lt;S384,Q384="-"),OR(S384&lt;U384,S384="-"),U384&lt;W384,OR(W384&lt;Y384,Y384="-"),OR(Y384&lt;AA384,Y384="-"),OR(AA384&lt;AC384,AA384="-"),AC384&lt;AE384,OR(AE384&lt;AG384,AG384="-"),OR(AG384&lt;AI384,AG384="-"),OR(AI384&lt;AK384,AI384="-"),AK384&lt;AM384,AM384&lt;AO384,AO384&lt;AQ384,AQ384&lt;AS384,AS384&lt;AU384,OR(AU384&lt;AW384,AW384="-"),OR(AW384&lt;AY384,AW384="-"))</f>
        <v>1</v>
      </c>
      <c r="BC384" s="23">
        <f t="shared" ref="BC384" si="3804">_xlfn.AGGREGATE(9,6,CH384:CS384)-_xlfn.AGGREGATE(9,6,BV384:CG384)+12</f>
        <v>254</v>
      </c>
      <c r="BD384" s="2" t="s">
        <v>23</v>
      </c>
      <c r="BE384" s="3" t="s">
        <v>1368</v>
      </c>
      <c r="BF384" s="118">
        <v>2.2200000000000002</v>
      </c>
      <c r="BG384" s="49" t="s">
        <v>1275</v>
      </c>
      <c r="BH384" s="49" t="s">
        <v>1275</v>
      </c>
      <c r="BI384" s="1"/>
      <c r="BJ384" s="70" t="s">
        <v>1281</v>
      </c>
      <c r="BK384" s="57" t="s">
        <v>1281</v>
      </c>
      <c r="BL384" s="57" t="s">
        <v>1281</v>
      </c>
      <c r="BM384" s="57" t="s">
        <v>1281</v>
      </c>
      <c r="BN384" s="57" t="s">
        <v>1281</v>
      </c>
      <c r="BO384" s="57" t="s">
        <v>1281</v>
      </c>
      <c r="BP384" s="57" t="s">
        <v>1281</v>
      </c>
      <c r="BQ384" s="57" t="s">
        <v>1281</v>
      </c>
      <c r="BR384" s="57" t="s">
        <v>1281</v>
      </c>
      <c r="BS384" s="57" t="s">
        <v>1281</v>
      </c>
      <c r="BT384" s="57" t="s">
        <v>1281</v>
      </c>
      <c r="BU384" s="57" t="s">
        <v>1281</v>
      </c>
      <c r="BV384" s="70">
        <f t="shared" ref="BV384" si="3805">E384</f>
        <v>45</v>
      </c>
      <c r="BW384" s="71">
        <f t="shared" ref="BW384" si="3806">I384</f>
        <v>75</v>
      </c>
      <c r="BX384" s="72">
        <f t="shared" ref="BX384" si="3807">M384</f>
        <v>79</v>
      </c>
      <c r="BY384" s="71">
        <f t="shared" ref="BY384" si="3808">Q384</f>
        <v>111</v>
      </c>
      <c r="BZ384" s="72">
        <f t="shared" ref="BZ384" si="3809">U384</f>
        <v>115</v>
      </c>
      <c r="CA384" s="71" t="str">
        <f t="shared" ref="CA384" si="3810">Y384</f>
        <v>-</v>
      </c>
      <c r="CB384" s="72">
        <f t="shared" ref="CB384" si="3811">AC384</f>
        <v>157</v>
      </c>
      <c r="CC384" s="71">
        <f t="shared" ref="CC384" si="3812">AG384</f>
        <v>202</v>
      </c>
      <c r="CD384" s="72">
        <f t="shared" ref="CD384" si="3813">AK384</f>
        <v>210</v>
      </c>
      <c r="CE384" s="71">
        <f t="shared" ref="CE384" si="3814">AO384</f>
        <v>286</v>
      </c>
      <c r="CF384" s="72">
        <f t="shared" ref="CF384" si="3815">AS384</f>
        <v>332</v>
      </c>
      <c r="CG384" s="71">
        <f t="shared" ref="CG384" si="3816">AW384</f>
        <v>362</v>
      </c>
      <c r="CH384" s="70">
        <f t="shared" ref="CH384" si="3817">G384</f>
        <v>74</v>
      </c>
      <c r="CI384" s="71">
        <f t="shared" ref="CI384" si="3818">K384</f>
        <v>78</v>
      </c>
      <c r="CJ384" s="72">
        <f t="shared" ref="CJ384" si="3819">O384</f>
        <v>110</v>
      </c>
      <c r="CK384" s="72">
        <f t="shared" ref="CK384" si="3820">S384</f>
        <v>114</v>
      </c>
      <c r="CL384" s="72">
        <f t="shared" ref="CL384" si="3821">W384</f>
        <v>149</v>
      </c>
      <c r="CM384" s="72" t="str">
        <f t="shared" ref="CM384" si="3822">AA384</f>
        <v>-</v>
      </c>
      <c r="CN384" s="72">
        <f t="shared" ref="CN384" si="3823">AE384</f>
        <v>183</v>
      </c>
      <c r="CO384" s="72">
        <f t="shared" ref="CO384" si="3824">AI384</f>
        <v>204</v>
      </c>
      <c r="CP384" s="72">
        <f t="shared" ref="CP384" si="3825">AM384</f>
        <v>243</v>
      </c>
      <c r="CQ384" s="72">
        <f t="shared" ref="CQ384" si="3826">AQ384</f>
        <v>323</v>
      </c>
      <c r="CR384" s="72">
        <f t="shared" ref="CR384" si="3827">AU384</f>
        <v>361</v>
      </c>
      <c r="CS384" s="72">
        <f t="shared" ref="CS384" si="3828">AY384</f>
        <v>377</v>
      </c>
      <c r="CT384" s="23">
        <f t="shared" ref="CT384" si="3829">M384-K384</f>
        <v>1</v>
      </c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  <c r="AMP384" s="2"/>
    </row>
    <row r="385" spans="1:1030" s="12" customFormat="1" x14ac:dyDescent="0.2">
      <c r="A385" s="9" t="str">
        <f t="shared" ref="A385" si="3830">CONCATENATE(B385,"_",C385)</f>
        <v>ox1r_human_6V9S</v>
      </c>
      <c r="B385" s="9" t="s">
        <v>1168</v>
      </c>
      <c r="C385" s="9" t="s">
        <v>1682</v>
      </c>
      <c r="D385" s="9" t="str">
        <f>IFERROR(MID(VLOOKUP($B385,Seqs!$A:$B,2,0),E385,1),"")</f>
        <v>Y</v>
      </c>
      <c r="E385" s="9">
        <v>45</v>
      </c>
      <c r="F385" s="9" t="str">
        <f>IFERROR(MID(VLOOKUP($B385,Seqs!$A:$B,2,0),G385,1),"")</f>
        <v>N</v>
      </c>
      <c r="G385" s="9">
        <v>74</v>
      </c>
      <c r="H385" s="9" t="str">
        <f>IFERROR(MID(VLOOKUP($B385,Seqs!$A:$B,2,0),I385,1),"")</f>
        <v>H</v>
      </c>
      <c r="I385" s="109">
        <v>75</v>
      </c>
      <c r="J385" s="9" t="str">
        <f>IFERROR(MID(VLOOKUP($B385,Seqs!$A:$B,2,0),K385,1),"")</f>
        <v>R</v>
      </c>
      <c r="K385" s="109">
        <v>78</v>
      </c>
      <c r="L385" s="9" t="str">
        <f>IFERROR(MID(VLOOKUP($B385,Seqs!$A:$B,2,0),M385,1),"")</f>
        <v>T</v>
      </c>
      <c r="M385" s="9">
        <v>79</v>
      </c>
      <c r="N385" s="9" t="str">
        <f>IFERROR(MID(VLOOKUP($B385,Seqs!$A:$B,2,0),O385,1),"")</f>
        <v>E</v>
      </c>
      <c r="O385" s="9">
        <v>110</v>
      </c>
      <c r="P385" s="9" t="str">
        <f>IFERROR(MID(VLOOKUP($B385,Seqs!$A:$B,2,0),Q385,1),"")</f>
        <v>S</v>
      </c>
      <c r="Q385" s="9">
        <v>111</v>
      </c>
      <c r="R385" s="9" t="str">
        <f>IFERROR(MID(VLOOKUP($B385,Seqs!$A:$B,2,0),S385,1),"")</f>
        <v>F</v>
      </c>
      <c r="S385" s="9">
        <v>114</v>
      </c>
      <c r="T385" s="9" t="str">
        <f>IFERROR(MID(VLOOKUP($B385,Seqs!$A:$B,2,0),U385,1),"")</f>
        <v>G</v>
      </c>
      <c r="U385" s="9">
        <v>115</v>
      </c>
      <c r="V385" s="9" t="str">
        <f>IFERROR(MID(VLOOKUP($B385,Seqs!$A:$B,2,0),W385,1),"")</f>
        <v>H</v>
      </c>
      <c r="W385" s="9">
        <v>150</v>
      </c>
      <c r="X385" s="9" t="str">
        <f>IFERROR(MID(VLOOKUP($B385,Seqs!$A:$B,2,0),Y385,1),"")</f>
        <v/>
      </c>
      <c r="Y385" s="9" t="s">
        <v>23</v>
      </c>
      <c r="Z385" s="9" t="str">
        <f>IFERROR(MID(VLOOKUP($B385,Seqs!$A:$B,2,0),AA385,1),"")</f>
        <v/>
      </c>
      <c r="AA385" s="9" t="s">
        <v>23</v>
      </c>
      <c r="AB385" s="9" t="str">
        <f>IFERROR(MID(VLOOKUP($B385,Seqs!$A:$B,2,0),AC385,1),"")</f>
        <v>T</v>
      </c>
      <c r="AC385" s="9">
        <v>157</v>
      </c>
      <c r="AD385" s="9" t="str">
        <f>IFERROR(MID(VLOOKUP($B385,Seqs!$A:$B,2,0),AE385,1),"")</f>
        <v>M</v>
      </c>
      <c r="AE385" s="9">
        <v>183</v>
      </c>
      <c r="AF385" s="9" t="str">
        <f>IFERROR(MID(VLOOKUP($B385,Seqs!$A:$B,2,0),AG385,1),"")</f>
        <v>C</v>
      </c>
      <c r="AG385" s="9">
        <v>202</v>
      </c>
      <c r="AH385" s="9" t="str">
        <f>IFERROR(MID(VLOOKUP($B385,Seqs!$A:$B,2,0),AI385,1),"")</f>
        <v>E</v>
      </c>
      <c r="AI385" s="9">
        <v>204</v>
      </c>
      <c r="AJ385" s="9" t="str">
        <f>IFERROR(MID(VLOOKUP($B385,Seqs!$A:$B,2,0),AK385,1),"")</f>
        <v>L</v>
      </c>
      <c r="AK385" s="9">
        <v>210</v>
      </c>
      <c r="AL385" s="9" t="str">
        <f>IFERROR(MID(VLOOKUP($B385,Seqs!$A:$B,2,0),AM385,1),"")</f>
        <v>L</v>
      </c>
      <c r="AM385" s="9">
        <v>242</v>
      </c>
      <c r="AN385" s="9" t="str">
        <f>IFERROR(MID(VLOOKUP($B385,Seqs!$A:$B,2,0),AO385,1),"")</f>
        <v>K</v>
      </c>
      <c r="AO385" s="9">
        <v>288</v>
      </c>
      <c r="AP385" s="9" t="str">
        <f>IFERROR(MID(VLOOKUP($B385,Seqs!$A:$B,2,0),AQ385,1),"")</f>
        <v>V</v>
      </c>
      <c r="AQ385" s="9">
        <v>323</v>
      </c>
      <c r="AR385" s="9" t="str">
        <f>IFERROR(MID(VLOOKUP($B385,Seqs!$A:$B,2,0),AS385,1),"")</f>
        <v>R</v>
      </c>
      <c r="AS385" s="9">
        <v>333</v>
      </c>
      <c r="AT385" s="9" t="str">
        <f>IFERROR(MID(VLOOKUP($B385,Seqs!$A:$B,2,0),AU385,1),"")</f>
        <v>L</v>
      </c>
      <c r="AU385" s="9">
        <v>361</v>
      </c>
      <c r="AV385" s="9" t="str">
        <f>IFERROR(MID(VLOOKUP($B385,Seqs!$A:$B,2,0),AW385,1),"")</f>
        <v>S</v>
      </c>
      <c r="AW385" s="9">
        <v>362</v>
      </c>
      <c r="AX385" s="9" t="str">
        <f>IFERROR(MID(VLOOKUP($B385,Seqs!$A:$B,2,0),AY385,1),"")</f>
        <v>F</v>
      </c>
      <c r="AY385" s="9">
        <v>373</v>
      </c>
      <c r="AZ385" s="110" t="str">
        <f>VLOOKUP(B385,Classification!A:D,2,0)</f>
        <v>A</v>
      </c>
      <c r="BA385" s="98" t="str">
        <f>VLOOKUP(B385,Classification!A:D,4,0)</f>
        <v>Orexin</v>
      </c>
      <c r="BB385" s="36" t="b">
        <f t="shared" ref="BB385" si="3831">AND(E385&lt;G385,OR(G385&lt;I385,I385="-"),OR(I385&lt;K385,I385="-"),OR(K385&lt;M385,K385="-"),M385&lt;O385,OR(O385&lt;Q385,Q385="-"),OR(Q385&lt;S385,Q385="-"),OR(S385&lt;U385,S385="-"),U385&lt;W385,OR(W385&lt;Y385,Y385="-"),OR(Y385&lt;AA385,Y385="-"),OR(AA385&lt;AC385,AA385="-"),AC385&lt;AE385,OR(AE385&lt;AG385,AG385="-"),OR(AG385&lt;AI385,AG385="-"),OR(AI385&lt;AK385,AI385="-"),AK385&lt;AM385,AM385&lt;AO385,AO385&lt;AQ385,AQ385&lt;AS385,AS385&lt;AU385,OR(AU385&lt;AW385,AW385="-"),OR(AW385&lt;AY385,AW385="-"))</f>
        <v>1</v>
      </c>
      <c r="BC385" s="109">
        <f t="shared" ref="BC385" si="3832">_xlfn.AGGREGATE(9,6,CH385:CS385)-_xlfn.AGGREGATE(9,6,BV385:CG385)+12</f>
        <v>247</v>
      </c>
      <c r="BD385" s="40" t="s">
        <v>23</v>
      </c>
      <c r="BE385" s="9" t="s">
        <v>1368</v>
      </c>
      <c r="BF385" s="119">
        <v>3.5</v>
      </c>
      <c r="BG385" s="51" t="s">
        <v>1</v>
      </c>
      <c r="BH385" s="51" t="s">
        <v>1</v>
      </c>
      <c r="BJ385" s="111" t="s">
        <v>1281</v>
      </c>
      <c r="BK385" s="112" t="s">
        <v>1281</v>
      </c>
      <c r="BL385" s="112" t="s">
        <v>1281</v>
      </c>
      <c r="BM385" s="112" t="s">
        <v>1281</v>
      </c>
      <c r="BN385" s="112" t="s">
        <v>1281</v>
      </c>
      <c r="BO385" s="112" t="s">
        <v>1281</v>
      </c>
      <c r="BP385" s="112" t="s">
        <v>1281</v>
      </c>
      <c r="BQ385" s="112" t="s">
        <v>1281</v>
      </c>
      <c r="BR385" s="112" t="s">
        <v>1281</v>
      </c>
      <c r="BS385" s="112" t="s">
        <v>1281</v>
      </c>
      <c r="BT385" s="112" t="s">
        <v>1281</v>
      </c>
      <c r="BU385" s="112" t="s">
        <v>1281</v>
      </c>
      <c r="BV385" s="111">
        <f t="shared" ref="BV385" si="3833">E385</f>
        <v>45</v>
      </c>
      <c r="BW385" s="113">
        <f t="shared" ref="BW385" si="3834">I385</f>
        <v>75</v>
      </c>
      <c r="BX385" s="114">
        <f t="shared" ref="BX385" si="3835">M385</f>
        <v>79</v>
      </c>
      <c r="BY385" s="113">
        <f t="shared" ref="BY385" si="3836">Q385</f>
        <v>111</v>
      </c>
      <c r="BZ385" s="114">
        <f t="shared" ref="BZ385" si="3837">U385</f>
        <v>115</v>
      </c>
      <c r="CA385" s="113" t="str">
        <f t="shared" ref="CA385" si="3838">Y385</f>
        <v>-</v>
      </c>
      <c r="CB385" s="114">
        <f t="shared" ref="CB385" si="3839">AC385</f>
        <v>157</v>
      </c>
      <c r="CC385" s="113">
        <f t="shared" ref="CC385" si="3840">AG385</f>
        <v>202</v>
      </c>
      <c r="CD385" s="114">
        <f t="shared" ref="CD385" si="3841">AK385</f>
        <v>210</v>
      </c>
      <c r="CE385" s="113">
        <f t="shared" ref="CE385" si="3842">AO385</f>
        <v>288</v>
      </c>
      <c r="CF385" s="114">
        <f t="shared" ref="CF385" si="3843">AS385</f>
        <v>333</v>
      </c>
      <c r="CG385" s="113">
        <f t="shared" ref="CG385" si="3844">AW385</f>
        <v>362</v>
      </c>
      <c r="CH385" s="111">
        <f t="shared" ref="CH385" si="3845">G385</f>
        <v>74</v>
      </c>
      <c r="CI385" s="113">
        <f t="shared" ref="CI385" si="3846">K385</f>
        <v>78</v>
      </c>
      <c r="CJ385" s="114">
        <f t="shared" ref="CJ385" si="3847">O385</f>
        <v>110</v>
      </c>
      <c r="CK385" s="114">
        <f t="shared" ref="CK385" si="3848">S385</f>
        <v>114</v>
      </c>
      <c r="CL385" s="114">
        <f t="shared" ref="CL385" si="3849">W385</f>
        <v>150</v>
      </c>
      <c r="CM385" s="114" t="str">
        <f t="shared" ref="CM385" si="3850">AA385</f>
        <v>-</v>
      </c>
      <c r="CN385" s="114">
        <f t="shared" ref="CN385" si="3851">AE385</f>
        <v>183</v>
      </c>
      <c r="CO385" s="114">
        <f t="shared" ref="CO385" si="3852">AI385</f>
        <v>204</v>
      </c>
      <c r="CP385" s="114">
        <f t="shared" ref="CP385" si="3853">AM385</f>
        <v>242</v>
      </c>
      <c r="CQ385" s="114">
        <f t="shared" ref="CQ385" si="3854">AQ385</f>
        <v>323</v>
      </c>
      <c r="CR385" s="114">
        <f t="shared" ref="CR385" si="3855">AU385</f>
        <v>361</v>
      </c>
      <c r="CS385" s="114">
        <f t="shared" ref="CS385" si="3856">AY385</f>
        <v>373</v>
      </c>
      <c r="CT385" s="109">
        <f t="shared" ref="CT385" si="3857">M385-K385</f>
        <v>1</v>
      </c>
      <c r="AMP385" s="40"/>
    </row>
    <row r="386" spans="1:1030" x14ac:dyDescent="0.2">
      <c r="A386" s="3" t="str">
        <f t="shared" si="3240"/>
        <v>ox2r_human__wt</v>
      </c>
      <c r="B386" s="3" t="s">
        <v>1169</v>
      </c>
      <c r="C386" s="3" t="s">
        <v>100</v>
      </c>
      <c r="D386" s="3" t="str">
        <f>IFERROR(MID(VLOOKUP($B386,Seqs!$A:$B,2,0),E386,1),"")</f>
        <v>Y</v>
      </c>
      <c r="E386" s="3">
        <v>53</v>
      </c>
      <c r="F386" s="3" t="str">
        <f>IFERROR(MID(VLOOKUP($B386,Seqs!$A:$B,2,0),G386,1),"")</f>
        <v>N</v>
      </c>
      <c r="G386" s="3">
        <v>82</v>
      </c>
      <c r="H386" s="3" t="str">
        <f>IFERROR(MID(VLOOKUP($B386,Seqs!$A:$B,2,0),I386,1),"")</f>
        <v>H</v>
      </c>
      <c r="I386" s="23">
        <v>83</v>
      </c>
      <c r="J386" s="3" t="str">
        <f>IFERROR(MID(VLOOKUP($B386,Seqs!$A:$B,2,0),K386,1),"")</f>
        <v>R</v>
      </c>
      <c r="K386" s="23">
        <v>86</v>
      </c>
      <c r="L386" s="3" t="str">
        <f>IFERROR(MID(VLOOKUP($B386,Seqs!$A:$B,2,0),M386,1),"")</f>
        <v>T</v>
      </c>
      <c r="M386" s="3">
        <v>87</v>
      </c>
      <c r="N386" s="3" t="str">
        <f>IFERROR(MID(VLOOKUP($B386,Seqs!$A:$B,2,0),O386,1),"")</f>
        <v>E</v>
      </c>
      <c r="O386" s="105">
        <v>118</v>
      </c>
      <c r="P386" s="3" t="str">
        <f>IFERROR(MID(VLOOKUP($B386,Seqs!$A:$B,2,0),Q386,1),"")</f>
        <v>T</v>
      </c>
      <c r="Q386" s="3">
        <v>119</v>
      </c>
      <c r="R386" s="3" t="str">
        <f>IFERROR(MID(VLOOKUP($B386,Seqs!$A:$B,2,0),S386,1),"")</f>
        <v>F</v>
      </c>
      <c r="S386" s="3">
        <v>122</v>
      </c>
      <c r="T386" s="3" t="str">
        <f>IFERROR(MID(VLOOKUP($B386,Seqs!$A:$B,2,0),U386,1),"")</f>
        <v>G</v>
      </c>
      <c r="U386" s="3">
        <v>123</v>
      </c>
      <c r="V386" s="3" t="str">
        <f>IFERROR(MID(VLOOKUP($B386,Seqs!$A:$B,2,0),W386,1),"")</f>
        <v>H</v>
      </c>
      <c r="W386" s="3">
        <v>158</v>
      </c>
      <c r="X386" s="3" t="str">
        <f>IFERROR(MID(VLOOKUP($B386,Seqs!$A:$B,2,0),Y386,1),"")</f>
        <v>P</v>
      </c>
      <c r="Y386" s="3">
        <v>159</v>
      </c>
      <c r="Z386" s="3" t="str">
        <f>IFERROR(MID(VLOOKUP($B386,Seqs!$A:$B,2,0),AA386,1),"")</f>
        <v>F</v>
      </c>
      <c r="AA386" s="73">
        <v>162</v>
      </c>
      <c r="AB386" s="3" t="str">
        <f>IFERROR(MID(VLOOKUP($B386,Seqs!$A:$B,2,0),AC386,1),"")</f>
        <v>T</v>
      </c>
      <c r="AC386" s="9">
        <v>165</v>
      </c>
      <c r="AD386" s="3" t="str">
        <f>IFERROR(MID(VLOOKUP($B386,Seqs!$A:$B,2,0),AE386,1),"")</f>
        <v>M</v>
      </c>
      <c r="AE386" s="3">
        <v>191</v>
      </c>
      <c r="AF386" s="3" t="str">
        <f>IFERROR(MID(VLOOKUP($B386,Seqs!$A:$B,2,0),AG386,1),"")</f>
        <v>C</v>
      </c>
      <c r="AG386" s="3">
        <v>210</v>
      </c>
      <c r="AH386" s="3" t="str">
        <f>IFERROR(MID(VLOOKUP($B386,Seqs!$A:$B,2,0),AI386,1),"")</f>
        <v>E</v>
      </c>
      <c r="AI386" s="3">
        <v>212</v>
      </c>
      <c r="AJ386" s="3" t="str">
        <f>IFERROR(MID(VLOOKUP($B386,Seqs!$A:$B,2,0),AK386,1),"")</f>
        <v>I</v>
      </c>
      <c r="AK386" s="105">
        <v>218</v>
      </c>
      <c r="AL386" s="3" t="str">
        <f>IFERROR(MID(VLOOKUP($B386,Seqs!$A:$B,2,0),AM386,1),"")</f>
        <v>P</v>
      </c>
      <c r="AM386" s="3">
        <v>256</v>
      </c>
      <c r="AN386" s="3" t="str">
        <f>IFERROR(MID(VLOOKUP($B386,Seqs!$A:$B,2,0),AO386,1),"")</f>
        <v>V</v>
      </c>
      <c r="AO386" s="3">
        <v>289</v>
      </c>
      <c r="AP386" s="3" t="str">
        <f>IFERROR(MID(VLOOKUP($B386,Seqs!$A:$B,2,0),AQ386,1),"")</f>
        <v>F</v>
      </c>
      <c r="AQ386" s="3">
        <v>330</v>
      </c>
      <c r="AR386" s="3" t="str">
        <f>IFERROR(MID(VLOOKUP($B386,Seqs!$A:$B,2,0),AS386,1),"")</f>
        <v>D</v>
      </c>
      <c r="AS386" s="105">
        <v>338</v>
      </c>
      <c r="AT386" s="3" t="str">
        <f>IFERROR(MID(VLOOKUP($B386,Seqs!$A:$B,2,0),AU386,1),"")</f>
        <v>L</v>
      </c>
      <c r="AU386" s="3">
        <v>367</v>
      </c>
      <c r="AV386" s="3" t="str">
        <f>IFERROR(MID(VLOOKUP($B386,Seqs!$A:$B,2,0),AW386,1),"")</f>
        <v>S</v>
      </c>
      <c r="AW386" s="3">
        <v>368</v>
      </c>
      <c r="AX386" s="3" t="str">
        <f>IFERROR(MID(VLOOKUP($B386,Seqs!$A:$B,2,0),AY386,1),"")</f>
        <v>L</v>
      </c>
      <c r="AY386" s="105">
        <v>384</v>
      </c>
      <c r="AZ386" s="77" t="str">
        <f>VLOOKUP(B386,Classification!A:D,2,0)</f>
        <v>A</v>
      </c>
      <c r="BA386" s="94" t="str">
        <f>VLOOKUP(B386,Classification!A:D,4,0)</f>
        <v>Orexin</v>
      </c>
      <c r="BB386" s="27" t="b">
        <f t="shared" si="3241"/>
        <v>1</v>
      </c>
      <c r="BC386" s="23">
        <f t="shared" si="3214"/>
        <v>268</v>
      </c>
      <c r="BD386" s="56" t="s">
        <v>23</v>
      </c>
      <c r="BE386" s="3" t="s">
        <v>23</v>
      </c>
      <c r="BF386" s="118" t="s">
        <v>23</v>
      </c>
      <c r="BG386" s="49" t="s">
        <v>1366</v>
      </c>
      <c r="BH386" s="49" t="s">
        <v>1371</v>
      </c>
      <c r="BI386" s="1"/>
      <c r="BJ386" s="70" t="s">
        <v>1281</v>
      </c>
      <c r="BK386" s="57" t="s">
        <v>1281</v>
      </c>
      <c r="BL386" s="57" t="s">
        <v>1281</v>
      </c>
      <c r="BM386" s="57" t="s">
        <v>1281</v>
      </c>
      <c r="BN386" s="57" t="s">
        <v>1281</v>
      </c>
      <c r="BO386" s="57" t="s">
        <v>1281</v>
      </c>
      <c r="BP386" s="57" t="s">
        <v>1281</v>
      </c>
      <c r="BQ386" s="57" t="s">
        <v>1281</v>
      </c>
      <c r="BR386" s="57" t="s">
        <v>1281</v>
      </c>
      <c r="BS386" s="57" t="s">
        <v>1281</v>
      </c>
      <c r="BT386" s="57" t="s">
        <v>1281</v>
      </c>
      <c r="BU386" s="57" t="s">
        <v>1281</v>
      </c>
      <c r="BV386" s="70">
        <f t="shared" si="3215"/>
        <v>53</v>
      </c>
      <c r="BW386" s="71">
        <f t="shared" si="3216"/>
        <v>83</v>
      </c>
      <c r="BX386" s="72">
        <f t="shared" si="3217"/>
        <v>87</v>
      </c>
      <c r="BY386" s="71">
        <f t="shared" si="3218"/>
        <v>119</v>
      </c>
      <c r="BZ386" s="72">
        <f t="shared" si="3219"/>
        <v>123</v>
      </c>
      <c r="CA386" s="71">
        <f t="shared" si="3220"/>
        <v>159</v>
      </c>
      <c r="CB386" s="72">
        <f t="shared" si="3221"/>
        <v>165</v>
      </c>
      <c r="CC386" s="71">
        <f t="shared" si="3222"/>
        <v>210</v>
      </c>
      <c r="CD386" s="72">
        <f t="shared" si="3223"/>
        <v>218</v>
      </c>
      <c r="CE386" s="71">
        <f t="shared" si="3224"/>
        <v>289</v>
      </c>
      <c r="CF386" s="72">
        <f t="shared" si="3225"/>
        <v>338</v>
      </c>
      <c r="CG386" s="71">
        <f t="shared" si="3226"/>
        <v>368</v>
      </c>
      <c r="CH386" s="70">
        <f t="shared" si="3227"/>
        <v>82</v>
      </c>
      <c r="CI386" s="71">
        <f t="shared" si="3228"/>
        <v>86</v>
      </c>
      <c r="CJ386" s="72">
        <f t="shared" si="3229"/>
        <v>118</v>
      </c>
      <c r="CK386" s="72">
        <f t="shared" si="3230"/>
        <v>122</v>
      </c>
      <c r="CL386" s="72">
        <f t="shared" si="3231"/>
        <v>158</v>
      </c>
      <c r="CM386" s="72">
        <f t="shared" si="3232"/>
        <v>162</v>
      </c>
      <c r="CN386" s="72">
        <f t="shared" si="3233"/>
        <v>191</v>
      </c>
      <c r="CO386" s="72">
        <f t="shared" si="3234"/>
        <v>212</v>
      </c>
      <c r="CP386" s="72">
        <f t="shared" si="3235"/>
        <v>256</v>
      </c>
      <c r="CQ386" s="72">
        <f t="shared" si="3236"/>
        <v>330</v>
      </c>
      <c r="CR386" s="72">
        <f t="shared" si="3237"/>
        <v>367</v>
      </c>
      <c r="CS386" s="72">
        <f t="shared" si="3238"/>
        <v>384</v>
      </c>
      <c r="CT386" s="23">
        <f t="shared" si="3239"/>
        <v>1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30" x14ac:dyDescent="0.2">
      <c r="A387" s="3" t="str">
        <f t="shared" si="3240"/>
        <v>ox2r_human_4S0V</v>
      </c>
      <c r="B387" s="3" t="s">
        <v>1169</v>
      </c>
      <c r="C387" s="3" t="s">
        <v>92</v>
      </c>
      <c r="D387" s="3" t="str">
        <f>IFERROR(MID(VLOOKUP($B387,Seqs!$A:$B,2,0),E387,1),"")</f>
        <v>Y</v>
      </c>
      <c r="E387" s="3">
        <v>53</v>
      </c>
      <c r="F387" s="3" t="str">
        <f>IFERROR(MID(VLOOKUP($B387,Seqs!$A:$B,2,0),G387,1),"")</f>
        <v>N</v>
      </c>
      <c r="G387" s="3">
        <v>82</v>
      </c>
      <c r="H387" s="3" t="str">
        <f>IFERROR(MID(VLOOKUP($B387,Seqs!$A:$B,2,0),I387,1),"")</f>
        <v>H</v>
      </c>
      <c r="I387" s="23">
        <v>83</v>
      </c>
      <c r="J387" s="3" t="str">
        <f>IFERROR(MID(VLOOKUP($B387,Seqs!$A:$B,2,0),K387,1),"")</f>
        <v>R</v>
      </c>
      <c r="K387" s="23">
        <v>86</v>
      </c>
      <c r="L387" s="3" t="str">
        <f>IFERROR(MID(VLOOKUP($B387,Seqs!$A:$B,2,0),M387,1),"")</f>
        <v>T</v>
      </c>
      <c r="M387" s="3">
        <v>87</v>
      </c>
      <c r="N387" s="3" t="str">
        <f>IFERROR(MID(VLOOKUP($B387,Seqs!$A:$B,2,0),O387,1),"")</f>
        <v>E</v>
      </c>
      <c r="O387" s="105">
        <v>118</v>
      </c>
      <c r="P387" s="3" t="str">
        <f>IFERROR(MID(VLOOKUP($B387,Seqs!$A:$B,2,0),Q387,1),"")</f>
        <v>T</v>
      </c>
      <c r="Q387" s="3">
        <v>119</v>
      </c>
      <c r="R387" s="3" t="str">
        <f>IFERROR(MID(VLOOKUP($B387,Seqs!$A:$B,2,0),S387,1),"")</f>
        <v>F</v>
      </c>
      <c r="S387" s="3">
        <v>122</v>
      </c>
      <c r="T387" s="3" t="str">
        <f>IFERROR(MID(VLOOKUP($B387,Seqs!$A:$B,2,0),U387,1),"")</f>
        <v>G</v>
      </c>
      <c r="U387" s="3">
        <v>123</v>
      </c>
      <c r="V387" s="3" t="str">
        <f>IFERROR(MID(VLOOKUP($B387,Seqs!$A:$B,2,0),W387,1),"")</f>
        <v>H</v>
      </c>
      <c r="W387" s="3">
        <v>158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T</v>
      </c>
      <c r="AC387" s="9">
        <v>165</v>
      </c>
      <c r="AD387" s="3" t="str">
        <f>IFERROR(MID(VLOOKUP($B387,Seqs!$A:$B,2,0),AE387,1),"")</f>
        <v>M</v>
      </c>
      <c r="AE387" s="3">
        <v>191</v>
      </c>
      <c r="AF387" s="3" t="str">
        <f>IFERROR(MID(VLOOKUP($B387,Seqs!$A:$B,2,0),AG387,1),"")</f>
        <v>C</v>
      </c>
      <c r="AG387" s="3">
        <v>210</v>
      </c>
      <c r="AH387" s="3" t="str">
        <f>IFERROR(MID(VLOOKUP($B387,Seqs!$A:$B,2,0),AI387,1),"")</f>
        <v>E</v>
      </c>
      <c r="AI387" s="3">
        <v>212</v>
      </c>
      <c r="AJ387" s="3" t="str">
        <f>IFERROR(MID(VLOOKUP($B387,Seqs!$A:$B,2,0),AK387,1),"")</f>
        <v>I</v>
      </c>
      <c r="AK387" s="105">
        <v>218</v>
      </c>
      <c r="AL387" s="3" t="str">
        <f>IFERROR(MID(VLOOKUP($B387,Seqs!$A:$B,2,0),AM387,1),"")</f>
        <v>C</v>
      </c>
      <c r="AM387" s="105">
        <v>252</v>
      </c>
      <c r="AN387" s="3" t="str">
        <f>IFERROR(MID(VLOOKUP($B387,Seqs!$A:$B,2,0),AO387,1),"")</f>
        <v>K</v>
      </c>
      <c r="AO387" s="3">
        <v>294</v>
      </c>
      <c r="AP387" s="3" t="str">
        <f>IFERROR(MID(VLOOKUP($B387,Seqs!$A:$B,2,0),AQ387,1),"")</f>
        <v>F</v>
      </c>
      <c r="AQ387" s="3">
        <v>330</v>
      </c>
      <c r="AR387" s="3" t="str">
        <f>IFERROR(MID(VLOOKUP($B387,Seqs!$A:$B,2,0),AS387,1),"")</f>
        <v>R</v>
      </c>
      <c r="AS387" s="3">
        <v>339</v>
      </c>
      <c r="AT387" s="3" t="str">
        <f>IFERROR(MID(VLOOKUP($B387,Seqs!$A:$B,2,0),AU387,1),"")</f>
        <v>L</v>
      </c>
      <c r="AU387" s="3">
        <v>367</v>
      </c>
      <c r="AV387" s="3" t="str">
        <f>IFERROR(MID(VLOOKUP($B387,Seqs!$A:$B,2,0),AW387,1),"")</f>
        <v>S</v>
      </c>
      <c r="AW387" s="3">
        <v>368</v>
      </c>
      <c r="AX387" s="3" t="str">
        <f>IFERROR(MID(VLOOKUP($B387,Seqs!$A:$B,2,0),AY387,1),"")</f>
        <v>F</v>
      </c>
      <c r="AY387" s="3">
        <v>379</v>
      </c>
      <c r="AZ387" s="77" t="str">
        <f>VLOOKUP(B387,Classification!A:D,2,0)</f>
        <v>A</v>
      </c>
      <c r="BA387" s="94" t="str">
        <f>VLOOKUP(B387,Classification!A:D,4,0)</f>
        <v>Orexin</v>
      </c>
      <c r="BB387" s="27" t="b">
        <f t="shared" si="3241"/>
        <v>1</v>
      </c>
      <c r="BC387" s="23">
        <f t="shared" si="3214"/>
        <v>250</v>
      </c>
      <c r="BD387" s="2" t="s">
        <v>23</v>
      </c>
      <c r="BE387" s="3" t="s">
        <v>1368</v>
      </c>
      <c r="BF387" s="118">
        <v>2.5</v>
      </c>
      <c r="BG387" s="49" t="s">
        <v>1371</v>
      </c>
      <c r="BH387" s="49" t="s">
        <v>1371</v>
      </c>
      <c r="BI387" s="1"/>
      <c r="BJ387" s="70" t="s">
        <v>1281</v>
      </c>
      <c r="BK387" s="57" t="s">
        <v>1281</v>
      </c>
      <c r="BL387" s="57" t="s">
        <v>1281</v>
      </c>
      <c r="BM387" s="57" t="s">
        <v>1281</v>
      </c>
      <c r="BN387" s="57" t="s">
        <v>1281</v>
      </c>
      <c r="BO387" s="57" t="s">
        <v>1281</v>
      </c>
      <c r="BP387" s="57" t="s">
        <v>1281</v>
      </c>
      <c r="BQ387" s="57" t="s">
        <v>1281</v>
      </c>
      <c r="BR387" s="57" t="s">
        <v>1281</v>
      </c>
      <c r="BS387" s="57" t="s">
        <v>1281</v>
      </c>
      <c r="BT387" s="57" t="s">
        <v>1281</v>
      </c>
      <c r="BU387" s="57" t="s">
        <v>1281</v>
      </c>
      <c r="BV387" s="70">
        <f t="shared" si="3215"/>
        <v>53</v>
      </c>
      <c r="BW387" s="71">
        <f t="shared" si="3216"/>
        <v>83</v>
      </c>
      <c r="BX387" s="72">
        <f t="shared" si="3217"/>
        <v>87</v>
      </c>
      <c r="BY387" s="71">
        <f t="shared" si="3218"/>
        <v>119</v>
      </c>
      <c r="BZ387" s="72">
        <f t="shared" si="3219"/>
        <v>123</v>
      </c>
      <c r="CA387" s="71" t="str">
        <f t="shared" si="3220"/>
        <v>-</v>
      </c>
      <c r="CB387" s="72">
        <f t="shared" si="3221"/>
        <v>165</v>
      </c>
      <c r="CC387" s="71">
        <f t="shared" si="3222"/>
        <v>210</v>
      </c>
      <c r="CD387" s="72">
        <f t="shared" si="3223"/>
        <v>218</v>
      </c>
      <c r="CE387" s="71">
        <f t="shared" si="3224"/>
        <v>294</v>
      </c>
      <c r="CF387" s="72">
        <f t="shared" si="3225"/>
        <v>339</v>
      </c>
      <c r="CG387" s="71">
        <f t="shared" si="3226"/>
        <v>368</v>
      </c>
      <c r="CH387" s="70">
        <f t="shared" si="3227"/>
        <v>82</v>
      </c>
      <c r="CI387" s="71">
        <f t="shared" si="3228"/>
        <v>86</v>
      </c>
      <c r="CJ387" s="72">
        <f t="shared" si="3229"/>
        <v>118</v>
      </c>
      <c r="CK387" s="72">
        <f t="shared" si="3230"/>
        <v>122</v>
      </c>
      <c r="CL387" s="72">
        <f t="shared" si="3231"/>
        <v>158</v>
      </c>
      <c r="CM387" s="72" t="str">
        <f t="shared" si="3232"/>
        <v>-</v>
      </c>
      <c r="CN387" s="72">
        <f t="shared" si="3233"/>
        <v>191</v>
      </c>
      <c r="CO387" s="72">
        <f t="shared" si="3234"/>
        <v>212</v>
      </c>
      <c r="CP387" s="72">
        <f t="shared" si="3235"/>
        <v>252</v>
      </c>
      <c r="CQ387" s="72">
        <f t="shared" si="3236"/>
        <v>330</v>
      </c>
      <c r="CR387" s="72">
        <f t="shared" si="3237"/>
        <v>367</v>
      </c>
      <c r="CS387" s="72">
        <f t="shared" si="3238"/>
        <v>379</v>
      </c>
      <c r="CT387" s="23">
        <f t="shared" si="3239"/>
        <v>1</v>
      </c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</row>
    <row r="388" spans="1:1030" x14ac:dyDescent="0.2">
      <c r="A388" s="3" t="str">
        <f>CONCATENATE(B388,"_",C388)</f>
        <v>ox2r_human_5WQC</v>
      </c>
      <c r="B388" s="3" t="s">
        <v>1169</v>
      </c>
      <c r="C388" s="3" t="s">
        <v>1441</v>
      </c>
      <c r="D388" s="3" t="str">
        <f>IFERROR(MID(VLOOKUP($B388,Seqs!$A:$B,2,0),E388,1),"")</f>
        <v>Y</v>
      </c>
      <c r="E388" s="3">
        <v>53</v>
      </c>
      <c r="F388" s="3" t="str">
        <f>IFERROR(MID(VLOOKUP($B388,Seqs!$A:$B,2,0),G388,1),"")</f>
        <v>N</v>
      </c>
      <c r="G388" s="3">
        <v>82</v>
      </c>
      <c r="H388" s="3" t="str">
        <f>IFERROR(MID(VLOOKUP($B388,Seqs!$A:$B,2,0),I388,1),"")</f>
        <v>H</v>
      </c>
      <c r="I388" s="23">
        <v>83</v>
      </c>
      <c r="J388" s="3" t="str">
        <f>IFERROR(MID(VLOOKUP($B388,Seqs!$A:$B,2,0),K388,1),"")</f>
        <v>R</v>
      </c>
      <c r="K388" s="23">
        <v>86</v>
      </c>
      <c r="L388" s="3" t="str">
        <f>IFERROR(MID(VLOOKUP($B388,Seqs!$A:$B,2,0),M388,1),"")</f>
        <v>T</v>
      </c>
      <c r="M388" s="3">
        <v>87</v>
      </c>
      <c r="N388" s="3" t="str">
        <f>IFERROR(MID(VLOOKUP($B388,Seqs!$A:$B,2,0),O388,1),"")</f>
        <v>E</v>
      </c>
      <c r="O388" s="3">
        <v>118</v>
      </c>
      <c r="P388" s="3" t="str">
        <f>IFERROR(MID(VLOOKUP($B388,Seqs!$A:$B,2,0),Q388,1),"")</f>
        <v>T</v>
      </c>
      <c r="Q388" s="3">
        <v>119</v>
      </c>
      <c r="R388" s="3" t="str">
        <f>IFERROR(MID(VLOOKUP($B388,Seqs!$A:$B,2,0),S388,1),"")</f>
        <v>F</v>
      </c>
      <c r="S388" s="3">
        <v>122</v>
      </c>
      <c r="T388" s="3" t="str">
        <f>IFERROR(MID(VLOOKUP($B388,Seqs!$A:$B,2,0),U388,1),"")</f>
        <v>G</v>
      </c>
      <c r="U388" s="3">
        <v>123</v>
      </c>
      <c r="V388" s="3" t="str">
        <f>IFERROR(MID(VLOOKUP($B388,Seqs!$A:$B,2,0),W388,1),"")</f>
        <v>H</v>
      </c>
      <c r="W388" s="3">
        <v>158</v>
      </c>
      <c r="X388" s="3" t="str">
        <f>IFERROR(MID(VLOOKUP($B388,Seqs!$A:$B,2,0),Y388,1),"")</f>
        <v/>
      </c>
      <c r="Y388" s="3" t="s">
        <v>23</v>
      </c>
      <c r="Z388" s="3" t="str">
        <f>IFERROR(MID(VLOOKUP($B388,Seqs!$A:$B,2,0),AA388,1),"")</f>
        <v/>
      </c>
      <c r="AA388" s="3" t="s">
        <v>23</v>
      </c>
      <c r="AB388" s="3" t="str">
        <f>IFERROR(MID(VLOOKUP($B388,Seqs!$A:$B,2,0),AC388,1),"")</f>
        <v>T</v>
      </c>
      <c r="AC388" s="3">
        <v>165</v>
      </c>
      <c r="AD388" s="3" t="str">
        <f>IFERROR(MID(VLOOKUP($B388,Seqs!$A:$B,2,0),AE388,1),"")</f>
        <v>M</v>
      </c>
      <c r="AE388" s="3">
        <v>191</v>
      </c>
      <c r="AF388" s="3" t="str">
        <f>IFERROR(MID(VLOOKUP($B388,Seqs!$A:$B,2,0),AG388,1),"")</f>
        <v>C</v>
      </c>
      <c r="AG388" s="3">
        <v>210</v>
      </c>
      <c r="AH388" s="3" t="str">
        <f>IFERROR(MID(VLOOKUP($B388,Seqs!$A:$B,2,0),AI388,1),"")</f>
        <v>E</v>
      </c>
      <c r="AI388" s="3">
        <v>212</v>
      </c>
      <c r="AJ388" s="3" t="str">
        <f>IFERROR(MID(VLOOKUP($B388,Seqs!$A:$B,2,0),AK388,1),"")</f>
        <v>I</v>
      </c>
      <c r="AK388" s="3">
        <v>218</v>
      </c>
      <c r="AL388" s="3" t="str">
        <f>IFERROR(MID(VLOOKUP($B388,Seqs!$A:$B,2,0),AM388,1),"")</f>
        <v>C</v>
      </c>
      <c r="AM388" s="3">
        <v>252</v>
      </c>
      <c r="AN388" s="3" t="str">
        <f>IFERROR(MID(VLOOKUP($B388,Seqs!$A:$B,2,0),AO388,1),"")</f>
        <v>K</v>
      </c>
      <c r="AO388" s="3">
        <v>294</v>
      </c>
      <c r="AP388" s="3" t="str">
        <f>IFERROR(MID(VLOOKUP($B388,Seqs!$A:$B,2,0),AQ388,1),"")</f>
        <v>F</v>
      </c>
      <c r="AQ388" s="3">
        <v>330</v>
      </c>
      <c r="AR388" s="3" t="str">
        <f>IFERROR(MID(VLOOKUP($B388,Seqs!$A:$B,2,0),AS388,1),"")</f>
        <v>D</v>
      </c>
      <c r="AS388" s="3">
        <v>338</v>
      </c>
      <c r="AT388" s="3" t="str">
        <f>IFERROR(MID(VLOOKUP($B388,Seqs!$A:$B,2,0),AU388,1),"")</f>
        <v>L</v>
      </c>
      <c r="AU388" s="3">
        <v>367</v>
      </c>
      <c r="AV388" s="3" t="str">
        <f>IFERROR(MID(VLOOKUP($B388,Seqs!$A:$B,2,0),AW388,1),"")</f>
        <v>S</v>
      </c>
      <c r="AW388" s="3">
        <v>368</v>
      </c>
      <c r="AX388" s="3" t="str">
        <f>IFERROR(MID(VLOOKUP($B388,Seqs!$A:$B,2,0),AY388,1),"")</f>
        <v>C</v>
      </c>
      <c r="AY388" s="3">
        <v>383</v>
      </c>
      <c r="AZ388" s="77" t="str">
        <f>VLOOKUP(B388,Classification!A:D,2,0)</f>
        <v>A</v>
      </c>
      <c r="BA388" s="94" t="str">
        <f>VLOOKUP(B388,Classification!A:D,4,0)</f>
        <v>Orexin</v>
      </c>
      <c r="BB388" s="27" t="b">
        <f>AND(E388&lt;G388,OR(G388&lt;I388,I388="-"),OR(I388&lt;K388,I388="-"),OR(K388&lt;M388,K388="-"),M388&lt;O388,OR(O388&lt;Q388,Q388="-"),OR(Q388&lt;S388,Q388="-"),OR(S388&lt;U388,S388="-"),U388&lt;W388,OR(W388&lt;Y388,Y388="-"),OR(Y388&lt;AA388,Y388="-"),OR(AA388&lt;AC388,AA388="-"),AC388&lt;AE388,OR(AE388&lt;AG388,AG388="-"),OR(AG388&lt;AI388,AG388="-"),OR(AI388&lt;AK388,AI388="-"),AK388&lt;AM388,AM388&lt;AO388,AO388&lt;AQ388,AQ388&lt;AS388,AS388&lt;AU388,OR(AU388&lt;AW388,AW388="-"),OR(AW388&lt;AY388,AW388="-"))</f>
        <v>1</v>
      </c>
      <c r="BC388" s="23">
        <f>_xlfn.AGGREGATE(9,6,CH388:CS388)-_xlfn.AGGREGATE(9,6,BV388:CG388)+12</f>
        <v>255</v>
      </c>
      <c r="BD388" s="2" t="s">
        <v>23</v>
      </c>
      <c r="BE388" s="3" t="s">
        <v>1368</v>
      </c>
      <c r="BF388" s="118">
        <v>1.96</v>
      </c>
      <c r="BG388" s="49" t="s">
        <v>1</v>
      </c>
      <c r="BH388" s="49" t="s">
        <v>1</v>
      </c>
      <c r="BI388" s="1"/>
      <c r="BJ388" s="70" t="s">
        <v>1281</v>
      </c>
      <c r="BK388" s="57" t="s">
        <v>1281</v>
      </c>
      <c r="BL388" s="57" t="s">
        <v>1281</v>
      </c>
      <c r="BM388" s="57" t="s">
        <v>1281</v>
      </c>
      <c r="BN388" s="57" t="s">
        <v>1281</v>
      </c>
      <c r="BO388" s="57" t="s">
        <v>1281</v>
      </c>
      <c r="BP388" s="57" t="s">
        <v>1281</v>
      </c>
      <c r="BQ388" s="57" t="s">
        <v>1281</v>
      </c>
      <c r="BR388" s="57" t="s">
        <v>1281</v>
      </c>
      <c r="BS388" s="57" t="s">
        <v>1281</v>
      </c>
      <c r="BT388" s="57" t="s">
        <v>1281</v>
      </c>
      <c r="BU388" s="57" t="s">
        <v>1281</v>
      </c>
      <c r="BV388" s="70">
        <f>E388</f>
        <v>53</v>
      </c>
      <c r="BW388" s="71">
        <f>I388</f>
        <v>83</v>
      </c>
      <c r="BX388" s="72">
        <f>M388</f>
        <v>87</v>
      </c>
      <c r="BY388" s="71">
        <f>Q388</f>
        <v>119</v>
      </c>
      <c r="BZ388" s="72">
        <f>U388</f>
        <v>123</v>
      </c>
      <c r="CA388" s="71" t="str">
        <f>Y388</f>
        <v>-</v>
      </c>
      <c r="CB388" s="72">
        <f>AC388</f>
        <v>165</v>
      </c>
      <c r="CC388" s="71">
        <f>AG388</f>
        <v>210</v>
      </c>
      <c r="CD388" s="72">
        <f>AK388</f>
        <v>218</v>
      </c>
      <c r="CE388" s="71">
        <f>AO388</f>
        <v>294</v>
      </c>
      <c r="CF388" s="72">
        <f>AS388</f>
        <v>338</v>
      </c>
      <c r="CG388" s="71">
        <f>AW388</f>
        <v>368</v>
      </c>
      <c r="CH388" s="70">
        <f>G388</f>
        <v>82</v>
      </c>
      <c r="CI388" s="71">
        <f>K388</f>
        <v>86</v>
      </c>
      <c r="CJ388" s="72">
        <f>O388</f>
        <v>118</v>
      </c>
      <c r="CK388" s="72">
        <f>S388</f>
        <v>122</v>
      </c>
      <c r="CL388" s="72">
        <f>W388</f>
        <v>158</v>
      </c>
      <c r="CM388" s="72" t="str">
        <f>AA388</f>
        <v>-</v>
      </c>
      <c r="CN388" s="72">
        <f>AE388</f>
        <v>191</v>
      </c>
      <c r="CO388" s="72">
        <f>AI388</f>
        <v>212</v>
      </c>
      <c r="CP388" s="72">
        <f>AM388</f>
        <v>252</v>
      </c>
      <c r="CQ388" s="72">
        <f>AQ388</f>
        <v>330</v>
      </c>
      <c r="CR388" s="72">
        <f>AU388</f>
        <v>367</v>
      </c>
      <c r="CS388" s="72">
        <f>AY388</f>
        <v>383</v>
      </c>
      <c r="CT388" s="23">
        <f>M388-K388</f>
        <v>1</v>
      </c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</row>
    <row r="389" spans="1:1030" x14ac:dyDescent="0.2">
      <c r="A389" s="3" t="str">
        <f>CONCATENATE(B389,"_",C389)</f>
        <v>ox2r_human_5WS3</v>
      </c>
      <c r="B389" s="3" t="s">
        <v>1169</v>
      </c>
      <c r="C389" s="3" t="s">
        <v>1442</v>
      </c>
      <c r="D389" s="3" t="str">
        <f>IFERROR(MID(VLOOKUP($B389,Seqs!$A:$B,2,0),E389,1),"")</f>
        <v>Y</v>
      </c>
      <c r="E389" s="3">
        <v>53</v>
      </c>
      <c r="F389" s="3" t="str">
        <f>IFERROR(MID(VLOOKUP($B389,Seqs!$A:$B,2,0),G389,1),"")</f>
        <v>N</v>
      </c>
      <c r="G389" s="3">
        <v>82</v>
      </c>
      <c r="H389" s="3" t="str">
        <f>IFERROR(MID(VLOOKUP($B389,Seqs!$A:$B,2,0),I389,1),"")</f>
        <v>H</v>
      </c>
      <c r="I389" s="23">
        <v>83</v>
      </c>
      <c r="J389" s="3" t="str">
        <f>IFERROR(MID(VLOOKUP($B389,Seqs!$A:$B,2,0),K389,1),"")</f>
        <v>R</v>
      </c>
      <c r="K389" s="23">
        <v>86</v>
      </c>
      <c r="L389" s="3" t="str">
        <f>IFERROR(MID(VLOOKUP($B389,Seqs!$A:$B,2,0),M389,1),"")</f>
        <v>T</v>
      </c>
      <c r="M389" s="3">
        <v>87</v>
      </c>
      <c r="N389" s="3" t="str">
        <f>IFERROR(MID(VLOOKUP($B389,Seqs!$A:$B,2,0),O389,1),"")</f>
        <v>E</v>
      </c>
      <c r="O389" s="3">
        <v>118</v>
      </c>
      <c r="P389" s="3" t="str">
        <f>IFERROR(MID(VLOOKUP($B389,Seqs!$A:$B,2,0),Q389,1),"")</f>
        <v>T</v>
      </c>
      <c r="Q389" s="3">
        <v>119</v>
      </c>
      <c r="R389" s="3" t="str">
        <f>IFERROR(MID(VLOOKUP($B389,Seqs!$A:$B,2,0),S389,1),"")</f>
        <v>F</v>
      </c>
      <c r="S389" s="3">
        <v>122</v>
      </c>
      <c r="T389" s="3" t="str">
        <f>IFERROR(MID(VLOOKUP($B389,Seqs!$A:$B,2,0),U389,1),"")</f>
        <v>G</v>
      </c>
      <c r="U389" s="3">
        <v>123</v>
      </c>
      <c r="V389" s="3" t="str">
        <f>IFERROR(MID(VLOOKUP($B389,Seqs!$A:$B,2,0),W389,1),"")</f>
        <v>H</v>
      </c>
      <c r="W389" s="3">
        <v>158</v>
      </c>
      <c r="X389" s="3" t="str">
        <f>IFERROR(MID(VLOOKUP($B389,Seqs!$A:$B,2,0),Y389,1),"")</f>
        <v/>
      </c>
      <c r="Y389" s="3" t="s">
        <v>23</v>
      </c>
      <c r="Z389" s="3" t="str">
        <f>IFERROR(MID(VLOOKUP($B389,Seqs!$A:$B,2,0),AA389,1),"")</f>
        <v/>
      </c>
      <c r="AA389" s="3" t="s">
        <v>23</v>
      </c>
      <c r="AB389" s="3" t="str">
        <f>IFERROR(MID(VLOOKUP($B389,Seqs!$A:$B,2,0),AC389,1),"")</f>
        <v>T</v>
      </c>
      <c r="AC389" s="3">
        <v>165</v>
      </c>
      <c r="AD389" s="3" t="str">
        <f>IFERROR(MID(VLOOKUP($B389,Seqs!$A:$B,2,0),AE389,1),"")</f>
        <v>M</v>
      </c>
      <c r="AE389" s="3">
        <v>191</v>
      </c>
      <c r="AF389" s="3" t="str">
        <f>IFERROR(MID(VLOOKUP($B389,Seqs!$A:$B,2,0),AG389,1),"")</f>
        <v>C</v>
      </c>
      <c r="AG389" s="3">
        <v>210</v>
      </c>
      <c r="AH389" s="3" t="str">
        <f>IFERROR(MID(VLOOKUP($B389,Seqs!$A:$B,2,0),AI389,1),"")</f>
        <v>E</v>
      </c>
      <c r="AI389" s="3">
        <v>212</v>
      </c>
      <c r="AJ389" s="3" t="str">
        <f>IFERROR(MID(VLOOKUP($B389,Seqs!$A:$B,2,0),AK389,1),"")</f>
        <v>I</v>
      </c>
      <c r="AK389" s="3">
        <v>218</v>
      </c>
      <c r="AL389" s="3" t="str">
        <f>IFERROR(MID(VLOOKUP($B389,Seqs!$A:$B,2,0),AM389,1),"")</f>
        <v>C</v>
      </c>
      <c r="AM389" s="3">
        <v>252</v>
      </c>
      <c r="AN389" s="3" t="str">
        <f>IFERROR(MID(VLOOKUP($B389,Seqs!$A:$B,2,0),AO389,1),"")</f>
        <v>K</v>
      </c>
      <c r="AO389" s="3">
        <v>294</v>
      </c>
      <c r="AP389" s="3" t="str">
        <f>IFERROR(MID(VLOOKUP($B389,Seqs!$A:$B,2,0),AQ389,1),"")</f>
        <v>F</v>
      </c>
      <c r="AQ389" s="3">
        <v>330</v>
      </c>
      <c r="AR389" s="3" t="str">
        <f>IFERROR(MID(VLOOKUP($B389,Seqs!$A:$B,2,0),AS389,1),"")</f>
        <v>D</v>
      </c>
      <c r="AS389" s="3">
        <v>338</v>
      </c>
      <c r="AT389" s="3" t="str">
        <f>IFERROR(MID(VLOOKUP($B389,Seqs!$A:$B,2,0),AU389,1),"")</f>
        <v>L</v>
      </c>
      <c r="AU389" s="3">
        <v>367</v>
      </c>
      <c r="AV389" s="3" t="str">
        <f>IFERROR(MID(VLOOKUP($B389,Seqs!$A:$B,2,0),AW389,1),"")</f>
        <v>S</v>
      </c>
      <c r="AW389" s="3">
        <v>368</v>
      </c>
      <c r="AX389" s="3" t="str">
        <f>IFERROR(MID(VLOOKUP($B389,Seqs!$A:$B,2,0),AY389,1),"")</f>
        <v>C</v>
      </c>
      <c r="AY389" s="3">
        <v>383</v>
      </c>
      <c r="AZ389" s="77" t="str">
        <f>VLOOKUP(B389,Classification!A:D,2,0)</f>
        <v>A</v>
      </c>
      <c r="BA389" s="94" t="str">
        <f>VLOOKUP(B389,Classification!A:D,4,0)</f>
        <v>Orexin</v>
      </c>
      <c r="BB389" s="27" t="b">
        <f>AND(E389&lt;G389,OR(G389&lt;I389,I389="-"),OR(I389&lt;K389,I389="-"),OR(K389&lt;M389,K389="-"),M389&lt;O389,OR(O389&lt;Q389,Q389="-"),OR(Q389&lt;S389,Q389="-"),OR(S389&lt;U389,S389="-"),U389&lt;W389,OR(W389&lt;Y389,Y389="-"),OR(Y389&lt;AA389,Y389="-"),OR(AA389&lt;AC389,AA389="-"),AC389&lt;AE389,OR(AE389&lt;AG389,AG389="-"),OR(AG389&lt;AI389,AG389="-"),OR(AI389&lt;AK389,AI389="-"),AK389&lt;AM389,AM389&lt;AO389,AO389&lt;AQ389,AQ389&lt;AS389,AS389&lt;AU389,OR(AU389&lt;AW389,AW389="-"),OR(AW389&lt;AY389,AW389="-"))</f>
        <v>1</v>
      </c>
      <c r="BC389" s="23">
        <f>_xlfn.AGGREGATE(9,6,CH389:CS389)-_xlfn.AGGREGATE(9,6,BV389:CG389)+12</f>
        <v>255</v>
      </c>
      <c r="BD389" s="2" t="s">
        <v>1370</v>
      </c>
      <c r="BE389" s="3" t="s">
        <v>1368</v>
      </c>
      <c r="BF389" s="118">
        <v>2.2999999999999998</v>
      </c>
      <c r="BG389" s="49" t="s">
        <v>1</v>
      </c>
      <c r="BH389" s="49" t="s">
        <v>1</v>
      </c>
      <c r="BI389" s="1"/>
      <c r="BJ389" s="70" t="s">
        <v>1281</v>
      </c>
      <c r="BK389" s="57" t="s">
        <v>1281</v>
      </c>
      <c r="BL389" s="57" t="s">
        <v>1281</v>
      </c>
      <c r="BM389" s="57" t="s">
        <v>1281</v>
      </c>
      <c r="BN389" s="57" t="s">
        <v>1281</v>
      </c>
      <c r="BO389" s="57" t="s">
        <v>1281</v>
      </c>
      <c r="BP389" s="57" t="s">
        <v>1281</v>
      </c>
      <c r="BQ389" s="57" t="s">
        <v>1281</v>
      </c>
      <c r="BR389" s="57" t="s">
        <v>1281</v>
      </c>
      <c r="BS389" s="57" t="s">
        <v>1281</v>
      </c>
      <c r="BT389" s="57" t="s">
        <v>1281</v>
      </c>
      <c r="BU389" s="57" t="s">
        <v>1281</v>
      </c>
      <c r="BV389" s="70">
        <f>E389</f>
        <v>53</v>
      </c>
      <c r="BW389" s="71">
        <f>I389</f>
        <v>83</v>
      </c>
      <c r="BX389" s="72">
        <f>M389</f>
        <v>87</v>
      </c>
      <c r="BY389" s="71">
        <f>Q389</f>
        <v>119</v>
      </c>
      <c r="BZ389" s="72">
        <f>U389</f>
        <v>123</v>
      </c>
      <c r="CA389" s="71" t="str">
        <f>Y389</f>
        <v>-</v>
      </c>
      <c r="CB389" s="72">
        <f>AC389</f>
        <v>165</v>
      </c>
      <c r="CC389" s="71">
        <f>AG389</f>
        <v>210</v>
      </c>
      <c r="CD389" s="72">
        <f>AK389</f>
        <v>218</v>
      </c>
      <c r="CE389" s="71">
        <f>AO389</f>
        <v>294</v>
      </c>
      <c r="CF389" s="72">
        <f>AS389</f>
        <v>338</v>
      </c>
      <c r="CG389" s="71">
        <f>AW389</f>
        <v>368</v>
      </c>
      <c r="CH389" s="70">
        <f>G389</f>
        <v>82</v>
      </c>
      <c r="CI389" s="71">
        <f>K389</f>
        <v>86</v>
      </c>
      <c r="CJ389" s="72">
        <f>O389</f>
        <v>118</v>
      </c>
      <c r="CK389" s="72">
        <f>S389</f>
        <v>122</v>
      </c>
      <c r="CL389" s="72">
        <f>W389</f>
        <v>158</v>
      </c>
      <c r="CM389" s="72" t="str">
        <f>AA389</f>
        <v>-</v>
      </c>
      <c r="CN389" s="72">
        <f>AE389</f>
        <v>191</v>
      </c>
      <c r="CO389" s="72">
        <f>AI389</f>
        <v>212</v>
      </c>
      <c r="CP389" s="72">
        <f>AM389</f>
        <v>252</v>
      </c>
      <c r="CQ389" s="72">
        <f>AQ389</f>
        <v>330</v>
      </c>
      <c r="CR389" s="72">
        <f>AU389</f>
        <v>367</v>
      </c>
      <c r="CS389" s="72">
        <f>AY389</f>
        <v>383</v>
      </c>
      <c r="CT389" s="23">
        <f>M389-K389</f>
        <v>1</v>
      </c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</row>
    <row r="390" spans="1:1030" x14ac:dyDescent="0.2">
      <c r="A390" s="3" t="str">
        <f>CONCATENATE(B390,"_",C390)</f>
        <v>ox2r_human_6TPG</v>
      </c>
      <c r="B390" s="3" t="s">
        <v>1169</v>
      </c>
      <c r="C390" s="3" t="s">
        <v>1640</v>
      </c>
      <c r="D390" s="3" t="str">
        <f>IFERROR(MID(VLOOKUP($B390,Seqs!$A:$B,2,0),E390,1),"")</f>
        <v>Y</v>
      </c>
      <c r="E390" s="3">
        <v>53</v>
      </c>
      <c r="F390" s="3" t="str">
        <f>IFERROR(MID(VLOOKUP($B390,Seqs!$A:$B,2,0),G390,1),"")</f>
        <v>N</v>
      </c>
      <c r="G390" s="3">
        <v>82</v>
      </c>
      <c r="H390" s="3" t="str">
        <f>IFERROR(MID(VLOOKUP($B390,Seqs!$A:$B,2,0),I390,1),"")</f>
        <v>H</v>
      </c>
      <c r="I390" s="23">
        <v>83</v>
      </c>
      <c r="J390" s="3" t="str">
        <f>IFERROR(MID(VLOOKUP($B390,Seqs!$A:$B,2,0),K390,1),"")</f>
        <v>R</v>
      </c>
      <c r="K390" s="23">
        <v>86</v>
      </c>
      <c r="L390" s="3" t="str">
        <f>IFERROR(MID(VLOOKUP($B390,Seqs!$A:$B,2,0),M390,1),"")</f>
        <v>T</v>
      </c>
      <c r="M390" s="3">
        <v>87</v>
      </c>
      <c r="N390" s="3" t="str">
        <f>IFERROR(MID(VLOOKUP($B390,Seqs!$A:$B,2,0),O390,1),"")</f>
        <v>E</v>
      </c>
      <c r="O390" s="3">
        <v>118</v>
      </c>
      <c r="P390" s="3" t="str">
        <f>IFERROR(MID(VLOOKUP($B390,Seqs!$A:$B,2,0),Q390,1),"")</f>
        <v>T</v>
      </c>
      <c r="Q390" s="3">
        <v>119</v>
      </c>
      <c r="R390" s="3" t="str">
        <f>IFERROR(MID(VLOOKUP($B390,Seqs!$A:$B,2,0),S390,1),"")</f>
        <v>F</v>
      </c>
      <c r="S390" s="3">
        <v>122</v>
      </c>
      <c r="T390" s="3" t="str">
        <f>IFERROR(MID(VLOOKUP($B390,Seqs!$A:$B,2,0),U390,1),"")</f>
        <v>G</v>
      </c>
      <c r="U390" s="3">
        <v>123</v>
      </c>
      <c r="V390" s="3" t="str">
        <f>IFERROR(MID(VLOOKUP($B390,Seqs!$A:$B,2,0),W390,1),"")</f>
        <v>C</v>
      </c>
      <c r="W390" s="3">
        <v>157</v>
      </c>
      <c r="X390" s="3" t="str">
        <f>IFERROR(MID(VLOOKUP($B390,Seqs!$A:$B,2,0),Y390,1),"")</f>
        <v/>
      </c>
      <c r="Y390" s="3" t="s">
        <v>23</v>
      </c>
      <c r="Z390" s="3" t="str">
        <f>IFERROR(MID(VLOOKUP($B390,Seqs!$A:$B,2,0),AA390,1),"")</f>
        <v/>
      </c>
      <c r="AA390" s="3" t="s">
        <v>23</v>
      </c>
      <c r="AB390" s="3" t="str">
        <f>IFERROR(MID(VLOOKUP($B390,Seqs!$A:$B,2,0),AC390,1),"")</f>
        <v>T</v>
      </c>
      <c r="AC390" s="3">
        <v>165</v>
      </c>
      <c r="AD390" s="3" t="str">
        <f>IFERROR(MID(VLOOKUP($B390,Seqs!$A:$B,2,0),AE390,1),"")</f>
        <v>M</v>
      </c>
      <c r="AE390" s="3">
        <v>191</v>
      </c>
      <c r="AF390" s="3" t="str">
        <f>IFERROR(MID(VLOOKUP($B390,Seqs!$A:$B,2,0),AG390,1),"")</f>
        <v>C</v>
      </c>
      <c r="AG390" s="3">
        <v>210</v>
      </c>
      <c r="AH390" s="3" t="str">
        <f>IFERROR(MID(VLOOKUP($B390,Seqs!$A:$B,2,0),AI390,1),"")</f>
        <v>E</v>
      </c>
      <c r="AI390" s="3">
        <v>212</v>
      </c>
      <c r="AJ390" s="3" t="str">
        <f>IFERROR(MID(VLOOKUP($B390,Seqs!$A:$B,2,0),AK390,1),"")</f>
        <v>I</v>
      </c>
      <c r="AK390" s="3">
        <v>218</v>
      </c>
      <c r="AL390" s="3" t="str">
        <f>IFERROR(MID(VLOOKUP($B390,Seqs!$A:$B,2,0),AM390,1),"")</f>
        <v>C</v>
      </c>
      <c r="AM390" s="3">
        <v>252</v>
      </c>
      <c r="AN390" s="3" t="str">
        <f>IFERROR(MID(VLOOKUP($B390,Seqs!$A:$B,2,0),AO390,1),"")</f>
        <v>K</v>
      </c>
      <c r="AO390" s="3">
        <v>294</v>
      </c>
      <c r="AP390" s="3" t="str">
        <f>IFERROR(MID(VLOOKUP($B390,Seqs!$A:$B,2,0),AQ390,1),"")</f>
        <v>F</v>
      </c>
      <c r="AQ390" s="3">
        <v>330</v>
      </c>
      <c r="AR390" s="3" t="str">
        <f>IFERROR(MID(VLOOKUP($B390,Seqs!$A:$B,2,0),AS390,1),"")</f>
        <v>R</v>
      </c>
      <c r="AS390" s="3">
        <v>339</v>
      </c>
      <c r="AT390" s="3" t="str">
        <f>IFERROR(MID(VLOOKUP($B390,Seqs!$A:$B,2,0),AU390,1),"")</f>
        <v>L</v>
      </c>
      <c r="AU390" s="3">
        <v>367</v>
      </c>
      <c r="AV390" s="3" t="str">
        <f>IFERROR(MID(VLOOKUP($B390,Seqs!$A:$B,2,0),AW390,1),"")</f>
        <v>S</v>
      </c>
      <c r="AW390" s="3">
        <v>368</v>
      </c>
      <c r="AX390" s="3" t="str">
        <f>IFERROR(MID(VLOOKUP($B390,Seqs!$A:$B,2,0),AY390,1),"")</f>
        <v>L</v>
      </c>
      <c r="AY390" s="3">
        <v>384</v>
      </c>
      <c r="AZ390" s="77" t="str">
        <f>VLOOKUP(B390,Classification!A:D,2,0)</f>
        <v>A</v>
      </c>
      <c r="BA390" s="94" t="str">
        <f>VLOOKUP(B390,Classification!A:D,4,0)</f>
        <v>Orexin</v>
      </c>
      <c r="BB390" s="27" t="b">
        <f>AND(E390&lt;G390,OR(G390&lt;I390,I390="-"),OR(I390&lt;K390,I390="-"),OR(K390&lt;M390,K390="-"),M390&lt;O390,OR(O390&lt;Q390,Q390="-"),OR(Q390&lt;S390,Q390="-"),OR(S390&lt;U390,S390="-"),U390&lt;W390,OR(W390&lt;Y390,Y390="-"),OR(Y390&lt;AA390,Y390="-"),OR(AA390&lt;AC390,AA390="-"),AC390&lt;AE390,OR(AE390&lt;AG390,AG390="-"),OR(AG390&lt;AI390,AG390="-"),OR(AI390&lt;AK390,AI390="-"),AK390&lt;AM390,AM390&lt;AO390,AO390&lt;AQ390,AQ390&lt;AS390,AS390&lt;AU390,OR(AU390&lt;AW390,AW390="-"),OR(AW390&lt;AY390,AW390="-"))</f>
        <v>1</v>
      </c>
      <c r="BC390" s="23">
        <f>_xlfn.AGGREGATE(9,6,CH390:CS390)-_xlfn.AGGREGATE(9,6,BV390:CG390)+12</f>
        <v>254</v>
      </c>
      <c r="BD390" s="2" t="s">
        <v>23</v>
      </c>
      <c r="BE390" s="3" t="s">
        <v>1368</v>
      </c>
      <c r="BF390" s="118">
        <v>2.74</v>
      </c>
      <c r="BG390" s="49" t="s">
        <v>1</v>
      </c>
      <c r="BH390" s="49" t="s">
        <v>1</v>
      </c>
      <c r="BI390" s="1"/>
      <c r="BJ390" s="70" t="s">
        <v>1281</v>
      </c>
      <c r="BK390" s="57" t="s">
        <v>1281</v>
      </c>
      <c r="BL390" s="57" t="s">
        <v>1281</v>
      </c>
      <c r="BM390" s="57" t="s">
        <v>1281</v>
      </c>
      <c r="BN390" s="57" t="s">
        <v>1281</v>
      </c>
      <c r="BO390" s="57" t="s">
        <v>1281</v>
      </c>
      <c r="BP390" s="57" t="s">
        <v>1281</v>
      </c>
      <c r="BQ390" s="57" t="s">
        <v>1281</v>
      </c>
      <c r="BR390" s="57" t="s">
        <v>1281</v>
      </c>
      <c r="BS390" s="57" t="s">
        <v>1281</v>
      </c>
      <c r="BT390" s="57" t="s">
        <v>1281</v>
      </c>
      <c r="BU390" s="57" t="s">
        <v>1281</v>
      </c>
      <c r="BV390" s="70">
        <f>E390</f>
        <v>53</v>
      </c>
      <c r="BW390" s="71">
        <f>I390</f>
        <v>83</v>
      </c>
      <c r="BX390" s="72">
        <f>M390</f>
        <v>87</v>
      </c>
      <c r="BY390" s="71">
        <f>Q390</f>
        <v>119</v>
      </c>
      <c r="BZ390" s="72">
        <f>U390</f>
        <v>123</v>
      </c>
      <c r="CA390" s="71" t="str">
        <f>Y390</f>
        <v>-</v>
      </c>
      <c r="CB390" s="72">
        <f>AC390</f>
        <v>165</v>
      </c>
      <c r="CC390" s="71">
        <f>AG390</f>
        <v>210</v>
      </c>
      <c r="CD390" s="72">
        <f>AK390</f>
        <v>218</v>
      </c>
      <c r="CE390" s="71">
        <f>AO390</f>
        <v>294</v>
      </c>
      <c r="CF390" s="72">
        <f>AS390</f>
        <v>339</v>
      </c>
      <c r="CG390" s="71">
        <f>AW390</f>
        <v>368</v>
      </c>
      <c r="CH390" s="70">
        <f>G390</f>
        <v>82</v>
      </c>
      <c r="CI390" s="71">
        <f>K390</f>
        <v>86</v>
      </c>
      <c r="CJ390" s="72">
        <f>O390</f>
        <v>118</v>
      </c>
      <c r="CK390" s="72">
        <f>S390</f>
        <v>122</v>
      </c>
      <c r="CL390" s="72">
        <f>W390</f>
        <v>157</v>
      </c>
      <c r="CM390" s="72" t="str">
        <f>AA390</f>
        <v>-</v>
      </c>
      <c r="CN390" s="72">
        <f>AE390</f>
        <v>191</v>
      </c>
      <c r="CO390" s="72">
        <f>AI390</f>
        <v>212</v>
      </c>
      <c r="CP390" s="72">
        <f>AM390</f>
        <v>252</v>
      </c>
      <c r="CQ390" s="72">
        <f>AQ390</f>
        <v>330</v>
      </c>
      <c r="CR390" s="72">
        <f>AU390</f>
        <v>367</v>
      </c>
      <c r="CS390" s="72">
        <f>AY390</f>
        <v>384</v>
      </c>
      <c r="CT390" s="23">
        <f>M390-K390</f>
        <v>1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</row>
    <row r="391" spans="1:1030" x14ac:dyDescent="0.2">
      <c r="A391" s="3" t="str">
        <f>CONCATENATE(B391,"_",C391)</f>
        <v>ox2r_human_6TPJ</v>
      </c>
      <c r="B391" s="3" t="s">
        <v>1169</v>
      </c>
      <c r="C391" s="3" t="s">
        <v>1641</v>
      </c>
      <c r="D391" s="3" t="str">
        <f>IFERROR(MID(VLOOKUP($B391,Seqs!$A:$B,2,0),E391,1),"")</f>
        <v>Y</v>
      </c>
      <c r="E391" s="3">
        <v>53</v>
      </c>
      <c r="F391" s="3" t="str">
        <f>IFERROR(MID(VLOOKUP($B391,Seqs!$A:$B,2,0),G391,1),"")</f>
        <v>N</v>
      </c>
      <c r="G391" s="3">
        <v>82</v>
      </c>
      <c r="H391" s="3" t="str">
        <f>IFERROR(MID(VLOOKUP($B391,Seqs!$A:$B,2,0),I391,1),"")</f>
        <v>H</v>
      </c>
      <c r="I391" s="23">
        <v>83</v>
      </c>
      <c r="J391" s="3" t="str">
        <f>IFERROR(MID(VLOOKUP($B391,Seqs!$A:$B,2,0),K391,1),"")</f>
        <v>R</v>
      </c>
      <c r="K391" s="23">
        <v>86</v>
      </c>
      <c r="L391" s="3" t="str">
        <f>IFERROR(MID(VLOOKUP($B391,Seqs!$A:$B,2,0),M391,1),"")</f>
        <v>T</v>
      </c>
      <c r="M391" s="3">
        <v>87</v>
      </c>
      <c r="N391" s="3" t="str">
        <f>IFERROR(MID(VLOOKUP($B391,Seqs!$A:$B,2,0),O391,1),"")</f>
        <v>E</v>
      </c>
      <c r="O391" s="3">
        <v>118</v>
      </c>
      <c r="P391" s="3" t="str">
        <f>IFERROR(MID(VLOOKUP($B391,Seqs!$A:$B,2,0),Q391,1),"")</f>
        <v>T</v>
      </c>
      <c r="Q391" s="3">
        <v>119</v>
      </c>
      <c r="R391" s="3" t="str">
        <f>IFERROR(MID(VLOOKUP($B391,Seqs!$A:$B,2,0),S391,1),"")</f>
        <v>F</v>
      </c>
      <c r="S391" s="3">
        <v>122</v>
      </c>
      <c r="T391" s="3" t="str">
        <f>IFERROR(MID(VLOOKUP($B391,Seqs!$A:$B,2,0),U391,1),"")</f>
        <v>G</v>
      </c>
      <c r="U391" s="3">
        <v>123</v>
      </c>
      <c r="V391" s="3" t="str">
        <f>IFERROR(MID(VLOOKUP($B391,Seqs!$A:$B,2,0),W391,1),"")</f>
        <v>C</v>
      </c>
      <c r="W391" s="3">
        <v>157</v>
      </c>
      <c r="X391" s="3" t="str">
        <f>IFERROR(MID(VLOOKUP($B391,Seqs!$A:$B,2,0),Y391,1),"")</f>
        <v/>
      </c>
      <c r="Y391" s="3" t="s">
        <v>23</v>
      </c>
      <c r="Z391" s="3" t="str">
        <f>IFERROR(MID(VLOOKUP($B391,Seqs!$A:$B,2,0),AA391,1),"")</f>
        <v/>
      </c>
      <c r="AA391" s="3" t="s">
        <v>23</v>
      </c>
      <c r="AB391" s="3" t="str">
        <f>IFERROR(MID(VLOOKUP($B391,Seqs!$A:$B,2,0),AC391,1),"")</f>
        <v>T</v>
      </c>
      <c r="AC391" s="3">
        <v>165</v>
      </c>
      <c r="AD391" s="3" t="str">
        <f>IFERROR(MID(VLOOKUP($B391,Seqs!$A:$B,2,0),AE391,1),"")</f>
        <v>M</v>
      </c>
      <c r="AE391" s="3">
        <v>191</v>
      </c>
      <c r="AF391" s="3" t="str">
        <f>IFERROR(MID(VLOOKUP($B391,Seqs!$A:$B,2,0),AG391,1),"")</f>
        <v>C</v>
      </c>
      <c r="AG391" s="3">
        <v>210</v>
      </c>
      <c r="AH391" s="3" t="str">
        <f>IFERROR(MID(VLOOKUP($B391,Seqs!$A:$B,2,0),AI391,1),"")</f>
        <v>E</v>
      </c>
      <c r="AI391" s="3">
        <v>212</v>
      </c>
      <c r="AJ391" s="3" t="str">
        <f>IFERROR(MID(VLOOKUP($B391,Seqs!$A:$B,2,0),AK391,1),"")</f>
        <v>I</v>
      </c>
      <c r="AK391" s="3">
        <v>218</v>
      </c>
      <c r="AL391" s="3" t="str">
        <f>IFERROR(MID(VLOOKUP($B391,Seqs!$A:$B,2,0),AM391,1),"")</f>
        <v>C</v>
      </c>
      <c r="AM391" s="3">
        <v>252</v>
      </c>
      <c r="AN391" s="3" t="str">
        <f>IFERROR(MID(VLOOKUP($B391,Seqs!$A:$B,2,0),AO391,1),"")</f>
        <v>K</v>
      </c>
      <c r="AO391" s="3">
        <v>294</v>
      </c>
      <c r="AP391" s="3" t="str">
        <f>IFERROR(MID(VLOOKUP($B391,Seqs!$A:$B,2,0),AQ391,1),"")</f>
        <v>F</v>
      </c>
      <c r="AQ391" s="3">
        <v>330</v>
      </c>
      <c r="AR391" s="3" t="str">
        <f>IFERROR(MID(VLOOKUP($B391,Seqs!$A:$B,2,0),AS391,1),"")</f>
        <v>R</v>
      </c>
      <c r="AS391" s="3">
        <v>339</v>
      </c>
      <c r="AT391" s="3" t="str">
        <f>IFERROR(MID(VLOOKUP($B391,Seqs!$A:$B,2,0),AU391,1),"")</f>
        <v>L</v>
      </c>
      <c r="AU391" s="3">
        <v>367</v>
      </c>
      <c r="AV391" s="3" t="str">
        <f>IFERROR(MID(VLOOKUP($B391,Seqs!$A:$B,2,0),AW391,1),"")</f>
        <v>S</v>
      </c>
      <c r="AW391" s="3">
        <v>368</v>
      </c>
      <c r="AX391" s="3" t="str">
        <f>IFERROR(MID(VLOOKUP($B391,Seqs!$A:$B,2,0),AY391,1),"")</f>
        <v>L</v>
      </c>
      <c r="AY391" s="3">
        <v>384</v>
      </c>
      <c r="AZ391" s="77" t="str">
        <f>VLOOKUP(B391,Classification!A:D,2,0)</f>
        <v>A</v>
      </c>
      <c r="BA391" s="94" t="str">
        <f>VLOOKUP(B391,Classification!A:D,4,0)</f>
        <v>Orexin</v>
      </c>
      <c r="BB391" s="27" t="b">
        <f>AND(E391&lt;G391,OR(G391&lt;I391,I391="-"),OR(I391&lt;K391,I391="-"),OR(K391&lt;M391,K391="-"),M391&lt;O391,OR(O391&lt;Q391,Q391="-"),OR(Q391&lt;S391,Q391="-"),OR(S391&lt;U391,S391="-"),U391&lt;W391,OR(W391&lt;Y391,Y391="-"),OR(Y391&lt;AA391,Y391="-"),OR(AA391&lt;AC391,AA391="-"),AC391&lt;AE391,OR(AE391&lt;AG391,AG391="-"),OR(AG391&lt;AI391,AG391="-"),OR(AI391&lt;AK391,AI391="-"),AK391&lt;AM391,AM391&lt;AO391,AO391&lt;AQ391,AQ391&lt;AS391,AS391&lt;AU391,OR(AU391&lt;AW391,AW391="-"),OR(AW391&lt;AY391,AW391="-"))</f>
        <v>1</v>
      </c>
      <c r="BC391" s="23">
        <f>_xlfn.AGGREGATE(9,6,CH391:CS391)-_xlfn.AGGREGATE(9,6,BV391:CG391)+12</f>
        <v>254</v>
      </c>
      <c r="BD391" s="2" t="s">
        <v>23</v>
      </c>
      <c r="BE391" s="3" t="s">
        <v>1368</v>
      </c>
      <c r="BF391" s="118">
        <v>2.74</v>
      </c>
      <c r="BG391" s="49" t="s">
        <v>1</v>
      </c>
      <c r="BH391" s="49" t="s">
        <v>1</v>
      </c>
      <c r="BI391" s="1"/>
      <c r="BJ391" s="70" t="s">
        <v>1281</v>
      </c>
      <c r="BK391" s="57" t="s">
        <v>1281</v>
      </c>
      <c r="BL391" s="57" t="s">
        <v>1281</v>
      </c>
      <c r="BM391" s="57" t="s">
        <v>1281</v>
      </c>
      <c r="BN391" s="57" t="s">
        <v>1281</v>
      </c>
      <c r="BO391" s="57" t="s">
        <v>1281</v>
      </c>
      <c r="BP391" s="57" t="s">
        <v>1281</v>
      </c>
      <c r="BQ391" s="57" t="s">
        <v>1281</v>
      </c>
      <c r="BR391" s="57" t="s">
        <v>1281</v>
      </c>
      <c r="BS391" s="57" t="s">
        <v>1281</v>
      </c>
      <c r="BT391" s="57" t="s">
        <v>1281</v>
      </c>
      <c r="BU391" s="57" t="s">
        <v>1281</v>
      </c>
      <c r="BV391" s="70">
        <f>E391</f>
        <v>53</v>
      </c>
      <c r="BW391" s="71">
        <f>I391</f>
        <v>83</v>
      </c>
      <c r="BX391" s="72">
        <f>M391</f>
        <v>87</v>
      </c>
      <c r="BY391" s="71">
        <f>Q391</f>
        <v>119</v>
      </c>
      <c r="BZ391" s="72">
        <f>U391</f>
        <v>123</v>
      </c>
      <c r="CA391" s="71" t="str">
        <f>Y391</f>
        <v>-</v>
      </c>
      <c r="CB391" s="72">
        <f>AC391</f>
        <v>165</v>
      </c>
      <c r="CC391" s="71">
        <f>AG391</f>
        <v>210</v>
      </c>
      <c r="CD391" s="72">
        <f>AK391</f>
        <v>218</v>
      </c>
      <c r="CE391" s="71">
        <f>AO391</f>
        <v>294</v>
      </c>
      <c r="CF391" s="72">
        <f>AS391</f>
        <v>339</v>
      </c>
      <c r="CG391" s="71">
        <f>AW391</f>
        <v>368</v>
      </c>
      <c r="CH391" s="70">
        <f>G391</f>
        <v>82</v>
      </c>
      <c r="CI391" s="71">
        <f>K391</f>
        <v>86</v>
      </c>
      <c r="CJ391" s="72">
        <f>O391</f>
        <v>118</v>
      </c>
      <c r="CK391" s="72">
        <f>S391</f>
        <v>122</v>
      </c>
      <c r="CL391" s="72">
        <f>W391</f>
        <v>157</v>
      </c>
      <c r="CM391" s="72" t="str">
        <f>AA391</f>
        <v>-</v>
      </c>
      <c r="CN391" s="72">
        <f>AE391</f>
        <v>191</v>
      </c>
      <c r="CO391" s="72">
        <f>AI391</f>
        <v>212</v>
      </c>
      <c r="CP391" s="72">
        <f>AM391</f>
        <v>252</v>
      </c>
      <c r="CQ391" s="72">
        <f>AQ391</f>
        <v>330</v>
      </c>
      <c r="CR391" s="72">
        <f>AU391</f>
        <v>367</v>
      </c>
      <c r="CS391" s="72">
        <f>AY391</f>
        <v>384</v>
      </c>
      <c r="CT391" s="23">
        <f>M391-K391</f>
        <v>1</v>
      </c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</row>
    <row r="392" spans="1:1030" x14ac:dyDescent="0.2">
      <c r="A392" s="3" t="str">
        <f>CONCATENATE(B392,"_",C392)</f>
        <v>ox2r_human_6TPN</v>
      </c>
      <c r="B392" s="3" t="s">
        <v>1169</v>
      </c>
      <c r="C392" s="3" t="s">
        <v>1618</v>
      </c>
      <c r="D392" s="3" t="str">
        <f>IFERROR(MID(VLOOKUP($B392,Seqs!$A:$B,2,0),E392,1),"")</f>
        <v>Y</v>
      </c>
      <c r="E392" s="3">
        <v>53</v>
      </c>
      <c r="F392" s="3" t="str">
        <f>IFERROR(MID(VLOOKUP($B392,Seqs!$A:$B,2,0),G392,1),"")</f>
        <v>N</v>
      </c>
      <c r="G392" s="3">
        <v>82</v>
      </c>
      <c r="H392" s="3" t="str">
        <f>IFERROR(MID(VLOOKUP($B392,Seqs!$A:$B,2,0),I392,1),"")</f>
        <v>H</v>
      </c>
      <c r="I392" s="23">
        <v>83</v>
      </c>
      <c r="J392" s="3" t="str">
        <f>IFERROR(MID(VLOOKUP($B392,Seqs!$A:$B,2,0),K392,1),"")</f>
        <v>R</v>
      </c>
      <c r="K392" s="23">
        <v>86</v>
      </c>
      <c r="L392" s="3" t="str">
        <f>IFERROR(MID(VLOOKUP($B392,Seqs!$A:$B,2,0),M392,1),"")</f>
        <v>T</v>
      </c>
      <c r="M392" s="3">
        <v>87</v>
      </c>
      <c r="N392" s="3" t="str">
        <f>IFERROR(MID(VLOOKUP($B392,Seqs!$A:$B,2,0),O392,1),"")</f>
        <v>E</v>
      </c>
      <c r="O392" s="3">
        <v>118</v>
      </c>
      <c r="P392" s="3" t="str">
        <f>IFERROR(MID(VLOOKUP($B392,Seqs!$A:$B,2,0),Q392,1),"")</f>
        <v>T</v>
      </c>
      <c r="Q392" s="3">
        <v>119</v>
      </c>
      <c r="R392" s="3" t="str">
        <f>IFERROR(MID(VLOOKUP($B392,Seqs!$A:$B,2,0),S392,1),"")</f>
        <v>F</v>
      </c>
      <c r="S392" s="3">
        <v>122</v>
      </c>
      <c r="T392" s="3" t="str">
        <f>IFERROR(MID(VLOOKUP($B392,Seqs!$A:$B,2,0),U392,1),"")</f>
        <v>G</v>
      </c>
      <c r="U392" s="3">
        <v>123</v>
      </c>
      <c r="V392" s="3" t="str">
        <f>IFERROR(MID(VLOOKUP($B392,Seqs!$A:$B,2,0),W392,1),"")</f>
        <v>C</v>
      </c>
      <c r="W392" s="3">
        <v>157</v>
      </c>
      <c r="X392" s="3" t="str">
        <f>IFERROR(MID(VLOOKUP($B392,Seqs!$A:$B,2,0),Y392,1),"")</f>
        <v/>
      </c>
      <c r="Y392" s="3" t="s">
        <v>23</v>
      </c>
      <c r="Z392" s="3" t="str">
        <f>IFERROR(MID(VLOOKUP($B392,Seqs!$A:$B,2,0),AA392,1),"")</f>
        <v/>
      </c>
      <c r="AA392" s="3" t="s">
        <v>23</v>
      </c>
      <c r="AB392" s="3" t="str">
        <f>IFERROR(MID(VLOOKUP($B392,Seqs!$A:$B,2,0),AC392,1),"")</f>
        <v>T</v>
      </c>
      <c r="AC392" s="3">
        <v>165</v>
      </c>
      <c r="AD392" s="3" t="str">
        <f>IFERROR(MID(VLOOKUP($B392,Seqs!$A:$B,2,0),AE392,1),"")</f>
        <v>M</v>
      </c>
      <c r="AE392" s="3">
        <v>191</v>
      </c>
      <c r="AF392" s="3" t="str">
        <f>IFERROR(MID(VLOOKUP($B392,Seqs!$A:$B,2,0),AG392,1),"")</f>
        <v>C</v>
      </c>
      <c r="AG392" s="3">
        <v>210</v>
      </c>
      <c r="AH392" s="3" t="str">
        <f>IFERROR(MID(VLOOKUP($B392,Seqs!$A:$B,2,0),AI392,1),"")</f>
        <v>E</v>
      </c>
      <c r="AI392" s="3">
        <v>212</v>
      </c>
      <c r="AJ392" s="3" t="str">
        <f>IFERROR(MID(VLOOKUP($B392,Seqs!$A:$B,2,0),AK392,1),"")</f>
        <v>I</v>
      </c>
      <c r="AK392" s="3">
        <v>218</v>
      </c>
      <c r="AL392" s="3" t="str">
        <f>IFERROR(MID(VLOOKUP($B392,Seqs!$A:$B,2,0),AM392,1),"")</f>
        <v>C</v>
      </c>
      <c r="AM392" s="3">
        <v>252</v>
      </c>
      <c r="AN392" s="3" t="str">
        <f>IFERROR(MID(VLOOKUP($B392,Seqs!$A:$B,2,0),AO392,1),"")</f>
        <v>K</v>
      </c>
      <c r="AO392" s="3">
        <v>294</v>
      </c>
      <c r="AP392" s="3" t="str">
        <f>IFERROR(MID(VLOOKUP($B392,Seqs!$A:$B,2,0),AQ392,1),"")</f>
        <v>F</v>
      </c>
      <c r="AQ392" s="3">
        <v>330</v>
      </c>
      <c r="AR392" s="3" t="str">
        <f>IFERROR(MID(VLOOKUP($B392,Seqs!$A:$B,2,0),AS392,1),"")</f>
        <v>R</v>
      </c>
      <c r="AS392" s="3">
        <v>339</v>
      </c>
      <c r="AT392" s="3" t="str">
        <f>IFERROR(MID(VLOOKUP($B392,Seqs!$A:$B,2,0),AU392,1),"")</f>
        <v>L</v>
      </c>
      <c r="AU392" s="3">
        <v>367</v>
      </c>
      <c r="AV392" s="3" t="str">
        <f>IFERROR(MID(VLOOKUP($B392,Seqs!$A:$B,2,0),AW392,1),"")</f>
        <v>S</v>
      </c>
      <c r="AW392" s="3">
        <v>368</v>
      </c>
      <c r="AX392" s="3" t="str">
        <f>IFERROR(MID(VLOOKUP($B392,Seqs!$A:$B,2,0),AY392,1),"")</f>
        <v>L</v>
      </c>
      <c r="AY392" s="3">
        <v>384</v>
      </c>
      <c r="AZ392" s="77" t="str">
        <f>VLOOKUP(B392,Classification!A:D,2,0)</f>
        <v>A</v>
      </c>
      <c r="BA392" s="94" t="str">
        <f>VLOOKUP(B392,Classification!A:D,4,0)</f>
        <v>Orexin</v>
      </c>
      <c r="BB392" s="27" t="b">
        <f>AND(E392&lt;G392,OR(G392&lt;I392,I392="-"),OR(I392&lt;K392,I392="-"),OR(K392&lt;M392,K392="-"),M392&lt;O392,OR(O392&lt;Q392,Q392="-"),OR(Q392&lt;S392,Q392="-"),OR(S392&lt;U392,S392="-"),U392&lt;W392,OR(W392&lt;Y392,Y392="-"),OR(Y392&lt;AA392,Y392="-"),OR(AA392&lt;AC392,AA392="-"),AC392&lt;AE392,OR(AE392&lt;AG392,AG392="-"),OR(AG392&lt;AI392,AG392="-"),OR(AI392&lt;AK392,AI392="-"),AK392&lt;AM392,AM392&lt;AO392,AO392&lt;AQ392,AQ392&lt;AS392,AS392&lt;AU392,OR(AU392&lt;AW392,AW392="-"),OR(AW392&lt;AY392,AW392="-"))</f>
        <v>1</v>
      </c>
      <c r="BC392" s="23">
        <f>_xlfn.AGGREGATE(9,6,CH392:CS392)-_xlfn.AGGREGATE(9,6,BV392:CG392)+12</f>
        <v>254</v>
      </c>
      <c r="BD392" s="2" t="s">
        <v>23</v>
      </c>
      <c r="BE392" s="3" t="s">
        <v>1368</v>
      </c>
      <c r="BF392" s="118">
        <v>2.61</v>
      </c>
      <c r="BG392" s="49" t="s">
        <v>1</v>
      </c>
      <c r="BH392" s="49" t="s">
        <v>1</v>
      </c>
      <c r="BI392" s="1"/>
      <c r="BJ392" s="70" t="s">
        <v>1281</v>
      </c>
      <c r="BK392" s="57" t="s">
        <v>1281</v>
      </c>
      <c r="BL392" s="57" t="s">
        <v>1281</v>
      </c>
      <c r="BM392" s="57" t="s">
        <v>1281</v>
      </c>
      <c r="BN392" s="57" t="s">
        <v>1281</v>
      </c>
      <c r="BO392" s="57" t="s">
        <v>1281</v>
      </c>
      <c r="BP392" s="57" t="s">
        <v>1281</v>
      </c>
      <c r="BQ392" s="57" t="s">
        <v>1281</v>
      </c>
      <c r="BR392" s="57" t="s">
        <v>1281</v>
      </c>
      <c r="BS392" s="57" t="s">
        <v>1281</v>
      </c>
      <c r="BT392" s="57" t="s">
        <v>1281</v>
      </c>
      <c r="BU392" s="57" t="s">
        <v>1281</v>
      </c>
      <c r="BV392" s="70">
        <f>E392</f>
        <v>53</v>
      </c>
      <c r="BW392" s="71">
        <f>I392</f>
        <v>83</v>
      </c>
      <c r="BX392" s="72">
        <f>M392</f>
        <v>87</v>
      </c>
      <c r="BY392" s="71">
        <f>Q392</f>
        <v>119</v>
      </c>
      <c r="BZ392" s="72">
        <f>U392</f>
        <v>123</v>
      </c>
      <c r="CA392" s="71" t="str">
        <f>Y392</f>
        <v>-</v>
      </c>
      <c r="CB392" s="72">
        <f>AC392</f>
        <v>165</v>
      </c>
      <c r="CC392" s="71">
        <f>AG392</f>
        <v>210</v>
      </c>
      <c r="CD392" s="72">
        <f>AK392</f>
        <v>218</v>
      </c>
      <c r="CE392" s="71">
        <f>AO392</f>
        <v>294</v>
      </c>
      <c r="CF392" s="72">
        <f>AS392</f>
        <v>339</v>
      </c>
      <c r="CG392" s="71">
        <f>AW392</f>
        <v>368</v>
      </c>
      <c r="CH392" s="70">
        <f>G392</f>
        <v>82</v>
      </c>
      <c r="CI392" s="71">
        <f>K392</f>
        <v>86</v>
      </c>
      <c r="CJ392" s="72">
        <f>O392</f>
        <v>118</v>
      </c>
      <c r="CK392" s="72">
        <f>S392</f>
        <v>122</v>
      </c>
      <c r="CL392" s="72">
        <f>W392</f>
        <v>157</v>
      </c>
      <c r="CM392" s="72" t="str">
        <f>AA392</f>
        <v>-</v>
      </c>
      <c r="CN392" s="72">
        <f>AE392</f>
        <v>191</v>
      </c>
      <c r="CO392" s="72">
        <f>AI392</f>
        <v>212</v>
      </c>
      <c r="CP392" s="72">
        <f>AM392</f>
        <v>252</v>
      </c>
      <c r="CQ392" s="72">
        <f>AQ392</f>
        <v>330</v>
      </c>
      <c r="CR392" s="72">
        <f>AU392</f>
        <v>367</v>
      </c>
      <c r="CS392" s="72">
        <f>AY392</f>
        <v>384</v>
      </c>
      <c r="CT392" s="23">
        <f>M392-K392</f>
        <v>1</v>
      </c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</row>
    <row r="393" spans="1:1030" s="12" customFormat="1" x14ac:dyDescent="0.2">
      <c r="A393" s="9" t="str">
        <f t="shared" ref="A393:A394" si="3858">CONCATENATE(B393,"_",C393)</f>
        <v>oxyr_human__wt</v>
      </c>
      <c r="B393" s="9" t="s">
        <v>343</v>
      </c>
      <c r="C393" s="9" t="s">
        <v>100</v>
      </c>
      <c r="D393" s="9" t="str">
        <f>IFERROR(MID(VLOOKUP($B393,Seqs!$A:$B,2,0),E393,1),"")</f>
        <v>N</v>
      </c>
      <c r="E393" s="9">
        <v>35</v>
      </c>
      <c r="F393" s="9" t="str">
        <f>IFERROR(MID(VLOOKUP($B393,Seqs!$A:$B,2,0),G393,1),"")</f>
        <v>T</v>
      </c>
      <c r="G393" s="9">
        <v>67</v>
      </c>
      <c r="H393" s="9" t="str">
        <f>IFERROR(MID(VLOOKUP($B393,Seqs!$A:$B,2,0),I393,1),"")</f>
        <v>R</v>
      </c>
      <c r="I393" s="109">
        <v>68</v>
      </c>
      <c r="J393" s="9" t="str">
        <f>IFERROR(MID(VLOOKUP($B393,Seqs!$A:$B,2,0),K393,1),"")</f>
        <v>H</v>
      </c>
      <c r="K393" s="109">
        <v>71</v>
      </c>
      <c r="L393" s="9" t="str">
        <f>IFERROR(MID(VLOOKUP($B393,Seqs!$A:$B,2,0),M393,1),"")</f>
        <v>S</v>
      </c>
      <c r="M393" s="9">
        <v>72</v>
      </c>
      <c r="N393" s="9" t="str">
        <f>IFERROR(MID(VLOOKUP($B393,Seqs!$A:$B,2,0),O393,1),"")</f>
        <v>T</v>
      </c>
      <c r="O393" s="9">
        <v>102</v>
      </c>
      <c r="P393" s="9" t="str">
        <f>IFERROR(MID(VLOOKUP($B393,Seqs!$A:$B,2,0),Q393,1),"")</f>
        <v>R</v>
      </c>
      <c r="Q393" s="9">
        <v>104</v>
      </c>
      <c r="R393" s="9" t="str">
        <f>IFERROR(MID(VLOOKUP($B393,Seqs!$A:$B,2,0),S393,1),"")</f>
        <v>G</v>
      </c>
      <c r="S393" s="9">
        <v>107</v>
      </c>
      <c r="T393" s="9" t="str">
        <f>IFERROR(MID(VLOOKUP($B393,Seqs!$A:$B,2,0),U393,1),"")</f>
        <v>P</v>
      </c>
      <c r="U393" s="9">
        <v>108</v>
      </c>
      <c r="V393" s="9" t="str">
        <f>IFERROR(MID(VLOOKUP($B393,Seqs!$A:$B,2,0),W393,1),"")</f>
        <v>Q</v>
      </c>
      <c r="W393" s="9">
        <v>143</v>
      </c>
      <c r="X393" s="9" t="str">
        <f>IFERROR(MID(VLOOKUP($B393,Seqs!$A:$B,2,0),Y393,1),"")</f>
        <v/>
      </c>
      <c r="Y393" s="9" t="s">
        <v>23</v>
      </c>
      <c r="Z393" s="9" t="str">
        <f>IFERROR(MID(VLOOKUP($B393,Seqs!$A:$B,2,0),AA393,1),"")</f>
        <v/>
      </c>
      <c r="AA393" s="9" t="s">
        <v>23</v>
      </c>
      <c r="AB393" s="9" t="str">
        <f>IFERROR(MID(VLOOKUP($B393,Seqs!$A:$B,2,0),AC393,1),"")</f>
        <v>R</v>
      </c>
      <c r="AC393" s="9">
        <v>149</v>
      </c>
      <c r="AD393" s="9" t="str">
        <f>IFERROR(MID(VLOOKUP($B393,Seqs!$A:$B,2,0),AE393,1),"")</f>
        <v>F</v>
      </c>
      <c r="AE393" s="9">
        <v>175</v>
      </c>
      <c r="AF393" s="9" t="str">
        <f>IFERROR(MID(VLOOKUP($B393,Seqs!$A:$B,2,0),AG393,1),"")</f>
        <v>C</v>
      </c>
      <c r="AG393" s="9">
        <v>187</v>
      </c>
      <c r="AH393" s="9" t="str">
        <f>IFERROR(MID(VLOOKUP($B393,Seqs!$A:$B,2,0),AI393,1),"")</f>
        <v>A</v>
      </c>
      <c r="AI393" s="9">
        <v>189</v>
      </c>
      <c r="AJ393" s="9" t="str">
        <f>IFERROR(MID(VLOOKUP($B393,Seqs!$A:$B,2,0),AK393,1),"")</f>
        <v>W</v>
      </c>
      <c r="AK393" s="9">
        <v>195</v>
      </c>
      <c r="AL393" s="9" t="str">
        <f>IFERROR(MID(VLOOKUP($B393,Seqs!$A:$B,2,0),AM393,1),"")</f>
        <v>A</v>
      </c>
      <c r="AM393" s="9">
        <v>238</v>
      </c>
      <c r="AN393" s="9" t="str">
        <f>IFERROR(MID(VLOOKUP($B393,Seqs!$A:$B,2,0),AO393,1),"")</f>
        <v>K</v>
      </c>
      <c r="AO393" s="9">
        <v>264</v>
      </c>
      <c r="AP393" s="9" t="str">
        <f>IFERROR(MID(VLOOKUP($B393,Seqs!$A:$B,2,0),AQ393,1),"")</f>
        <v>W</v>
      </c>
      <c r="AQ393" s="9">
        <v>300</v>
      </c>
      <c r="AR393" s="9" t="str">
        <f>IFERROR(MID(VLOOKUP($B393,Seqs!$A:$B,2,0),AS393,1),"")</f>
        <v>K</v>
      </c>
      <c r="AS393" s="9">
        <v>306</v>
      </c>
      <c r="AT393" s="9" t="str">
        <f>IFERROR(MID(VLOOKUP($B393,Seqs!$A:$B,2,0),AU393,1),"")</f>
        <v>F</v>
      </c>
      <c r="AU393" s="9">
        <v>332</v>
      </c>
      <c r="AV393" s="9" t="str">
        <f>IFERROR(MID(VLOOKUP($B393,Seqs!$A:$B,2,0),AW393,1),"")</f>
        <v>T</v>
      </c>
      <c r="AW393" s="9">
        <v>333</v>
      </c>
      <c r="AX393" s="9" t="str">
        <f>IFERROR(MID(VLOOKUP($B393,Seqs!$A:$B,2,0),AY393,1),"")</f>
        <v>A</v>
      </c>
      <c r="AY393" s="9">
        <v>349</v>
      </c>
      <c r="AZ393" s="110" t="str">
        <f>VLOOKUP(B393,Classification!A:D,2,0)</f>
        <v>A</v>
      </c>
      <c r="BA393" s="98" t="str">
        <f>VLOOKUP(B393,Classification!A:D,4,0)</f>
        <v>Vasopressinandoxytocin</v>
      </c>
      <c r="BB393" s="36" t="b">
        <f t="shared" ref="BB393:BB394" si="3859">AND(E393&lt;G393,OR(G393&lt;I393,I393="-"),OR(I393&lt;K393,I393="-"),OR(K393&lt;M393,K393="-"),M393&lt;O393,OR(O393&lt;Q393,Q393="-"),OR(Q393&lt;S393,Q393="-"),OR(S393&lt;U393,S393="-"),U393&lt;W393,OR(W393&lt;Y393,Y393="-"),OR(Y393&lt;AA393,Y393="-"),OR(AA393&lt;AC393,AA393="-"),AC393&lt;AE393,OR(AE393&lt;AG393,AG393="-"),OR(AG393&lt;AI393,AG393="-"),OR(AI393&lt;AK393,AI393="-"),AK393&lt;AM393,AM393&lt;AO393,AO393&lt;AQ393,AQ393&lt;AS393,AS393&lt;AU393,OR(AU393&lt;AW393,AW393="-"),OR(AW393&lt;AY393,AW393="-"))</f>
        <v>1</v>
      </c>
      <c r="BC393" s="109">
        <f t="shared" ref="BC393:BC394" si="3860">_xlfn.AGGREGATE(9,6,CH393:CS393)-_xlfn.AGGREGATE(9,6,BV393:CG393)+12</f>
        <v>264</v>
      </c>
      <c r="BD393" s="40" t="s">
        <v>23</v>
      </c>
      <c r="BE393" s="9" t="s">
        <v>23</v>
      </c>
      <c r="BF393" s="119" t="s">
        <v>23</v>
      </c>
      <c r="BG393" s="51" t="s">
        <v>23</v>
      </c>
      <c r="BH393" s="51" t="s">
        <v>23</v>
      </c>
      <c r="BJ393" s="111" t="s">
        <v>1281</v>
      </c>
      <c r="BK393" s="112" t="s">
        <v>1281</v>
      </c>
      <c r="BL393" s="112" t="s">
        <v>1281</v>
      </c>
      <c r="BM393" s="112" t="s">
        <v>1281</v>
      </c>
      <c r="BN393" s="112" t="s">
        <v>1281</v>
      </c>
      <c r="BO393" s="112" t="s">
        <v>1281</v>
      </c>
      <c r="BP393" s="112" t="s">
        <v>1281</v>
      </c>
      <c r="BQ393" s="112" t="s">
        <v>1281</v>
      </c>
      <c r="BR393" s="112" t="s">
        <v>1281</v>
      </c>
      <c r="BS393" s="112" t="s">
        <v>1281</v>
      </c>
      <c r="BT393" s="112" t="s">
        <v>1281</v>
      </c>
      <c r="BU393" s="112" t="s">
        <v>1281</v>
      </c>
      <c r="BV393" s="111">
        <f t="shared" ref="BV393:BV394" si="3861">E393</f>
        <v>35</v>
      </c>
      <c r="BW393" s="113">
        <f t="shared" ref="BW393:BW394" si="3862">I393</f>
        <v>68</v>
      </c>
      <c r="BX393" s="114">
        <f t="shared" ref="BX393:BX394" si="3863">M393</f>
        <v>72</v>
      </c>
      <c r="BY393" s="113">
        <f t="shared" ref="BY393:BY394" si="3864">Q393</f>
        <v>104</v>
      </c>
      <c r="BZ393" s="114">
        <f t="shared" ref="BZ393:BZ394" si="3865">U393</f>
        <v>108</v>
      </c>
      <c r="CA393" s="113" t="str">
        <f t="shared" ref="CA393:CA394" si="3866">Y393</f>
        <v>-</v>
      </c>
      <c r="CB393" s="114">
        <f t="shared" ref="CB393:CB394" si="3867">AC393</f>
        <v>149</v>
      </c>
      <c r="CC393" s="113">
        <f t="shared" ref="CC393:CC394" si="3868">AG393</f>
        <v>187</v>
      </c>
      <c r="CD393" s="114">
        <f t="shared" ref="CD393:CD394" si="3869">AK393</f>
        <v>195</v>
      </c>
      <c r="CE393" s="113">
        <f t="shared" ref="CE393:CE394" si="3870">AO393</f>
        <v>264</v>
      </c>
      <c r="CF393" s="114">
        <f t="shared" ref="CF393:CF394" si="3871">AS393</f>
        <v>306</v>
      </c>
      <c r="CG393" s="113">
        <f t="shared" ref="CG393:CG394" si="3872">AW393</f>
        <v>333</v>
      </c>
      <c r="CH393" s="111">
        <f t="shared" ref="CH393:CH394" si="3873">G393</f>
        <v>67</v>
      </c>
      <c r="CI393" s="113">
        <f t="shared" ref="CI393:CI394" si="3874">K393</f>
        <v>71</v>
      </c>
      <c r="CJ393" s="114">
        <f t="shared" ref="CJ393:CJ394" si="3875">O393</f>
        <v>102</v>
      </c>
      <c r="CK393" s="114">
        <f t="shared" ref="CK393:CK394" si="3876">S393</f>
        <v>107</v>
      </c>
      <c r="CL393" s="114">
        <f t="shared" ref="CL393:CL394" si="3877">W393</f>
        <v>143</v>
      </c>
      <c r="CM393" s="114" t="str">
        <f t="shared" ref="CM393:CM394" si="3878">AA393</f>
        <v>-</v>
      </c>
      <c r="CN393" s="114">
        <f t="shared" ref="CN393:CN394" si="3879">AE393</f>
        <v>175</v>
      </c>
      <c r="CO393" s="114">
        <f t="shared" ref="CO393:CO394" si="3880">AI393</f>
        <v>189</v>
      </c>
      <c r="CP393" s="114">
        <f t="shared" ref="CP393:CP394" si="3881">AM393</f>
        <v>238</v>
      </c>
      <c r="CQ393" s="114">
        <f t="shared" ref="CQ393:CQ394" si="3882">AQ393</f>
        <v>300</v>
      </c>
      <c r="CR393" s="114">
        <f t="shared" ref="CR393:CR394" si="3883">AU393</f>
        <v>332</v>
      </c>
      <c r="CS393" s="114">
        <f t="shared" ref="CS393:CS394" si="3884">AY393</f>
        <v>349</v>
      </c>
      <c r="CT393" s="109">
        <f t="shared" ref="CT393:CT394" si="3885">M393-K393</f>
        <v>1</v>
      </c>
    </row>
    <row r="394" spans="1:1030" s="12" customFormat="1" x14ac:dyDescent="0.2">
      <c r="A394" s="9" t="str">
        <f t="shared" si="3858"/>
        <v>oxyr_human_6TPK</v>
      </c>
      <c r="B394" s="9" t="s">
        <v>343</v>
      </c>
      <c r="C394" s="9" t="s">
        <v>1697</v>
      </c>
      <c r="D394" s="9" t="str">
        <f>IFERROR(MID(VLOOKUP($B394,Seqs!$A:$B,2,0),E394,1),"")</f>
        <v>N</v>
      </c>
      <c r="E394" s="9">
        <v>35</v>
      </c>
      <c r="F394" s="9" t="str">
        <f>IFERROR(MID(VLOOKUP($B394,Seqs!$A:$B,2,0),G394,1),"")</f>
        <v>R</v>
      </c>
      <c r="G394" s="9">
        <v>65</v>
      </c>
      <c r="H394" s="9" t="str">
        <f>IFERROR(MID(VLOOKUP($B394,Seqs!$A:$B,2,0),I394,1),"")</f>
        <v/>
      </c>
      <c r="I394" s="109" t="s">
        <v>23</v>
      </c>
      <c r="J394" s="9" t="str">
        <f>IFERROR(MID(VLOOKUP($B394,Seqs!$A:$B,2,0),K394,1),"")</f>
        <v/>
      </c>
      <c r="K394" s="109" t="s">
        <v>23</v>
      </c>
      <c r="L394" s="9" t="str">
        <f>IFERROR(MID(VLOOKUP($B394,Seqs!$A:$B,2,0),M394,1),"")</f>
        <v>R</v>
      </c>
      <c r="M394" s="9">
        <v>73</v>
      </c>
      <c r="N394" s="9" t="str">
        <f>IFERROR(MID(VLOOKUP($B394,Seqs!$A:$B,2,0),O394,1),"")</f>
        <v>T</v>
      </c>
      <c r="O394" s="9">
        <v>102</v>
      </c>
      <c r="P394" s="9" t="str">
        <f>IFERROR(MID(VLOOKUP($B394,Seqs!$A:$B,2,0),Q394,1),"")</f>
        <v>R</v>
      </c>
      <c r="Q394" s="9">
        <v>104</v>
      </c>
      <c r="R394" s="9" t="str">
        <f>IFERROR(MID(VLOOKUP($B394,Seqs!$A:$B,2,0),S394,1),"")</f>
        <v>G</v>
      </c>
      <c r="S394" s="9">
        <v>107</v>
      </c>
      <c r="T394" s="9" t="str">
        <f>IFERROR(MID(VLOOKUP($B394,Seqs!$A:$B,2,0),U394,1),"")</f>
        <v>P</v>
      </c>
      <c r="U394" s="9">
        <v>108</v>
      </c>
      <c r="V394" s="9" t="str">
        <f>IFERROR(MID(VLOOKUP($B394,Seqs!$A:$B,2,0),W394,1),"")</f>
        <v>Q</v>
      </c>
      <c r="W394" s="9">
        <v>143</v>
      </c>
      <c r="X394" s="9" t="str">
        <f>IFERROR(MID(VLOOKUP($B394,Seqs!$A:$B,2,0),Y394,1),"")</f>
        <v/>
      </c>
      <c r="Y394" s="9" t="s">
        <v>23</v>
      </c>
      <c r="Z394" s="9" t="str">
        <f>IFERROR(MID(VLOOKUP($B394,Seqs!$A:$B,2,0),AA394,1),"")</f>
        <v/>
      </c>
      <c r="AA394" s="9" t="s">
        <v>23</v>
      </c>
      <c r="AB394" s="9" t="str">
        <f>IFERROR(MID(VLOOKUP($B394,Seqs!$A:$B,2,0),AC394,1),"")</f>
        <v>R</v>
      </c>
      <c r="AC394" s="9">
        <v>149</v>
      </c>
      <c r="AD394" s="9" t="str">
        <f>IFERROR(MID(VLOOKUP($B394,Seqs!$A:$B,2,0),AE394,1),"")</f>
        <v>F</v>
      </c>
      <c r="AE394" s="9">
        <v>175</v>
      </c>
      <c r="AF394" s="9" t="str">
        <f>IFERROR(MID(VLOOKUP($B394,Seqs!$A:$B,2,0),AG394,1),"")</f>
        <v>C</v>
      </c>
      <c r="AG394" s="9">
        <v>187</v>
      </c>
      <c r="AH394" s="9" t="str">
        <f>IFERROR(MID(VLOOKUP($B394,Seqs!$A:$B,2,0),AI394,1),"")</f>
        <v>A</v>
      </c>
      <c r="AI394" s="9">
        <v>189</v>
      </c>
      <c r="AJ394" s="9" t="str">
        <f>IFERROR(MID(VLOOKUP($B394,Seqs!$A:$B,2,0),AK394,1),"")</f>
        <v>W</v>
      </c>
      <c r="AK394" s="9">
        <v>195</v>
      </c>
      <c r="AL394" s="9" t="str">
        <f>IFERROR(MID(VLOOKUP($B394,Seqs!$A:$B,2,0),AM394,1),"")</f>
        <v>Q</v>
      </c>
      <c r="AM394" s="9">
        <v>229</v>
      </c>
      <c r="AN394" s="9" t="str">
        <f>IFERROR(MID(VLOOKUP($B394,Seqs!$A:$B,2,0),AO394,1),"")</f>
        <v>S</v>
      </c>
      <c r="AO394" s="9">
        <v>267</v>
      </c>
      <c r="AP394" s="9" t="str">
        <f>IFERROR(MID(VLOOKUP($B394,Seqs!$A:$B,2,0),AQ394,1),"")</f>
        <v>W</v>
      </c>
      <c r="AQ394" s="9">
        <v>300</v>
      </c>
      <c r="AR394" s="9" t="str">
        <f>IFERROR(MID(VLOOKUP($B394,Seqs!$A:$B,2,0),AS394,1),"")</f>
        <v>K</v>
      </c>
      <c r="AS394" s="9">
        <v>306</v>
      </c>
      <c r="AT394" s="9" t="str">
        <f>IFERROR(MID(VLOOKUP($B394,Seqs!$A:$B,2,0),AU394,1),"")</f>
        <v>T</v>
      </c>
      <c r="AU394" s="9">
        <v>333</v>
      </c>
      <c r="AV394" s="9" t="str">
        <f>IFERROR(MID(VLOOKUP($B394,Seqs!$A:$B,2,0),AW394,1),"")</f>
        <v/>
      </c>
      <c r="AW394" s="9" t="s">
        <v>23</v>
      </c>
      <c r="AX394" s="9" t="str">
        <f>IFERROR(MID(VLOOKUP($B394,Seqs!$A:$B,2,0),AY394,1),"")</f>
        <v/>
      </c>
      <c r="AY394" s="9" t="s">
        <v>23</v>
      </c>
      <c r="AZ394" s="110" t="str">
        <f>VLOOKUP(B394,Classification!A:D,2,0)</f>
        <v>A</v>
      </c>
      <c r="BA394" s="98" t="str">
        <f>VLOOKUP(B394,Classification!A:D,4,0)</f>
        <v>Vasopressinandoxytocin</v>
      </c>
      <c r="BB394" s="36" t="b">
        <f t="shared" si="3859"/>
        <v>1</v>
      </c>
      <c r="BC394" s="109">
        <f t="shared" si="3860"/>
        <v>231</v>
      </c>
      <c r="BD394" s="40" t="s">
        <v>1370</v>
      </c>
      <c r="BE394" s="9" t="s">
        <v>1368</v>
      </c>
      <c r="BF394" s="119">
        <v>3.2</v>
      </c>
      <c r="BG394" s="51" t="s">
        <v>1</v>
      </c>
      <c r="BH394" s="51" t="s">
        <v>1</v>
      </c>
      <c r="BJ394" s="111" t="s">
        <v>1281</v>
      </c>
      <c r="BK394" s="112" t="s">
        <v>1281</v>
      </c>
      <c r="BL394" s="112" t="s">
        <v>1281</v>
      </c>
      <c r="BM394" s="112" t="s">
        <v>1281</v>
      </c>
      <c r="BN394" s="112" t="s">
        <v>1281</v>
      </c>
      <c r="BO394" s="112" t="s">
        <v>1281</v>
      </c>
      <c r="BP394" s="112" t="s">
        <v>1281</v>
      </c>
      <c r="BQ394" s="112" t="s">
        <v>1281</v>
      </c>
      <c r="BR394" s="112" t="s">
        <v>1281</v>
      </c>
      <c r="BS394" s="112" t="s">
        <v>1281</v>
      </c>
      <c r="BT394" s="112" t="s">
        <v>1281</v>
      </c>
      <c r="BU394" s="112" t="s">
        <v>1281</v>
      </c>
      <c r="BV394" s="111">
        <f t="shared" si="3861"/>
        <v>35</v>
      </c>
      <c r="BW394" s="113" t="str">
        <f t="shared" si="3862"/>
        <v>-</v>
      </c>
      <c r="BX394" s="114">
        <f t="shared" si="3863"/>
        <v>73</v>
      </c>
      <c r="BY394" s="113">
        <f t="shared" si="3864"/>
        <v>104</v>
      </c>
      <c r="BZ394" s="114">
        <f t="shared" si="3865"/>
        <v>108</v>
      </c>
      <c r="CA394" s="113" t="str">
        <f t="shared" si="3866"/>
        <v>-</v>
      </c>
      <c r="CB394" s="114">
        <f t="shared" si="3867"/>
        <v>149</v>
      </c>
      <c r="CC394" s="113">
        <f t="shared" si="3868"/>
        <v>187</v>
      </c>
      <c r="CD394" s="114">
        <f t="shared" si="3869"/>
        <v>195</v>
      </c>
      <c r="CE394" s="113">
        <f t="shared" si="3870"/>
        <v>267</v>
      </c>
      <c r="CF394" s="114">
        <f t="shared" si="3871"/>
        <v>306</v>
      </c>
      <c r="CG394" s="113" t="str">
        <f t="shared" si="3872"/>
        <v>-</v>
      </c>
      <c r="CH394" s="111">
        <f t="shared" si="3873"/>
        <v>65</v>
      </c>
      <c r="CI394" s="113" t="str">
        <f t="shared" si="3874"/>
        <v>-</v>
      </c>
      <c r="CJ394" s="114">
        <f t="shared" si="3875"/>
        <v>102</v>
      </c>
      <c r="CK394" s="114">
        <f t="shared" si="3876"/>
        <v>107</v>
      </c>
      <c r="CL394" s="114">
        <f t="shared" si="3877"/>
        <v>143</v>
      </c>
      <c r="CM394" s="114" t="str">
        <f t="shared" si="3878"/>
        <v>-</v>
      </c>
      <c r="CN394" s="114">
        <f t="shared" si="3879"/>
        <v>175</v>
      </c>
      <c r="CO394" s="114">
        <f t="shared" si="3880"/>
        <v>189</v>
      </c>
      <c r="CP394" s="114">
        <f t="shared" si="3881"/>
        <v>229</v>
      </c>
      <c r="CQ394" s="114">
        <f t="shared" si="3882"/>
        <v>300</v>
      </c>
      <c r="CR394" s="114">
        <f t="shared" si="3883"/>
        <v>333</v>
      </c>
      <c r="CS394" s="114" t="str">
        <f t="shared" si="3884"/>
        <v>-</v>
      </c>
      <c r="CT394" s="109" t="e">
        <f t="shared" si="3885"/>
        <v>#VALUE!</v>
      </c>
    </row>
    <row r="395" spans="1:1030" x14ac:dyDescent="0.2">
      <c r="A395" s="3" t="str">
        <f t="shared" si="3240"/>
        <v>p2ry1_human__wt</v>
      </c>
      <c r="B395" s="3" t="s">
        <v>344</v>
      </c>
      <c r="C395" s="3" t="s">
        <v>100</v>
      </c>
      <c r="D395" s="3" t="str">
        <f>IFERROR(MID(VLOOKUP($B395,Seqs!$A:$B,2,0),E395,1),"")</f>
        <v>F</v>
      </c>
      <c r="E395" s="3">
        <v>49</v>
      </c>
      <c r="F395" s="3" t="str">
        <f>IFERROR(MID(VLOOKUP($B395,Seqs!$A:$B,2,0),G395,1),"")</f>
        <v>H</v>
      </c>
      <c r="G395" s="3">
        <v>79</v>
      </c>
      <c r="H395" s="3" t="str">
        <f>IFERROR(MID(VLOOKUP($B395,Seqs!$A:$B,2,0),I395,1),"")</f>
        <v/>
      </c>
      <c r="I395" s="23" t="s">
        <v>23</v>
      </c>
      <c r="J395" s="3" t="str">
        <f>IFERROR(MID(VLOOKUP($B395,Seqs!$A:$B,2,0),K395,1),"")</f>
        <v/>
      </c>
      <c r="K395" s="23" t="s">
        <v>23</v>
      </c>
      <c r="L395" s="3" t="str">
        <f>IFERROR(MID(VLOOKUP($B395,Seqs!$A:$B,2,0),M395,1),"")</f>
        <v>S</v>
      </c>
      <c r="M395" s="3">
        <v>84</v>
      </c>
      <c r="N395" s="3" t="str">
        <f>IFERROR(MID(VLOOKUP($B395,Seqs!$A:$B,2,0),O395,1),"")</f>
        <v>N</v>
      </c>
      <c r="O395" s="3">
        <v>113</v>
      </c>
      <c r="P395" s="3" t="str">
        <f>IFERROR(MID(VLOOKUP($B395,Seqs!$A:$B,2,0),Q395,1),"")</f>
        <v>D</v>
      </c>
      <c r="Q395" s="3">
        <v>116</v>
      </c>
      <c r="R395" s="3" t="str">
        <f>IFERROR(MID(VLOOKUP($B395,Seqs!$A:$B,2,0),S395,1),"")</f>
        <v>F</v>
      </c>
      <c r="S395" s="3">
        <v>119</v>
      </c>
      <c r="T395" s="3" t="str">
        <f>IFERROR(MID(VLOOKUP($B395,Seqs!$A:$B,2,0),U395,1),"")</f>
        <v>G</v>
      </c>
      <c r="U395" s="3">
        <v>120</v>
      </c>
      <c r="V395" s="3" t="str">
        <f>IFERROR(MID(VLOOKUP($B395,Seqs!$A:$B,2,0),W395,1),"")</f>
        <v>Y</v>
      </c>
      <c r="W395" s="3">
        <v>155</v>
      </c>
      <c r="X395" s="3" t="str">
        <f>IFERROR(MID(VLOOKUP($B395,Seqs!$A:$B,2,0),Y395,1),"")</f>
        <v>P</v>
      </c>
      <c r="Y395" s="3">
        <v>156</v>
      </c>
      <c r="Z395" s="3" t="str">
        <f>IFERROR(MID(VLOOKUP($B395,Seqs!$A:$B,2,0),AA395,1),"")</f>
        <v>L</v>
      </c>
      <c r="AA395" s="3">
        <v>163</v>
      </c>
      <c r="AB395" s="3" t="str">
        <f>IFERROR(MID(VLOOKUP($B395,Seqs!$A:$B,2,0),AC395,1),"")</f>
        <v>K</v>
      </c>
      <c r="AC395" s="3">
        <v>164</v>
      </c>
      <c r="AD395" s="3" t="str">
        <f>IFERROR(MID(VLOOKUP($B395,Seqs!$A:$B,2,0),AE395,1),"")</f>
        <v>S</v>
      </c>
      <c r="AE395" s="3">
        <v>190</v>
      </c>
      <c r="AF395" s="3" t="str">
        <f>IFERROR(MID(VLOOKUP($B395,Seqs!$A:$B,2,0),AG395,1),"")</f>
        <v>C</v>
      </c>
      <c r="AG395" s="3">
        <v>202</v>
      </c>
      <c r="AH395" s="3" t="str">
        <f>IFERROR(MID(VLOOKUP($B395,Seqs!$A:$B,2,0),AI395,1),"")</f>
        <v>D</v>
      </c>
      <c r="AI395" s="3">
        <v>204</v>
      </c>
      <c r="AJ395" s="3" t="str">
        <f>IFERROR(MID(VLOOKUP($B395,Seqs!$A:$B,2,0),AK395,1),"")</f>
        <v>L</v>
      </c>
      <c r="AK395" s="3">
        <v>211</v>
      </c>
      <c r="AL395" s="3" t="str">
        <f>IFERROR(MID(VLOOKUP($B395,Seqs!$A:$B,2,0),AM395,1),"")</f>
        <v>K</v>
      </c>
      <c r="AM395" s="3">
        <v>247</v>
      </c>
      <c r="AN395" s="3" t="str">
        <f>IFERROR(MID(VLOOKUP($B395,Seqs!$A:$B,2,0),AO395,1),"")</f>
        <v>P</v>
      </c>
      <c r="AO395" s="3">
        <v>253</v>
      </c>
      <c r="AP395" s="3" t="str">
        <f>IFERROR(MID(VLOOKUP($B395,Seqs!$A:$B,2,0),AQ395,1),"")</f>
        <v>D</v>
      </c>
      <c r="AQ395" s="3">
        <v>289</v>
      </c>
      <c r="AR395" s="3" t="str">
        <f>IFERROR(MID(VLOOKUP($B395,Seqs!$A:$B,2,0),AS395,1),"")</f>
        <v>M</v>
      </c>
      <c r="AS395" s="3">
        <v>295</v>
      </c>
      <c r="AT395" s="3" t="str">
        <f>IFERROR(MID(VLOOKUP($B395,Seqs!$A:$B,2,0),AU395,1),"")</f>
        <v>A</v>
      </c>
      <c r="AU395" s="3">
        <v>327</v>
      </c>
      <c r="AV395" s="3" t="str">
        <f>IFERROR(MID(VLOOKUP($B395,Seqs!$A:$B,2,0),AW395,1),"")</f>
        <v>G</v>
      </c>
      <c r="AW395" s="3">
        <v>328</v>
      </c>
      <c r="AX395" s="3" t="str">
        <f>IFERROR(MID(VLOOKUP($B395,Seqs!$A:$B,2,0),AY395,1),"")</f>
        <v>R</v>
      </c>
      <c r="AY395" s="3">
        <v>340</v>
      </c>
      <c r="AZ395" s="77" t="str">
        <f>VLOOKUP(B395,Classification!A:D,2,0)</f>
        <v>A</v>
      </c>
      <c r="BA395" s="94" t="str">
        <f>VLOOKUP(B395,Classification!A:D,4,0)</f>
        <v>P2Y</v>
      </c>
      <c r="BB395" s="27" t="b">
        <f t="shared" si="3241"/>
        <v>1</v>
      </c>
      <c r="BC395" s="23">
        <f t="shared" si="3214"/>
        <v>260</v>
      </c>
      <c r="BD395" s="56" t="s">
        <v>23</v>
      </c>
      <c r="BE395" s="3" t="s">
        <v>23</v>
      </c>
      <c r="BF395" s="118" t="s">
        <v>23</v>
      </c>
      <c r="BG395" s="49" t="s">
        <v>1366</v>
      </c>
      <c r="BH395" s="49" t="s">
        <v>1371</v>
      </c>
      <c r="BI395" s="1"/>
      <c r="BJ395" s="70" t="s">
        <v>1281</v>
      </c>
      <c r="BK395" s="57" t="s">
        <v>1281</v>
      </c>
      <c r="BL395" s="57" t="s">
        <v>1281</v>
      </c>
      <c r="BM395" s="57" t="s">
        <v>1281</v>
      </c>
      <c r="BN395" s="57" t="s">
        <v>1281</v>
      </c>
      <c r="BO395" s="57" t="s">
        <v>1281</v>
      </c>
      <c r="BP395" s="57" t="s">
        <v>1281</v>
      </c>
      <c r="BQ395" s="57" t="s">
        <v>1281</v>
      </c>
      <c r="BR395" s="57" t="s">
        <v>1281</v>
      </c>
      <c r="BS395" s="57" t="s">
        <v>1281</v>
      </c>
      <c r="BT395" s="57" t="s">
        <v>1281</v>
      </c>
      <c r="BU395" s="57" t="s">
        <v>1281</v>
      </c>
      <c r="BV395" s="70">
        <f t="shared" si="3215"/>
        <v>49</v>
      </c>
      <c r="BW395" s="71" t="str">
        <f t="shared" si="3216"/>
        <v>-</v>
      </c>
      <c r="BX395" s="72">
        <f t="shared" si="3217"/>
        <v>84</v>
      </c>
      <c r="BY395" s="71">
        <f t="shared" si="3218"/>
        <v>116</v>
      </c>
      <c r="BZ395" s="72">
        <f t="shared" si="3219"/>
        <v>120</v>
      </c>
      <c r="CA395" s="71">
        <f t="shared" si="3220"/>
        <v>156</v>
      </c>
      <c r="CB395" s="72">
        <f t="shared" si="3221"/>
        <v>164</v>
      </c>
      <c r="CC395" s="71">
        <f t="shared" si="3222"/>
        <v>202</v>
      </c>
      <c r="CD395" s="72">
        <f t="shared" si="3223"/>
        <v>211</v>
      </c>
      <c r="CE395" s="71">
        <f t="shared" si="3224"/>
        <v>253</v>
      </c>
      <c r="CF395" s="72">
        <f t="shared" si="3225"/>
        <v>295</v>
      </c>
      <c r="CG395" s="71">
        <f t="shared" si="3226"/>
        <v>328</v>
      </c>
      <c r="CH395" s="70">
        <f t="shared" si="3227"/>
        <v>79</v>
      </c>
      <c r="CI395" s="71" t="str">
        <f t="shared" si="3228"/>
        <v>-</v>
      </c>
      <c r="CJ395" s="72">
        <f t="shared" si="3229"/>
        <v>113</v>
      </c>
      <c r="CK395" s="72">
        <f t="shared" si="3230"/>
        <v>119</v>
      </c>
      <c r="CL395" s="72">
        <f t="shared" si="3231"/>
        <v>155</v>
      </c>
      <c r="CM395" s="72">
        <f t="shared" si="3232"/>
        <v>163</v>
      </c>
      <c r="CN395" s="72">
        <f t="shared" si="3233"/>
        <v>190</v>
      </c>
      <c r="CO395" s="72">
        <f t="shared" si="3234"/>
        <v>204</v>
      </c>
      <c r="CP395" s="72">
        <f t="shared" si="3235"/>
        <v>247</v>
      </c>
      <c r="CQ395" s="72">
        <f t="shared" si="3236"/>
        <v>289</v>
      </c>
      <c r="CR395" s="72">
        <f t="shared" si="3237"/>
        <v>327</v>
      </c>
      <c r="CS395" s="72">
        <f t="shared" si="3238"/>
        <v>340</v>
      </c>
      <c r="CT395" s="23" t="e">
        <f t="shared" si="3239"/>
        <v>#VALUE!</v>
      </c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  <c r="AMK395" s="1"/>
      <c r="AML395" s="1"/>
      <c r="AMM395" s="1"/>
      <c r="AMN395" s="1"/>
      <c r="AMO395" s="1"/>
    </row>
    <row r="396" spans="1:1030" x14ac:dyDescent="0.2">
      <c r="A396" s="3" t="str">
        <f t="shared" si="3240"/>
        <v>p2ry1_human_4XNV</v>
      </c>
      <c r="B396" s="3" t="s">
        <v>344</v>
      </c>
      <c r="C396" s="3" t="s">
        <v>1145</v>
      </c>
      <c r="D396" s="3" t="str">
        <f>IFERROR(MID(VLOOKUP($B396,Seqs!$A:$B,2,0),E396,1),"")</f>
        <v>F</v>
      </c>
      <c r="E396" s="3">
        <v>49</v>
      </c>
      <c r="F396" s="3" t="str">
        <f>IFERROR(MID(VLOOKUP($B396,Seqs!$A:$B,2,0),G396,1),"")</f>
        <v>H</v>
      </c>
      <c r="G396" s="3">
        <v>79</v>
      </c>
      <c r="H396" s="3" t="str">
        <f>IFERROR(MID(VLOOKUP($B396,Seqs!$A:$B,2,0),I396,1),"")</f>
        <v/>
      </c>
      <c r="I396" s="23" t="s">
        <v>23</v>
      </c>
      <c r="J396" s="3" t="str">
        <f>IFERROR(MID(VLOOKUP($B396,Seqs!$A:$B,2,0),K396,1),"")</f>
        <v/>
      </c>
      <c r="K396" s="23" t="s">
        <v>23</v>
      </c>
      <c r="L396" s="3" t="str">
        <f>IFERROR(MID(VLOOKUP($B396,Seqs!$A:$B,2,0),M396,1),"")</f>
        <v>S</v>
      </c>
      <c r="M396" s="3">
        <v>84</v>
      </c>
      <c r="N396" s="3" t="str">
        <f>IFERROR(MID(VLOOKUP($B396,Seqs!$A:$B,2,0),O396,1),"")</f>
        <v>N</v>
      </c>
      <c r="O396" s="3">
        <v>113</v>
      </c>
      <c r="P396" s="3" t="str">
        <f>IFERROR(MID(VLOOKUP($B396,Seqs!$A:$B,2,0),Q396,1),"")</f>
        <v>D</v>
      </c>
      <c r="Q396" s="3">
        <v>116</v>
      </c>
      <c r="R396" s="3" t="str">
        <f>IFERROR(MID(VLOOKUP($B396,Seqs!$A:$B,2,0),S396,1),"")</f>
        <v>F</v>
      </c>
      <c r="S396" s="3">
        <v>119</v>
      </c>
      <c r="T396" s="3" t="str">
        <f>IFERROR(MID(VLOOKUP($B396,Seqs!$A:$B,2,0),U396,1),"")</f>
        <v>G</v>
      </c>
      <c r="U396" s="3">
        <v>120</v>
      </c>
      <c r="V396" s="3" t="str">
        <f>IFERROR(MID(VLOOKUP($B396,Seqs!$A:$B,2,0),W396,1),"")</f>
        <v>Y</v>
      </c>
      <c r="W396" s="3">
        <v>155</v>
      </c>
      <c r="X396" s="3" t="str">
        <f>IFERROR(MID(VLOOKUP($B396,Seqs!$A:$B,2,0),Y396,1),"")</f>
        <v/>
      </c>
      <c r="Y396" s="3" t="s">
        <v>23</v>
      </c>
      <c r="Z396" s="3" t="str">
        <f>IFERROR(MID(VLOOKUP($B396,Seqs!$A:$B,2,0),AA396,1),"")</f>
        <v/>
      </c>
      <c r="AA396" s="3" t="s">
        <v>23</v>
      </c>
      <c r="AB396" s="3" t="str">
        <f>IFERROR(MID(VLOOKUP($B396,Seqs!$A:$B,2,0),AC396,1),"")</f>
        <v>G</v>
      </c>
      <c r="AC396" s="9">
        <v>161</v>
      </c>
      <c r="AD396" s="3" t="str">
        <f>IFERROR(MID(VLOOKUP($B396,Seqs!$A:$B,2,0),AE396,1),"")</f>
        <v>S</v>
      </c>
      <c r="AE396" s="3">
        <v>190</v>
      </c>
      <c r="AF396" s="3" t="str">
        <f>IFERROR(MID(VLOOKUP($B396,Seqs!$A:$B,2,0),AG396,1),"")</f>
        <v>C</v>
      </c>
      <c r="AG396" s="3">
        <v>202</v>
      </c>
      <c r="AH396" s="3" t="str">
        <f>IFERROR(MID(VLOOKUP($B396,Seqs!$A:$B,2,0),AI396,1),"")</f>
        <v>D</v>
      </c>
      <c r="AI396" s="3">
        <v>204</v>
      </c>
      <c r="AJ396" s="3" t="str">
        <f>IFERROR(MID(VLOOKUP($B396,Seqs!$A:$B,2,0),AK396,1),"")</f>
        <v>L</v>
      </c>
      <c r="AK396" s="3">
        <v>211</v>
      </c>
      <c r="AL396" s="3" t="str">
        <f>IFERROR(MID(VLOOKUP($B396,Seqs!$A:$B,2,0),AM396,1),"")</f>
        <v>K</v>
      </c>
      <c r="AM396" s="3">
        <v>247</v>
      </c>
      <c r="AN396" s="3" t="str">
        <f>IFERROR(MID(VLOOKUP($B396,Seqs!$A:$B,2,0),AO396,1),"")</f>
        <v>P</v>
      </c>
      <c r="AO396" s="3">
        <v>253</v>
      </c>
      <c r="AP396" s="3" t="str">
        <f>IFERROR(MID(VLOOKUP($B396,Seqs!$A:$B,2,0),AQ396,1),"")</f>
        <v>D</v>
      </c>
      <c r="AQ396" s="3">
        <v>289</v>
      </c>
      <c r="AR396" s="3" t="str">
        <f>IFERROR(MID(VLOOKUP($B396,Seqs!$A:$B,2,0),AS396,1),"")</f>
        <v>M</v>
      </c>
      <c r="AS396" s="3">
        <v>295</v>
      </c>
      <c r="AT396" s="3" t="str">
        <f>IFERROR(MID(VLOOKUP($B396,Seqs!$A:$B,2,0),AU396,1),"")</f>
        <v>L</v>
      </c>
      <c r="AU396" s="3">
        <v>326</v>
      </c>
      <c r="AV396" s="3" t="str">
        <f>IFERROR(MID(VLOOKUP($B396,Seqs!$A:$B,2,0),AW396,1),"")</f>
        <v/>
      </c>
      <c r="AW396" s="3" t="s">
        <v>23</v>
      </c>
      <c r="AX396" s="3" t="str">
        <f>IFERROR(MID(VLOOKUP($B396,Seqs!$A:$B,2,0),AY396,1),"")</f>
        <v/>
      </c>
      <c r="AY396" s="3" t="s">
        <v>23</v>
      </c>
      <c r="AZ396" s="77" t="str">
        <f>VLOOKUP(B396,Classification!A:D,2,0)</f>
        <v>A</v>
      </c>
      <c r="BA396" s="94" t="str">
        <f>VLOOKUP(B396,Classification!A:D,4,0)</f>
        <v>P2Y</v>
      </c>
      <c r="BB396" s="27" t="b">
        <f t="shared" si="3241"/>
        <v>1</v>
      </c>
      <c r="BC396" s="23">
        <f t="shared" si="3214"/>
        <v>243</v>
      </c>
      <c r="BD396" s="4" t="s">
        <v>23</v>
      </c>
      <c r="BE396" s="3" t="s">
        <v>1422</v>
      </c>
      <c r="BF396" s="118">
        <v>2.2000000000000002</v>
      </c>
      <c r="BG396" s="49" t="s">
        <v>1371</v>
      </c>
      <c r="BH396" s="49" t="s">
        <v>1371</v>
      </c>
      <c r="BI396" s="3" t="s">
        <v>1162</v>
      </c>
      <c r="BJ396" s="70" t="s">
        <v>1281</v>
      </c>
      <c r="BK396" s="57" t="s">
        <v>1281</v>
      </c>
      <c r="BL396" s="57" t="s">
        <v>1281</v>
      </c>
      <c r="BM396" s="57" t="s">
        <v>1281</v>
      </c>
      <c r="BN396" s="57" t="s">
        <v>1281</v>
      </c>
      <c r="BO396" s="57" t="s">
        <v>1281</v>
      </c>
      <c r="BP396" s="57" t="s">
        <v>1281</v>
      </c>
      <c r="BQ396" s="57" t="s">
        <v>1281</v>
      </c>
      <c r="BR396" s="57" t="s">
        <v>1281</v>
      </c>
      <c r="BS396" s="57" t="s">
        <v>1281</v>
      </c>
      <c r="BT396" s="57" t="s">
        <v>1281</v>
      </c>
      <c r="BU396" s="57" t="s">
        <v>1281</v>
      </c>
      <c r="BV396" s="70">
        <f t="shared" si="3215"/>
        <v>49</v>
      </c>
      <c r="BW396" s="71" t="str">
        <f t="shared" si="3216"/>
        <v>-</v>
      </c>
      <c r="BX396" s="72">
        <f t="shared" si="3217"/>
        <v>84</v>
      </c>
      <c r="BY396" s="71">
        <f t="shared" si="3218"/>
        <v>116</v>
      </c>
      <c r="BZ396" s="72">
        <f t="shared" si="3219"/>
        <v>120</v>
      </c>
      <c r="CA396" s="71" t="str">
        <f t="shared" si="3220"/>
        <v>-</v>
      </c>
      <c r="CB396" s="72">
        <f t="shared" si="3221"/>
        <v>161</v>
      </c>
      <c r="CC396" s="71">
        <f t="shared" si="3222"/>
        <v>202</v>
      </c>
      <c r="CD396" s="72">
        <f t="shared" si="3223"/>
        <v>211</v>
      </c>
      <c r="CE396" s="71">
        <f t="shared" si="3224"/>
        <v>253</v>
      </c>
      <c r="CF396" s="72">
        <f t="shared" si="3225"/>
        <v>295</v>
      </c>
      <c r="CG396" s="71" t="str">
        <f t="shared" si="3226"/>
        <v>-</v>
      </c>
      <c r="CH396" s="70">
        <f t="shared" si="3227"/>
        <v>79</v>
      </c>
      <c r="CI396" s="71" t="str">
        <f t="shared" si="3228"/>
        <v>-</v>
      </c>
      <c r="CJ396" s="72">
        <f t="shared" si="3229"/>
        <v>113</v>
      </c>
      <c r="CK396" s="72">
        <f t="shared" si="3230"/>
        <v>119</v>
      </c>
      <c r="CL396" s="72">
        <f t="shared" si="3231"/>
        <v>155</v>
      </c>
      <c r="CM396" s="72" t="str">
        <f t="shared" si="3232"/>
        <v>-</v>
      </c>
      <c r="CN396" s="72">
        <f t="shared" si="3233"/>
        <v>190</v>
      </c>
      <c r="CO396" s="72">
        <f t="shared" si="3234"/>
        <v>204</v>
      </c>
      <c r="CP396" s="72">
        <f t="shared" si="3235"/>
        <v>247</v>
      </c>
      <c r="CQ396" s="72">
        <f t="shared" si="3236"/>
        <v>289</v>
      </c>
      <c r="CR396" s="72">
        <f t="shared" si="3237"/>
        <v>326</v>
      </c>
      <c r="CS396" s="72" t="str">
        <f t="shared" si="3238"/>
        <v>-</v>
      </c>
      <c r="CT396" s="23" t="e">
        <f t="shared" si="3239"/>
        <v>#VALUE!</v>
      </c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</row>
    <row r="397" spans="1:1030" x14ac:dyDescent="0.2">
      <c r="A397" s="3" t="str">
        <f t="shared" si="3240"/>
        <v>p2ry1_human_4XNW</v>
      </c>
      <c r="B397" s="3" t="s">
        <v>344</v>
      </c>
      <c r="C397" s="3" t="s">
        <v>1049</v>
      </c>
      <c r="D397" s="3" t="str">
        <f>IFERROR(MID(VLOOKUP($B397,Seqs!$A:$B,2,0),E397,1),"")</f>
        <v>F</v>
      </c>
      <c r="E397" s="3">
        <v>49</v>
      </c>
      <c r="F397" s="3" t="str">
        <f>IFERROR(MID(VLOOKUP($B397,Seqs!$A:$B,2,0),G397,1),"")</f>
        <v>H</v>
      </c>
      <c r="G397" s="3">
        <v>79</v>
      </c>
      <c r="H397" s="3" t="str">
        <f>IFERROR(MID(VLOOKUP($B397,Seqs!$A:$B,2,0),I397,1),"")</f>
        <v/>
      </c>
      <c r="I397" s="23" t="s">
        <v>23</v>
      </c>
      <c r="J397" s="3" t="str">
        <f>IFERROR(MID(VLOOKUP($B397,Seqs!$A:$B,2,0),K397,1),"")</f>
        <v/>
      </c>
      <c r="K397" s="23" t="s">
        <v>23</v>
      </c>
      <c r="L397" s="3" t="str">
        <f>IFERROR(MID(VLOOKUP($B397,Seqs!$A:$B,2,0),M397,1),"")</f>
        <v>S</v>
      </c>
      <c r="M397" s="3">
        <v>84</v>
      </c>
      <c r="N397" s="3" t="str">
        <f>IFERROR(MID(VLOOKUP($B397,Seqs!$A:$B,2,0),O397,1),"")</f>
        <v>N</v>
      </c>
      <c r="O397" s="3">
        <v>113</v>
      </c>
      <c r="P397" s="3" t="str">
        <f>IFERROR(MID(VLOOKUP($B397,Seqs!$A:$B,2,0),Q397,1),"")</f>
        <v>D</v>
      </c>
      <c r="Q397" s="3">
        <v>116</v>
      </c>
      <c r="R397" s="3" t="str">
        <f>IFERROR(MID(VLOOKUP($B397,Seqs!$A:$B,2,0),S397,1),"")</f>
        <v>F</v>
      </c>
      <c r="S397" s="3">
        <v>119</v>
      </c>
      <c r="T397" s="3" t="str">
        <f>IFERROR(MID(VLOOKUP($B397,Seqs!$A:$B,2,0),U397,1),"")</f>
        <v>G</v>
      </c>
      <c r="U397" s="3">
        <v>120</v>
      </c>
      <c r="V397" s="3" t="str">
        <f>IFERROR(MID(VLOOKUP($B397,Seqs!$A:$B,2,0),W397,1),"")</f>
        <v>Y</v>
      </c>
      <c r="W397" s="3">
        <v>155</v>
      </c>
      <c r="X397" s="3" t="str">
        <f>IFERROR(MID(VLOOKUP($B397,Seqs!$A:$B,2,0),Y397,1),"")</f>
        <v>P</v>
      </c>
      <c r="Y397" s="3">
        <v>156</v>
      </c>
      <c r="Z397" s="3" t="str">
        <f>IFERROR(MID(VLOOKUP($B397,Seqs!$A:$B,2,0),AA397,1),"")</f>
        <v>L</v>
      </c>
      <c r="AA397" s="3">
        <v>163</v>
      </c>
      <c r="AB397" s="3" t="str">
        <f>IFERROR(MID(VLOOKUP($B397,Seqs!$A:$B,2,0),AC397,1),"")</f>
        <v>K</v>
      </c>
      <c r="AC397" s="9">
        <v>164</v>
      </c>
      <c r="AD397" s="3" t="str">
        <f>IFERROR(MID(VLOOKUP($B397,Seqs!$A:$B,2,0),AE397,1),"")</f>
        <v>S</v>
      </c>
      <c r="AE397" s="3">
        <v>190</v>
      </c>
      <c r="AF397" s="3" t="str">
        <f>IFERROR(MID(VLOOKUP($B397,Seqs!$A:$B,2,0),AG397,1),"")</f>
        <v>C</v>
      </c>
      <c r="AG397" s="3">
        <v>202</v>
      </c>
      <c r="AH397" s="3" t="str">
        <f>IFERROR(MID(VLOOKUP($B397,Seqs!$A:$B,2,0),AI397,1),"")</f>
        <v>D</v>
      </c>
      <c r="AI397" s="3">
        <v>204</v>
      </c>
      <c r="AJ397" s="3" t="str">
        <f>IFERROR(MID(VLOOKUP($B397,Seqs!$A:$B,2,0),AK397,1),"")</f>
        <v>L</v>
      </c>
      <c r="AK397" s="3">
        <v>211</v>
      </c>
      <c r="AL397" s="3" t="str">
        <f>IFERROR(MID(VLOOKUP($B397,Seqs!$A:$B,2,0),AM397,1),"")</f>
        <v>K</v>
      </c>
      <c r="AM397" s="3">
        <v>247</v>
      </c>
      <c r="AN397" s="3" t="str">
        <f>IFERROR(MID(VLOOKUP($B397,Seqs!$A:$B,2,0),AO397,1),"")</f>
        <v>P</v>
      </c>
      <c r="AO397" s="3">
        <v>253</v>
      </c>
      <c r="AP397" s="3" t="str">
        <f>IFERROR(MID(VLOOKUP($B397,Seqs!$A:$B,2,0),AQ397,1),"")</f>
        <v>D</v>
      </c>
      <c r="AQ397" s="3">
        <v>289</v>
      </c>
      <c r="AR397" s="3" t="str">
        <f>IFERROR(MID(VLOOKUP($B397,Seqs!$A:$B,2,0),AS397,1),"")</f>
        <v>M</v>
      </c>
      <c r="AS397" s="3">
        <v>295</v>
      </c>
      <c r="AT397" s="3" t="str">
        <f>IFERROR(MID(VLOOKUP($B397,Seqs!$A:$B,2,0),AU397,1),"")</f>
        <v>L</v>
      </c>
      <c r="AU397" s="3">
        <v>326</v>
      </c>
      <c r="AV397" s="3" t="str">
        <f>IFERROR(MID(VLOOKUP($B397,Seqs!$A:$B,2,0),AW397,1),"")</f>
        <v/>
      </c>
      <c r="AW397" s="3" t="s">
        <v>23</v>
      </c>
      <c r="AX397" s="3" t="str">
        <f>IFERROR(MID(VLOOKUP($B397,Seqs!$A:$B,2,0),AY397,1),"")</f>
        <v/>
      </c>
      <c r="AY397" s="3" t="s">
        <v>23</v>
      </c>
      <c r="AZ397" s="77" t="str">
        <f>VLOOKUP(B397,Classification!A:D,2,0)</f>
        <v>A</v>
      </c>
      <c r="BA397" s="94" t="str">
        <f>VLOOKUP(B397,Classification!A:D,4,0)</f>
        <v>P2Y</v>
      </c>
      <c r="BB397" s="27" t="b">
        <f t="shared" si="3241"/>
        <v>1</v>
      </c>
      <c r="BC397" s="23">
        <f t="shared" si="3214"/>
        <v>247</v>
      </c>
      <c r="BD397" s="2" t="s">
        <v>1423</v>
      </c>
      <c r="BE397" s="3" t="s">
        <v>1422</v>
      </c>
      <c r="BF397" s="118">
        <v>2.7</v>
      </c>
      <c r="BG397" s="49" t="s">
        <v>1371</v>
      </c>
      <c r="BH397" s="49" t="s">
        <v>1371</v>
      </c>
      <c r="BI397" s="1"/>
      <c r="BJ397" s="70" t="s">
        <v>1281</v>
      </c>
      <c r="BK397" s="57" t="s">
        <v>1281</v>
      </c>
      <c r="BL397" s="57" t="s">
        <v>1281</v>
      </c>
      <c r="BM397" s="57" t="s">
        <v>1281</v>
      </c>
      <c r="BN397" s="57" t="s">
        <v>1281</v>
      </c>
      <c r="BO397" s="57" t="s">
        <v>1281</v>
      </c>
      <c r="BP397" s="57" t="s">
        <v>1281</v>
      </c>
      <c r="BQ397" s="57" t="s">
        <v>1281</v>
      </c>
      <c r="BR397" s="57" t="s">
        <v>1281</v>
      </c>
      <c r="BS397" s="57" t="s">
        <v>1281</v>
      </c>
      <c r="BT397" s="57" t="s">
        <v>1281</v>
      </c>
      <c r="BU397" s="57" t="s">
        <v>1281</v>
      </c>
      <c r="BV397" s="70">
        <f t="shared" si="3215"/>
        <v>49</v>
      </c>
      <c r="BW397" s="71" t="str">
        <f t="shared" si="3216"/>
        <v>-</v>
      </c>
      <c r="BX397" s="72">
        <f t="shared" si="3217"/>
        <v>84</v>
      </c>
      <c r="BY397" s="71">
        <f t="shared" si="3218"/>
        <v>116</v>
      </c>
      <c r="BZ397" s="72">
        <f t="shared" si="3219"/>
        <v>120</v>
      </c>
      <c r="CA397" s="71">
        <f t="shared" si="3220"/>
        <v>156</v>
      </c>
      <c r="CB397" s="72">
        <f t="shared" si="3221"/>
        <v>164</v>
      </c>
      <c r="CC397" s="71">
        <f t="shared" si="3222"/>
        <v>202</v>
      </c>
      <c r="CD397" s="72">
        <f t="shared" si="3223"/>
        <v>211</v>
      </c>
      <c r="CE397" s="71">
        <f t="shared" si="3224"/>
        <v>253</v>
      </c>
      <c r="CF397" s="72">
        <f t="shared" si="3225"/>
        <v>295</v>
      </c>
      <c r="CG397" s="71" t="str">
        <f t="shared" si="3226"/>
        <v>-</v>
      </c>
      <c r="CH397" s="70">
        <f t="shared" si="3227"/>
        <v>79</v>
      </c>
      <c r="CI397" s="71" t="str">
        <f t="shared" si="3228"/>
        <v>-</v>
      </c>
      <c r="CJ397" s="72">
        <f t="shared" si="3229"/>
        <v>113</v>
      </c>
      <c r="CK397" s="72">
        <f t="shared" si="3230"/>
        <v>119</v>
      </c>
      <c r="CL397" s="72">
        <f t="shared" si="3231"/>
        <v>155</v>
      </c>
      <c r="CM397" s="72">
        <f t="shared" si="3232"/>
        <v>163</v>
      </c>
      <c r="CN397" s="72">
        <f t="shared" si="3233"/>
        <v>190</v>
      </c>
      <c r="CO397" s="72">
        <f t="shared" si="3234"/>
        <v>204</v>
      </c>
      <c r="CP397" s="72">
        <f t="shared" si="3235"/>
        <v>247</v>
      </c>
      <c r="CQ397" s="72">
        <f t="shared" si="3236"/>
        <v>289</v>
      </c>
      <c r="CR397" s="72">
        <f t="shared" si="3237"/>
        <v>326</v>
      </c>
      <c r="CS397" s="72" t="str">
        <f t="shared" si="3238"/>
        <v>-</v>
      </c>
      <c r="CT397" s="23" t="e">
        <f t="shared" si="3239"/>
        <v>#VALUE!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</row>
    <row r="398" spans="1:1030" x14ac:dyDescent="0.2">
      <c r="A398" s="3" t="str">
        <f t="shared" si="3240"/>
        <v>p2y12_human__wt</v>
      </c>
      <c r="B398" s="3" t="s">
        <v>351</v>
      </c>
      <c r="C398" s="3" t="s">
        <v>100</v>
      </c>
      <c r="D398" s="3" t="str">
        <f>IFERROR(MID(VLOOKUP($B398,Seqs!$A:$B,2,0),E398,1),"")</f>
        <v>Y</v>
      </c>
      <c r="E398" s="3">
        <v>21</v>
      </c>
      <c r="F398" s="3" t="str">
        <f>IFERROR(MID(VLOOKUP($B398,Seqs!$A:$B,2,0),G398,1),"")</f>
        <v>I</v>
      </c>
      <c r="G398" s="3">
        <v>53</v>
      </c>
      <c r="H398" s="3" t="str">
        <f>IFERROR(MID(VLOOKUP($B398,Seqs!$A:$B,2,0),I398,1),"")</f>
        <v/>
      </c>
      <c r="I398" s="23" t="s">
        <v>23</v>
      </c>
      <c r="J398" s="3" t="str">
        <f>IFERROR(MID(VLOOKUP($B398,Seqs!$A:$B,2,0),K398,1),"")</f>
        <v/>
      </c>
      <c r="K398" s="23" t="s">
        <v>23</v>
      </c>
      <c r="L398" s="3" t="str">
        <f>IFERROR(MID(VLOOKUP($B398,Seqs!$A:$B,2,0),M398,1),"")</f>
        <v>S</v>
      </c>
      <c r="M398" s="3">
        <v>57</v>
      </c>
      <c r="N398" s="3" t="str">
        <f>IFERROR(MID(VLOOKUP($B398,Seqs!$A:$B,2,0),O398,1),"")</f>
        <v>K</v>
      </c>
      <c r="O398" s="3">
        <v>86</v>
      </c>
      <c r="P398" s="3" t="str">
        <f>IFERROR(MID(VLOOKUP($B398,Seqs!$A:$B,2,0),Q398,1),"")</f>
        <v/>
      </c>
      <c r="Q398" s="3" t="s">
        <v>23</v>
      </c>
      <c r="R398" s="3" t="str">
        <f>IFERROR(MID(VLOOKUP($B398,Seqs!$A:$B,2,0),S398,1),"")</f>
        <v/>
      </c>
      <c r="S398" s="3" t="s">
        <v>23</v>
      </c>
      <c r="T398" s="3" t="str">
        <f>IFERROR(MID(VLOOKUP($B398,Seqs!$A:$B,2,0),U398,1),"")</f>
        <v>G</v>
      </c>
      <c r="U398" s="3">
        <v>90</v>
      </c>
      <c r="V398" s="3" t="str">
        <f>IFERROR(MID(VLOOKUP($B398,Seqs!$A:$B,2,0),W398,1),"")</f>
        <v>R</v>
      </c>
      <c r="W398" s="3">
        <v>128</v>
      </c>
      <c r="X398" s="3" t="str">
        <f>IFERROR(MID(VLOOKUP($B398,Seqs!$A:$B,2,0),Y398,1),"")</f>
        <v>P</v>
      </c>
      <c r="Y398" s="3">
        <v>129</v>
      </c>
      <c r="Z398" s="3" t="str">
        <f>IFERROR(MID(VLOOKUP($B398,Seqs!$A:$B,2,0),AA398,1),"")</f>
        <v>K</v>
      </c>
      <c r="AA398" s="73">
        <v>136</v>
      </c>
      <c r="AB398" s="3" t="str">
        <f>IFERROR(MID(VLOOKUP($B398,Seqs!$A:$B,2,0),AC398,1),"")</f>
        <v>N</v>
      </c>
      <c r="AC398" s="9">
        <v>137</v>
      </c>
      <c r="AD398" s="3" t="str">
        <f>IFERROR(MID(VLOOKUP($B398,Seqs!$A:$B,2,0),AE398,1),"")</f>
        <v>T</v>
      </c>
      <c r="AE398" s="3">
        <v>163</v>
      </c>
      <c r="AF398" s="3" t="str">
        <f>IFERROR(MID(VLOOKUP($B398,Seqs!$A:$B,2,0),AG398,1),"")</f>
        <v>C</v>
      </c>
      <c r="AG398" s="3">
        <v>175</v>
      </c>
      <c r="AH398" s="3" t="str">
        <f>IFERROR(MID(VLOOKUP($B398,Seqs!$A:$B,2,0),AI398,1),"")</f>
        <v>F</v>
      </c>
      <c r="AI398" s="3">
        <v>177</v>
      </c>
      <c r="AJ398" s="3" t="str">
        <f>IFERROR(MID(VLOOKUP($B398,Seqs!$A:$B,2,0),AK398,1),"")</f>
        <v>E</v>
      </c>
      <c r="AK398" s="3">
        <v>181</v>
      </c>
      <c r="AL398" s="3" t="str">
        <f>IFERROR(MID(VLOOKUP($B398,Seqs!$A:$B,2,0),AM398,1),"")</f>
        <v>T</v>
      </c>
      <c r="AM398" s="3">
        <v>223</v>
      </c>
      <c r="AN398" s="3" t="str">
        <f>IFERROR(MID(VLOOKUP($B398,Seqs!$A:$B,2,0),AO398,1),"")</f>
        <v>P</v>
      </c>
      <c r="AO398" s="3">
        <v>230</v>
      </c>
      <c r="AP398" s="3" t="str">
        <f>IFERROR(MID(VLOOKUP($B398,Seqs!$A:$B,2,0),AQ398,1),"")</f>
        <v>R</v>
      </c>
      <c r="AQ398" s="3">
        <v>265</v>
      </c>
      <c r="AR398" s="3" t="str">
        <f>IFERROR(MID(VLOOKUP($B398,Seqs!$A:$B,2,0),AS398,1),"")</f>
        <v>D</v>
      </c>
      <c r="AS398" s="3">
        <v>269</v>
      </c>
      <c r="AT398" s="3" t="str">
        <f>IFERROR(MID(VLOOKUP($B398,Seqs!$A:$B,2,0),AU398,1),"")</f>
        <v>L</v>
      </c>
      <c r="AU398" s="3">
        <v>301</v>
      </c>
      <c r="AV398" s="3" t="str">
        <f>IFERROR(MID(VLOOKUP($B398,Seqs!$A:$B,2,0),AW398,1),"")</f>
        <v>C</v>
      </c>
      <c r="AW398" s="3">
        <v>302</v>
      </c>
      <c r="AX398" s="3" t="str">
        <f>IFERROR(MID(VLOOKUP($B398,Seqs!$A:$B,2,0),AY398,1),"")</f>
        <v>M</v>
      </c>
      <c r="AY398" s="3">
        <v>312</v>
      </c>
      <c r="AZ398" s="77" t="str">
        <f>VLOOKUP(B398,Classification!A:D,2,0)</f>
        <v>A</v>
      </c>
      <c r="BA398" s="94" t="str">
        <f>VLOOKUP(B398,Classification!A:D,4,0)</f>
        <v>P2Y</v>
      </c>
      <c r="BB398" s="27" t="b">
        <f t="shared" si="3241"/>
        <v>1</v>
      </c>
      <c r="BC398" s="23">
        <f t="shared" si="3214"/>
        <v>265</v>
      </c>
      <c r="BD398" s="56" t="s">
        <v>23</v>
      </c>
      <c r="BE398" s="3" t="s">
        <v>23</v>
      </c>
      <c r="BF398" s="118" t="s">
        <v>23</v>
      </c>
      <c r="BG398" s="49" t="s">
        <v>1366</v>
      </c>
      <c r="BH398" s="49" t="s">
        <v>1371</v>
      </c>
      <c r="BI398" s="1"/>
      <c r="BJ398" s="70" t="s">
        <v>1281</v>
      </c>
      <c r="BK398" s="57" t="s">
        <v>1281</v>
      </c>
      <c r="BL398" s="57" t="s">
        <v>1281</v>
      </c>
      <c r="BM398" s="57" t="s">
        <v>1281</v>
      </c>
      <c r="BN398" s="57" t="s">
        <v>1281</v>
      </c>
      <c r="BO398" s="57" t="s">
        <v>1281</v>
      </c>
      <c r="BP398" s="57" t="s">
        <v>1281</v>
      </c>
      <c r="BQ398" s="57" t="s">
        <v>1281</v>
      </c>
      <c r="BR398" s="57" t="s">
        <v>1281</v>
      </c>
      <c r="BS398" s="57" t="s">
        <v>1281</v>
      </c>
      <c r="BT398" s="57" t="s">
        <v>1281</v>
      </c>
      <c r="BU398" s="57" t="s">
        <v>1281</v>
      </c>
      <c r="BV398" s="70">
        <f t="shared" si="3215"/>
        <v>21</v>
      </c>
      <c r="BW398" s="71" t="str">
        <f t="shared" si="3216"/>
        <v>-</v>
      </c>
      <c r="BX398" s="72">
        <f t="shared" si="3217"/>
        <v>57</v>
      </c>
      <c r="BY398" s="71" t="str">
        <f t="shared" si="3218"/>
        <v>-</v>
      </c>
      <c r="BZ398" s="72">
        <f t="shared" si="3219"/>
        <v>90</v>
      </c>
      <c r="CA398" s="71">
        <f t="shared" si="3220"/>
        <v>129</v>
      </c>
      <c r="CB398" s="72">
        <f t="shared" si="3221"/>
        <v>137</v>
      </c>
      <c r="CC398" s="71">
        <f t="shared" si="3222"/>
        <v>175</v>
      </c>
      <c r="CD398" s="72">
        <f t="shared" si="3223"/>
        <v>181</v>
      </c>
      <c r="CE398" s="71">
        <f t="shared" si="3224"/>
        <v>230</v>
      </c>
      <c r="CF398" s="72">
        <f t="shared" si="3225"/>
        <v>269</v>
      </c>
      <c r="CG398" s="71">
        <f t="shared" si="3226"/>
        <v>302</v>
      </c>
      <c r="CH398" s="70">
        <f t="shared" si="3227"/>
        <v>53</v>
      </c>
      <c r="CI398" s="71" t="str">
        <f t="shared" si="3228"/>
        <v>-</v>
      </c>
      <c r="CJ398" s="72">
        <f t="shared" si="3229"/>
        <v>86</v>
      </c>
      <c r="CK398" s="72" t="str">
        <f t="shared" si="3230"/>
        <v>-</v>
      </c>
      <c r="CL398" s="72">
        <f t="shared" si="3231"/>
        <v>128</v>
      </c>
      <c r="CM398" s="72">
        <f t="shared" si="3232"/>
        <v>136</v>
      </c>
      <c r="CN398" s="72">
        <f t="shared" si="3233"/>
        <v>163</v>
      </c>
      <c r="CO398" s="72">
        <f t="shared" si="3234"/>
        <v>177</v>
      </c>
      <c r="CP398" s="72">
        <f t="shared" si="3235"/>
        <v>223</v>
      </c>
      <c r="CQ398" s="72">
        <f t="shared" si="3236"/>
        <v>265</v>
      </c>
      <c r="CR398" s="72">
        <f t="shared" si="3237"/>
        <v>301</v>
      </c>
      <c r="CS398" s="72">
        <f t="shared" si="3238"/>
        <v>312</v>
      </c>
      <c r="CT398" s="23" t="e">
        <f t="shared" si="3239"/>
        <v>#VALUE!</v>
      </c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  <c r="AMK398" s="1"/>
      <c r="AML398" s="1"/>
      <c r="AMM398" s="1"/>
      <c r="AMN398" s="1"/>
      <c r="AMO398" s="1"/>
    </row>
    <row r="399" spans="1:1030" x14ac:dyDescent="0.2">
      <c r="A399" s="3" t="str">
        <f t="shared" si="3240"/>
        <v>p2y12_human_4NTJ</v>
      </c>
      <c r="B399" s="3" t="s">
        <v>351</v>
      </c>
      <c r="C399" s="3" t="s">
        <v>1042</v>
      </c>
      <c r="D399" s="3" t="str">
        <f>IFERROR(MID(VLOOKUP($B399,Seqs!$A:$B,2,0),E399,1),"")</f>
        <v>Y</v>
      </c>
      <c r="E399" s="3">
        <v>21</v>
      </c>
      <c r="F399" s="3" t="str">
        <f>IFERROR(MID(VLOOKUP($B399,Seqs!$A:$B,2,0),G399,1),"")</f>
        <v>I</v>
      </c>
      <c r="G399" s="3">
        <v>53</v>
      </c>
      <c r="H399" s="3" t="str">
        <f>IFERROR(MID(VLOOKUP($B399,Seqs!$A:$B,2,0),I399,1),"")</f>
        <v/>
      </c>
      <c r="I399" s="23" t="s">
        <v>23</v>
      </c>
      <c r="J399" s="3" t="str">
        <f>IFERROR(MID(VLOOKUP($B399,Seqs!$A:$B,2,0),K399,1),"")</f>
        <v/>
      </c>
      <c r="K399" s="23" t="s">
        <v>23</v>
      </c>
      <c r="L399" s="3" t="str">
        <f>IFERROR(MID(VLOOKUP($B399,Seqs!$A:$B,2,0),M399,1),"")</f>
        <v>S</v>
      </c>
      <c r="M399" s="3">
        <v>57</v>
      </c>
      <c r="N399" s="3" t="str">
        <f>IFERROR(MID(VLOOKUP($B399,Seqs!$A:$B,2,0),O399,1),"")</f>
        <v>K</v>
      </c>
      <c r="O399" s="3">
        <v>86</v>
      </c>
      <c r="P399" s="3" t="str">
        <f>IFERROR(MID(VLOOKUP($B399,Seqs!$A:$B,2,0),Q399,1),"")</f>
        <v/>
      </c>
      <c r="Q399" s="3" t="s">
        <v>23</v>
      </c>
      <c r="R399" s="3" t="str">
        <f>IFERROR(MID(VLOOKUP($B399,Seqs!$A:$B,2,0),S399,1),"")</f>
        <v/>
      </c>
      <c r="S399" s="3" t="s">
        <v>23</v>
      </c>
      <c r="T399" s="3" t="str">
        <f>IFERROR(MID(VLOOKUP($B399,Seqs!$A:$B,2,0),U399,1),"")</f>
        <v>L</v>
      </c>
      <c r="U399" s="3">
        <v>92</v>
      </c>
      <c r="V399" s="3" t="str">
        <f>IFERROR(MID(VLOOKUP($B399,Seqs!$A:$B,2,0),W399,1),"")</f>
        <v>R</v>
      </c>
      <c r="W399" s="3">
        <v>128</v>
      </c>
      <c r="X399" s="3" t="str">
        <f>IFERROR(MID(VLOOKUP($B399,Seqs!$A:$B,2,0),Y399,1),"")</f>
        <v/>
      </c>
      <c r="Y399" s="3" t="s">
        <v>23</v>
      </c>
      <c r="Z399" s="3" t="str">
        <f>IFERROR(MID(VLOOKUP($B399,Seqs!$A:$B,2,0),AA399,1),"")</f>
        <v/>
      </c>
      <c r="AA399" s="3" t="s">
        <v>23</v>
      </c>
      <c r="AB399" s="3" t="str">
        <f>IFERROR(MID(VLOOKUP($B399,Seqs!$A:$B,2,0),AC399,1),"")</f>
        <v>N</v>
      </c>
      <c r="AC399" s="9">
        <v>137</v>
      </c>
      <c r="AD399" s="3" t="str">
        <f>IFERROR(MID(VLOOKUP($B399,Seqs!$A:$B,2,0),AE399,1),"")</f>
        <v>L</v>
      </c>
      <c r="AE399" s="3">
        <v>162</v>
      </c>
      <c r="AF399" s="3" t="str">
        <f>IFERROR(MID(VLOOKUP($B399,Seqs!$A:$B,2,0),AG399,1),"")</f>
        <v>C</v>
      </c>
      <c r="AG399" s="3">
        <v>175</v>
      </c>
      <c r="AH399" s="3" t="str">
        <f>IFERROR(MID(VLOOKUP($B399,Seqs!$A:$B,2,0),AI399,1),"")</f>
        <v>F</v>
      </c>
      <c r="AI399" s="3">
        <v>177</v>
      </c>
      <c r="AJ399" s="3" t="str">
        <f>IFERROR(MID(VLOOKUP($B399,Seqs!$A:$B,2,0),AK399,1),"")</f>
        <v>E</v>
      </c>
      <c r="AK399" s="3">
        <v>181</v>
      </c>
      <c r="AL399" s="3" t="str">
        <f>IFERROR(MID(VLOOKUP($B399,Seqs!$A:$B,2,0),AM399,1),"")</f>
        <v>T</v>
      </c>
      <c r="AM399" s="3">
        <v>223</v>
      </c>
      <c r="AN399" s="3" t="str">
        <f>IFERROR(MID(VLOOKUP($B399,Seqs!$A:$B,2,0),AO399,1),"")</f>
        <v>I</v>
      </c>
      <c r="AO399" s="3">
        <v>240</v>
      </c>
      <c r="AP399" s="3" t="str">
        <f>IFERROR(MID(VLOOKUP($B399,Seqs!$A:$B,2,0),AQ399,1),"")</f>
        <v>L</v>
      </c>
      <c r="AQ399" s="3">
        <v>261</v>
      </c>
      <c r="AR399" s="3" t="str">
        <f>IFERROR(MID(VLOOKUP($B399,Seqs!$A:$B,2,0),AS399,1),"")</f>
        <v>D</v>
      </c>
      <c r="AS399" s="3">
        <v>269</v>
      </c>
      <c r="AT399" s="3" t="str">
        <f>IFERROR(MID(VLOOKUP($B399,Seqs!$A:$B,2,0),AU399,1),"")</f>
        <v>L</v>
      </c>
      <c r="AU399" s="3">
        <v>301</v>
      </c>
      <c r="AV399" s="3" t="str">
        <f>IFERROR(MID(VLOOKUP($B399,Seqs!$A:$B,2,0),AW399,1),"")</f>
        <v>C</v>
      </c>
      <c r="AW399" s="3">
        <v>302</v>
      </c>
      <c r="AX399" s="3" t="str">
        <f>IFERROR(MID(VLOOKUP($B399,Seqs!$A:$B,2,0),AY399,1),"")</f>
        <v>M</v>
      </c>
      <c r="AY399" s="3">
        <v>312</v>
      </c>
      <c r="AZ399" s="77" t="str">
        <f>VLOOKUP(B399,Classification!A:D,2,0)</f>
        <v>A</v>
      </c>
      <c r="BA399" s="94" t="str">
        <f>VLOOKUP(B399,Classification!A:D,4,0)</f>
        <v>P2Y</v>
      </c>
      <c r="BB399" s="27" t="b">
        <f t="shared" si="3241"/>
        <v>1</v>
      </c>
      <c r="BC399" s="23">
        <f t="shared" si="3214"/>
        <v>241</v>
      </c>
      <c r="BD399" s="2" t="s">
        <v>1423</v>
      </c>
      <c r="BE399" s="3" t="s">
        <v>1422</v>
      </c>
      <c r="BF399" s="118">
        <v>2.62</v>
      </c>
      <c r="BG399" s="49" t="s">
        <v>1371</v>
      </c>
      <c r="BH399" s="49" t="s">
        <v>1371</v>
      </c>
      <c r="BI399" s="3" t="s">
        <v>1164</v>
      </c>
      <c r="BJ399" s="70" t="s">
        <v>1281</v>
      </c>
      <c r="BK399" s="57" t="s">
        <v>1281</v>
      </c>
      <c r="BL399" s="57" t="s">
        <v>1281</v>
      </c>
      <c r="BM399" s="57" t="s">
        <v>1281</v>
      </c>
      <c r="BN399" s="57" t="s">
        <v>1281</v>
      </c>
      <c r="BO399" s="57" t="s">
        <v>1281</v>
      </c>
      <c r="BP399" s="57" t="s">
        <v>1281</v>
      </c>
      <c r="BQ399" s="57" t="s">
        <v>1281</v>
      </c>
      <c r="BR399" s="57" t="s">
        <v>1281</v>
      </c>
      <c r="BS399" s="57" t="s">
        <v>1281</v>
      </c>
      <c r="BT399" s="57" t="s">
        <v>1281</v>
      </c>
      <c r="BU399" s="57" t="s">
        <v>1281</v>
      </c>
      <c r="BV399" s="70">
        <f t="shared" si="3215"/>
        <v>21</v>
      </c>
      <c r="BW399" s="71" t="str">
        <f t="shared" si="3216"/>
        <v>-</v>
      </c>
      <c r="BX399" s="72">
        <f t="shared" si="3217"/>
        <v>57</v>
      </c>
      <c r="BY399" s="71" t="str">
        <f t="shared" si="3218"/>
        <v>-</v>
      </c>
      <c r="BZ399" s="72">
        <f t="shared" si="3219"/>
        <v>92</v>
      </c>
      <c r="CA399" s="71" t="str">
        <f t="shared" si="3220"/>
        <v>-</v>
      </c>
      <c r="CB399" s="72">
        <f t="shared" si="3221"/>
        <v>137</v>
      </c>
      <c r="CC399" s="71">
        <f t="shared" si="3222"/>
        <v>175</v>
      </c>
      <c r="CD399" s="72">
        <f t="shared" si="3223"/>
        <v>181</v>
      </c>
      <c r="CE399" s="71">
        <f t="shared" si="3224"/>
        <v>240</v>
      </c>
      <c r="CF399" s="72">
        <f t="shared" si="3225"/>
        <v>269</v>
      </c>
      <c r="CG399" s="71">
        <f t="shared" si="3226"/>
        <v>302</v>
      </c>
      <c r="CH399" s="70">
        <f t="shared" si="3227"/>
        <v>53</v>
      </c>
      <c r="CI399" s="71" t="str">
        <f t="shared" si="3228"/>
        <v>-</v>
      </c>
      <c r="CJ399" s="72">
        <f t="shared" si="3229"/>
        <v>86</v>
      </c>
      <c r="CK399" s="72" t="str">
        <f t="shared" si="3230"/>
        <v>-</v>
      </c>
      <c r="CL399" s="72">
        <f t="shared" si="3231"/>
        <v>128</v>
      </c>
      <c r="CM399" s="72" t="str">
        <f t="shared" si="3232"/>
        <v>-</v>
      </c>
      <c r="CN399" s="72">
        <f t="shared" si="3233"/>
        <v>162</v>
      </c>
      <c r="CO399" s="72">
        <f t="shared" si="3234"/>
        <v>177</v>
      </c>
      <c r="CP399" s="72">
        <f t="shared" si="3235"/>
        <v>223</v>
      </c>
      <c r="CQ399" s="72">
        <f t="shared" si="3236"/>
        <v>261</v>
      </c>
      <c r="CR399" s="72">
        <f t="shared" si="3237"/>
        <v>301</v>
      </c>
      <c r="CS399" s="72">
        <f t="shared" si="3238"/>
        <v>312</v>
      </c>
      <c r="CT399" s="23" t="e">
        <f t="shared" si="3239"/>
        <v>#VALUE!</v>
      </c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</row>
    <row r="400" spans="1:1030" x14ac:dyDescent="0.2">
      <c r="A400" s="3" t="str">
        <f t="shared" si="3240"/>
        <v>p2y12_human_4PXZ</v>
      </c>
      <c r="B400" s="3" t="s">
        <v>351</v>
      </c>
      <c r="C400" s="3" t="s">
        <v>1146</v>
      </c>
      <c r="D400" s="3" t="str">
        <f>IFERROR(MID(VLOOKUP($B400,Seqs!$A:$B,2,0),E400,1),"")</f>
        <v>I</v>
      </c>
      <c r="E400" s="3">
        <v>23</v>
      </c>
      <c r="F400" s="3" t="str">
        <f>IFERROR(MID(VLOOKUP($B400,Seqs!$A:$B,2,0),G400,1),"")</f>
        <v>I</v>
      </c>
      <c r="G400" s="3">
        <v>53</v>
      </c>
      <c r="H400" s="3" t="str">
        <f>IFERROR(MID(VLOOKUP($B400,Seqs!$A:$B,2,0),I400,1),"")</f>
        <v/>
      </c>
      <c r="I400" s="23" t="s">
        <v>23</v>
      </c>
      <c r="J400" s="3" t="str">
        <f>IFERROR(MID(VLOOKUP($B400,Seqs!$A:$B,2,0),K400,1),"")</f>
        <v/>
      </c>
      <c r="K400" s="23" t="s">
        <v>23</v>
      </c>
      <c r="L400" s="3" t="str">
        <f>IFERROR(MID(VLOOKUP($B400,Seqs!$A:$B,2,0),M400,1),"")</f>
        <v>S</v>
      </c>
      <c r="M400" s="3">
        <v>57</v>
      </c>
      <c r="N400" s="3" t="str">
        <f>IFERROR(MID(VLOOKUP($B400,Seqs!$A:$B,2,0),O400,1),"")</f>
        <v>K</v>
      </c>
      <c r="O400" s="3">
        <v>86</v>
      </c>
      <c r="P400" s="3" t="str">
        <f>IFERROR(MID(VLOOKUP($B400,Seqs!$A:$B,2,0),Q400,1),"")</f>
        <v/>
      </c>
      <c r="Q400" s="3" t="s">
        <v>23</v>
      </c>
      <c r="R400" s="3" t="str">
        <f>IFERROR(MID(VLOOKUP($B400,Seqs!$A:$B,2,0),S400,1),"")</f>
        <v/>
      </c>
      <c r="S400" s="3" t="s">
        <v>23</v>
      </c>
      <c r="T400" s="3" t="str">
        <f>IFERROR(MID(VLOOKUP($B400,Seqs!$A:$B,2,0),U400,1),"")</f>
        <v>G</v>
      </c>
      <c r="U400" s="3">
        <v>90</v>
      </c>
      <c r="V400" s="3" t="str">
        <f>IFERROR(MID(VLOOKUP($B400,Seqs!$A:$B,2,0),W400,1),"")</f>
        <v>R</v>
      </c>
      <c r="W400" s="3">
        <v>128</v>
      </c>
      <c r="X400" s="3" t="str">
        <f>IFERROR(MID(VLOOKUP($B400,Seqs!$A:$B,2,0),Y400,1),"")</f>
        <v/>
      </c>
      <c r="Y400" s="3" t="s">
        <v>23</v>
      </c>
      <c r="Z400" s="3" t="str">
        <f>IFERROR(MID(VLOOKUP($B400,Seqs!$A:$B,2,0),AA400,1),"")</f>
        <v/>
      </c>
      <c r="AA400" s="3" t="s">
        <v>23</v>
      </c>
      <c r="AB400" s="3" t="str">
        <f>IFERROR(MID(VLOOKUP($B400,Seqs!$A:$B,2,0),AC400,1),"")</f>
        <v>N</v>
      </c>
      <c r="AC400" s="9">
        <v>137</v>
      </c>
      <c r="AD400" s="3" t="str">
        <f>IFERROR(MID(VLOOKUP($B400,Seqs!$A:$B,2,0),AE400,1),"")</f>
        <v>T</v>
      </c>
      <c r="AE400" s="3">
        <v>163</v>
      </c>
      <c r="AF400" s="3" t="str">
        <f>IFERROR(MID(VLOOKUP($B400,Seqs!$A:$B,2,0),AG400,1),"")</f>
        <v>C</v>
      </c>
      <c r="AG400" s="3">
        <v>175</v>
      </c>
      <c r="AH400" s="3" t="str">
        <f>IFERROR(MID(VLOOKUP($B400,Seqs!$A:$B,2,0),AI400,1),"")</f>
        <v>F</v>
      </c>
      <c r="AI400" s="3">
        <v>177</v>
      </c>
      <c r="AJ400" s="3" t="str">
        <f>IFERROR(MID(VLOOKUP($B400,Seqs!$A:$B,2,0),AK400,1),"")</f>
        <v>E</v>
      </c>
      <c r="AK400" s="3">
        <v>181</v>
      </c>
      <c r="AL400" s="3" t="str">
        <f>IFERROR(MID(VLOOKUP($B400,Seqs!$A:$B,2,0),AM400,1),"")</f>
        <v>S</v>
      </c>
      <c r="AM400" s="3">
        <v>219</v>
      </c>
      <c r="AN400" s="3" t="str">
        <f>IFERROR(MID(VLOOKUP($B400,Seqs!$A:$B,2,0),AO400,1),"")</f>
        <v>V</v>
      </c>
      <c r="AO400" s="3">
        <v>236</v>
      </c>
      <c r="AP400" s="3" t="str">
        <f>IFERROR(MID(VLOOKUP($B400,Seqs!$A:$B,2,0),AQ400,1),"")</f>
        <v>R</v>
      </c>
      <c r="AQ400" s="3">
        <v>265</v>
      </c>
      <c r="AR400" s="3" t="str">
        <f>IFERROR(MID(VLOOKUP($B400,Seqs!$A:$B,2,0),AS400,1),"")</f>
        <v>D</v>
      </c>
      <c r="AS400" s="3">
        <v>269</v>
      </c>
      <c r="AT400" s="3" t="str">
        <f>IFERROR(MID(VLOOKUP($B400,Seqs!$A:$B,2,0),AU400,1),"")</f>
        <v>C</v>
      </c>
      <c r="AU400" s="3">
        <v>292</v>
      </c>
      <c r="AV400" s="3" t="str">
        <f>IFERROR(MID(VLOOKUP($B400,Seqs!$A:$B,2,0),AW400,1),"")</f>
        <v/>
      </c>
      <c r="AW400" s="3" t="s">
        <v>23</v>
      </c>
      <c r="AX400" s="3" t="str">
        <f>IFERROR(MID(VLOOKUP($B400,Seqs!$A:$B,2,0),AY400,1),"")</f>
        <v/>
      </c>
      <c r="AY400" s="3" t="s">
        <v>23</v>
      </c>
      <c r="AZ400" s="77" t="str">
        <f>VLOOKUP(B400,Classification!A:D,2,0)</f>
        <v>A</v>
      </c>
      <c r="BA400" s="94" t="str">
        <f>VLOOKUP(B400,Classification!A:D,4,0)</f>
        <v>P2Y</v>
      </c>
      <c r="BB400" s="27" t="b">
        <f t="shared" si="3241"/>
        <v>1</v>
      </c>
      <c r="BC400" s="23">
        <f t="shared" si="3214"/>
        <v>227</v>
      </c>
      <c r="BD400" s="4" t="s">
        <v>23</v>
      </c>
      <c r="BE400" s="3" t="s">
        <v>1422</v>
      </c>
      <c r="BF400" s="118">
        <v>2.5</v>
      </c>
      <c r="BG400" s="49" t="s">
        <v>1371</v>
      </c>
      <c r="BH400" s="49" t="s">
        <v>1371</v>
      </c>
      <c r="BI400" s="1"/>
      <c r="BJ400" s="70" t="s">
        <v>1281</v>
      </c>
      <c r="BK400" s="57" t="s">
        <v>1281</v>
      </c>
      <c r="BL400" s="57" t="s">
        <v>1281</v>
      </c>
      <c r="BM400" s="57" t="s">
        <v>1281</v>
      </c>
      <c r="BN400" s="57" t="s">
        <v>1281</v>
      </c>
      <c r="BO400" s="57" t="s">
        <v>1281</v>
      </c>
      <c r="BP400" s="57" t="s">
        <v>1281</v>
      </c>
      <c r="BQ400" s="57" t="s">
        <v>1281</v>
      </c>
      <c r="BR400" s="57" t="s">
        <v>1281</v>
      </c>
      <c r="BS400" s="57" t="s">
        <v>1281</v>
      </c>
      <c r="BT400" s="57" t="s">
        <v>1281</v>
      </c>
      <c r="BU400" s="57" t="s">
        <v>1281</v>
      </c>
      <c r="BV400" s="70">
        <f t="shared" si="3215"/>
        <v>23</v>
      </c>
      <c r="BW400" s="71" t="str">
        <f t="shared" si="3216"/>
        <v>-</v>
      </c>
      <c r="BX400" s="72">
        <f t="shared" si="3217"/>
        <v>57</v>
      </c>
      <c r="BY400" s="71" t="str">
        <f t="shared" si="3218"/>
        <v>-</v>
      </c>
      <c r="BZ400" s="72">
        <f t="shared" si="3219"/>
        <v>90</v>
      </c>
      <c r="CA400" s="71" t="str">
        <f t="shared" si="3220"/>
        <v>-</v>
      </c>
      <c r="CB400" s="72">
        <f t="shared" si="3221"/>
        <v>137</v>
      </c>
      <c r="CC400" s="71">
        <f t="shared" si="3222"/>
        <v>175</v>
      </c>
      <c r="CD400" s="72">
        <f t="shared" si="3223"/>
        <v>181</v>
      </c>
      <c r="CE400" s="71">
        <f t="shared" si="3224"/>
        <v>236</v>
      </c>
      <c r="CF400" s="72">
        <f t="shared" si="3225"/>
        <v>269</v>
      </c>
      <c r="CG400" s="71" t="str">
        <f t="shared" si="3226"/>
        <v>-</v>
      </c>
      <c r="CH400" s="70">
        <f t="shared" si="3227"/>
        <v>53</v>
      </c>
      <c r="CI400" s="71" t="str">
        <f t="shared" si="3228"/>
        <v>-</v>
      </c>
      <c r="CJ400" s="72">
        <f t="shared" si="3229"/>
        <v>86</v>
      </c>
      <c r="CK400" s="72" t="str">
        <f t="shared" si="3230"/>
        <v>-</v>
      </c>
      <c r="CL400" s="72">
        <f t="shared" si="3231"/>
        <v>128</v>
      </c>
      <c r="CM400" s="72" t="str">
        <f t="shared" si="3232"/>
        <v>-</v>
      </c>
      <c r="CN400" s="72">
        <f t="shared" si="3233"/>
        <v>163</v>
      </c>
      <c r="CO400" s="72">
        <f t="shared" si="3234"/>
        <v>177</v>
      </c>
      <c r="CP400" s="72">
        <f t="shared" si="3235"/>
        <v>219</v>
      </c>
      <c r="CQ400" s="72">
        <f t="shared" si="3236"/>
        <v>265</v>
      </c>
      <c r="CR400" s="72">
        <f t="shared" si="3237"/>
        <v>292</v>
      </c>
      <c r="CS400" s="72" t="str">
        <f t="shared" si="3238"/>
        <v>-</v>
      </c>
      <c r="CT400" s="23" t="e">
        <f t="shared" si="3239"/>
        <v>#VALUE!</v>
      </c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</row>
    <row r="401" spans="1:1029" x14ac:dyDescent="0.2">
      <c r="A401" s="3" t="str">
        <f t="shared" si="3240"/>
        <v>p2y12_human_4PY0</v>
      </c>
      <c r="B401" s="3" t="s">
        <v>351</v>
      </c>
      <c r="C401" s="3" t="s">
        <v>1044</v>
      </c>
      <c r="D401" s="3" t="str">
        <f>IFERROR(MID(VLOOKUP($B401,Seqs!$A:$B,2,0),E401,1),"")</f>
        <v>I</v>
      </c>
      <c r="E401" s="3">
        <v>23</v>
      </c>
      <c r="F401" s="3" t="str">
        <f>IFERROR(MID(VLOOKUP($B401,Seqs!$A:$B,2,0),G401,1),"")</f>
        <v>I</v>
      </c>
      <c r="G401" s="3">
        <v>53</v>
      </c>
      <c r="H401" s="3" t="str">
        <f>IFERROR(MID(VLOOKUP($B401,Seqs!$A:$B,2,0),I401,1),"")</f>
        <v/>
      </c>
      <c r="I401" s="23" t="s">
        <v>23</v>
      </c>
      <c r="J401" s="3" t="str">
        <f>IFERROR(MID(VLOOKUP($B401,Seqs!$A:$B,2,0),K401,1),"")</f>
        <v/>
      </c>
      <c r="K401" s="23" t="s">
        <v>23</v>
      </c>
      <c r="L401" s="3" t="str">
        <f>IFERROR(MID(VLOOKUP($B401,Seqs!$A:$B,2,0),M401,1),"")</f>
        <v>S</v>
      </c>
      <c r="M401" s="3">
        <v>57</v>
      </c>
      <c r="N401" s="3" t="str">
        <f>IFERROR(MID(VLOOKUP($B401,Seqs!$A:$B,2,0),O401,1),"")</f>
        <v>K</v>
      </c>
      <c r="O401" s="3">
        <v>86</v>
      </c>
      <c r="P401" s="3" t="str">
        <f>IFERROR(MID(VLOOKUP($B401,Seqs!$A:$B,2,0),Q401,1),"")</f>
        <v/>
      </c>
      <c r="Q401" s="3" t="s">
        <v>23</v>
      </c>
      <c r="R401" s="3" t="str">
        <f>IFERROR(MID(VLOOKUP($B401,Seqs!$A:$B,2,0),S401,1),"")</f>
        <v/>
      </c>
      <c r="S401" s="3" t="s">
        <v>23</v>
      </c>
      <c r="T401" s="3" t="str">
        <f>IFERROR(MID(VLOOKUP($B401,Seqs!$A:$B,2,0),U401,1),"")</f>
        <v>G</v>
      </c>
      <c r="U401" s="3">
        <v>90</v>
      </c>
      <c r="V401" s="3" t="str">
        <f>IFERROR(MID(VLOOKUP($B401,Seqs!$A:$B,2,0),W401,1),"")</f>
        <v>R</v>
      </c>
      <c r="W401" s="3">
        <v>128</v>
      </c>
      <c r="X401" s="3" t="str">
        <f>IFERROR(MID(VLOOKUP($B401,Seqs!$A:$B,2,0),Y401,1),"")</f>
        <v/>
      </c>
      <c r="Y401" s="3" t="s">
        <v>23</v>
      </c>
      <c r="Z401" s="3" t="str">
        <f>IFERROR(MID(VLOOKUP($B401,Seqs!$A:$B,2,0),AA401,1),"")</f>
        <v/>
      </c>
      <c r="AA401" s="3" t="s">
        <v>23</v>
      </c>
      <c r="AB401" s="3" t="str">
        <f>IFERROR(MID(VLOOKUP($B401,Seqs!$A:$B,2,0),AC401,1),"")</f>
        <v>N</v>
      </c>
      <c r="AC401" s="9">
        <v>137</v>
      </c>
      <c r="AD401" s="3" t="str">
        <f>IFERROR(MID(VLOOKUP($B401,Seqs!$A:$B,2,0),AE401,1),"")</f>
        <v>T</v>
      </c>
      <c r="AE401" s="3">
        <v>163</v>
      </c>
      <c r="AF401" s="3" t="str">
        <f>IFERROR(MID(VLOOKUP($B401,Seqs!$A:$B,2,0),AG401,1),"")</f>
        <v>C</v>
      </c>
      <c r="AG401" s="3">
        <v>175</v>
      </c>
      <c r="AH401" s="3" t="str">
        <f>IFERROR(MID(VLOOKUP($B401,Seqs!$A:$B,2,0),AI401,1),"")</f>
        <v>F</v>
      </c>
      <c r="AI401" s="3">
        <v>177</v>
      </c>
      <c r="AJ401" s="3" t="str">
        <f>IFERROR(MID(VLOOKUP($B401,Seqs!$A:$B,2,0),AK401,1),"")</f>
        <v>E</v>
      </c>
      <c r="AK401" s="3">
        <v>181</v>
      </c>
      <c r="AL401" s="3" t="str">
        <f>IFERROR(MID(VLOOKUP($B401,Seqs!$A:$B,2,0),AM401,1),"")</f>
        <v>S</v>
      </c>
      <c r="AM401" s="3">
        <v>219</v>
      </c>
      <c r="AN401" s="3" t="str">
        <f>IFERROR(MID(VLOOKUP($B401,Seqs!$A:$B,2,0),AO401,1),"")</f>
        <v>V</v>
      </c>
      <c r="AO401" s="3">
        <v>236</v>
      </c>
      <c r="AP401" s="3" t="str">
        <f>IFERROR(MID(VLOOKUP($B401,Seqs!$A:$B,2,0),AQ401,1),"")</f>
        <v>R</v>
      </c>
      <c r="AQ401" s="3">
        <v>265</v>
      </c>
      <c r="AR401" s="3" t="str">
        <f>IFERROR(MID(VLOOKUP($B401,Seqs!$A:$B,2,0),AS401,1),"")</f>
        <v>D</v>
      </c>
      <c r="AS401" s="3">
        <v>269</v>
      </c>
      <c r="AT401" s="3" t="str">
        <f>IFERROR(MID(VLOOKUP($B401,Seqs!$A:$B,2,0),AU401,1),"")</f>
        <v>C</v>
      </c>
      <c r="AU401" s="3">
        <v>292</v>
      </c>
      <c r="AV401" s="3" t="str">
        <f>IFERROR(MID(VLOOKUP($B401,Seqs!$A:$B,2,0),AW401,1),"")</f>
        <v/>
      </c>
      <c r="AW401" s="3" t="s">
        <v>23</v>
      </c>
      <c r="AX401" s="3" t="str">
        <f>IFERROR(MID(VLOOKUP($B401,Seqs!$A:$B,2,0),AY401,1),"")</f>
        <v/>
      </c>
      <c r="AY401" s="3" t="s">
        <v>23</v>
      </c>
      <c r="AZ401" s="77" t="str">
        <f>VLOOKUP(B401,Classification!A:D,2,0)</f>
        <v>A</v>
      </c>
      <c r="BA401" s="94" t="str">
        <f>VLOOKUP(B401,Classification!A:D,4,0)</f>
        <v>P2Y</v>
      </c>
      <c r="BB401" s="27" t="b">
        <f t="shared" si="3241"/>
        <v>1</v>
      </c>
      <c r="BC401" s="23">
        <f t="shared" si="3214"/>
        <v>227</v>
      </c>
      <c r="BD401" s="4" t="s">
        <v>23</v>
      </c>
      <c r="BE401" s="3" t="s">
        <v>1422</v>
      </c>
      <c r="BF401" s="118">
        <v>3.1</v>
      </c>
      <c r="BG401" s="49" t="s">
        <v>1371</v>
      </c>
      <c r="BH401" s="49" t="s">
        <v>1371</v>
      </c>
      <c r="BI401" s="1"/>
      <c r="BJ401" s="70" t="s">
        <v>1281</v>
      </c>
      <c r="BK401" s="57" t="s">
        <v>1281</v>
      </c>
      <c r="BL401" s="57" t="s">
        <v>1281</v>
      </c>
      <c r="BM401" s="57" t="s">
        <v>1281</v>
      </c>
      <c r="BN401" s="57" t="s">
        <v>1281</v>
      </c>
      <c r="BO401" s="57" t="s">
        <v>1281</v>
      </c>
      <c r="BP401" s="57" t="s">
        <v>1281</v>
      </c>
      <c r="BQ401" s="57" t="s">
        <v>1281</v>
      </c>
      <c r="BR401" s="57" t="s">
        <v>1281</v>
      </c>
      <c r="BS401" s="57" t="s">
        <v>1281</v>
      </c>
      <c r="BT401" s="57" t="s">
        <v>1281</v>
      </c>
      <c r="BU401" s="57" t="s">
        <v>1281</v>
      </c>
      <c r="BV401" s="70">
        <f t="shared" si="3215"/>
        <v>23</v>
      </c>
      <c r="BW401" s="71" t="str">
        <f t="shared" si="3216"/>
        <v>-</v>
      </c>
      <c r="BX401" s="72">
        <f t="shared" si="3217"/>
        <v>57</v>
      </c>
      <c r="BY401" s="71" t="str">
        <f t="shared" si="3218"/>
        <v>-</v>
      </c>
      <c r="BZ401" s="72">
        <f t="shared" si="3219"/>
        <v>90</v>
      </c>
      <c r="CA401" s="71" t="str">
        <f t="shared" si="3220"/>
        <v>-</v>
      </c>
      <c r="CB401" s="72">
        <f t="shared" si="3221"/>
        <v>137</v>
      </c>
      <c r="CC401" s="71">
        <f t="shared" si="3222"/>
        <v>175</v>
      </c>
      <c r="CD401" s="72">
        <f t="shared" si="3223"/>
        <v>181</v>
      </c>
      <c r="CE401" s="71">
        <f t="shared" si="3224"/>
        <v>236</v>
      </c>
      <c r="CF401" s="72">
        <f t="shared" si="3225"/>
        <v>269</v>
      </c>
      <c r="CG401" s="71" t="str">
        <f t="shared" si="3226"/>
        <v>-</v>
      </c>
      <c r="CH401" s="70">
        <f t="shared" si="3227"/>
        <v>53</v>
      </c>
      <c r="CI401" s="71" t="str">
        <f t="shared" si="3228"/>
        <v>-</v>
      </c>
      <c r="CJ401" s="72">
        <f t="shared" si="3229"/>
        <v>86</v>
      </c>
      <c r="CK401" s="72" t="str">
        <f t="shared" si="3230"/>
        <v>-</v>
      </c>
      <c r="CL401" s="72">
        <f t="shared" si="3231"/>
        <v>128</v>
      </c>
      <c r="CM401" s="72" t="str">
        <f t="shared" si="3232"/>
        <v>-</v>
      </c>
      <c r="CN401" s="72">
        <f t="shared" si="3233"/>
        <v>163</v>
      </c>
      <c r="CO401" s="72">
        <f t="shared" si="3234"/>
        <v>177</v>
      </c>
      <c r="CP401" s="72">
        <f t="shared" si="3235"/>
        <v>219</v>
      </c>
      <c r="CQ401" s="72">
        <f t="shared" si="3236"/>
        <v>265</v>
      </c>
      <c r="CR401" s="72">
        <f t="shared" si="3237"/>
        <v>292</v>
      </c>
      <c r="CS401" s="72" t="str">
        <f t="shared" si="3238"/>
        <v>-</v>
      </c>
      <c r="CT401" s="23" t="e">
        <f t="shared" si="3239"/>
        <v>#VALUE!</v>
      </c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</row>
    <row r="402" spans="1:1029" x14ac:dyDescent="0.2">
      <c r="A402" s="3" t="str">
        <f t="shared" si="3240"/>
        <v>par1_human__wt</v>
      </c>
      <c r="B402" s="3" t="s">
        <v>354</v>
      </c>
      <c r="C402" s="3" t="s">
        <v>100</v>
      </c>
      <c r="D402" s="3" t="str">
        <f>IFERROR(MID(VLOOKUP($B402,Seqs!$A:$B,2,0),E402,1),"")</f>
        <v>S</v>
      </c>
      <c r="E402" s="3">
        <v>99</v>
      </c>
      <c r="F402" s="3" t="str">
        <f>IFERROR(MID(VLOOKUP($B402,Seqs!$A:$B,2,0),G402,1),"")</f>
        <v>K</v>
      </c>
      <c r="G402" s="3">
        <v>130</v>
      </c>
      <c r="H402" s="3" t="str">
        <f>IFERROR(MID(VLOOKUP($B402,Seqs!$A:$B,2,0),I402,1),"")</f>
        <v>M</v>
      </c>
      <c r="I402" s="23">
        <v>131</v>
      </c>
      <c r="J402" s="3" t="str">
        <f>IFERROR(MID(VLOOKUP($B402,Seqs!$A:$B,2,0),K402,1),"")</f>
        <v>K</v>
      </c>
      <c r="K402" s="23">
        <v>134</v>
      </c>
      <c r="L402" s="3" t="str">
        <f>IFERROR(MID(VLOOKUP($B402,Seqs!$A:$B,2,0),M402,1),"")</f>
        <v>K</v>
      </c>
      <c r="M402" s="3">
        <v>135</v>
      </c>
      <c r="N402" s="3" t="str">
        <f>IFERROR(MID(VLOOKUP($B402,Seqs!$A:$B,2,0),O402,1),"")</f>
        <v>S</v>
      </c>
      <c r="O402" s="3">
        <v>164</v>
      </c>
      <c r="P402" s="3" t="str">
        <f>IFERROR(MID(VLOOKUP($B402,Seqs!$A:$B,2,0),Q402,1),"")</f>
        <v>D</v>
      </c>
      <c r="Q402" s="3">
        <v>167</v>
      </c>
      <c r="R402" s="3" t="str">
        <f>IFERROR(MID(VLOOKUP($B402,Seqs!$A:$B,2,0),S402,1),"")</f>
        <v>F</v>
      </c>
      <c r="S402" s="3">
        <v>170</v>
      </c>
      <c r="T402" s="3" t="str">
        <f>IFERROR(MID(VLOOKUP($B402,Seqs!$A:$B,2,0),U402,1),"")</f>
        <v>G</v>
      </c>
      <c r="U402" s="3">
        <v>171</v>
      </c>
      <c r="V402" s="3" t="str">
        <f>IFERROR(MID(VLOOKUP($B402,Seqs!$A:$B,2,0),W402,1),"")</f>
        <v>Y</v>
      </c>
      <c r="W402" s="3">
        <v>206</v>
      </c>
      <c r="X402" s="3" t="str">
        <f>IFERROR(MID(VLOOKUP($B402,Seqs!$A:$B,2,0),Y402,1),"")</f>
        <v>P</v>
      </c>
      <c r="Y402" s="3">
        <v>207</v>
      </c>
      <c r="Z402" s="3" t="str">
        <f>IFERROR(MID(VLOOKUP($B402,Seqs!$A:$B,2,0),AA402,1),"")</f>
        <v>R</v>
      </c>
      <c r="AA402" s="3">
        <v>214</v>
      </c>
      <c r="AB402" s="3" t="str">
        <f>IFERROR(MID(VLOOKUP($B402,Seqs!$A:$B,2,0),AC402,1),"")</f>
        <v>T</v>
      </c>
      <c r="AC402" s="9">
        <v>215</v>
      </c>
      <c r="AD402" s="3" t="str">
        <f>IFERROR(MID(VLOOKUP($B402,Seqs!$A:$B,2,0),AE402,1),"")</f>
        <v>K</v>
      </c>
      <c r="AE402" s="3">
        <v>240</v>
      </c>
      <c r="AF402" s="3" t="str">
        <f>IFERROR(MID(VLOOKUP($B402,Seqs!$A:$B,2,0),AG402,1),"")</f>
        <v>C</v>
      </c>
      <c r="AG402" s="3">
        <v>254</v>
      </c>
      <c r="AH402" s="3" t="str">
        <f>IFERROR(MID(VLOOKUP($B402,Seqs!$A:$B,2,0),AI402,1),"")</f>
        <v>D</v>
      </c>
      <c r="AI402" s="3">
        <v>256</v>
      </c>
      <c r="AJ402" s="3" t="str">
        <f>IFERROR(MID(VLOOKUP($B402,Seqs!$A:$B,2,0),AK402,1),"")</f>
        <v>E</v>
      </c>
      <c r="AK402" s="3">
        <v>264</v>
      </c>
      <c r="AL402" s="3" t="str">
        <f>IFERROR(MID(VLOOKUP($B402,Seqs!$A:$B,2,0),AM402,1),"")</f>
        <v>S</v>
      </c>
      <c r="AM402" s="3">
        <v>299</v>
      </c>
      <c r="AN402" s="3" t="str">
        <f>IFERROR(MID(VLOOKUP($B402,Seqs!$A:$B,2,0),AO402,1),"")</f>
        <v>N</v>
      </c>
      <c r="AO402" s="3">
        <v>304</v>
      </c>
      <c r="AP402" s="3" t="str">
        <f>IFERROR(MID(VLOOKUP($B402,Seqs!$A:$B,2,0),AQ402,1),"")</f>
        <v>L</v>
      </c>
      <c r="AQ402" s="3">
        <v>340</v>
      </c>
      <c r="AR402" s="3" t="str">
        <f>IFERROR(MID(VLOOKUP($B402,Seqs!$A:$B,2,0),AS402,1),"")</f>
        <v>T</v>
      </c>
      <c r="AS402" s="3">
        <v>346</v>
      </c>
      <c r="AT402" s="3" t="str">
        <f>IFERROR(MID(VLOOKUP($B402,Seqs!$A:$B,2,0),AU402,1),"")</f>
        <v>A</v>
      </c>
      <c r="AU402" s="3">
        <v>374</v>
      </c>
      <c r="AV402" s="3" t="str">
        <f>IFERROR(MID(VLOOKUP($B402,Seqs!$A:$B,2,0),AW402,1),"")</f>
        <v>S</v>
      </c>
      <c r="AW402" s="3">
        <v>375</v>
      </c>
      <c r="AX402" s="3" t="str">
        <f>IFERROR(MID(VLOOKUP($B402,Seqs!$A:$B,2,0),AY402,1),"")</f>
        <v>K</v>
      </c>
      <c r="AY402" s="3">
        <v>389</v>
      </c>
      <c r="AZ402" s="77" t="str">
        <f>VLOOKUP(B402,Classification!A:D,2,0)</f>
        <v>A</v>
      </c>
      <c r="BA402" s="94" t="str">
        <f>VLOOKUP(B402,Classification!A:D,4,0)</f>
        <v>Proteinase-activated</v>
      </c>
      <c r="BB402" s="27" t="b">
        <f t="shared" si="3241"/>
        <v>1</v>
      </c>
      <c r="BC402" s="23">
        <f t="shared" si="3214"/>
        <v>260</v>
      </c>
      <c r="BD402" s="56" t="s">
        <v>23</v>
      </c>
      <c r="BE402" s="3" t="s">
        <v>23</v>
      </c>
      <c r="BF402" s="118" t="s">
        <v>23</v>
      </c>
      <c r="BG402" s="49" t="s">
        <v>1366</v>
      </c>
      <c r="BH402" s="49" t="s">
        <v>1371</v>
      </c>
      <c r="BI402" s="1"/>
      <c r="BJ402" s="70" t="s">
        <v>1281</v>
      </c>
      <c r="BK402" s="57" t="s">
        <v>1281</v>
      </c>
      <c r="BL402" s="57" t="s">
        <v>1281</v>
      </c>
      <c r="BM402" s="57" t="s">
        <v>1281</v>
      </c>
      <c r="BN402" s="57" t="s">
        <v>1281</v>
      </c>
      <c r="BO402" s="57" t="s">
        <v>1281</v>
      </c>
      <c r="BP402" s="57" t="s">
        <v>1281</v>
      </c>
      <c r="BQ402" s="57" t="s">
        <v>1281</v>
      </c>
      <c r="BR402" s="57" t="s">
        <v>1281</v>
      </c>
      <c r="BS402" s="57" t="s">
        <v>1281</v>
      </c>
      <c r="BT402" s="57" t="s">
        <v>1281</v>
      </c>
      <c r="BU402" s="57" t="s">
        <v>1281</v>
      </c>
      <c r="BV402" s="70">
        <f t="shared" si="3215"/>
        <v>99</v>
      </c>
      <c r="BW402" s="71">
        <f t="shared" si="3216"/>
        <v>131</v>
      </c>
      <c r="BX402" s="72">
        <f t="shared" si="3217"/>
        <v>135</v>
      </c>
      <c r="BY402" s="71">
        <f t="shared" si="3218"/>
        <v>167</v>
      </c>
      <c r="BZ402" s="72">
        <f t="shared" si="3219"/>
        <v>171</v>
      </c>
      <c r="CA402" s="71">
        <f t="shared" si="3220"/>
        <v>207</v>
      </c>
      <c r="CB402" s="72">
        <f t="shared" si="3221"/>
        <v>215</v>
      </c>
      <c r="CC402" s="71">
        <f t="shared" si="3222"/>
        <v>254</v>
      </c>
      <c r="CD402" s="72">
        <f t="shared" si="3223"/>
        <v>264</v>
      </c>
      <c r="CE402" s="71">
        <f t="shared" si="3224"/>
        <v>304</v>
      </c>
      <c r="CF402" s="72">
        <f t="shared" si="3225"/>
        <v>346</v>
      </c>
      <c r="CG402" s="71">
        <f t="shared" si="3226"/>
        <v>375</v>
      </c>
      <c r="CH402" s="70">
        <f t="shared" si="3227"/>
        <v>130</v>
      </c>
      <c r="CI402" s="71">
        <f t="shared" si="3228"/>
        <v>134</v>
      </c>
      <c r="CJ402" s="72">
        <f t="shared" si="3229"/>
        <v>164</v>
      </c>
      <c r="CK402" s="72">
        <f t="shared" si="3230"/>
        <v>170</v>
      </c>
      <c r="CL402" s="72">
        <f t="shared" si="3231"/>
        <v>206</v>
      </c>
      <c r="CM402" s="72">
        <f t="shared" si="3232"/>
        <v>214</v>
      </c>
      <c r="CN402" s="72">
        <f t="shared" si="3233"/>
        <v>240</v>
      </c>
      <c r="CO402" s="72">
        <f t="shared" si="3234"/>
        <v>256</v>
      </c>
      <c r="CP402" s="72">
        <f t="shared" si="3235"/>
        <v>299</v>
      </c>
      <c r="CQ402" s="72">
        <f t="shared" si="3236"/>
        <v>340</v>
      </c>
      <c r="CR402" s="72">
        <f t="shared" si="3237"/>
        <v>374</v>
      </c>
      <c r="CS402" s="72">
        <f t="shared" si="3238"/>
        <v>389</v>
      </c>
      <c r="CT402" s="23">
        <f t="shared" si="3239"/>
        <v>1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</row>
    <row r="403" spans="1:1029" x14ac:dyDescent="0.2">
      <c r="A403" s="3" t="str">
        <f t="shared" si="3240"/>
        <v>par1_human_3VW7</v>
      </c>
      <c r="B403" s="3" t="s">
        <v>354</v>
      </c>
      <c r="C403" s="3" t="s">
        <v>93</v>
      </c>
      <c r="D403" s="3" t="str">
        <f>IFERROR(MID(VLOOKUP($B403,Seqs!$A:$B,2,0),E403,1),"")</f>
        <v>S</v>
      </c>
      <c r="E403" s="3">
        <v>99</v>
      </c>
      <c r="F403" s="3" t="str">
        <f>IFERROR(MID(VLOOKUP($B403,Seqs!$A:$B,2,0),G403,1),"")</f>
        <v>K</v>
      </c>
      <c r="G403" s="3">
        <v>130</v>
      </c>
      <c r="H403" s="3" t="str">
        <f>IFERROR(MID(VLOOKUP($B403,Seqs!$A:$B,2,0),I403,1),"")</f>
        <v/>
      </c>
      <c r="I403" s="23" t="s">
        <v>23</v>
      </c>
      <c r="J403" s="3" t="str">
        <f>IFERROR(MID(VLOOKUP($B403,Seqs!$A:$B,2,0),K403,1),"")</f>
        <v/>
      </c>
      <c r="K403" s="23" t="s">
        <v>23</v>
      </c>
      <c r="L403" s="3" t="str">
        <f>IFERROR(MID(VLOOKUP($B403,Seqs!$A:$B,2,0),M403,1),"")</f>
        <v>K</v>
      </c>
      <c r="M403" s="3">
        <v>135</v>
      </c>
      <c r="N403" s="3" t="str">
        <f>IFERROR(MID(VLOOKUP($B403,Seqs!$A:$B,2,0),O403,1),"")</f>
        <v>S</v>
      </c>
      <c r="O403" s="3">
        <v>164</v>
      </c>
      <c r="P403" s="3" t="str">
        <f>IFERROR(MID(VLOOKUP($B403,Seqs!$A:$B,2,0),Q403,1),"")</f>
        <v>D</v>
      </c>
      <c r="Q403" s="3">
        <v>167</v>
      </c>
      <c r="R403" s="3" t="str">
        <f>IFERROR(MID(VLOOKUP($B403,Seqs!$A:$B,2,0),S403,1),"")</f>
        <v>F</v>
      </c>
      <c r="S403" s="3">
        <v>170</v>
      </c>
      <c r="T403" s="3" t="str">
        <f>IFERROR(MID(VLOOKUP($B403,Seqs!$A:$B,2,0),U403,1),"")</f>
        <v>G</v>
      </c>
      <c r="U403" s="3">
        <v>171</v>
      </c>
      <c r="V403" s="3" t="str">
        <f>IFERROR(MID(VLOOKUP($B403,Seqs!$A:$B,2,0),W403,1),"")</f>
        <v>Y</v>
      </c>
      <c r="W403" s="3">
        <v>206</v>
      </c>
      <c r="X403" s="3" t="str">
        <f>IFERROR(MID(VLOOKUP($B403,Seqs!$A:$B,2,0),Y403,1),"")</f>
        <v/>
      </c>
      <c r="Y403" s="3" t="s">
        <v>23</v>
      </c>
      <c r="Z403" s="3" t="str">
        <f>IFERROR(MID(VLOOKUP($B403,Seqs!$A:$B,2,0),AA403,1),"")</f>
        <v/>
      </c>
      <c r="AA403" s="3" t="s">
        <v>23</v>
      </c>
      <c r="AB403" s="3" t="str">
        <f>IFERROR(MID(VLOOKUP($B403,Seqs!$A:$B,2,0),AC403,1),"")</f>
        <v>T</v>
      </c>
      <c r="AC403" s="9">
        <v>215</v>
      </c>
      <c r="AD403" s="3" t="str">
        <f>IFERROR(MID(VLOOKUP($B403,Seqs!$A:$B,2,0),AE403,1),"")</f>
        <v>K</v>
      </c>
      <c r="AE403" s="3">
        <v>240</v>
      </c>
      <c r="AF403" s="3" t="str">
        <f>IFERROR(MID(VLOOKUP($B403,Seqs!$A:$B,2,0),AG403,1),"")</f>
        <v>C</v>
      </c>
      <c r="AG403" s="3">
        <v>254</v>
      </c>
      <c r="AH403" s="3" t="str">
        <f>IFERROR(MID(VLOOKUP($B403,Seqs!$A:$B,2,0),AI403,1),"")</f>
        <v>D</v>
      </c>
      <c r="AI403" s="3">
        <v>256</v>
      </c>
      <c r="AJ403" s="3" t="str">
        <f>IFERROR(MID(VLOOKUP($B403,Seqs!$A:$B,2,0),AK403,1),"")</f>
        <v>E</v>
      </c>
      <c r="AK403" s="3">
        <v>264</v>
      </c>
      <c r="AL403" s="3" t="str">
        <f>IFERROR(MID(VLOOKUP($B403,Seqs!$A:$B,2,0),AM403,1),"")</f>
        <v>S</v>
      </c>
      <c r="AM403" s="3">
        <v>300</v>
      </c>
      <c r="AN403" s="3" t="str">
        <f>IFERROR(MID(VLOOKUP($B403,Seqs!$A:$B,2,0),AO403,1),"")</f>
        <v>N</v>
      </c>
      <c r="AO403" s="3">
        <v>304</v>
      </c>
      <c r="AP403" s="3" t="str">
        <f>IFERROR(MID(VLOOKUP($B403,Seqs!$A:$B,2,0),AQ403,1),"")</f>
        <v>L</v>
      </c>
      <c r="AQ403" s="3">
        <v>340</v>
      </c>
      <c r="AR403" s="3" t="str">
        <f>IFERROR(MID(VLOOKUP($B403,Seqs!$A:$B,2,0),AS403,1),"")</f>
        <v>T</v>
      </c>
      <c r="AS403" s="3">
        <v>346</v>
      </c>
      <c r="AT403" s="3" t="str">
        <f>IFERROR(MID(VLOOKUP($B403,Seqs!$A:$B,2,0),AU403,1),"")</f>
        <v>Y</v>
      </c>
      <c r="AU403" s="3">
        <v>372</v>
      </c>
      <c r="AV403" s="3" t="str">
        <f>IFERROR(MID(VLOOKUP($B403,Seqs!$A:$B,2,0),AW403,1),"")</f>
        <v/>
      </c>
      <c r="AW403" s="3" t="s">
        <v>23</v>
      </c>
      <c r="AX403" s="3" t="str">
        <f>IFERROR(MID(VLOOKUP($B403,Seqs!$A:$B,2,0),AY403,1),"")</f>
        <v/>
      </c>
      <c r="AY403" s="3" t="s">
        <v>23</v>
      </c>
      <c r="AZ403" s="77" t="str">
        <f>VLOOKUP(B403,Classification!A:D,2,0)</f>
        <v>A</v>
      </c>
      <c r="BA403" s="94" t="str">
        <f>VLOOKUP(B403,Classification!A:D,4,0)</f>
        <v>Proteinase-activated</v>
      </c>
      <c r="BB403" s="27" t="b">
        <f t="shared" si="3241"/>
        <v>1</v>
      </c>
      <c r="BC403" s="23">
        <f t="shared" si="3214"/>
        <v>235</v>
      </c>
      <c r="BD403" s="2" t="s">
        <v>1423</v>
      </c>
      <c r="BE403" s="3" t="s">
        <v>1422</v>
      </c>
      <c r="BF403" s="118">
        <v>2.2000000000000002</v>
      </c>
      <c r="BG403" s="49" t="s">
        <v>1371</v>
      </c>
      <c r="BH403" s="49" t="s">
        <v>1371</v>
      </c>
      <c r="BI403" s="1"/>
      <c r="BJ403" s="70" t="s">
        <v>1281</v>
      </c>
      <c r="BK403" s="57" t="s">
        <v>1281</v>
      </c>
      <c r="BL403" s="57" t="s">
        <v>1281</v>
      </c>
      <c r="BM403" s="57" t="s">
        <v>1281</v>
      </c>
      <c r="BN403" s="57" t="s">
        <v>1281</v>
      </c>
      <c r="BO403" s="57" t="s">
        <v>1281</v>
      </c>
      <c r="BP403" s="57" t="s">
        <v>1281</v>
      </c>
      <c r="BQ403" s="57" t="s">
        <v>1281</v>
      </c>
      <c r="BR403" s="57" t="s">
        <v>1281</v>
      </c>
      <c r="BS403" s="57" t="s">
        <v>1281</v>
      </c>
      <c r="BT403" s="57" t="s">
        <v>1281</v>
      </c>
      <c r="BU403" s="57" t="s">
        <v>1281</v>
      </c>
      <c r="BV403" s="70">
        <f t="shared" si="3215"/>
        <v>99</v>
      </c>
      <c r="BW403" s="71" t="str">
        <f t="shared" si="3216"/>
        <v>-</v>
      </c>
      <c r="BX403" s="72">
        <f t="shared" si="3217"/>
        <v>135</v>
      </c>
      <c r="BY403" s="71">
        <f t="shared" si="3218"/>
        <v>167</v>
      </c>
      <c r="BZ403" s="72">
        <f t="shared" si="3219"/>
        <v>171</v>
      </c>
      <c r="CA403" s="71" t="str">
        <f t="shared" si="3220"/>
        <v>-</v>
      </c>
      <c r="CB403" s="72">
        <f t="shared" si="3221"/>
        <v>215</v>
      </c>
      <c r="CC403" s="71">
        <f t="shared" si="3222"/>
        <v>254</v>
      </c>
      <c r="CD403" s="72">
        <f t="shared" si="3223"/>
        <v>264</v>
      </c>
      <c r="CE403" s="71">
        <f t="shared" si="3224"/>
        <v>304</v>
      </c>
      <c r="CF403" s="72">
        <f t="shared" si="3225"/>
        <v>346</v>
      </c>
      <c r="CG403" s="71" t="str">
        <f t="shared" si="3226"/>
        <v>-</v>
      </c>
      <c r="CH403" s="70">
        <f t="shared" si="3227"/>
        <v>130</v>
      </c>
      <c r="CI403" s="71" t="str">
        <f t="shared" si="3228"/>
        <v>-</v>
      </c>
      <c r="CJ403" s="72">
        <f t="shared" si="3229"/>
        <v>164</v>
      </c>
      <c r="CK403" s="72">
        <f t="shared" si="3230"/>
        <v>170</v>
      </c>
      <c r="CL403" s="72">
        <f t="shared" si="3231"/>
        <v>206</v>
      </c>
      <c r="CM403" s="72" t="str">
        <f t="shared" si="3232"/>
        <v>-</v>
      </c>
      <c r="CN403" s="72">
        <f t="shared" si="3233"/>
        <v>240</v>
      </c>
      <c r="CO403" s="72">
        <f t="shared" si="3234"/>
        <v>256</v>
      </c>
      <c r="CP403" s="72">
        <f t="shared" si="3235"/>
        <v>300</v>
      </c>
      <c r="CQ403" s="72">
        <f t="shared" si="3236"/>
        <v>340</v>
      </c>
      <c r="CR403" s="72">
        <f t="shared" si="3237"/>
        <v>372</v>
      </c>
      <c r="CS403" s="72" t="str">
        <f t="shared" si="3238"/>
        <v>-</v>
      </c>
      <c r="CT403" s="23" t="e">
        <f t="shared" si="3239"/>
        <v>#VALUE!</v>
      </c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</row>
    <row r="404" spans="1:1029" x14ac:dyDescent="0.2">
      <c r="A404" s="3" t="str">
        <f t="shared" ref="A404:A423" si="3886">CONCATENATE(B404,"_",C404)</f>
        <v>par2_human__wt</v>
      </c>
      <c r="B404" s="3" t="s">
        <v>355</v>
      </c>
      <c r="C404" s="3" t="s">
        <v>100</v>
      </c>
      <c r="D404" s="3" t="str">
        <f>IFERROR(MID(VLOOKUP($B404,Seqs!$A:$B,2,0),E404,1),"")</f>
        <v>G</v>
      </c>
      <c r="E404" s="3">
        <v>71</v>
      </c>
      <c r="F404" s="3" t="str">
        <f>IFERROR(MID(VLOOKUP($B404,Seqs!$A:$B,2,0),G404,1),"")</f>
        <v>R</v>
      </c>
      <c r="G404" s="3">
        <v>103</v>
      </c>
      <c r="H404" s="3" t="str">
        <f>IFERROR(MID(VLOOKUP($B404,Seqs!$A:$B,2,0),I404,1),"")</f>
        <v/>
      </c>
      <c r="I404" s="23" t="s">
        <v>23</v>
      </c>
      <c r="J404" s="3" t="str">
        <f>IFERROR(MID(VLOOKUP($B404,Seqs!$A:$B,2,0),K404,1),"")</f>
        <v/>
      </c>
      <c r="K404" s="23" t="s">
        <v>23</v>
      </c>
      <c r="L404" s="3" t="str">
        <f>IFERROR(MID(VLOOKUP($B404,Seqs!$A:$B,2,0),M404,1),"")</f>
        <v>H</v>
      </c>
      <c r="M404" s="3">
        <v>108</v>
      </c>
      <c r="N404" s="3" t="str">
        <f>IFERROR(MID(VLOOKUP($B404,Seqs!$A:$B,2,0),O404,1),"")</f>
        <v>H</v>
      </c>
      <c r="O404" s="3">
        <v>137</v>
      </c>
      <c r="P404" s="3" t="str">
        <f>IFERROR(MID(VLOOKUP($B404,Seqs!$A:$B,2,0),Q404,1),"")</f>
        <v>G</v>
      </c>
      <c r="Q404" s="3">
        <v>138</v>
      </c>
      <c r="R404" s="3" t="str">
        <f>IFERROR(MID(VLOOKUP($B404,Seqs!$A:$B,2,0),S404,1),"")</f>
        <v>Y</v>
      </c>
      <c r="S404" s="3">
        <v>143</v>
      </c>
      <c r="T404" s="3" t="str">
        <f>IFERROR(MID(VLOOKUP($B404,Seqs!$A:$B,2,0),U404,1),"")</f>
        <v>G</v>
      </c>
      <c r="U404" s="3">
        <v>144</v>
      </c>
      <c r="V404" s="3" t="str">
        <f>IFERROR(MID(VLOOKUP($B404,Seqs!$A:$B,2,0),W404,1),"")</f>
        <v>N</v>
      </c>
      <c r="W404" s="3">
        <v>179</v>
      </c>
      <c r="X404" s="3" t="str">
        <f>IFERROR(MID(VLOOKUP($B404,Seqs!$A:$B,2,0),Y404,1),"")</f>
        <v>P</v>
      </c>
      <c r="Y404" s="3">
        <v>180</v>
      </c>
      <c r="Z404" s="3" t="str">
        <f>IFERROR(MID(VLOOKUP($B404,Seqs!$A:$B,2,0),AA404,1),"")</f>
        <v>K</v>
      </c>
      <c r="AA404" s="3">
        <v>186</v>
      </c>
      <c r="AB404" s="3" t="str">
        <f>IFERROR(MID(VLOOKUP($B404,Seqs!$A:$B,2,0),AC404,1),"")</f>
        <v>K</v>
      </c>
      <c r="AC404" s="3">
        <v>187</v>
      </c>
      <c r="AD404" s="3" t="str">
        <f>IFERROR(MID(VLOOKUP($B404,Seqs!$A:$B,2,0),AE404,1),"")</f>
        <v>V</v>
      </c>
      <c r="AE404" s="3">
        <v>211</v>
      </c>
      <c r="AF404" s="3" t="str">
        <f>IFERROR(MID(VLOOKUP($B404,Seqs!$A:$B,2,0),AG404,1),"")</f>
        <v>C</v>
      </c>
      <c r="AG404" s="3">
        <v>226</v>
      </c>
      <c r="AH404" s="3" t="str">
        <f>IFERROR(MID(VLOOKUP($B404,Seqs!$A:$B,2,0),AI404,1),"")</f>
        <v>D</v>
      </c>
      <c r="AI404" s="3">
        <v>228</v>
      </c>
      <c r="AJ404" s="3" t="str">
        <f>IFERROR(MID(VLOOKUP($B404,Seqs!$A:$B,2,0),AK404,1),"")</f>
        <v>L</v>
      </c>
      <c r="AK404" s="3">
        <v>235</v>
      </c>
      <c r="AL404" s="3" t="str">
        <f>IFERROR(MID(VLOOKUP($B404,Seqs!$A:$B,2,0),AM404,1),"")</f>
        <v>S</v>
      </c>
      <c r="AM404" s="3">
        <v>272</v>
      </c>
      <c r="AN404" s="3" t="str">
        <f>IFERROR(MID(VLOOKUP($B404,Seqs!$A:$B,2,0),AO404,1),"")</f>
        <v>S</v>
      </c>
      <c r="AO404" s="3">
        <v>278</v>
      </c>
      <c r="AP404" s="3" t="str">
        <f>IFERROR(MID(VLOOKUP($B404,Seqs!$A:$B,2,0),AQ404,1),"")</f>
        <v>Q</v>
      </c>
      <c r="AQ404" s="3">
        <v>317</v>
      </c>
      <c r="AR404" s="3" t="str">
        <f>IFERROR(MID(VLOOKUP($B404,Seqs!$A:$B,2,0),AS404,1),"")</f>
        <v>V</v>
      </c>
      <c r="AS404" s="3">
        <v>322</v>
      </c>
      <c r="AT404" s="3" t="str">
        <f>IFERROR(MID(VLOOKUP($B404,Seqs!$A:$B,2,0),AU404,1),"")</f>
        <v>V</v>
      </c>
      <c r="AU404" s="3">
        <v>347</v>
      </c>
      <c r="AV404" s="3" t="str">
        <f>IFERROR(MID(VLOOKUP($B404,Seqs!$A:$B,2,0),AW404,1),"")</f>
        <v>S</v>
      </c>
      <c r="AW404" s="3">
        <v>348</v>
      </c>
      <c r="AX404" s="3" t="str">
        <f>IFERROR(MID(VLOOKUP($B404,Seqs!$A:$B,2,0),AY404,1),"")</f>
        <v>R</v>
      </c>
      <c r="AY404" s="3">
        <v>362</v>
      </c>
      <c r="AZ404" s="77" t="str">
        <f>VLOOKUP(B404,Classification!A:D,2,0)</f>
        <v>A</v>
      </c>
      <c r="BA404" s="94" t="str">
        <f>VLOOKUP(B404,Classification!A:D,4,0)</f>
        <v>Proteinase-activated</v>
      </c>
      <c r="BB404" s="27" t="b">
        <f t="shared" ref="BB404:BB423" si="3887">AND(E404&lt;G404,OR(G404&lt;I404,I404="-"),OR(I404&lt;K404,I404="-"),OR(K404&lt;M404,K404="-"),M404&lt;O404,OR(O404&lt;Q404,Q404="-"),OR(Q404&lt;S404,Q404="-"),OR(S404&lt;U404,S404="-"),U404&lt;W404,OR(W404&lt;Y404,Y404="-"),OR(Y404&lt;AA404,Y404="-"),OR(AA404&lt;AC404,AA404="-"),AC404&lt;AE404,OR(AE404&lt;AG404,AG404="-"),OR(AG404&lt;AI404,AG404="-"),OR(AI404&lt;AK404,AI404="-"),AK404&lt;AM404,AM404&lt;AO404,AO404&lt;AQ404,AQ404&lt;AS404,AS404&lt;AU404,OR(AU404&lt;AW404,AW404="-"),OR(AW404&lt;AY404,AW404="-"))</f>
        <v>1</v>
      </c>
      <c r="BC404" s="23">
        <f t="shared" ref="BC404:BC423" si="3888">_xlfn.AGGREGATE(9,6,CH404:CS404)-_xlfn.AGGREGATE(9,6,BV404:CG404)+12</f>
        <v>260</v>
      </c>
      <c r="BD404" s="2" t="s">
        <v>23</v>
      </c>
      <c r="BE404" s="3" t="s">
        <v>23</v>
      </c>
      <c r="BF404" s="118" t="s">
        <v>23</v>
      </c>
      <c r="BG404" s="49" t="s">
        <v>1371</v>
      </c>
      <c r="BH404" s="49" t="s">
        <v>1371</v>
      </c>
      <c r="BI404" s="1"/>
      <c r="BJ404" s="70" t="s">
        <v>1281</v>
      </c>
      <c r="BK404" s="57" t="s">
        <v>1281</v>
      </c>
      <c r="BL404" s="57" t="s">
        <v>1281</v>
      </c>
      <c r="BM404" s="57" t="s">
        <v>1281</v>
      </c>
      <c r="BN404" s="57" t="s">
        <v>1281</v>
      </c>
      <c r="BO404" s="57" t="s">
        <v>1281</v>
      </c>
      <c r="BP404" s="57" t="s">
        <v>1281</v>
      </c>
      <c r="BQ404" s="57" t="s">
        <v>1281</v>
      </c>
      <c r="BR404" s="57" t="s">
        <v>1281</v>
      </c>
      <c r="BS404" s="57" t="s">
        <v>1281</v>
      </c>
      <c r="BT404" s="57" t="s">
        <v>1281</v>
      </c>
      <c r="BU404" s="57" t="s">
        <v>1281</v>
      </c>
      <c r="BV404" s="70">
        <f t="shared" ref="BV404:BV423" si="3889">E404</f>
        <v>71</v>
      </c>
      <c r="BW404" s="71" t="str">
        <f t="shared" ref="BW404:BW423" si="3890">I404</f>
        <v>-</v>
      </c>
      <c r="BX404" s="72">
        <f t="shared" ref="BX404:BX423" si="3891">M404</f>
        <v>108</v>
      </c>
      <c r="BY404" s="71">
        <f t="shared" ref="BY404:BY423" si="3892">Q404</f>
        <v>138</v>
      </c>
      <c r="BZ404" s="72">
        <f t="shared" ref="BZ404:BZ423" si="3893">U404</f>
        <v>144</v>
      </c>
      <c r="CA404" s="71">
        <f t="shared" ref="CA404:CA423" si="3894">Y404</f>
        <v>180</v>
      </c>
      <c r="CB404" s="72">
        <f t="shared" ref="CB404:CB423" si="3895">AC404</f>
        <v>187</v>
      </c>
      <c r="CC404" s="71">
        <f t="shared" ref="CC404:CC423" si="3896">AG404</f>
        <v>226</v>
      </c>
      <c r="CD404" s="72">
        <f t="shared" ref="CD404:CD423" si="3897">AK404</f>
        <v>235</v>
      </c>
      <c r="CE404" s="71">
        <f t="shared" ref="CE404:CE423" si="3898">AO404</f>
        <v>278</v>
      </c>
      <c r="CF404" s="72">
        <f t="shared" ref="CF404:CF423" si="3899">AS404</f>
        <v>322</v>
      </c>
      <c r="CG404" s="71">
        <f t="shared" ref="CG404:CG423" si="3900">AW404</f>
        <v>348</v>
      </c>
      <c r="CH404" s="70">
        <f t="shared" ref="CH404:CH423" si="3901">G404</f>
        <v>103</v>
      </c>
      <c r="CI404" s="71" t="str">
        <f t="shared" ref="CI404:CI423" si="3902">K404</f>
        <v>-</v>
      </c>
      <c r="CJ404" s="72">
        <f t="shared" ref="CJ404:CJ423" si="3903">O404</f>
        <v>137</v>
      </c>
      <c r="CK404" s="72">
        <f t="shared" ref="CK404:CK423" si="3904">S404</f>
        <v>143</v>
      </c>
      <c r="CL404" s="72">
        <f t="shared" ref="CL404:CL423" si="3905">W404</f>
        <v>179</v>
      </c>
      <c r="CM404" s="72">
        <f t="shared" ref="CM404:CM423" si="3906">AA404</f>
        <v>186</v>
      </c>
      <c r="CN404" s="72">
        <f t="shared" ref="CN404:CN423" si="3907">AE404</f>
        <v>211</v>
      </c>
      <c r="CO404" s="72">
        <f t="shared" ref="CO404:CO423" si="3908">AI404</f>
        <v>228</v>
      </c>
      <c r="CP404" s="72">
        <f t="shared" ref="CP404:CP423" si="3909">AM404</f>
        <v>272</v>
      </c>
      <c r="CQ404" s="72">
        <f t="shared" ref="CQ404:CQ423" si="3910">AQ404</f>
        <v>317</v>
      </c>
      <c r="CR404" s="72">
        <f t="shared" ref="CR404:CR423" si="3911">AU404</f>
        <v>347</v>
      </c>
      <c r="CS404" s="72">
        <f t="shared" ref="CS404:CS423" si="3912">AY404</f>
        <v>362</v>
      </c>
      <c r="CT404" s="23" t="e">
        <f t="shared" ref="CT404:CT423" si="3913">M404-K404</f>
        <v>#VALUE!</v>
      </c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</row>
    <row r="405" spans="1:1029" x14ac:dyDescent="0.2">
      <c r="A405" s="3" t="str">
        <f t="shared" si="3886"/>
        <v>par2_human_5NDD</v>
      </c>
      <c r="B405" s="3" t="s">
        <v>355</v>
      </c>
      <c r="C405" s="3" t="s">
        <v>1390</v>
      </c>
      <c r="D405" s="3" t="str">
        <f>IFERROR(MID(VLOOKUP($B405,Seqs!$A:$B,2,0),E405,1),"")</f>
        <v>G</v>
      </c>
      <c r="E405" s="3">
        <v>71</v>
      </c>
      <c r="F405" s="3" t="str">
        <f>IFERROR(MID(VLOOKUP($B405,Seqs!$A:$B,2,0),G405,1),"")</f>
        <v>R</v>
      </c>
      <c r="G405" s="3">
        <v>103</v>
      </c>
      <c r="H405" s="3" t="str">
        <f>IFERROR(MID(VLOOKUP($B405,Seqs!$A:$B,2,0),I405,1),"")</f>
        <v/>
      </c>
      <c r="I405" s="23" t="s">
        <v>23</v>
      </c>
      <c r="J405" s="3" t="str">
        <f>IFERROR(MID(VLOOKUP($B405,Seqs!$A:$B,2,0),K405,1),"")</f>
        <v/>
      </c>
      <c r="K405" s="23" t="s">
        <v>23</v>
      </c>
      <c r="L405" s="3" t="str">
        <f>IFERROR(MID(VLOOKUP($B405,Seqs!$A:$B,2,0),M405,1),"")</f>
        <v>H</v>
      </c>
      <c r="M405" s="3">
        <v>108</v>
      </c>
      <c r="N405" s="3" t="str">
        <f>IFERROR(MID(VLOOKUP($B405,Seqs!$A:$B,2,0),O405,1),"")</f>
        <v>H</v>
      </c>
      <c r="O405" s="3">
        <v>137</v>
      </c>
      <c r="P405" s="3" t="str">
        <f>IFERROR(MID(VLOOKUP($B405,Seqs!$A:$B,2,0),Q405,1),"")</f>
        <v>G</v>
      </c>
      <c r="Q405" s="3">
        <v>138</v>
      </c>
      <c r="R405" s="3" t="str">
        <f>IFERROR(MID(VLOOKUP($B405,Seqs!$A:$B,2,0),S405,1),"")</f>
        <v>Y</v>
      </c>
      <c r="S405" s="3">
        <v>143</v>
      </c>
      <c r="T405" s="3" t="str">
        <f>IFERROR(MID(VLOOKUP($B405,Seqs!$A:$B,2,0),U405,1),"")</f>
        <v>G</v>
      </c>
      <c r="U405" s="3">
        <v>144</v>
      </c>
      <c r="V405" s="3" t="str">
        <f>IFERROR(MID(VLOOKUP($B405,Seqs!$A:$B,2,0),W405,1),"")</f>
        <v>N</v>
      </c>
      <c r="W405" s="3">
        <v>179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H</v>
      </c>
      <c r="AC405" s="3">
        <v>183</v>
      </c>
      <c r="AD405" s="3" t="str">
        <f>IFERROR(MID(VLOOKUP($B405,Seqs!$A:$B,2,0),AE405,1),"")</f>
        <v>V</v>
      </c>
      <c r="AE405" s="3">
        <v>211</v>
      </c>
      <c r="AF405" s="3" t="str">
        <f>IFERROR(MID(VLOOKUP($B405,Seqs!$A:$B,2,0),AG405,1),"")</f>
        <v>C</v>
      </c>
      <c r="AG405" s="3">
        <v>226</v>
      </c>
      <c r="AH405" s="3" t="str">
        <f>IFERROR(MID(VLOOKUP($B405,Seqs!$A:$B,2,0),AI405,1),"")</f>
        <v>D</v>
      </c>
      <c r="AI405" s="3">
        <v>228</v>
      </c>
      <c r="AJ405" s="3" t="str">
        <f>IFERROR(MID(VLOOKUP($B405,Seqs!$A:$B,2,0),AK405,1),"")</f>
        <v>L</v>
      </c>
      <c r="AK405" s="3">
        <v>235</v>
      </c>
      <c r="AL405" s="3" t="str">
        <f>IFERROR(MID(VLOOKUP($B405,Seqs!$A:$B,2,0),AM405,1),"")</f>
        <v>L</v>
      </c>
      <c r="AM405" s="3">
        <v>269</v>
      </c>
      <c r="AN405" s="3" t="str">
        <f>IFERROR(MID(VLOOKUP($B405,Seqs!$A:$B,2,0),AO405,1),"")</f>
        <v>S</v>
      </c>
      <c r="AO405" s="3">
        <v>278</v>
      </c>
      <c r="AP405" s="3" t="str">
        <f>IFERROR(MID(VLOOKUP($B405,Seqs!$A:$B,2,0),AQ405,1),"")</f>
        <v>Q</v>
      </c>
      <c r="AQ405" s="3">
        <v>317</v>
      </c>
      <c r="AR405" s="3" t="str">
        <f>IFERROR(MID(VLOOKUP($B405,Seqs!$A:$B,2,0),AS405,1),"")</f>
        <v>V</v>
      </c>
      <c r="AS405" s="3">
        <v>322</v>
      </c>
      <c r="AT405" s="3" t="str">
        <f>IFERROR(MID(VLOOKUP($B405,Seqs!$A:$B,2,0),AU405,1),"")</f>
        <v>V</v>
      </c>
      <c r="AU405" s="3">
        <v>347</v>
      </c>
      <c r="AV405" s="3" t="str">
        <f>IFERROR(MID(VLOOKUP($B405,Seqs!$A:$B,2,0),AW405,1),"")</f>
        <v>S</v>
      </c>
      <c r="AW405" s="3">
        <v>348</v>
      </c>
      <c r="AX405" s="3" t="str">
        <f>IFERROR(MID(VLOOKUP($B405,Seqs!$A:$B,2,0),AY405,1),"")</f>
        <v>L</v>
      </c>
      <c r="AY405" s="3">
        <v>359</v>
      </c>
      <c r="AZ405" s="77" t="str">
        <f>VLOOKUP(B405,Classification!A:D,2,0)</f>
        <v>A</v>
      </c>
      <c r="BA405" s="94" t="str">
        <f>VLOOKUP(B405,Classification!A:D,4,0)</f>
        <v>Proteinase-activated</v>
      </c>
      <c r="BB405" s="27" t="b">
        <f t="shared" si="3887"/>
        <v>1</v>
      </c>
      <c r="BC405" s="23">
        <f t="shared" si="3888"/>
        <v>252</v>
      </c>
      <c r="BD405" s="2" t="s">
        <v>1423</v>
      </c>
      <c r="BE405" s="3" t="s">
        <v>1422</v>
      </c>
      <c r="BF405" s="118">
        <v>2.8</v>
      </c>
      <c r="BG405" s="49" t="s">
        <v>1</v>
      </c>
      <c r="BH405" s="49" t="s">
        <v>1371</v>
      </c>
      <c r="BI405" s="1"/>
      <c r="BJ405" s="70" t="s">
        <v>1281</v>
      </c>
      <c r="BK405" s="57" t="s">
        <v>1281</v>
      </c>
      <c r="BL405" s="57" t="s">
        <v>1281</v>
      </c>
      <c r="BM405" s="57" t="s">
        <v>1281</v>
      </c>
      <c r="BN405" s="57" t="s">
        <v>1281</v>
      </c>
      <c r="BO405" s="57" t="s">
        <v>1281</v>
      </c>
      <c r="BP405" s="57" t="s">
        <v>1281</v>
      </c>
      <c r="BQ405" s="57" t="s">
        <v>1281</v>
      </c>
      <c r="BR405" s="57" t="s">
        <v>1281</v>
      </c>
      <c r="BS405" s="57" t="s">
        <v>1281</v>
      </c>
      <c r="BT405" s="57" t="s">
        <v>1281</v>
      </c>
      <c r="BU405" s="57" t="s">
        <v>1281</v>
      </c>
      <c r="BV405" s="70">
        <f t="shared" si="3889"/>
        <v>71</v>
      </c>
      <c r="BW405" s="71" t="str">
        <f t="shared" si="3890"/>
        <v>-</v>
      </c>
      <c r="BX405" s="72">
        <f t="shared" si="3891"/>
        <v>108</v>
      </c>
      <c r="BY405" s="71">
        <f t="shared" si="3892"/>
        <v>138</v>
      </c>
      <c r="BZ405" s="72">
        <f t="shared" si="3893"/>
        <v>144</v>
      </c>
      <c r="CA405" s="71" t="str">
        <f t="shared" si="3894"/>
        <v>-</v>
      </c>
      <c r="CB405" s="72">
        <f t="shared" si="3895"/>
        <v>183</v>
      </c>
      <c r="CC405" s="71">
        <f t="shared" si="3896"/>
        <v>226</v>
      </c>
      <c r="CD405" s="72">
        <f t="shared" si="3897"/>
        <v>235</v>
      </c>
      <c r="CE405" s="71">
        <f t="shared" si="3898"/>
        <v>278</v>
      </c>
      <c r="CF405" s="72">
        <f t="shared" si="3899"/>
        <v>322</v>
      </c>
      <c r="CG405" s="71">
        <f t="shared" si="3900"/>
        <v>348</v>
      </c>
      <c r="CH405" s="70">
        <f t="shared" si="3901"/>
        <v>103</v>
      </c>
      <c r="CI405" s="71" t="str">
        <f t="shared" si="3902"/>
        <v>-</v>
      </c>
      <c r="CJ405" s="72">
        <f t="shared" si="3903"/>
        <v>137</v>
      </c>
      <c r="CK405" s="72">
        <f t="shared" si="3904"/>
        <v>143</v>
      </c>
      <c r="CL405" s="72">
        <f t="shared" si="3905"/>
        <v>179</v>
      </c>
      <c r="CM405" s="72" t="str">
        <f t="shared" si="3906"/>
        <v>-</v>
      </c>
      <c r="CN405" s="72">
        <f t="shared" si="3907"/>
        <v>211</v>
      </c>
      <c r="CO405" s="72">
        <f t="shared" si="3908"/>
        <v>228</v>
      </c>
      <c r="CP405" s="72">
        <f t="shared" si="3909"/>
        <v>269</v>
      </c>
      <c r="CQ405" s="72">
        <f t="shared" si="3910"/>
        <v>317</v>
      </c>
      <c r="CR405" s="72">
        <f t="shared" si="3911"/>
        <v>347</v>
      </c>
      <c r="CS405" s="72">
        <f t="shared" si="3912"/>
        <v>359</v>
      </c>
      <c r="CT405" s="23" t="e">
        <f t="shared" si="3913"/>
        <v>#VALUE!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29" x14ac:dyDescent="0.2">
      <c r="A406" s="3" t="str">
        <f t="shared" si="3886"/>
        <v>par2_human_5NDZ</v>
      </c>
      <c r="B406" s="3" t="s">
        <v>355</v>
      </c>
      <c r="C406" s="3" t="s">
        <v>1391</v>
      </c>
      <c r="D406" s="3" t="str">
        <f>IFERROR(MID(VLOOKUP($B406,Seqs!$A:$B,2,0),E406,1),"")</f>
        <v>G</v>
      </c>
      <c r="E406" s="3">
        <v>71</v>
      </c>
      <c r="F406" s="3" t="str">
        <f>IFERROR(MID(VLOOKUP($B406,Seqs!$A:$B,2,0),G406,1),"")</f>
        <v>R</v>
      </c>
      <c r="G406" s="3">
        <v>103</v>
      </c>
      <c r="H406" s="3" t="str">
        <f>IFERROR(MID(VLOOKUP($B406,Seqs!$A:$B,2,0),I406,1),"")</f>
        <v/>
      </c>
      <c r="I406" s="23" t="s">
        <v>23</v>
      </c>
      <c r="J406" s="3" t="str">
        <f>IFERROR(MID(VLOOKUP($B406,Seqs!$A:$B,2,0),K406,1),"")</f>
        <v/>
      </c>
      <c r="K406" s="23" t="s">
        <v>23</v>
      </c>
      <c r="L406" s="3" t="str">
        <f>IFERROR(MID(VLOOKUP($B406,Seqs!$A:$B,2,0),M406,1),"")</f>
        <v>H</v>
      </c>
      <c r="M406" s="3">
        <v>108</v>
      </c>
      <c r="N406" s="3" t="str">
        <f>IFERROR(MID(VLOOKUP($B406,Seqs!$A:$B,2,0),O406,1),"")</f>
        <v>H</v>
      </c>
      <c r="O406" s="3">
        <v>137</v>
      </c>
      <c r="P406" s="3" t="str">
        <f>IFERROR(MID(VLOOKUP($B406,Seqs!$A:$B,2,0),Q406,1),"")</f>
        <v>G</v>
      </c>
      <c r="Q406" s="3">
        <v>138</v>
      </c>
      <c r="R406" s="3" t="str">
        <f>IFERROR(MID(VLOOKUP($B406,Seqs!$A:$B,2,0),S406,1),"")</f>
        <v>Y</v>
      </c>
      <c r="S406" s="3">
        <v>143</v>
      </c>
      <c r="T406" s="3" t="str">
        <f>IFERROR(MID(VLOOKUP($B406,Seqs!$A:$B,2,0),U406,1),"")</f>
        <v>G</v>
      </c>
      <c r="U406" s="3">
        <v>144</v>
      </c>
      <c r="V406" s="3" t="str">
        <f>IFERROR(MID(VLOOKUP($B406,Seqs!$A:$B,2,0),W406,1),"")</f>
        <v>N</v>
      </c>
      <c r="W406" s="3">
        <v>179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>H</v>
      </c>
      <c r="AC406" s="3">
        <v>183</v>
      </c>
      <c r="AD406" s="3" t="str">
        <f>IFERROR(MID(VLOOKUP($B406,Seqs!$A:$B,2,0),AE406,1),"")</f>
        <v>V</v>
      </c>
      <c r="AE406" s="3">
        <v>211</v>
      </c>
      <c r="AF406" s="3" t="str">
        <f>IFERROR(MID(VLOOKUP($B406,Seqs!$A:$B,2,0),AG406,1),"")</f>
        <v>C</v>
      </c>
      <c r="AG406" s="3">
        <v>226</v>
      </c>
      <c r="AH406" s="3" t="str">
        <f>IFERROR(MID(VLOOKUP($B406,Seqs!$A:$B,2,0),AI406,1),"")</f>
        <v>D</v>
      </c>
      <c r="AI406" s="3">
        <v>228</v>
      </c>
      <c r="AJ406" s="3" t="str">
        <f>IFERROR(MID(VLOOKUP($B406,Seqs!$A:$B,2,0),AK406,1),"")</f>
        <v>L</v>
      </c>
      <c r="AK406" s="3">
        <v>235</v>
      </c>
      <c r="AL406" s="3" t="str">
        <f>IFERROR(MID(VLOOKUP($B406,Seqs!$A:$B,2,0),AM406,1),"")</f>
        <v>L</v>
      </c>
      <c r="AM406" s="3">
        <v>269</v>
      </c>
      <c r="AN406" s="3" t="str">
        <f>IFERROR(MID(VLOOKUP($B406,Seqs!$A:$B,2,0),AO406,1),"")</f>
        <v>S</v>
      </c>
      <c r="AO406" s="3">
        <v>278</v>
      </c>
      <c r="AP406" s="3" t="str">
        <f>IFERROR(MID(VLOOKUP($B406,Seqs!$A:$B,2,0),AQ406,1),"")</f>
        <v>Q</v>
      </c>
      <c r="AQ406" s="3">
        <v>317</v>
      </c>
      <c r="AR406" s="3" t="str">
        <f>IFERROR(MID(VLOOKUP($B406,Seqs!$A:$B,2,0),AS406,1),"")</f>
        <v>V</v>
      </c>
      <c r="AS406" s="3">
        <v>322</v>
      </c>
      <c r="AT406" s="3" t="str">
        <f>IFERROR(MID(VLOOKUP($B406,Seqs!$A:$B,2,0),AU406,1),"")</f>
        <v>S</v>
      </c>
      <c r="AU406" s="3">
        <v>348</v>
      </c>
      <c r="AV406" s="3" t="str">
        <f>IFERROR(MID(VLOOKUP($B406,Seqs!$A:$B,2,0),AW406,1),"")</f>
        <v>H</v>
      </c>
      <c r="AW406" s="3">
        <v>349</v>
      </c>
      <c r="AX406" s="3" t="str">
        <f>IFERROR(MID(VLOOKUP($B406,Seqs!$A:$B,2,0),AY406,1),"")</f>
        <v>L</v>
      </c>
      <c r="AY406" s="3">
        <v>359</v>
      </c>
      <c r="AZ406" s="77" t="str">
        <f>VLOOKUP(B406,Classification!A:D,2,0)</f>
        <v>A</v>
      </c>
      <c r="BA406" s="94" t="str">
        <f>VLOOKUP(B406,Classification!A:D,4,0)</f>
        <v>Proteinase-activated</v>
      </c>
      <c r="BB406" s="27" t="b">
        <f t="shared" si="3887"/>
        <v>1</v>
      </c>
      <c r="BC406" s="23">
        <f t="shared" si="3888"/>
        <v>252</v>
      </c>
      <c r="BD406" s="2" t="s">
        <v>23</v>
      </c>
      <c r="BE406" s="3" t="s">
        <v>1422</v>
      </c>
      <c r="BF406" s="118">
        <v>3.6</v>
      </c>
      <c r="BG406" s="49" t="s">
        <v>1</v>
      </c>
      <c r="BH406" s="49" t="s">
        <v>1371</v>
      </c>
      <c r="BI406" s="1"/>
      <c r="BJ406" s="70" t="s">
        <v>1281</v>
      </c>
      <c r="BK406" s="57" t="s">
        <v>1281</v>
      </c>
      <c r="BL406" s="57" t="s">
        <v>1281</v>
      </c>
      <c r="BM406" s="57" t="s">
        <v>1281</v>
      </c>
      <c r="BN406" s="57" t="s">
        <v>1281</v>
      </c>
      <c r="BO406" s="57" t="s">
        <v>1281</v>
      </c>
      <c r="BP406" s="57" t="s">
        <v>1281</v>
      </c>
      <c r="BQ406" s="57" t="s">
        <v>1281</v>
      </c>
      <c r="BR406" s="57" t="s">
        <v>1281</v>
      </c>
      <c r="BS406" s="57" t="s">
        <v>1281</v>
      </c>
      <c r="BT406" s="57" t="s">
        <v>1281</v>
      </c>
      <c r="BU406" s="57" t="s">
        <v>1281</v>
      </c>
      <c r="BV406" s="70">
        <f t="shared" si="3889"/>
        <v>71</v>
      </c>
      <c r="BW406" s="71" t="str">
        <f t="shared" si="3890"/>
        <v>-</v>
      </c>
      <c r="BX406" s="72">
        <f t="shared" si="3891"/>
        <v>108</v>
      </c>
      <c r="BY406" s="71">
        <f t="shared" si="3892"/>
        <v>138</v>
      </c>
      <c r="BZ406" s="72">
        <f t="shared" si="3893"/>
        <v>144</v>
      </c>
      <c r="CA406" s="71" t="str">
        <f t="shared" si="3894"/>
        <v>-</v>
      </c>
      <c r="CB406" s="72">
        <f t="shared" si="3895"/>
        <v>183</v>
      </c>
      <c r="CC406" s="71">
        <f t="shared" si="3896"/>
        <v>226</v>
      </c>
      <c r="CD406" s="72">
        <f t="shared" si="3897"/>
        <v>235</v>
      </c>
      <c r="CE406" s="71">
        <f t="shared" si="3898"/>
        <v>278</v>
      </c>
      <c r="CF406" s="72">
        <f t="shared" si="3899"/>
        <v>322</v>
      </c>
      <c r="CG406" s="71">
        <f t="shared" si="3900"/>
        <v>349</v>
      </c>
      <c r="CH406" s="70">
        <f t="shared" si="3901"/>
        <v>103</v>
      </c>
      <c r="CI406" s="71" t="str">
        <f t="shared" si="3902"/>
        <v>-</v>
      </c>
      <c r="CJ406" s="72">
        <f t="shared" si="3903"/>
        <v>137</v>
      </c>
      <c r="CK406" s="72">
        <f t="shared" si="3904"/>
        <v>143</v>
      </c>
      <c r="CL406" s="72">
        <f t="shared" si="3905"/>
        <v>179</v>
      </c>
      <c r="CM406" s="72" t="str">
        <f t="shared" si="3906"/>
        <v>-</v>
      </c>
      <c r="CN406" s="72">
        <f t="shared" si="3907"/>
        <v>211</v>
      </c>
      <c r="CO406" s="72">
        <f t="shared" si="3908"/>
        <v>228</v>
      </c>
      <c r="CP406" s="72">
        <f t="shared" si="3909"/>
        <v>269</v>
      </c>
      <c r="CQ406" s="72">
        <f t="shared" si="3910"/>
        <v>317</v>
      </c>
      <c r="CR406" s="72">
        <f t="shared" si="3911"/>
        <v>348</v>
      </c>
      <c r="CS406" s="72">
        <f t="shared" si="3912"/>
        <v>359</v>
      </c>
      <c r="CT406" s="23" t="e">
        <f t="shared" si="3913"/>
        <v>#VALUE!</v>
      </c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</row>
    <row r="407" spans="1:1029" x14ac:dyDescent="0.2">
      <c r="A407" s="3" t="str">
        <f t="shared" si="3886"/>
        <v>par2_human_5NJ6</v>
      </c>
      <c r="B407" s="3" t="s">
        <v>355</v>
      </c>
      <c r="C407" s="3" t="s">
        <v>1392</v>
      </c>
      <c r="D407" s="3" t="str">
        <f>IFERROR(MID(VLOOKUP($B407,Seqs!$A:$B,2,0),E407,1),"")</f>
        <v>G</v>
      </c>
      <c r="E407" s="3">
        <v>71</v>
      </c>
      <c r="F407" s="3" t="str">
        <f>IFERROR(MID(VLOOKUP($B407,Seqs!$A:$B,2,0),G407,1),"")</f>
        <v>R</v>
      </c>
      <c r="G407" s="3">
        <v>103</v>
      </c>
      <c r="H407" s="3" t="str">
        <f>IFERROR(MID(VLOOKUP($B407,Seqs!$A:$B,2,0),I407,1),"")</f>
        <v/>
      </c>
      <c r="I407" s="23" t="s">
        <v>23</v>
      </c>
      <c r="J407" s="3" t="str">
        <f>IFERROR(MID(VLOOKUP($B407,Seqs!$A:$B,2,0),K407,1),"")</f>
        <v/>
      </c>
      <c r="K407" s="23" t="s">
        <v>23</v>
      </c>
      <c r="L407" s="3" t="str">
        <f>IFERROR(MID(VLOOKUP($B407,Seqs!$A:$B,2,0),M407,1),"")</f>
        <v>H</v>
      </c>
      <c r="M407" s="3">
        <v>108</v>
      </c>
      <c r="N407" s="3" t="str">
        <f>IFERROR(MID(VLOOKUP($B407,Seqs!$A:$B,2,0),O407,1),"")</f>
        <v>H</v>
      </c>
      <c r="O407" s="3">
        <v>137</v>
      </c>
      <c r="P407" s="3" t="str">
        <f>IFERROR(MID(VLOOKUP($B407,Seqs!$A:$B,2,0),Q407,1),"")</f>
        <v>G</v>
      </c>
      <c r="Q407" s="3">
        <v>138</v>
      </c>
      <c r="R407" s="3" t="str">
        <f>IFERROR(MID(VLOOKUP($B407,Seqs!$A:$B,2,0),S407,1),"")</f>
        <v>Y</v>
      </c>
      <c r="S407" s="3">
        <v>143</v>
      </c>
      <c r="T407" s="3" t="str">
        <f>IFERROR(MID(VLOOKUP($B407,Seqs!$A:$B,2,0),U407,1),"")</f>
        <v>G</v>
      </c>
      <c r="U407" s="3">
        <v>144</v>
      </c>
      <c r="V407" s="3" t="str">
        <f>IFERROR(MID(VLOOKUP($B407,Seqs!$A:$B,2,0),W407,1),"")</f>
        <v>N</v>
      </c>
      <c r="W407" s="3">
        <v>179</v>
      </c>
      <c r="X407" s="3" t="str">
        <f>IFERROR(MID(VLOOKUP($B407,Seqs!$A:$B,2,0),Y407,1),"")</f>
        <v/>
      </c>
      <c r="Y407" s="3" t="s">
        <v>23</v>
      </c>
      <c r="Z407" s="3" t="str">
        <f>IFERROR(MID(VLOOKUP($B407,Seqs!$A:$B,2,0),AA407,1),"")</f>
        <v/>
      </c>
      <c r="AA407" s="3" t="s">
        <v>23</v>
      </c>
      <c r="AB407" s="3" t="str">
        <f>IFERROR(MID(VLOOKUP($B407,Seqs!$A:$B,2,0),AC407,1),"")</f>
        <v>H</v>
      </c>
      <c r="AC407" s="3">
        <v>183</v>
      </c>
      <c r="AD407" s="3" t="str">
        <f>IFERROR(MID(VLOOKUP($B407,Seqs!$A:$B,2,0),AE407,1),"")</f>
        <v>V</v>
      </c>
      <c r="AE407" s="3">
        <v>211</v>
      </c>
      <c r="AF407" s="3" t="str">
        <f>IFERROR(MID(VLOOKUP($B407,Seqs!$A:$B,2,0),AG407,1),"")</f>
        <v>C</v>
      </c>
      <c r="AG407" s="3">
        <v>226</v>
      </c>
      <c r="AH407" s="3" t="str">
        <f>IFERROR(MID(VLOOKUP($B407,Seqs!$A:$B,2,0),AI407,1),"")</f>
        <v>D</v>
      </c>
      <c r="AI407" s="3">
        <v>228</v>
      </c>
      <c r="AJ407" s="3" t="str">
        <f>IFERROR(MID(VLOOKUP($B407,Seqs!$A:$B,2,0),AK407,1),"")</f>
        <v>L</v>
      </c>
      <c r="AK407" s="3">
        <v>235</v>
      </c>
      <c r="AL407" s="3" t="str">
        <f>IFERROR(MID(VLOOKUP($B407,Seqs!$A:$B,2,0),AM407,1),"")</f>
        <v>L</v>
      </c>
      <c r="AM407" s="3">
        <v>269</v>
      </c>
      <c r="AN407" s="3" t="str">
        <f>IFERROR(MID(VLOOKUP($B407,Seqs!$A:$B,2,0),AO407,1),"")</f>
        <v>S</v>
      </c>
      <c r="AO407" s="3">
        <v>278</v>
      </c>
      <c r="AP407" s="3" t="str">
        <f>IFERROR(MID(VLOOKUP($B407,Seqs!$A:$B,2,0),AQ407,1),"")</f>
        <v>Q</v>
      </c>
      <c r="AQ407" s="3">
        <v>317</v>
      </c>
      <c r="AR407" s="3" t="str">
        <f>IFERROR(MID(VLOOKUP($B407,Seqs!$A:$B,2,0),AS407,1),"")</f>
        <v>V</v>
      </c>
      <c r="AS407" s="3">
        <v>322</v>
      </c>
      <c r="AT407" s="3" t="str">
        <f>IFERROR(MID(VLOOKUP($B407,Seqs!$A:$B,2,0),AU407,1),"")</f>
        <v>S</v>
      </c>
      <c r="AU407" s="3">
        <v>348</v>
      </c>
      <c r="AV407" s="3" t="str">
        <f>IFERROR(MID(VLOOKUP($B407,Seqs!$A:$B,2,0),AW407,1),"")</f>
        <v>H</v>
      </c>
      <c r="AW407" s="3">
        <v>349</v>
      </c>
      <c r="AX407" s="3" t="str">
        <f>IFERROR(MID(VLOOKUP($B407,Seqs!$A:$B,2,0),AY407,1),"")</f>
        <v>L</v>
      </c>
      <c r="AY407" s="3">
        <v>359</v>
      </c>
      <c r="AZ407" s="77" t="str">
        <f>VLOOKUP(B407,Classification!A:D,2,0)</f>
        <v>A</v>
      </c>
      <c r="BA407" s="94" t="str">
        <f>VLOOKUP(B407,Classification!A:D,4,0)</f>
        <v>Proteinase-activated</v>
      </c>
      <c r="BB407" s="27" t="b">
        <f t="shared" si="3887"/>
        <v>1</v>
      </c>
      <c r="BC407" s="23">
        <f t="shared" si="3888"/>
        <v>252</v>
      </c>
      <c r="BD407" s="2" t="s">
        <v>23</v>
      </c>
      <c r="BE407" s="3" t="s">
        <v>1422</v>
      </c>
      <c r="BF407" s="118">
        <v>4</v>
      </c>
      <c r="BG407" s="49" t="s">
        <v>1</v>
      </c>
      <c r="BH407" s="49" t="s">
        <v>1371</v>
      </c>
      <c r="BI407" s="1"/>
      <c r="BJ407" s="70" t="s">
        <v>1281</v>
      </c>
      <c r="BK407" s="57" t="s">
        <v>1281</v>
      </c>
      <c r="BL407" s="57" t="s">
        <v>1281</v>
      </c>
      <c r="BM407" s="57" t="s">
        <v>1281</v>
      </c>
      <c r="BN407" s="57" t="s">
        <v>1281</v>
      </c>
      <c r="BO407" s="57" t="s">
        <v>1281</v>
      </c>
      <c r="BP407" s="57" t="s">
        <v>1281</v>
      </c>
      <c r="BQ407" s="57" t="s">
        <v>1281</v>
      </c>
      <c r="BR407" s="57" t="s">
        <v>1281</v>
      </c>
      <c r="BS407" s="57" t="s">
        <v>1281</v>
      </c>
      <c r="BT407" s="57" t="s">
        <v>1281</v>
      </c>
      <c r="BU407" s="57" t="s">
        <v>1281</v>
      </c>
      <c r="BV407" s="70">
        <f t="shared" si="3889"/>
        <v>71</v>
      </c>
      <c r="BW407" s="71" t="str">
        <f t="shared" si="3890"/>
        <v>-</v>
      </c>
      <c r="BX407" s="72">
        <f t="shared" si="3891"/>
        <v>108</v>
      </c>
      <c r="BY407" s="71">
        <f t="shared" si="3892"/>
        <v>138</v>
      </c>
      <c r="BZ407" s="72">
        <f t="shared" si="3893"/>
        <v>144</v>
      </c>
      <c r="CA407" s="71" t="str">
        <f t="shared" si="3894"/>
        <v>-</v>
      </c>
      <c r="CB407" s="72">
        <f t="shared" si="3895"/>
        <v>183</v>
      </c>
      <c r="CC407" s="71">
        <f t="shared" si="3896"/>
        <v>226</v>
      </c>
      <c r="CD407" s="72">
        <f t="shared" si="3897"/>
        <v>235</v>
      </c>
      <c r="CE407" s="71">
        <f t="shared" si="3898"/>
        <v>278</v>
      </c>
      <c r="CF407" s="72">
        <f t="shared" si="3899"/>
        <v>322</v>
      </c>
      <c r="CG407" s="71">
        <f t="shared" si="3900"/>
        <v>349</v>
      </c>
      <c r="CH407" s="70">
        <f t="shared" si="3901"/>
        <v>103</v>
      </c>
      <c r="CI407" s="71" t="str">
        <f t="shared" si="3902"/>
        <v>-</v>
      </c>
      <c r="CJ407" s="72">
        <f t="shared" si="3903"/>
        <v>137</v>
      </c>
      <c r="CK407" s="72">
        <f t="shared" si="3904"/>
        <v>143</v>
      </c>
      <c r="CL407" s="72">
        <f t="shared" si="3905"/>
        <v>179</v>
      </c>
      <c r="CM407" s="72" t="str">
        <f t="shared" si="3906"/>
        <v>-</v>
      </c>
      <c r="CN407" s="72">
        <f t="shared" si="3907"/>
        <v>211</v>
      </c>
      <c r="CO407" s="72">
        <f t="shared" si="3908"/>
        <v>228</v>
      </c>
      <c r="CP407" s="72">
        <f t="shared" si="3909"/>
        <v>269</v>
      </c>
      <c r="CQ407" s="72">
        <f t="shared" si="3910"/>
        <v>317</v>
      </c>
      <c r="CR407" s="72">
        <f t="shared" si="3911"/>
        <v>348</v>
      </c>
      <c r="CS407" s="72">
        <f t="shared" si="3912"/>
        <v>359</v>
      </c>
      <c r="CT407" s="23" t="e">
        <f t="shared" si="3913"/>
        <v>#VALUE!</v>
      </c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  <c r="AMK407" s="1"/>
      <c r="AML407" s="1"/>
      <c r="AMM407" s="1"/>
      <c r="AMN407" s="1"/>
      <c r="AMO407" s="1"/>
    </row>
    <row r="408" spans="1:1029" x14ac:dyDescent="0.2">
      <c r="A408" s="3" t="str">
        <f t="shared" ref="A408" si="3914">CONCATENATE(B408,"_",C408)</f>
        <v>pd2r2_human__wt</v>
      </c>
      <c r="B408" s="3" t="s">
        <v>359</v>
      </c>
      <c r="C408" s="3" t="s">
        <v>100</v>
      </c>
      <c r="D408" s="3" t="str">
        <f>IFERROR(MID(VLOOKUP($B408,Seqs!$A:$B,2,0),E408,1),"")</f>
        <v>D</v>
      </c>
      <c r="E408" s="3">
        <v>32</v>
      </c>
      <c r="F408" s="3" t="str">
        <f>IFERROR(MID(VLOOKUP($B408,Seqs!$A:$B,2,0),G408,1),"")</f>
        <v>R</v>
      </c>
      <c r="G408" s="3">
        <v>60</v>
      </c>
      <c r="H408" s="3" t="str">
        <f>IFERROR(MID(VLOOKUP($B408,Seqs!$A:$B,2,0),I408,1),"")</f>
        <v/>
      </c>
      <c r="I408" s="23" t="s">
        <v>23</v>
      </c>
      <c r="J408" s="3" t="str">
        <f>IFERROR(MID(VLOOKUP($B408,Seqs!$A:$B,2,0),K408,1),"")</f>
        <v/>
      </c>
      <c r="K408" s="23" t="s">
        <v>23</v>
      </c>
      <c r="L408" s="3" t="str">
        <f>IFERROR(MID(VLOOKUP($B408,Seqs!$A:$B,2,0),M408,1),"")</f>
        <v>T</v>
      </c>
      <c r="M408" s="3">
        <v>64</v>
      </c>
      <c r="N408" s="3" t="str">
        <f>IFERROR(MID(VLOOKUP($B408,Seqs!$A:$B,2,0),O408,1),"")</f>
        <v>G</v>
      </c>
      <c r="O408" s="3">
        <v>94</v>
      </c>
      <c r="P408" s="3" t="str">
        <f>IFERROR(MID(VLOOKUP($B408,Seqs!$A:$B,2,0),Q408,1),"")</f>
        <v>S</v>
      </c>
      <c r="Q408" s="3">
        <v>96</v>
      </c>
      <c r="R408" s="3" t="str">
        <f>IFERROR(MID(VLOOKUP($B408,Seqs!$A:$B,2,0),S408,1),"")</f>
        <v>L</v>
      </c>
      <c r="S408" s="3">
        <v>99</v>
      </c>
      <c r="T408" s="3" t="str">
        <f>IFERROR(MID(VLOOKUP($B408,Seqs!$A:$B,2,0),U408,1),"")</f>
        <v>G</v>
      </c>
      <c r="U408" s="3">
        <v>100</v>
      </c>
      <c r="V408" s="3" t="str">
        <f>IFERROR(MID(VLOOKUP($B408,Seqs!$A:$B,2,0),W408,1),"")</f>
        <v>R</v>
      </c>
      <c r="W408" s="3">
        <v>135</v>
      </c>
      <c r="X408" s="3" t="str">
        <f>IFERROR(MID(VLOOKUP($B408,Seqs!$A:$B,2,0),Y408,1),"")</f>
        <v>P</v>
      </c>
      <c r="Y408" s="3">
        <v>136</v>
      </c>
      <c r="Z408" s="3" t="str">
        <f>IFERROR(MID(VLOOKUP($B408,Seqs!$A:$B,2,0),AA408,1),"")</f>
        <v>R</v>
      </c>
      <c r="AA408" s="3">
        <v>143</v>
      </c>
      <c r="AB408" s="3" t="str">
        <f>IFERROR(MID(VLOOKUP($B408,Seqs!$A:$B,2,0),AC408,1),"")</f>
        <v>T</v>
      </c>
      <c r="AC408" s="3">
        <v>144</v>
      </c>
      <c r="AD408" s="3" t="str">
        <f>IFERROR(MID(VLOOKUP($B408,Seqs!$A:$B,2,0),AE408,1),"")</f>
        <v>R</v>
      </c>
      <c r="AE408" s="3">
        <v>170</v>
      </c>
      <c r="AF408" s="3" t="str">
        <f>IFERROR(MID(VLOOKUP($B408,Seqs!$A:$B,2,0),AG408,1),"")</f>
        <v>C</v>
      </c>
      <c r="AG408" s="3">
        <v>182</v>
      </c>
      <c r="AH408" s="3" t="str">
        <f>IFERROR(MID(VLOOKUP($B408,Seqs!$A:$B,2,0),AI408,1),"")</f>
        <v>Y</v>
      </c>
      <c r="AI408" s="3">
        <v>184</v>
      </c>
      <c r="AJ408" s="3" t="str">
        <f>IFERROR(MID(VLOOKUP($B408,Seqs!$A:$B,2,0),AK408,1),"")</f>
        <v>D</v>
      </c>
      <c r="AK408" s="3">
        <v>194</v>
      </c>
      <c r="AL408" s="3" t="str">
        <f>IFERROR(MID(VLOOKUP($B408,Seqs!$A:$B,2,0),AM408,1),"")</f>
        <v>R</v>
      </c>
      <c r="AM408" s="3">
        <v>236</v>
      </c>
      <c r="AN408" s="3" t="str">
        <f>IFERROR(MID(VLOOKUP($B408,Seqs!$A:$B,2,0),AO408,1),"")</f>
        <v>P</v>
      </c>
      <c r="AO408" s="3">
        <v>241</v>
      </c>
      <c r="AP408" s="3" t="str">
        <f>IFERROR(MID(VLOOKUP($B408,Seqs!$A:$B,2,0),AQ408,1),"")</f>
        <v>A</v>
      </c>
      <c r="AQ408" s="3">
        <v>272</v>
      </c>
      <c r="AR408" s="3" t="str">
        <f>IFERROR(MID(VLOOKUP($B408,Seqs!$A:$B,2,0),AS408,1),"")</f>
        <v>L</v>
      </c>
      <c r="AS408" s="3">
        <v>278</v>
      </c>
      <c r="AT408" s="3" t="str">
        <f>IFERROR(MID(VLOOKUP($B408,Seqs!$A:$B,2,0),AU408,1),"")</f>
        <v>T</v>
      </c>
      <c r="AU408" s="3">
        <v>307</v>
      </c>
      <c r="AV408" s="3" t="str">
        <f>IFERROR(MID(VLOOKUP($B408,Seqs!$A:$B,2,0),AW408,1),"")</f>
        <v>C</v>
      </c>
      <c r="AW408" s="3">
        <v>308</v>
      </c>
      <c r="AX408" s="3" t="str">
        <f>IFERROR(MID(VLOOKUP($B408,Seqs!$A:$B,2,0),AY408,1),"")</f>
        <v>S</v>
      </c>
      <c r="AY408" s="3">
        <v>325</v>
      </c>
      <c r="AZ408" s="77" t="str">
        <f>VLOOKUP(B408,Classification!A:D,2,0)</f>
        <v>A</v>
      </c>
      <c r="BA408" s="94" t="str">
        <f>VLOOKUP(B408,Classification!A:D,4,0)</f>
        <v>Prostanoid</v>
      </c>
      <c r="BB408" s="27" t="b">
        <f t="shared" ref="BB408" si="3915">AND(E408&lt;G408,OR(G408&lt;I408,I408="-"),OR(I408&lt;K408,I408="-"),OR(K408&lt;M408,K408="-"),M408&lt;O408,OR(O408&lt;Q408,Q408="-"),OR(Q408&lt;S408,Q408="-"),OR(S408&lt;U408,S408="-"),U408&lt;W408,OR(W408&lt;Y408,Y408="-"),OR(Y408&lt;AA408,Y408="-"),OR(AA408&lt;AC408,AA408="-"),AC408&lt;AE408,OR(AE408&lt;AG408,AG408="-"),OR(AG408&lt;AI408,AG408="-"),OR(AI408&lt;AK408,AI408="-"),AK408&lt;AM408,AM408&lt;AO408,AO408&lt;AQ408,AQ408&lt;AS408,AS408&lt;AU408,OR(AU408&lt;AW408,AW408="-"),OR(AW408&lt;AY408,AW408="-"))</f>
        <v>1</v>
      </c>
      <c r="BC408" s="23">
        <f t="shared" ref="BC408" si="3916">_xlfn.AGGREGATE(9,6,CH408:CS408)-_xlfn.AGGREGATE(9,6,BV408:CG408)+12</f>
        <v>262</v>
      </c>
      <c r="BD408" s="2" t="s">
        <v>23</v>
      </c>
      <c r="BE408" s="3" t="s">
        <v>23</v>
      </c>
      <c r="BF408" s="118" t="s">
        <v>23</v>
      </c>
      <c r="BG408" s="49" t="s">
        <v>23</v>
      </c>
      <c r="BH408" s="49" t="s">
        <v>23</v>
      </c>
      <c r="BI408" s="1"/>
      <c r="BJ408" s="70" t="s">
        <v>1281</v>
      </c>
      <c r="BK408" s="57" t="s">
        <v>1281</v>
      </c>
      <c r="BL408" s="57" t="s">
        <v>1281</v>
      </c>
      <c r="BM408" s="57" t="s">
        <v>1281</v>
      </c>
      <c r="BN408" s="57" t="s">
        <v>1281</v>
      </c>
      <c r="BO408" s="57" t="s">
        <v>1281</v>
      </c>
      <c r="BP408" s="57" t="s">
        <v>1281</v>
      </c>
      <c r="BQ408" s="57" t="s">
        <v>1281</v>
      </c>
      <c r="BR408" s="57" t="s">
        <v>1281</v>
      </c>
      <c r="BS408" s="57" t="s">
        <v>1281</v>
      </c>
      <c r="BT408" s="57" t="s">
        <v>1281</v>
      </c>
      <c r="BU408" s="57" t="s">
        <v>1281</v>
      </c>
      <c r="BV408" s="70">
        <f t="shared" ref="BV408" si="3917">E408</f>
        <v>32</v>
      </c>
      <c r="BW408" s="71" t="str">
        <f t="shared" ref="BW408" si="3918">I408</f>
        <v>-</v>
      </c>
      <c r="BX408" s="72">
        <f t="shared" ref="BX408" si="3919">M408</f>
        <v>64</v>
      </c>
      <c r="BY408" s="71">
        <f t="shared" ref="BY408" si="3920">Q408</f>
        <v>96</v>
      </c>
      <c r="BZ408" s="72">
        <f t="shared" ref="BZ408" si="3921">U408</f>
        <v>100</v>
      </c>
      <c r="CA408" s="71">
        <f t="shared" ref="CA408" si="3922">Y408</f>
        <v>136</v>
      </c>
      <c r="CB408" s="72">
        <f t="shared" ref="CB408" si="3923">AC408</f>
        <v>144</v>
      </c>
      <c r="CC408" s="71">
        <f t="shared" ref="CC408" si="3924">AG408</f>
        <v>182</v>
      </c>
      <c r="CD408" s="72">
        <f t="shared" ref="CD408" si="3925">AK408</f>
        <v>194</v>
      </c>
      <c r="CE408" s="71">
        <f t="shared" ref="CE408" si="3926">AO408</f>
        <v>241</v>
      </c>
      <c r="CF408" s="72">
        <f t="shared" ref="CF408" si="3927">AS408</f>
        <v>278</v>
      </c>
      <c r="CG408" s="71">
        <f t="shared" ref="CG408" si="3928">AW408</f>
        <v>308</v>
      </c>
      <c r="CH408" s="70">
        <f t="shared" ref="CH408" si="3929">G408</f>
        <v>60</v>
      </c>
      <c r="CI408" s="71" t="str">
        <f t="shared" ref="CI408" si="3930">K408</f>
        <v>-</v>
      </c>
      <c r="CJ408" s="72">
        <f t="shared" ref="CJ408" si="3931">O408</f>
        <v>94</v>
      </c>
      <c r="CK408" s="72">
        <f t="shared" ref="CK408" si="3932">S408</f>
        <v>99</v>
      </c>
      <c r="CL408" s="72">
        <f t="shared" ref="CL408" si="3933">W408</f>
        <v>135</v>
      </c>
      <c r="CM408" s="72">
        <f t="shared" ref="CM408" si="3934">AA408</f>
        <v>143</v>
      </c>
      <c r="CN408" s="72">
        <f t="shared" ref="CN408" si="3935">AE408</f>
        <v>170</v>
      </c>
      <c r="CO408" s="72">
        <f t="shared" ref="CO408" si="3936">AI408</f>
        <v>184</v>
      </c>
      <c r="CP408" s="72">
        <f t="shared" ref="CP408" si="3937">AM408</f>
        <v>236</v>
      </c>
      <c r="CQ408" s="72">
        <f t="shared" ref="CQ408" si="3938">AQ408</f>
        <v>272</v>
      </c>
      <c r="CR408" s="72">
        <f t="shared" ref="CR408" si="3939">AU408</f>
        <v>307</v>
      </c>
      <c r="CS408" s="72">
        <f t="shared" ref="CS408" si="3940">AY408</f>
        <v>325</v>
      </c>
      <c r="CT408" s="23" t="e">
        <f t="shared" ref="CT408" si="3941">M408-K408</f>
        <v>#VALUE!</v>
      </c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  <c r="AMK408" s="1"/>
      <c r="AML408" s="1"/>
      <c r="AMM408" s="1"/>
      <c r="AMN408" s="1"/>
      <c r="AMO408" s="1"/>
    </row>
    <row r="409" spans="1:1029" x14ac:dyDescent="0.2">
      <c r="A409" s="3" t="str">
        <f t="shared" ref="A409" si="3942">CONCATENATE(B409,"_",C409)</f>
        <v>pd2r2_human_6D26</v>
      </c>
      <c r="B409" s="3" t="s">
        <v>359</v>
      </c>
      <c r="C409" s="3" t="s">
        <v>1511</v>
      </c>
      <c r="D409" s="3" t="str">
        <f>IFERROR(MID(VLOOKUP($B409,Seqs!$A:$B,2,0),E409,1),"")</f>
        <v>D</v>
      </c>
      <c r="E409" s="3">
        <v>32</v>
      </c>
      <c r="F409" s="3" t="str">
        <f>IFERROR(MID(VLOOKUP($B409,Seqs!$A:$B,2,0),G409,1),"")</f>
        <v>R</v>
      </c>
      <c r="G409" s="3">
        <v>60</v>
      </c>
      <c r="H409" s="3" t="str">
        <f>IFERROR(MID(VLOOKUP($B409,Seqs!$A:$B,2,0),I409,1),"")</f>
        <v/>
      </c>
      <c r="I409" s="23" t="s">
        <v>23</v>
      </c>
      <c r="J409" s="3" t="str">
        <f>IFERROR(MID(VLOOKUP($B409,Seqs!$A:$B,2,0),K409,1),"")</f>
        <v/>
      </c>
      <c r="K409" s="23" t="s">
        <v>23</v>
      </c>
      <c r="L409" s="3" t="str">
        <f>IFERROR(MID(VLOOKUP($B409,Seqs!$A:$B,2,0),M409,1),"")</f>
        <v>T</v>
      </c>
      <c r="M409" s="3">
        <v>64</v>
      </c>
      <c r="N409" s="3" t="str">
        <f>IFERROR(MID(VLOOKUP($B409,Seqs!$A:$B,2,0),O409,1),"")</f>
        <v>G</v>
      </c>
      <c r="O409" s="3">
        <v>94</v>
      </c>
      <c r="P409" s="3" t="str">
        <f>IFERROR(MID(VLOOKUP($B409,Seqs!$A:$B,2,0),Q409,1),"")</f>
        <v>S</v>
      </c>
      <c r="Q409" s="3">
        <v>96</v>
      </c>
      <c r="R409" s="3" t="str">
        <f>IFERROR(MID(VLOOKUP($B409,Seqs!$A:$B,2,0),S409,1),"")</f>
        <v>L</v>
      </c>
      <c r="S409" s="3">
        <v>99</v>
      </c>
      <c r="T409" s="3" t="str">
        <f>IFERROR(MID(VLOOKUP($B409,Seqs!$A:$B,2,0),U409,1),"")</f>
        <v>T</v>
      </c>
      <c r="U409" s="3">
        <v>101</v>
      </c>
      <c r="V409" s="3" t="str">
        <f>IFERROR(MID(VLOOKUP($B409,Seqs!$A:$B,2,0),W409,1),"")</f>
        <v>R</v>
      </c>
      <c r="W409" s="3">
        <v>135</v>
      </c>
      <c r="X409" s="3" t="str">
        <f>IFERROR(MID(VLOOKUP($B409,Seqs!$A:$B,2,0),Y409,1),"")</f>
        <v>P</v>
      </c>
      <c r="Y409" s="3">
        <v>136</v>
      </c>
      <c r="Z409" s="3" t="str">
        <f>IFERROR(MID(VLOOKUP($B409,Seqs!$A:$B,2,0),AA409,1),"")</f>
        <v>R</v>
      </c>
      <c r="AA409" s="3">
        <v>143</v>
      </c>
      <c r="AB409" s="3" t="str">
        <f>IFERROR(MID(VLOOKUP($B409,Seqs!$A:$B,2,0),AC409,1),"")</f>
        <v>T</v>
      </c>
      <c r="AC409" s="3">
        <v>144</v>
      </c>
      <c r="AD409" s="3" t="str">
        <f>IFERROR(MID(VLOOKUP($B409,Seqs!$A:$B,2,0),AE409,1),"")</f>
        <v>R</v>
      </c>
      <c r="AE409" s="3">
        <v>170</v>
      </c>
      <c r="AF409" s="3" t="str">
        <f>IFERROR(MID(VLOOKUP($B409,Seqs!$A:$B,2,0),AG409,1),"")</f>
        <v>C</v>
      </c>
      <c r="AG409" s="3">
        <v>182</v>
      </c>
      <c r="AH409" s="3" t="str">
        <f>IFERROR(MID(VLOOKUP($B409,Seqs!$A:$B,2,0),AI409,1),"")</f>
        <v>Y</v>
      </c>
      <c r="AI409" s="3">
        <v>184</v>
      </c>
      <c r="AJ409" s="3" t="str">
        <f>IFERROR(MID(VLOOKUP($B409,Seqs!$A:$B,2,0),AK409,1),"")</f>
        <v>D</v>
      </c>
      <c r="AK409" s="3">
        <v>194</v>
      </c>
      <c r="AL409" s="3" t="str">
        <f>IFERROR(MID(VLOOKUP($B409,Seqs!$A:$B,2,0),AM409,1),"")</f>
        <v>R</v>
      </c>
      <c r="AM409" s="3">
        <v>236</v>
      </c>
      <c r="AN409" s="3" t="str">
        <f>IFERROR(MID(VLOOKUP($B409,Seqs!$A:$B,2,0),AO409,1),"")</f>
        <v/>
      </c>
      <c r="AO409" s="3">
        <v>2244</v>
      </c>
      <c r="AP409" s="3" t="str">
        <f>IFERROR(MID(VLOOKUP($B409,Seqs!$A:$B,2,0),AQ409,1),"")</f>
        <v/>
      </c>
      <c r="AQ409" s="3">
        <v>2271</v>
      </c>
      <c r="AR409" s="3" t="str">
        <f>IFERROR(MID(VLOOKUP($B409,Seqs!$A:$B,2,0),AS409,1),"")</f>
        <v/>
      </c>
      <c r="AS409" s="3">
        <v>2278</v>
      </c>
      <c r="AT409" s="3" t="str">
        <f>IFERROR(MID(VLOOKUP($B409,Seqs!$A:$B,2,0),AU409,1),"")</f>
        <v/>
      </c>
      <c r="AU409" s="3">
        <v>2307</v>
      </c>
      <c r="AV409" s="3" t="str">
        <f>IFERROR(MID(VLOOKUP($B409,Seqs!$A:$B,2,0),AW409,1),"")</f>
        <v/>
      </c>
      <c r="AW409" s="3">
        <v>2308</v>
      </c>
      <c r="AX409" s="3" t="str">
        <f>IFERROR(MID(VLOOKUP($B409,Seqs!$A:$B,2,0),AY409,1),"")</f>
        <v/>
      </c>
      <c r="AY409" s="3">
        <v>2325</v>
      </c>
      <c r="AZ409" s="77" t="str">
        <f>VLOOKUP(B409,Classification!A:D,2,0)</f>
        <v>A</v>
      </c>
      <c r="BA409" s="94" t="str">
        <f>VLOOKUP(B409,Classification!A:D,4,0)</f>
        <v>Prostanoid</v>
      </c>
      <c r="BB409" s="27" t="b">
        <f t="shared" ref="BB409" si="3943">AND(E409&lt;G409,OR(G409&lt;I409,I409="-"),OR(I409&lt;K409,I409="-"),OR(K409&lt;M409,K409="-"),M409&lt;O409,OR(O409&lt;Q409,Q409="-"),OR(Q409&lt;S409,Q409="-"),OR(S409&lt;U409,S409="-"),U409&lt;W409,OR(W409&lt;Y409,Y409="-"),OR(Y409&lt;AA409,Y409="-"),OR(AA409&lt;AC409,AA409="-"),AC409&lt;AE409,OR(AE409&lt;AG409,AG409="-"),OR(AG409&lt;AI409,AG409="-"),OR(AI409&lt;AK409,AI409="-"),AK409&lt;AM409,AM409&lt;AO409,AO409&lt;AQ409,AQ409&lt;AS409,AS409&lt;AU409,OR(AU409&lt;AW409,AW409="-"),OR(AW409&lt;AY409,AW409="-"))</f>
        <v>1</v>
      </c>
      <c r="BC409" s="23">
        <f t="shared" ref="BC409" si="3944">_xlfn.AGGREGATE(9,6,CH409:CS409)-_xlfn.AGGREGATE(9,6,BV409:CG409)+12</f>
        <v>257</v>
      </c>
      <c r="BD409" s="2" t="s">
        <v>23</v>
      </c>
      <c r="BE409" s="3" t="s">
        <v>1368</v>
      </c>
      <c r="BF409" s="118">
        <v>2.8</v>
      </c>
      <c r="BG409" s="49" t="s">
        <v>1</v>
      </c>
      <c r="BH409" s="49" t="s">
        <v>1</v>
      </c>
      <c r="BI409" s="1"/>
      <c r="BJ409" s="70" t="s">
        <v>1281</v>
      </c>
      <c r="BK409" s="57" t="s">
        <v>1281</v>
      </c>
      <c r="BL409" s="57" t="s">
        <v>1281</v>
      </c>
      <c r="BM409" s="57" t="s">
        <v>1281</v>
      </c>
      <c r="BN409" s="57" t="s">
        <v>1281</v>
      </c>
      <c r="BO409" s="57" t="s">
        <v>1281</v>
      </c>
      <c r="BP409" s="57" t="s">
        <v>1281</v>
      </c>
      <c r="BQ409" s="57" t="s">
        <v>1281</v>
      </c>
      <c r="BR409" s="57" t="s">
        <v>1281</v>
      </c>
      <c r="BS409" s="57" t="s">
        <v>1281</v>
      </c>
      <c r="BT409" s="57" t="s">
        <v>1281</v>
      </c>
      <c r="BU409" s="57" t="s">
        <v>1281</v>
      </c>
      <c r="BV409" s="70">
        <f t="shared" ref="BV409" si="3945">E409</f>
        <v>32</v>
      </c>
      <c r="BW409" s="71" t="str">
        <f t="shared" ref="BW409" si="3946">I409</f>
        <v>-</v>
      </c>
      <c r="BX409" s="72">
        <f t="shared" ref="BX409" si="3947">M409</f>
        <v>64</v>
      </c>
      <c r="BY409" s="71">
        <f t="shared" ref="BY409" si="3948">Q409</f>
        <v>96</v>
      </c>
      <c r="BZ409" s="72">
        <f t="shared" ref="BZ409" si="3949">U409</f>
        <v>101</v>
      </c>
      <c r="CA409" s="71">
        <f t="shared" ref="CA409" si="3950">Y409</f>
        <v>136</v>
      </c>
      <c r="CB409" s="72">
        <f t="shared" ref="CB409" si="3951">AC409</f>
        <v>144</v>
      </c>
      <c r="CC409" s="71">
        <f t="shared" ref="CC409" si="3952">AG409</f>
        <v>182</v>
      </c>
      <c r="CD409" s="72">
        <f t="shared" ref="CD409" si="3953">AK409</f>
        <v>194</v>
      </c>
      <c r="CE409" s="71">
        <f t="shared" ref="CE409" si="3954">AO409</f>
        <v>2244</v>
      </c>
      <c r="CF409" s="72">
        <f t="shared" ref="CF409" si="3955">AS409</f>
        <v>2278</v>
      </c>
      <c r="CG409" s="71">
        <f t="shared" ref="CG409" si="3956">AW409</f>
        <v>2308</v>
      </c>
      <c r="CH409" s="70">
        <f t="shared" ref="CH409" si="3957">G409</f>
        <v>60</v>
      </c>
      <c r="CI409" s="71" t="str">
        <f t="shared" ref="CI409" si="3958">K409</f>
        <v>-</v>
      </c>
      <c r="CJ409" s="72">
        <f t="shared" ref="CJ409" si="3959">O409</f>
        <v>94</v>
      </c>
      <c r="CK409" s="72">
        <f t="shared" ref="CK409" si="3960">S409</f>
        <v>99</v>
      </c>
      <c r="CL409" s="72">
        <f t="shared" ref="CL409" si="3961">W409</f>
        <v>135</v>
      </c>
      <c r="CM409" s="72">
        <f t="shared" ref="CM409" si="3962">AA409</f>
        <v>143</v>
      </c>
      <c r="CN409" s="72">
        <f t="shared" ref="CN409" si="3963">AE409</f>
        <v>170</v>
      </c>
      <c r="CO409" s="72">
        <f t="shared" ref="CO409" si="3964">AI409</f>
        <v>184</v>
      </c>
      <c r="CP409" s="72">
        <f t="shared" ref="CP409" si="3965">AM409</f>
        <v>236</v>
      </c>
      <c r="CQ409" s="72">
        <f t="shared" ref="CQ409" si="3966">AQ409</f>
        <v>2271</v>
      </c>
      <c r="CR409" s="72">
        <f t="shared" ref="CR409" si="3967">AU409</f>
        <v>2307</v>
      </c>
      <c r="CS409" s="72">
        <f t="shared" ref="CS409" si="3968">AY409</f>
        <v>2325</v>
      </c>
      <c r="CT409" s="23" t="e">
        <f t="shared" ref="CT409" si="3969">M409-K409</f>
        <v>#VALUE!</v>
      </c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  <c r="AMO409" s="1"/>
    </row>
    <row r="410" spans="1:1029" x14ac:dyDescent="0.2">
      <c r="A410" s="3" t="str">
        <f t="shared" ref="A410" si="3970">CONCATENATE(B410,"_",C410)</f>
        <v>pd2r2_human_6D27</v>
      </c>
      <c r="B410" s="3" t="s">
        <v>359</v>
      </c>
      <c r="C410" s="3" t="s">
        <v>1536</v>
      </c>
      <c r="D410" s="3" t="str">
        <f>IFERROR(MID(VLOOKUP($B410,Seqs!$A:$B,2,0),E410,1),"")</f>
        <v>D</v>
      </c>
      <c r="E410" s="3">
        <v>32</v>
      </c>
      <c r="F410" s="3" t="str">
        <f>IFERROR(MID(VLOOKUP($B410,Seqs!$A:$B,2,0),G410,1),"")</f>
        <v>R</v>
      </c>
      <c r="G410" s="3">
        <v>60</v>
      </c>
      <c r="H410" s="3" t="str">
        <f>IFERROR(MID(VLOOKUP($B410,Seqs!$A:$B,2,0),I410,1),"")</f>
        <v/>
      </c>
      <c r="I410" s="23" t="s">
        <v>23</v>
      </c>
      <c r="J410" s="3" t="str">
        <f>IFERROR(MID(VLOOKUP($B410,Seqs!$A:$B,2,0),K410,1),"")</f>
        <v/>
      </c>
      <c r="K410" s="23" t="s">
        <v>23</v>
      </c>
      <c r="L410" s="3" t="str">
        <f>IFERROR(MID(VLOOKUP($B410,Seqs!$A:$B,2,0),M410,1),"")</f>
        <v>T</v>
      </c>
      <c r="M410" s="3">
        <v>64</v>
      </c>
      <c r="N410" s="3" t="str">
        <f>IFERROR(MID(VLOOKUP($B410,Seqs!$A:$B,2,0),O410,1),"")</f>
        <v>G</v>
      </c>
      <c r="O410" s="3">
        <v>94</v>
      </c>
      <c r="P410" s="3" t="str">
        <f>IFERROR(MID(VLOOKUP($B410,Seqs!$A:$B,2,0),Q410,1),"")</f>
        <v>S</v>
      </c>
      <c r="Q410" s="3">
        <v>96</v>
      </c>
      <c r="R410" s="3" t="str">
        <f>IFERROR(MID(VLOOKUP($B410,Seqs!$A:$B,2,0),S410,1),"")</f>
        <v>L</v>
      </c>
      <c r="S410" s="3">
        <v>99</v>
      </c>
      <c r="T410" s="3" t="str">
        <f>IFERROR(MID(VLOOKUP($B410,Seqs!$A:$B,2,0),U410,1),"")</f>
        <v>T</v>
      </c>
      <c r="U410" s="3">
        <v>101</v>
      </c>
      <c r="V410" s="3" t="str">
        <f>IFERROR(MID(VLOOKUP($B410,Seqs!$A:$B,2,0),W410,1),"")</f>
        <v>R</v>
      </c>
      <c r="W410" s="3">
        <v>135</v>
      </c>
      <c r="X410" s="3" t="str">
        <f>IFERROR(MID(VLOOKUP($B410,Seqs!$A:$B,2,0),Y410,1),"")</f>
        <v>P</v>
      </c>
      <c r="Y410" s="3">
        <v>136</v>
      </c>
      <c r="Z410" s="3" t="str">
        <f>IFERROR(MID(VLOOKUP($B410,Seqs!$A:$B,2,0),AA410,1),"")</f>
        <v>R</v>
      </c>
      <c r="AA410" s="3">
        <v>143</v>
      </c>
      <c r="AB410" s="3" t="str">
        <f>IFERROR(MID(VLOOKUP($B410,Seqs!$A:$B,2,0),AC410,1),"")</f>
        <v>T</v>
      </c>
      <c r="AC410" s="3">
        <v>144</v>
      </c>
      <c r="AD410" s="3" t="str">
        <f>IFERROR(MID(VLOOKUP($B410,Seqs!$A:$B,2,0),AE410,1),"")</f>
        <v>R</v>
      </c>
      <c r="AE410" s="3">
        <v>170</v>
      </c>
      <c r="AF410" s="3" t="str">
        <f>IFERROR(MID(VLOOKUP($B410,Seqs!$A:$B,2,0),AG410,1),"")</f>
        <v>C</v>
      </c>
      <c r="AG410" s="3">
        <v>182</v>
      </c>
      <c r="AH410" s="3" t="str">
        <f>IFERROR(MID(VLOOKUP($B410,Seqs!$A:$B,2,0),AI410,1),"")</f>
        <v>Y</v>
      </c>
      <c r="AI410" s="3">
        <v>184</v>
      </c>
      <c r="AJ410" s="3" t="str">
        <f>IFERROR(MID(VLOOKUP($B410,Seqs!$A:$B,2,0),AK410,1),"")</f>
        <v>D</v>
      </c>
      <c r="AK410" s="3">
        <v>194</v>
      </c>
      <c r="AL410" s="3" t="str">
        <f>IFERROR(MID(VLOOKUP($B410,Seqs!$A:$B,2,0),AM410,1),"")</f>
        <v>R</v>
      </c>
      <c r="AM410" s="3">
        <v>236</v>
      </c>
      <c r="AN410" s="3" t="str">
        <f>IFERROR(MID(VLOOKUP($B410,Seqs!$A:$B,2,0),AO410,1),"")</f>
        <v/>
      </c>
      <c r="AO410" s="3">
        <v>2244</v>
      </c>
      <c r="AP410" s="3" t="str">
        <f>IFERROR(MID(VLOOKUP($B410,Seqs!$A:$B,2,0),AQ410,1),"")</f>
        <v/>
      </c>
      <c r="AQ410" s="3">
        <v>2271</v>
      </c>
      <c r="AR410" s="3" t="str">
        <f>IFERROR(MID(VLOOKUP($B410,Seqs!$A:$B,2,0),AS410,1),"")</f>
        <v/>
      </c>
      <c r="AS410" s="3">
        <v>2278</v>
      </c>
      <c r="AT410" s="3" t="str">
        <f>IFERROR(MID(VLOOKUP($B410,Seqs!$A:$B,2,0),AU410,1),"")</f>
        <v/>
      </c>
      <c r="AU410" s="3">
        <v>2307</v>
      </c>
      <c r="AV410" s="3" t="str">
        <f>IFERROR(MID(VLOOKUP($B410,Seqs!$A:$B,2,0),AW410,1),"")</f>
        <v/>
      </c>
      <c r="AW410" s="3">
        <v>2308</v>
      </c>
      <c r="AX410" s="3" t="str">
        <f>IFERROR(MID(VLOOKUP($B410,Seqs!$A:$B,2,0),AY410,1),"")</f>
        <v/>
      </c>
      <c r="AY410" s="3">
        <v>2325</v>
      </c>
      <c r="AZ410" s="77" t="str">
        <f>VLOOKUP(B410,Classification!A:D,2,0)</f>
        <v>A</v>
      </c>
      <c r="BA410" s="94" t="str">
        <f>VLOOKUP(B410,Classification!A:D,4,0)</f>
        <v>Prostanoid</v>
      </c>
      <c r="BB410" s="27" t="b">
        <f t="shared" ref="BB410" si="3971">AND(E410&lt;G410,OR(G410&lt;I410,I410="-"),OR(I410&lt;K410,I410="-"),OR(K410&lt;M410,K410="-"),M410&lt;O410,OR(O410&lt;Q410,Q410="-"),OR(Q410&lt;S410,Q410="-"),OR(S410&lt;U410,S410="-"),U410&lt;W410,OR(W410&lt;Y410,Y410="-"),OR(Y410&lt;AA410,Y410="-"),OR(AA410&lt;AC410,AA410="-"),AC410&lt;AE410,OR(AE410&lt;AG410,AG410="-"),OR(AG410&lt;AI410,AG410="-"),OR(AI410&lt;AK410,AI410="-"),AK410&lt;AM410,AM410&lt;AO410,AO410&lt;AQ410,AQ410&lt;AS410,AS410&lt;AU410,OR(AU410&lt;AW410,AW410="-"),OR(AW410&lt;AY410,AW410="-"))</f>
        <v>1</v>
      </c>
      <c r="BC410" s="23">
        <f t="shared" ref="BC410" si="3972">_xlfn.AGGREGATE(9,6,CH410:CS410)-_xlfn.AGGREGATE(9,6,BV410:CG410)+12</f>
        <v>257</v>
      </c>
      <c r="BD410" s="2" t="s">
        <v>1370</v>
      </c>
      <c r="BE410" s="3" t="s">
        <v>1368</v>
      </c>
      <c r="BF410" s="118">
        <v>4.74</v>
      </c>
      <c r="BG410" s="49" t="s">
        <v>1</v>
      </c>
      <c r="BH410" s="49" t="s">
        <v>1</v>
      </c>
      <c r="BI410" s="1"/>
      <c r="BJ410" s="70" t="s">
        <v>1281</v>
      </c>
      <c r="BK410" s="57" t="s">
        <v>1281</v>
      </c>
      <c r="BL410" s="57" t="s">
        <v>1281</v>
      </c>
      <c r="BM410" s="57" t="s">
        <v>1281</v>
      </c>
      <c r="BN410" s="57" t="s">
        <v>1281</v>
      </c>
      <c r="BO410" s="57" t="s">
        <v>1281</v>
      </c>
      <c r="BP410" s="57" t="s">
        <v>1281</v>
      </c>
      <c r="BQ410" s="57" t="s">
        <v>1281</v>
      </c>
      <c r="BR410" s="57" t="s">
        <v>1281</v>
      </c>
      <c r="BS410" s="57" t="s">
        <v>1281</v>
      </c>
      <c r="BT410" s="57" t="s">
        <v>1281</v>
      </c>
      <c r="BU410" s="57" t="s">
        <v>1281</v>
      </c>
      <c r="BV410" s="70">
        <f t="shared" ref="BV410" si="3973">E410</f>
        <v>32</v>
      </c>
      <c r="BW410" s="71" t="str">
        <f t="shared" ref="BW410" si="3974">I410</f>
        <v>-</v>
      </c>
      <c r="BX410" s="72">
        <f t="shared" ref="BX410" si="3975">M410</f>
        <v>64</v>
      </c>
      <c r="BY410" s="71">
        <f t="shared" ref="BY410" si="3976">Q410</f>
        <v>96</v>
      </c>
      <c r="BZ410" s="72">
        <f t="shared" ref="BZ410" si="3977">U410</f>
        <v>101</v>
      </c>
      <c r="CA410" s="71">
        <f t="shared" ref="CA410" si="3978">Y410</f>
        <v>136</v>
      </c>
      <c r="CB410" s="72">
        <f t="shared" ref="CB410" si="3979">AC410</f>
        <v>144</v>
      </c>
      <c r="CC410" s="71">
        <f t="shared" ref="CC410" si="3980">AG410</f>
        <v>182</v>
      </c>
      <c r="CD410" s="72">
        <f t="shared" ref="CD410" si="3981">AK410</f>
        <v>194</v>
      </c>
      <c r="CE410" s="71">
        <f t="shared" ref="CE410" si="3982">AO410</f>
        <v>2244</v>
      </c>
      <c r="CF410" s="72">
        <f t="shared" ref="CF410" si="3983">AS410</f>
        <v>2278</v>
      </c>
      <c r="CG410" s="71">
        <f t="shared" ref="CG410" si="3984">AW410</f>
        <v>2308</v>
      </c>
      <c r="CH410" s="70">
        <f t="shared" ref="CH410" si="3985">G410</f>
        <v>60</v>
      </c>
      <c r="CI410" s="71" t="str">
        <f t="shared" ref="CI410" si="3986">K410</f>
        <v>-</v>
      </c>
      <c r="CJ410" s="72">
        <f t="shared" ref="CJ410" si="3987">O410</f>
        <v>94</v>
      </c>
      <c r="CK410" s="72">
        <f t="shared" ref="CK410" si="3988">S410</f>
        <v>99</v>
      </c>
      <c r="CL410" s="72">
        <f t="shared" ref="CL410" si="3989">W410</f>
        <v>135</v>
      </c>
      <c r="CM410" s="72">
        <f t="shared" ref="CM410" si="3990">AA410</f>
        <v>143</v>
      </c>
      <c r="CN410" s="72">
        <f t="shared" ref="CN410" si="3991">AE410</f>
        <v>170</v>
      </c>
      <c r="CO410" s="72">
        <f t="shared" ref="CO410" si="3992">AI410</f>
        <v>184</v>
      </c>
      <c r="CP410" s="72">
        <f t="shared" ref="CP410" si="3993">AM410</f>
        <v>236</v>
      </c>
      <c r="CQ410" s="72">
        <f t="shared" ref="CQ410" si="3994">AQ410</f>
        <v>2271</v>
      </c>
      <c r="CR410" s="72">
        <f t="shared" ref="CR410" si="3995">AU410</f>
        <v>2307</v>
      </c>
      <c r="CS410" s="72">
        <f t="shared" ref="CS410" si="3996">AY410</f>
        <v>2325</v>
      </c>
      <c r="CT410" s="23" t="e">
        <f t="shared" ref="CT410" si="3997">M410-K410</f>
        <v>#VALUE!</v>
      </c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  <c r="AMO410" s="1"/>
    </row>
    <row r="411" spans="1:1029" x14ac:dyDescent="0.2">
      <c r="A411" s="3" t="str">
        <f t="shared" ref="A411:A413" si="3998">CONCATENATE(B411,"_",C411)</f>
        <v>pe2r3_human__wt</v>
      </c>
      <c r="B411" s="3" t="s">
        <v>362</v>
      </c>
      <c r="C411" s="3" t="s">
        <v>100</v>
      </c>
      <c r="D411" s="3" t="str">
        <f>IFERROR(MID(VLOOKUP($B411,Seqs!$A:$B,2,0),E411,1),"")</f>
        <v>V</v>
      </c>
      <c r="E411" s="3">
        <v>52</v>
      </c>
      <c r="F411" s="3" t="str">
        <f>IFERROR(MID(VLOOKUP($B411,Seqs!$A:$B,2,0),G411,1),"")</f>
        <v>R</v>
      </c>
      <c r="G411" s="3">
        <v>78</v>
      </c>
      <c r="H411" s="3" t="str">
        <f>IFERROR(MID(VLOOKUP($B411,Seqs!$A:$B,2,0),I411,1),"")</f>
        <v/>
      </c>
      <c r="I411" s="23" t="s">
        <v>23</v>
      </c>
      <c r="J411" s="3" t="str">
        <f>IFERROR(MID(VLOOKUP($B411,Seqs!$A:$B,2,0),K411,1),"")</f>
        <v/>
      </c>
      <c r="K411" s="23" t="s">
        <v>23</v>
      </c>
      <c r="L411" s="3" t="str">
        <f>IFERROR(MID(VLOOKUP($B411,Seqs!$A:$B,2,0),M411,1),"")</f>
        <v>K</v>
      </c>
      <c r="M411" s="3">
        <v>85</v>
      </c>
      <c r="N411" s="3" t="str">
        <f>IFERROR(MID(VLOOKUP($B411,Seqs!$A:$B,2,0),O411,1),"")</f>
        <v>K</v>
      </c>
      <c r="O411" s="3">
        <v>117</v>
      </c>
      <c r="P411" s="3" t="str">
        <f>IFERROR(MID(VLOOKUP($B411,Seqs!$A:$B,2,0),Q411,1),"")</f>
        <v>Q</v>
      </c>
      <c r="Q411" s="3">
        <v>118</v>
      </c>
      <c r="R411" s="3" t="str">
        <f>IFERROR(MID(VLOOKUP($B411,Seqs!$A:$B,2,0),S411,1),"")</f>
        <v>S</v>
      </c>
      <c r="S411" s="3">
        <v>126</v>
      </c>
      <c r="T411" s="3" t="str">
        <f>IFERROR(MID(VLOOKUP($B411,Seqs!$A:$B,2,0),U411,1),"")</f>
        <v>G</v>
      </c>
      <c r="U411" s="3">
        <v>127</v>
      </c>
      <c r="V411" s="3" t="str">
        <f>IFERROR(MID(VLOOKUP($B411,Seqs!$A:$B,2,0),W411,1),"")</f>
        <v>A</v>
      </c>
      <c r="W411" s="3">
        <v>161</v>
      </c>
      <c r="X411" s="3" t="str">
        <f>IFERROR(MID(VLOOKUP($B411,Seqs!$A:$B,2,0),Y411,1),"")</f>
        <v>P</v>
      </c>
      <c r="Y411" s="3">
        <v>162</v>
      </c>
      <c r="Z411" s="3" t="str">
        <f>IFERROR(MID(VLOOKUP($B411,Seqs!$A:$B,2,0),AA411,1),"")</f>
        <v>M</v>
      </c>
      <c r="AA411" s="3">
        <v>169</v>
      </c>
      <c r="AB411" s="3" t="str">
        <f>IFERROR(MID(VLOOKUP($B411,Seqs!$A:$B,2,0),AC411,1),"")</f>
        <v>K</v>
      </c>
      <c r="AC411" s="3">
        <v>170</v>
      </c>
      <c r="AD411" s="3" t="str">
        <f>IFERROR(MID(VLOOKUP($B411,Seqs!$A:$B,2,0),AE411,1),"")</f>
        <v>G</v>
      </c>
      <c r="AE411" s="3">
        <v>195</v>
      </c>
      <c r="AF411" s="3" t="str">
        <f>IFERROR(MID(VLOOKUP($B411,Seqs!$A:$B,2,0),AG411,1),"")</f>
        <v>C</v>
      </c>
      <c r="AG411" s="3">
        <v>208</v>
      </c>
      <c r="AH411" s="3" t="str">
        <f>IFERROR(MID(VLOOKUP($B411,Seqs!$A:$B,2,0),AI411,1),"")</f>
        <v>I</v>
      </c>
      <c r="AI411" s="3">
        <v>210</v>
      </c>
      <c r="AJ411" s="3" t="str">
        <f>IFERROR(MID(VLOOKUP($B411,Seqs!$A:$B,2,0),AK411,1),"")</f>
        <v>W</v>
      </c>
      <c r="AK411" s="3">
        <v>225</v>
      </c>
      <c r="AL411" s="3" t="str">
        <f>IFERROR(MID(VLOOKUP($B411,Seqs!$A:$B,2,0),AM411,1),"")</f>
        <v>T</v>
      </c>
      <c r="AM411" s="3">
        <v>265</v>
      </c>
      <c r="AN411" s="3" t="str">
        <f>IFERROR(MID(VLOOKUP($B411,Seqs!$A:$B,2,0),AO411,1),"")</f>
        <v>A</v>
      </c>
      <c r="AO411" s="3">
        <v>271</v>
      </c>
      <c r="AP411" s="3" t="str">
        <f>IFERROR(MID(VLOOKUP($B411,Seqs!$A:$B,2,0),AQ411,1),"")</f>
        <v>S</v>
      </c>
      <c r="AQ411" s="3">
        <v>311</v>
      </c>
      <c r="AR411" s="3" t="str">
        <f>IFERROR(MID(VLOOKUP($B411,Seqs!$A:$B,2,0),AS411,1),"")</f>
        <v>T</v>
      </c>
      <c r="AS411" s="3">
        <v>317</v>
      </c>
      <c r="AT411" s="3" t="str">
        <f>IFERROR(MID(VLOOKUP($B411,Seqs!$A:$B,2,0),AU411,1),"")</f>
        <v>Y</v>
      </c>
      <c r="AU411" s="3">
        <v>346</v>
      </c>
      <c r="AV411" s="3" t="str">
        <f>IFERROR(MID(VLOOKUP($B411,Seqs!$A:$B,2,0),AW411,1),"")</f>
        <v>L</v>
      </c>
      <c r="AW411" s="3">
        <v>347</v>
      </c>
      <c r="AX411" s="3" t="str">
        <f>IFERROR(MID(VLOOKUP($B411,Seqs!$A:$B,2,0),AY411,1),"")</f>
        <v>S</v>
      </c>
      <c r="AY411" s="3">
        <v>369</v>
      </c>
      <c r="AZ411" s="77" t="str">
        <f>VLOOKUP(B411,Classification!A:D,2,0)</f>
        <v>A</v>
      </c>
      <c r="BA411" s="94" t="str">
        <f>VLOOKUP(B411,Classification!A:D,4,0)</f>
        <v>Prostanoid</v>
      </c>
      <c r="BB411" s="27" t="b">
        <f t="shared" ref="BB411:BB413" si="3999">AND(E411&lt;G411,OR(G411&lt;I411,I411="-"),OR(I411&lt;K411,I411="-"),OR(K411&lt;M411,K411="-"),M411&lt;O411,OR(O411&lt;Q411,Q411="-"),OR(Q411&lt;S411,Q411="-"),OR(S411&lt;U411,S411="-"),U411&lt;W411,OR(W411&lt;Y411,Y411="-"),OR(Y411&lt;AA411,Y411="-"),OR(AA411&lt;AC411,AA411="-"),AC411&lt;AE411,OR(AE411&lt;AG411,AG411="-"),OR(AG411&lt;AI411,AG411="-"),OR(AI411&lt;AK411,AI411="-"),AK411&lt;AM411,AM411&lt;AO411,AO411&lt;AQ411,AQ411&lt;AS411,AS411&lt;AU411,OR(AU411&lt;AW411,AW411="-"),OR(AW411&lt;AY411,AW411="-"))</f>
        <v>1</v>
      </c>
      <c r="BC411" s="23">
        <f t="shared" ref="BC411:BC413" si="4000">_xlfn.AGGREGATE(9,6,CH411:CS411)-_xlfn.AGGREGATE(9,6,BV411:CG411)+12</f>
        <v>277</v>
      </c>
      <c r="BD411" s="2" t="s">
        <v>23</v>
      </c>
      <c r="BE411" s="3" t="s">
        <v>23</v>
      </c>
      <c r="BF411" s="118" t="s">
        <v>23</v>
      </c>
      <c r="BG411" s="49" t="s">
        <v>23</v>
      </c>
      <c r="BH411" s="49" t="s">
        <v>23</v>
      </c>
      <c r="BI411" s="1"/>
      <c r="BJ411" s="70" t="s">
        <v>1281</v>
      </c>
      <c r="BK411" s="57" t="s">
        <v>1281</v>
      </c>
      <c r="BL411" s="57" t="s">
        <v>1281</v>
      </c>
      <c r="BM411" s="57" t="s">
        <v>1281</v>
      </c>
      <c r="BN411" s="57" t="s">
        <v>1281</v>
      </c>
      <c r="BO411" s="57" t="s">
        <v>1281</v>
      </c>
      <c r="BP411" s="57" t="s">
        <v>1281</v>
      </c>
      <c r="BQ411" s="57" t="s">
        <v>1281</v>
      </c>
      <c r="BR411" s="57" t="s">
        <v>1281</v>
      </c>
      <c r="BS411" s="57" t="s">
        <v>1281</v>
      </c>
      <c r="BT411" s="57" t="s">
        <v>1281</v>
      </c>
      <c r="BU411" s="57" t="s">
        <v>1281</v>
      </c>
      <c r="BV411" s="70">
        <f t="shared" ref="BV411:BV413" si="4001">E411</f>
        <v>52</v>
      </c>
      <c r="BW411" s="71" t="str">
        <f t="shared" ref="BW411:BW413" si="4002">I411</f>
        <v>-</v>
      </c>
      <c r="BX411" s="72">
        <f t="shared" ref="BX411:BX413" si="4003">M411</f>
        <v>85</v>
      </c>
      <c r="BY411" s="71">
        <f t="shared" ref="BY411:BY413" si="4004">Q411</f>
        <v>118</v>
      </c>
      <c r="BZ411" s="72">
        <f t="shared" ref="BZ411:BZ413" si="4005">U411</f>
        <v>127</v>
      </c>
      <c r="CA411" s="71">
        <f t="shared" ref="CA411:CA413" si="4006">Y411</f>
        <v>162</v>
      </c>
      <c r="CB411" s="72">
        <f t="shared" ref="CB411:CB413" si="4007">AC411</f>
        <v>170</v>
      </c>
      <c r="CC411" s="71">
        <f t="shared" ref="CC411:CC413" si="4008">AG411</f>
        <v>208</v>
      </c>
      <c r="CD411" s="72">
        <f t="shared" ref="CD411:CD413" si="4009">AK411</f>
        <v>225</v>
      </c>
      <c r="CE411" s="71">
        <f t="shared" ref="CE411:CE413" si="4010">AO411</f>
        <v>271</v>
      </c>
      <c r="CF411" s="72">
        <f t="shared" ref="CF411:CF413" si="4011">AS411</f>
        <v>317</v>
      </c>
      <c r="CG411" s="71">
        <f t="shared" ref="CG411:CG413" si="4012">AW411</f>
        <v>347</v>
      </c>
      <c r="CH411" s="70">
        <f t="shared" ref="CH411:CH413" si="4013">G411</f>
        <v>78</v>
      </c>
      <c r="CI411" s="71" t="str">
        <f t="shared" ref="CI411:CI413" si="4014">K411</f>
        <v>-</v>
      </c>
      <c r="CJ411" s="72">
        <f t="shared" ref="CJ411:CJ413" si="4015">O411</f>
        <v>117</v>
      </c>
      <c r="CK411" s="72">
        <f t="shared" ref="CK411:CK413" si="4016">S411</f>
        <v>126</v>
      </c>
      <c r="CL411" s="72">
        <f t="shared" ref="CL411:CL413" si="4017">W411</f>
        <v>161</v>
      </c>
      <c r="CM411" s="72">
        <f t="shared" ref="CM411:CM413" si="4018">AA411</f>
        <v>169</v>
      </c>
      <c r="CN411" s="72">
        <f t="shared" ref="CN411:CN413" si="4019">AE411</f>
        <v>195</v>
      </c>
      <c r="CO411" s="72">
        <f t="shared" ref="CO411:CO413" si="4020">AI411</f>
        <v>210</v>
      </c>
      <c r="CP411" s="72">
        <f t="shared" ref="CP411:CP413" si="4021">AM411</f>
        <v>265</v>
      </c>
      <c r="CQ411" s="72">
        <f t="shared" ref="CQ411:CQ413" si="4022">AQ411</f>
        <v>311</v>
      </c>
      <c r="CR411" s="72">
        <f t="shared" ref="CR411:CR413" si="4023">AU411</f>
        <v>346</v>
      </c>
      <c r="CS411" s="72">
        <f t="shared" ref="CS411:CS413" si="4024">AY411</f>
        <v>369</v>
      </c>
      <c r="CT411" s="23" t="e">
        <f t="shared" ref="CT411:CT413" si="4025">M411-K411</f>
        <v>#VALUE!</v>
      </c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</row>
    <row r="412" spans="1:1029" x14ac:dyDescent="0.2">
      <c r="A412" s="3" t="str">
        <f t="shared" ref="A412" si="4026">CONCATENATE(B412,"_",C412)</f>
        <v>pe2r3_human_6AK3</v>
      </c>
      <c r="B412" s="3" t="s">
        <v>362</v>
      </c>
      <c r="C412" s="3" t="s">
        <v>1533</v>
      </c>
      <c r="D412" s="3" t="str">
        <f>IFERROR(MID(VLOOKUP($B412,Seqs!$A:$B,2,0),E412,1),"")</f>
        <v>V</v>
      </c>
      <c r="E412" s="3">
        <v>52</v>
      </c>
      <c r="F412" s="3" t="str">
        <f>IFERROR(MID(VLOOKUP($B412,Seqs!$A:$B,2,0),G412,1),"")</f>
        <v>Y</v>
      </c>
      <c r="G412" s="3">
        <v>77</v>
      </c>
      <c r="H412" s="3" t="str">
        <f>IFERROR(MID(VLOOKUP($B412,Seqs!$A:$B,2,0),I412,1),"")</f>
        <v/>
      </c>
      <c r="I412" s="23" t="s">
        <v>23</v>
      </c>
      <c r="J412" s="3" t="str">
        <f>IFERROR(MID(VLOOKUP($B412,Seqs!$A:$B,2,0),K412,1),"")</f>
        <v/>
      </c>
      <c r="K412" s="23" t="s">
        <v>23</v>
      </c>
      <c r="L412" s="3" t="str">
        <f>IFERROR(MID(VLOOKUP($B412,Seqs!$A:$B,2,0),M412,1),"")</f>
        <v>K</v>
      </c>
      <c r="M412" s="3">
        <v>86</v>
      </c>
      <c r="N412" s="3" t="str">
        <f>IFERROR(MID(VLOOKUP($B412,Seqs!$A:$B,2,0),O412,1),"")</f>
        <v>K</v>
      </c>
      <c r="O412" s="3">
        <v>117</v>
      </c>
      <c r="P412" s="3" t="str">
        <f>IFERROR(MID(VLOOKUP($B412,Seqs!$A:$B,2,0),Q412,1),"")</f>
        <v/>
      </c>
      <c r="Q412" s="3" t="s">
        <v>23</v>
      </c>
      <c r="R412" s="3" t="str">
        <f>IFERROR(MID(VLOOKUP($B412,Seqs!$A:$B,2,0),S412,1),"")</f>
        <v/>
      </c>
      <c r="S412" s="3" t="s">
        <v>23</v>
      </c>
      <c r="T412" s="3" t="str">
        <f>IFERROR(MID(VLOOKUP($B412,Seqs!$A:$B,2,0),U412,1),"")</f>
        <v>G</v>
      </c>
      <c r="U412" s="3">
        <v>127</v>
      </c>
      <c r="V412" s="3" t="str">
        <f>IFERROR(MID(VLOOKUP($B412,Seqs!$A:$B,2,0),W412,1),"")</f>
        <v>A</v>
      </c>
      <c r="W412" s="3">
        <v>161</v>
      </c>
      <c r="X412" s="3" t="str">
        <f>IFERROR(MID(VLOOKUP($B412,Seqs!$A:$B,2,0),Y412,1),"")</f>
        <v>P</v>
      </c>
      <c r="Y412" s="3">
        <v>162</v>
      </c>
      <c r="Z412" s="3" t="str">
        <f>IFERROR(MID(VLOOKUP($B412,Seqs!$A:$B,2,0),AA412,1),"")</f>
        <v>M</v>
      </c>
      <c r="AA412" s="3">
        <v>169</v>
      </c>
      <c r="AB412" s="3" t="str">
        <f>IFERROR(MID(VLOOKUP($B412,Seqs!$A:$B,2,0),AC412,1),"")</f>
        <v>K</v>
      </c>
      <c r="AC412" s="3">
        <v>170</v>
      </c>
      <c r="AD412" s="3" t="str">
        <f>IFERROR(MID(VLOOKUP($B412,Seqs!$A:$B,2,0),AE412,1),"")</f>
        <v>G</v>
      </c>
      <c r="AE412" s="3">
        <v>195</v>
      </c>
      <c r="AF412" s="3" t="str">
        <f>IFERROR(MID(VLOOKUP($B412,Seqs!$A:$B,2,0),AG412,1),"")</f>
        <v>C</v>
      </c>
      <c r="AG412" s="3">
        <v>208</v>
      </c>
      <c r="AH412" s="3" t="str">
        <f>IFERROR(MID(VLOOKUP($B412,Seqs!$A:$B,2,0),AI412,1),"")</f>
        <v>I</v>
      </c>
      <c r="AI412" s="3">
        <v>210</v>
      </c>
      <c r="AJ412" s="3" t="str">
        <f>IFERROR(MID(VLOOKUP($B412,Seqs!$A:$B,2,0),AK412,1),"")</f>
        <v>G</v>
      </c>
      <c r="AK412" s="3">
        <v>226</v>
      </c>
      <c r="AL412" s="3" t="str">
        <f>IFERROR(MID(VLOOKUP($B412,Seqs!$A:$B,2,0),AM412,1),"")</f>
        <v>A</v>
      </c>
      <c r="AM412" s="3">
        <v>264</v>
      </c>
      <c r="AN412" s="3" t="str">
        <f>IFERROR(MID(VLOOKUP($B412,Seqs!$A:$B,2,0),AO412,1),"")</f>
        <v>A</v>
      </c>
      <c r="AO412" s="3">
        <v>271</v>
      </c>
      <c r="AP412" s="3" t="str">
        <f>IFERROR(MID(VLOOKUP($B412,Seqs!$A:$B,2,0),AQ412,1),"")</f>
        <v>F</v>
      </c>
      <c r="AQ412" s="3">
        <v>307</v>
      </c>
      <c r="AR412" s="3" t="str">
        <f>IFERROR(MID(VLOOKUP($B412,Seqs!$A:$B,2,0),AS412,1),"")</f>
        <v>K</v>
      </c>
      <c r="AS412" s="3">
        <v>323</v>
      </c>
      <c r="AT412" s="3" t="str">
        <f>IFERROR(MID(VLOOKUP($B412,Seqs!$A:$B,2,0),AU412,1),"")</f>
        <v>Y</v>
      </c>
      <c r="AU412" s="3">
        <v>346</v>
      </c>
      <c r="AV412" s="3" t="str">
        <f>IFERROR(MID(VLOOKUP($B412,Seqs!$A:$B,2,0),AW412,1),"")</f>
        <v>L</v>
      </c>
      <c r="AW412" s="3">
        <v>347</v>
      </c>
      <c r="AX412" s="3" t="str">
        <f>IFERROR(MID(VLOOKUP($B412,Seqs!$A:$B,2,0),AY412,1),"")</f>
        <v>L</v>
      </c>
      <c r="AY412" s="3">
        <v>353</v>
      </c>
      <c r="AZ412" s="77" t="str">
        <f>VLOOKUP(B412,Classification!A:D,2,0)</f>
        <v>A</v>
      </c>
      <c r="BA412" s="94" t="str">
        <f>VLOOKUP(B412,Classification!A:D,4,0)</f>
        <v>Prostanoid</v>
      </c>
      <c r="BB412" s="27" t="b">
        <f t="shared" ref="BB412" si="4027">AND(E412&lt;G412,OR(G412&lt;I412,I412="-"),OR(I412&lt;K412,I412="-"),OR(K412&lt;M412,K412="-"),M412&lt;O412,OR(O412&lt;Q412,Q412="-"),OR(Q412&lt;S412,Q412="-"),OR(S412&lt;U412,S412="-"),U412&lt;W412,OR(W412&lt;Y412,Y412="-"),OR(Y412&lt;AA412,Y412="-"),OR(AA412&lt;AC412,AA412="-"),AC412&lt;AE412,OR(AE412&lt;AG412,AG412="-"),OR(AG412&lt;AI412,AG412="-"),OR(AI412&lt;AK412,AI412="-"),AK412&lt;AM412,AM412&lt;AO412,AO412&lt;AQ412,AQ412&lt;AS412,AS412&lt;AU412,OR(AU412&lt;AW412,AW412="-"),OR(AW412&lt;AY412,AW412="-"))</f>
        <v>1</v>
      </c>
      <c r="BC412" s="23">
        <f t="shared" ref="BC412" si="4028">_xlfn.AGGREGATE(9,6,CH412:CS412)-_xlfn.AGGREGATE(9,6,BV412:CG412)+12</f>
        <v>239</v>
      </c>
      <c r="BD412" s="2" t="s">
        <v>1369</v>
      </c>
      <c r="BE412" s="3" t="s">
        <v>1285</v>
      </c>
      <c r="BF412" s="118">
        <v>2.9</v>
      </c>
      <c r="BG412" s="49" t="s">
        <v>1275</v>
      </c>
      <c r="BH412" s="49" t="s">
        <v>1275</v>
      </c>
      <c r="BI412" s="1"/>
      <c r="BJ412" s="70" t="s">
        <v>1281</v>
      </c>
      <c r="BK412" s="57" t="s">
        <v>1281</v>
      </c>
      <c r="BL412" s="57" t="s">
        <v>1281</v>
      </c>
      <c r="BM412" s="57" t="s">
        <v>1281</v>
      </c>
      <c r="BN412" s="57" t="s">
        <v>1281</v>
      </c>
      <c r="BO412" s="57" t="s">
        <v>1281</v>
      </c>
      <c r="BP412" s="57" t="s">
        <v>1281</v>
      </c>
      <c r="BQ412" s="57" t="s">
        <v>1281</v>
      </c>
      <c r="BR412" s="57" t="s">
        <v>1281</v>
      </c>
      <c r="BS412" s="57" t="s">
        <v>1281</v>
      </c>
      <c r="BT412" s="57" t="s">
        <v>1281</v>
      </c>
      <c r="BU412" s="57" t="s">
        <v>1281</v>
      </c>
      <c r="BV412" s="70">
        <f t="shared" ref="BV412" si="4029">E412</f>
        <v>52</v>
      </c>
      <c r="BW412" s="71" t="str">
        <f t="shared" ref="BW412" si="4030">I412</f>
        <v>-</v>
      </c>
      <c r="BX412" s="72">
        <f t="shared" ref="BX412" si="4031">M412</f>
        <v>86</v>
      </c>
      <c r="BY412" s="71" t="str">
        <f t="shared" ref="BY412" si="4032">Q412</f>
        <v>-</v>
      </c>
      <c r="BZ412" s="72">
        <f t="shared" ref="BZ412" si="4033">U412</f>
        <v>127</v>
      </c>
      <c r="CA412" s="71">
        <f t="shared" ref="CA412" si="4034">Y412</f>
        <v>162</v>
      </c>
      <c r="CB412" s="72">
        <f t="shared" ref="CB412" si="4035">AC412</f>
        <v>170</v>
      </c>
      <c r="CC412" s="71">
        <f t="shared" ref="CC412" si="4036">AG412</f>
        <v>208</v>
      </c>
      <c r="CD412" s="72">
        <f t="shared" ref="CD412" si="4037">AK412</f>
        <v>226</v>
      </c>
      <c r="CE412" s="71">
        <f t="shared" ref="CE412" si="4038">AO412</f>
        <v>271</v>
      </c>
      <c r="CF412" s="72">
        <f t="shared" ref="CF412" si="4039">AS412</f>
        <v>323</v>
      </c>
      <c r="CG412" s="71">
        <f t="shared" ref="CG412" si="4040">AW412</f>
        <v>347</v>
      </c>
      <c r="CH412" s="70">
        <f t="shared" ref="CH412" si="4041">G412</f>
        <v>77</v>
      </c>
      <c r="CI412" s="71" t="str">
        <f t="shared" ref="CI412" si="4042">K412</f>
        <v>-</v>
      </c>
      <c r="CJ412" s="72">
        <f t="shared" ref="CJ412" si="4043">O412</f>
        <v>117</v>
      </c>
      <c r="CK412" s="72" t="str">
        <f t="shared" ref="CK412" si="4044">S412</f>
        <v>-</v>
      </c>
      <c r="CL412" s="72">
        <f t="shared" ref="CL412" si="4045">W412</f>
        <v>161</v>
      </c>
      <c r="CM412" s="72">
        <f t="shared" ref="CM412" si="4046">AA412</f>
        <v>169</v>
      </c>
      <c r="CN412" s="72">
        <f t="shared" ref="CN412" si="4047">AE412</f>
        <v>195</v>
      </c>
      <c r="CO412" s="72">
        <f t="shared" ref="CO412" si="4048">AI412</f>
        <v>210</v>
      </c>
      <c r="CP412" s="72">
        <f t="shared" ref="CP412" si="4049">AM412</f>
        <v>264</v>
      </c>
      <c r="CQ412" s="72">
        <f t="shared" ref="CQ412" si="4050">AQ412</f>
        <v>307</v>
      </c>
      <c r="CR412" s="72">
        <f t="shared" ref="CR412" si="4051">AU412</f>
        <v>346</v>
      </c>
      <c r="CS412" s="72">
        <f t="shared" ref="CS412" si="4052">AY412</f>
        <v>353</v>
      </c>
      <c r="CT412" s="23" t="e">
        <f t="shared" ref="CT412" si="4053">M412-K412</f>
        <v>#VALUE!</v>
      </c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  <c r="AMO412" s="1"/>
    </row>
    <row r="413" spans="1:1029" x14ac:dyDescent="0.2">
      <c r="A413" s="3" t="str">
        <f t="shared" si="3998"/>
        <v>pe2r3_human_6M9T</v>
      </c>
      <c r="B413" s="3" t="s">
        <v>362</v>
      </c>
      <c r="C413" s="3" t="s">
        <v>1532</v>
      </c>
      <c r="D413" s="3" t="str">
        <f>IFERROR(MID(VLOOKUP($B413,Seqs!$A:$B,2,0),E413,1),"")</f>
        <v>V</v>
      </c>
      <c r="E413" s="3">
        <v>52</v>
      </c>
      <c r="F413" s="3" t="str">
        <f>IFERROR(MID(VLOOKUP($B413,Seqs!$A:$B,2,0),G413,1),"")</f>
        <v>R</v>
      </c>
      <c r="G413" s="3">
        <v>78</v>
      </c>
      <c r="H413" s="3" t="str">
        <f>IFERROR(MID(VLOOKUP($B413,Seqs!$A:$B,2,0),I413,1),"")</f>
        <v/>
      </c>
      <c r="I413" s="23" t="s">
        <v>23</v>
      </c>
      <c r="J413" s="3" t="str">
        <f>IFERROR(MID(VLOOKUP($B413,Seqs!$A:$B,2,0),K413,1),"")</f>
        <v/>
      </c>
      <c r="K413" s="23" t="s">
        <v>23</v>
      </c>
      <c r="L413" s="3" t="str">
        <f>IFERROR(MID(VLOOKUP($B413,Seqs!$A:$B,2,0),M413,1),"")</f>
        <v>K</v>
      </c>
      <c r="M413" s="3">
        <v>85</v>
      </c>
      <c r="N413" s="3" t="str">
        <f>IFERROR(MID(VLOOKUP($B413,Seqs!$A:$B,2,0),O413,1),"")</f>
        <v>K</v>
      </c>
      <c r="O413" s="3">
        <v>117</v>
      </c>
      <c r="P413" s="3" t="str">
        <f>IFERROR(MID(VLOOKUP($B413,Seqs!$A:$B,2,0),Q413,1),"")</f>
        <v>Q</v>
      </c>
      <c r="Q413" s="3">
        <v>118</v>
      </c>
      <c r="R413" s="3" t="str">
        <f>IFERROR(MID(VLOOKUP($B413,Seqs!$A:$B,2,0),S413,1),"")</f>
        <v>S</v>
      </c>
      <c r="S413" s="3">
        <v>126</v>
      </c>
      <c r="T413" s="3" t="str">
        <f>IFERROR(MID(VLOOKUP($B413,Seqs!$A:$B,2,0),U413,1),"")</f>
        <v>G</v>
      </c>
      <c r="U413" s="3">
        <v>127</v>
      </c>
      <c r="V413" s="3" t="str">
        <f>IFERROR(MID(VLOOKUP($B413,Seqs!$A:$B,2,0),W413,1),"")</f>
        <v>A</v>
      </c>
      <c r="W413" s="3">
        <v>161</v>
      </c>
      <c r="X413" s="3" t="str">
        <f>IFERROR(MID(VLOOKUP($B413,Seqs!$A:$B,2,0),Y413,1),"")</f>
        <v>P</v>
      </c>
      <c r="Y413" s="3">
        <v>162</v>
      </c>
      <c r="Z413" s="3" t="str">
        <f>IFERROR(MID(VLOOKUP($B413,Seqs!$A:$B,2,0),AA413,1),"")</f>
        <v>M</v>
      </c>
      <c r="AA413" s="3">
        <v>169</v>
      </c>
      <c r="AB413" s="3" t="str">
        <f>IFERROR(MID(VLOOKUP($B413,Seqs!$A:$B,2,0),AC413,1),"")</f>
        <v>K</v>
      </c>
      <c r="AC413" s="3">
        <v>170</v>
      </c>
      <c r="AD413" s="3" t="str">
        <f>IFERROR(MID(VLOOKUP($B413,Seqs!$A:$B,2,0),AE413,1),"")</f>
        <v>G</v>
      </c>
      <c r="AE413" s="3">
        <v>195</v>
      </c>
      <c r="AF413" s="3" t="str">
        <f>IFERROR(MID(VLOOKUP($B413,Seqs!$A:$B,2,0),AG413,1),"")</f>
        <v>C</v>
      </c>
      <c r="AG413" s="3">
        <v>208</v>
      </c>
      <c r="AH413" s="3" t="str">
        <f>IFERROR(MID(VLOOKUP($B413,Seqs!$A:$B,2,0),AI413,1),"")</f>
        <v>I</v>
      </c>
      <c r="AI413" s="3">
        <v>210</v>
      </c>
      <c r="AJ413" s="3" t="str">
        <f>IFERROR(MID(VLOOKUP($B413,Seqs!$A:$B,2,0),AK413,1),"")</f>
        <v>W</v>
      </c>
      <c r="AK413" s="3">
        <v>225</v>
      </c>
      <c r="AL413" s="3" t="str">
        <f>IFERROR(MID(VLOOKUP($B413,Seqs!$A:$B,2,0),AM413,1),"")</f>
        <v>S</v>
      </c>
      <c r="AM413" s="3">
        <v>258</v>
      </c>
      <c r="AN413" s="3" t="str">
        <f>IFERROR(MID(VLOOKUP($B413,Seqs!$A:$B,2,0),AO413,1),"")</f>
        <v>R</v>
      </c>
      <c r="AO413" s="3">
        <v>275</v>
      </c>
      <c r="AP413" s="3" t="str">
        <f>IFERROR(MID(VLOOKUP($B413,Seqs!$A:$B,2,0),AQ413,1),"")</f>
        <v>F</v>
      </c>
      <c r="AQ413" s="3">
        <v>307</v>
      </c>
      <c r="AR413" s="3" t="str">
        <f>IFERROR(MID(VLOOKUP($B413,Seqs!$A:$B,2,0),AS413,1),"")</f>
        <v>K</v>
      </c>
      <c r="AS413" s="3">
        <v>323</v>
      </c>
      <c r="AT413" s="3" t="str">
        <f>IFERROR(MID(VLOOKUP($B413,Seqs!$A:$B,2,0),AU413,1),"")</f>
        <v>Y</v>
      </c>
      <c r="AU413" s="3">
        <v>346</v>
      </c>
      <c r="AV413" s="3" t="str">
        <f>IFERROR(MID(VLOOKUP($B413,Seqs!$A:$B,2,0),AW413,1),"")</f>
        <v>L</v>
      </c>
      <c r="AW413" s="3">
        <v>347</v>
      </c>
      <c r="AX413" s="3" t="str">
        <f>IFERROR(MID(VLOOKUP($B413,Seqs!$A:$B,2,0),AY413,1),"")</f>
        <v>L</v>
      </c>
      <c r="AY413" s="3">
        <v>353</v>
      </c>
      <c r="AZ413" s="77" t="str">
        <f>VLOOKUP(B413,Classification!A:D,2,0)</f>
        <v>A</v>
      </c>
      <c r="BA413" s="94" t="str">
        <f>VLOOKUP(B413,Classification!A:D,4,0)</f>
        <v>Prostanoid</v>
      </c>
      <c r="BB413" s="27" t="b">
        <f t="shared" si="3999"/>
        <v>1</v>
      </c>
      <c r="BC413" s="23">
        <f t="shared" si="4000"/>
        <v>240</v>
      </c>
      <c r="BD413" s="2" t="s">
        <v>1423</v>
      </c>
      <c r="BE413" s="3" t="s">
        <v>1465</v>
      </c>
      <c r="BF413" s="118">
        <v>2.5</v>
      </c>
      <c r="BG413" s="49" t="s">
        <v>1</v>
      </c>
      <c r="BH413" s="49" t="s">
        <v>1</v>
      </c>
      <c r="BI413" s="1"/>
      <c r="BJ413" s="70" t="s">
        <v>1281</v>
      </c>
      <c r="BK413" s="57" t="s">
        <v>1281</v>
      </c>
      <c r="BL413" s="57" t="s">
        <v>1281</v>
      </c>
      <c r="BM413" s="57" t="s">
        <v>1281</v>
      </c>
      <c r="BN413" s="57" t="s">
        <v>1281</v>
      </c>
      <c r="BO413" s="57" t="s">
        <v>1281</v>
      </c>
      <c r="BP413" s="57" t="s">
        <v>1281</v>
      </c>
      <c r="BQ413" s="57" t="s">
        <v>1281</v>
      </c>
      <c r="BR413" s="57" t="s">
        <v>1281</v>
      </c>
      <c r="BS413" s="57" t="s">
        <v>1281</v>
      </c>
      <c r="BT413" s="57" t="s">
        <v>1281</v>
      </c>
      <c r="BU413" s="57" t="s">
        <v>1281</v>
      </c>
      <c r="BV413" s="70">
        <f t="shared" si="4001"/>
        <v>52</v>
      </c>
      <c r="BW413" s="71" t="str">
        <f t="shared" si="4002"/>
        <v>-</v>
      </c>
      <c r="BX413" s="72">
        <f t="shared" si="4003"/>
        <v>85</v>
      </c>
      <c r="BY413" s="71">
        <f t="shared" si="4004"/>
        <v>118</v>
      </c>
      <c r="BZ413" s="72">
        <f t="shared" si="4005"/>
        <v>127</v>
      </c>
      <c r="CA413" s="71">
        <f t="shared" si="4006"/>
        <v>162</v>
      </c>
      <c r="CB413" s="72">
        <f t="shared" si="4007"/>
        <v>170</v>
      </c>
      <c r="CC413" s="71">
        <f t="shared" si="4008"/>
        <v>208</v>
      </c>
      <c r="CD413" s="72">
        <f t="shared" si="4009"/>
        <v>225</v>
      </c>
      <c r="CE413" s="71">
        <f t="shared" si="4010"/>
        <v>275</v>
      </c>
      <c r="CF413" s="72">
        <f t="shared" si="4011"/>
        <v>323</v>
      </c>
      <c r="CG413" s="71">
        <f t="shared" si="4012"/>
        <v>347</v>
      </c>
      <c r="CH413" s="70">
        <f t="shared" si="4013"/>
        <v>78</v>
      </c>
      <c r="CI413" s="71" t="str">
        <f t="shared" si="4014"/>
        <v>-</v>
      </c>
      <c r="CJ413" s="72">
        <f t="shared" si="4015"/>
        <v>117</v>
      </c>
      <c r="CK413" s="72">
        <f t="shared" si="4016"/>
        <v>126</v>
      </c>
      <c r="CL413" s="72">
        <f t="shared" si="4017"/>
        <v>161</v>
      </c>
      <c r="CM413" s="72">
        <f t="shared" si="4018"/>
        <v>169</v>
      </c>
      <c r="CN413" s="72">
        <f t="shared" si="4019"/>
        <v>195</v>
      </c>
      <c r="CO413" s="72">
        <f t="shared" si="4020"/>
        <v>210</v>
      </c>
      <c r="CP413" s="72">
        <f t="shared" si="4021"/>
        <v>258</v>
      </c>
      <c r="CQ413" s="72">
        <f t="shared" si="4022"/>
        <v>307</v>
      </c>
      <c r="CR413" s="72">
        <f t="shared" si="4023"/>
        <v>346</v>
      </c>
      <c r="CS413" s="72">
        <f t="shared" si="4024"/>
        <v>353</v>
      </c>
      <c r="CT413" s="23" t="e">
        <f t="shared" si="4025"/>
        <v>#VALUE!</v>
      </c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  <c r="AMO413" s="1"/>
    </row>
    <row r="414" spans="1:1029" x14ac:dyDescent="0.2">
      <c r="A414" s="3" t="str">
        <f t="shared" ref="A414" si="4054">CONCATENATE(B414,"_",C414)</f>
        <v>pe2r4_human__wt</v>
      </c>
      <c r="B414" s="3" t="s">
        <v>363</v>
      </c>
      <c r="C414" s="3" t="s">
        <v>100</v>
      </c>
      <c r="D414" s="3" t="str">
        <f>IFERROR(MID(VLOOKUP($B414,Seqs!$A:$B,2,0),E414,1),"")</f>
        <v>N</v>
      </c>
      <c r="E414" s="3">
        <v>18</v>
      </c>
      <c r="F414" s="3" t="str">
        <f>IFERROR(MID(VLOOKUP($B414,Seqs!$A:$B,2,0),G414,1),"")</f>
        <v>C</v>
      </c>
      <c r="G414" s="3">
        <v>43</v>
      </c>
      <c r="H414" s="3" t="str">
        <f>IFERROR(MID(VLOOKUP($B414,Seqs!$A:$B,2,0),I414,1),"")</f>
        <v/>
      </c>
      <c r="I414" s="23" t="s">
        <v>23</v>
      </c>
      <c r="J414" s="3" t="str">
        <f>IFERROR(MID(VLOOKUP($B414,Seqs!$A:$B,2,0),K414,1),"")</f>
        <v/>
      </c>
      <c r="K414" s="23" t="s">
        <v>23</v>
      </c>
      <c r="L414" s="3" t="str">
        <f>IFERROR(MID(VLOOKUP($B414,Seqs!$A:$B,2,0),M414,1),"")</f>
        <v>E</v>
      </c>
      <c r="M414" s="3">
        <v>51</v>
      </c>
      <c r="N414" s="3" t="str">
        <f>IFERROR(MID(VLOOKUP($B414,Seqs!$A:$B,2,0),O414,1),"")</f>
        <v>K</v>
      </c>
      <c r="O414" s="3">
        <v>82</v>
      </c>
      <c r="P414" s="3" t="str">
        <f>IFERROR(MID(VLOOKUP($B414,Seqs!$A:$B,2,0),Q414,1),"")</f>
        <v>Q</v>
      </c>
      <c r="Q414" s="3">
        <v>84</v>
      </c>
      <c r="R414" s="3" t="str">
        <f>IFERROR(MID(VLOOKUP($B414,Seqs!$A:$B,2,0),S414,1),"")</f>
        <v>G</v>
      </c>
      <c r="S414" s="3">
        <v>87</v>
      </c>
      <c r="T414" s="3" t="str">
        <f>IFERROR(MID(VLOOKUP($B414,Seqs!$A:$B,2,0),U414,1),"")</f>
        <v>G</v>
      </c>
      <c r="U414" s="3">
        <v>88</v>
      </c>
      <c r="V414" s="3" t="str">
        <f>IFERROR(MID(VLOOKUP($B414,Seqs!$A:$B,2,0),W414,1),"")</f>
        <v>H</v>
      </c>
      <c r="W414" s="3">
        <v>123</v>
      </c>
      <c r="X414" s="3" t="str">
        <f>IFERROR(MID(VLOOKUP($B414,Seqs!$A:$B,2,0),Y414,1),"")</f>
        <v>A</v>
      </c>
      <c r="Y414" s="3">
        <v>124</v>
      </c>
      <c r="Z414" s="3" t="str">
        <f>IFERROR(MID(VLOOKUP($B414,Seqs!$A:$B,2,0),AA414,1),"")</f>
        <v>V</v>
      </c>
      <c r="AA414" s="3">
        <v>131</v>
      </c>
      <c r="AB414" s="3" t="str">
        <f>IFERROR(MID(VLOOKUP($B414,Seqs!$A:$B,2,0),AC414,1),"")</f>
        <v>D</v>
      </c>
      <c r="AC414" s="3">
        <v>132</v>
      </c>
      <c r="AD414" s="3" t="str">
        <f>IFERROR(MID(VLOOKUP($B414,Seqs!$A:$B,2,0),AE414,1),"")</f>
        <v>G</v>
      </c>
      <c r="AE414" s="3">
        <v>157</v>
      </c>
      <c r="AF414" s="3" t="str">
        <f>IFERROR(MID(VLOOKUP($B414,Seqs!$A:$B,2,0),AG414,1),"")</f>
        <v>C</v>
      </c>
      <c r="AG414" s="3">
        <v>170</v>
      </c>
      <c r="AH414" s="3" t="str">
        <f>IFERROR(MID(VLOOKUP($B414,Seqs!$A:$B,2,0),AI414,1),"")</f>
        <v>I</v>
      </c>
      <c r="AI414" s="3">
        <v>172</v>
      </c>
      <c r="AJ414" s="3" t="str">
        <f>IFERROR(MID(VLOOKUP($B414,Seqs!$A:$B,2,0),AK414,1),"")</f>
        <v>V</v>
      </c>
      <c r="AK414" s="3">
        <v>178</v>
      </c>
      <c r="AL414" s="3" t="str">
        <f>IFERROR(MID(VLOOKUP($B414,Seqs!$A:$B,2,0),AM414,1),"")</f>
        <v>L</v>
      </c>
      <c r="AM414" s="3">
        <v>223</v>
      </c>
      <c r="AN414" s="3" t="str">
        <f>IFERROR(MID(VLOOKUP($B414,Seqs!$A:$B,2,0),AO414,1),"")</f>
        <v>R</v>
      </c>
      <c r="AO414" s="3">
        <v>261</v>
      </c>
      <c r="AP414" s="3" t="str">
        <f>IFERROR(MID(VLOOKUP($B414,Seqs!$A:$B,2,0),AQ414,1),"")</f>
        <v>Y</v>
      </c>
      <c r="AQ414" s="3">
        <v>298</v>
      </c>
      <c r="AR414" s="3" t="str">
        <f>IFERROR(MID(VLOOKUP($B414,Seqs!$A:$B,2,0),AS414,1),"")</f>
        <v>N</v>
      </c>
      <c r="AS414" s="3">
        <v>309</v>
      </c>
      <c r="AT414" s="3" t="str">
        <f>IFERROR(MID(VLOOKUP($B414,Seqs!$A:$B,2,0),AU414,1),"")</f>
        <v>L</v>
      </c>
      <c r="AU414" s="3">
        <v>332</v>
      </c>
      <c r="AV414" s="3" t="str">
        <f>IFERROR(MID(VLOOKUP($B414,Seqs!$A:$B,2,0),AW414,1),"")</f>
        <v>R</v>
      </c>
      <c r="AW414" s="3">
        <v>333</v>
      </c>
      <c r="AX414" s="3" t="str">
        <f>IFERROR(MID(VLOOKUP($B414,Seqs!$A:$B,2,0),AY414,1),"")</f>
        <v>C</v>
      </c>
      <c r="AY414" s="3">
        <v>346</v>
      </c>
      <c r="AZ414" s="77" t="str">
        <f>VLOOKUP(B414,Classification!A:D,2,0)</f>
        <v>A</v>
      </c>
      <c r="BA414" s="94" t="str">
        <f>VLOOKUP(B414,Classification!A:D,4,0)</f>
        <v>Prostanoid</v>
      </c>
      <c r="BB414" s="27" t="b">
        <f t="shared" ref="BB414" si="4055">AND(E414&lt;G414,OR(G414&lt;I414,I414="-"),OR(I414&lt;K414,I414="-"),OR(K414&lt;M414,K414="-"),M414&lt;O414,OR(O414&lt;Q414,Q414="-"),OR(Q414&lt;S414,Q414="-"),OR(S414&lt;U414,S414="-"),U414&lt;W414,OR(W414&lt;Y414,Y414="-"),OR(Y414&lt;AA414,Y414="-"),OR(AA414&lt;AC414,AA414="-"),AC414&lt;AE414,OR(AE414&lt;AG414,AG414="-"),OR(AG414&lt;AI414,AG414="-"),OR(AI414&lt;AK414,AI414="-"),AK414&lt;AM414,AM414&lt;AO414,AO414&lt;AQ414,AQ414&lt;AS414,AS414&lt;AU414,OR(AU414&lt;AW414,AW414="-"),OR(AW414&lt;AY414,AW414="-"))</f>
        <v>1</v>
      </c>
      <c r="BC414" s="23">
        <f t="shared" ref="BC414" si="4056">_xlfn.AGGREGATE(9,6,CH414:CS414)-_xlfn.AGGREGATE(9,6,BV414:CG414)+12</f>
        <v>258</v>
      </c>
      <c r="BD414" s="2" t="s">
        <v>23</v>
      </c>
      <c r="BE414" s="3" t="s">
        <v>23</v>
      </c>
      <c r="BF414" s="118" t="s">
        <v>23</v>
      </c>
      <c r="BG414" s="49" t="s">
        <v>23</v>
      </c>
      <c r="BH414" s="49" t="s">
        <v>23</v>
      </c>
      <c r="BI414" s="1"/>
      <c r="BJ414" s="70" t="s">
        <v>1281</v>
      </c>
      <c r="BK414" s="57" t="s">
        <v>1281</v>
      </c>
      <c r="BL414" s="57" t="s">
        <v>1281</v>
      </c>
      <c r="BM414" s="57" t="s">
        <v>1281</v>
      </c>
      <c r="BN414" s="57" t="s">
        <v>1281</v>
      </c>
      <c r="BO414" s="57" t="s">
        <v>1281</v>
      </c>
      <c r="BP414" s="57" t="s">
        <v>1281</v>
      </c>
      <c r="BQ414" s="57" t="s">
        <v>1281</v>
      </c>
      <c r="BR414" s="57" t="s">
        <v>1281</v>
      </c>
      <c r="BS414" s="57" t="s">
        <v>1281</v>
      </c>
      <c r="BT414" s="57" t="s">
        <v>1281</v>
      </c>
      <c r="BU414" s="57" t="s">
        <v>1281</v>
      </c>
      <c r="BV414" s="70">
        <f t="shared" ref="BV414" si="4057">E414</f>
        <v>18</v>
      </c>
      <c r="BW414" s="71" t="str">
        <f t="shared" ref="BW414" si="4058">I414</f>
        <v>-</v>
      </c>
      <c r="BX414" s="72">
        <f t="shared" ref="BX414" si="4059">M414</f>
        <v>51</v>
      </c>
      <c r="BY414" s="71">
        <f t="shared" ref="BY414" si="4060">Q414</f>
        <v>84</v>
      </c>
      <c r="BZ414" s="72">
        <f t="shared" ref="BZ414" si="4061">U414</f>
        <v>88</v>
      </c>
      <c r="CA414" s="71">
        <f t="shared" ref="CA414" si="4062">Y414</f>
        <v>124</v>
      </c>
      <c r="CB414" s="72">
        <f t="shared" ref="CB414" si="4063">AC414</f>
        <v>132</v>
      </c>
      <c r="CC414" s="71">
        <f t="shared" ref="CC414" si="4064">AG414</f>
        <v>170</v>
      </c>
      <c r="CD414" s="72">
        <f t="shared" ref="CD414" si="4065">AK414</f>
        <v>178</v>
      </c>
      <c r="CE414" s="71">
        <f t="shared" ref="CE414" si="4066">AO414</f>
        <v>261</v>
      </c>
      <c r="CF414" s="72">
        <f t="shared" ref="CF414" si="4067">AS414</f>
        <v>309</v>
      </c>
      <c r="CG414" s="71">
        <f t="shared" ref="CG414" si="4068">AW414</f>
        <v>333</v>
      </c>
      <c r="CH414" s="70">
        <f t="shared" ref="CH414" si="4069">G414</f>
        <v>43</v>
      </c>
      <c r="CI414" s="71" t="str">
        <f t="shared" ref="CI414" si="4070">K414</f>
        <v>-</v>
      </c>
      <c r="CJ414" s="72">
        <f t="shared" ref="CJ414" si="4071">O414</f>
        <v>82</v>
      </c>
      <c r="CK414" s="72">
        <f t="shared" ref="CK414" si="4072">S414</f>
        <v>87</v>
      </c>
      <c r="CL414" s="72">
        <f t="shared" ref="CL414" si="4073">W414</f>
        <v>123</v>
      </c>
      <c r="CM414" s="72">
        <f t="shared" ref="CM414" si="4074">AA414</f>
        <v>131</v>
      </c>
      <c r="CN414" s="72">
        <f t="shared" ref="CN414" si="4075">AE414</f>
        <v>157</v>
      </c>
      <c r="CO414" s="72">
        <f t="shared" ref="CO414" si="4076">AI414</f>
        <v>172</v>
      </c>
      <c r="CP414" s="72">
        <f t="shared" ref="CP414" si="4077">AM414</f>
        <v>223</v>
      </c>
      <c r="CQ414" s="72">
        <f t="shared" ref="CQ414" si="4078">AQ414</f>
        <v>298</v>
      </c>
      <c r="CR414" s="72">
        <f t="shared" ref="CR414" si="4079">AU414</f>
        <v>332</v>
      </c>
      <c r="CS414" s="72">
        <f t="shared" ref="CS414" si="4080">AY414</f>
        <v>346</v>
      </c>
      <c r="CT414" s="23" t="e">
        <f t="shared" ref="CT414" si="4081">M414-K414</f>
        <v>#VALUE!</v>
      </c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  <c r="AMO414" s="1"/>
    </row>
    <row r="415" spans="1:1029" x14ac:dyDescent="0.2">
      <c r="A415" s="3" t="str">
        <f>CONCATENATE(B415,"_",C415)</f>
        <v>pe2r4_human_5YWY</v>
      </c>
      <c r="B415" s="3" t="s">
        <v>363</v>
      </c>
      <c r="C415" s="3" t="s">
        <v>1530</v>
      </c>
      <c r="D415" s="3" t="str">
        <f>IFERROR(MID(VLOOKUP($B415,Seqs!$A:$B,2,0),E415,1),"")</f>
        <v>N</v>
      </c>
      <c r="E415" s="3">
        <v>18</v>
      </c>
      <c r="F415" s="3" t="str">
        <f>IFERROR(MID(VLOOKUP($B415,Seqs!$A:$B,2,0),G415,1),"")</f>
        <v>C</v>
      </c>
      <c r="G415" s="3">
        <v>43</v>
      </c>
      <c r="H415" s="3" t="str">
        <f>IFERROR(MID(VLOOKUP($B415,Seqs!$A:$B,2,0),I415,1),"")</f>
        <v/>
      </c>
      <c r="I415" s="23" t="s">
        <v>23</v>
      </c>
      <c r="J415" s="3" t="str">
        <f>IFERROR(MID(VLOOKUP($B415,Seqs!$A:$B,2,0),K415,1),"")</f>
        <v/>
      </c>
      <c r="K415" s="23" t="s">
        <v>23</v>
      </c>
      <c r="L415" s="3" t="str">
        <f>IFERROR(MID(VLOOKUP($B415,Seqs!$A:$B,2,0),M415,1),"")</f>
        <v>E</v>
      </c>
      <c r="M415" s="3">
        <v>51</v>
      </c>
      <c r="N415" s="3" t="str">
        <f>IFERROR(MID(VLOOKUP($B415,Seqs!$A:$B,2,0),O415,1),"")</f>
        <v>K</v>
      </c>
      <c r="O415" s="3">
        <v>82</v>
      </c>
      <c r="P415" s="3" t="str">
        <f>IFERROR(MID(VLOOKUP($B415,Seqs!$A:$B,2,0),Q415,1),"")</f>
        <v>Q</v>
      </c>
      <c r="Q415" s="3">
        <v>84</v>
      </c>
      <c r="R415" s="3" t="str">
        <f>IFERROR(MID(VLOOKUP($B415,Seqs!$A:$B,2,0),S415,1),"")</f>
        <v>G</v>
      </c>
      <c r="S415" s="3">
        <v>87</v>
      </c>
      <c r="T415" s="3" t="str">
        <f>IFERROR(MID(VLOOKUP($B415,Seqs!$A:$B,2,0),U415,1),"")</f>
        <v>G</v>
      </c>
      <c r="U415" s="3">
        <v>88</v>
      </c>
      <c r="V415" s="3" t="str">
        <f>IFERROR(MID(VLOOKUP($B415,Seqs!$A:$B,2,0),W415,1),"")</f>
        <v>H</v>
      </c>
      <c r="W415" s="3">
        <v>123</v>
      </c>
      <c r="X415" s="3" t="str">
        <f>IFERROR(MID(VLOOKUP($B415,Seqs!$A:$B,2,0),Y415,1),"")</f>
        <v>A</v>
      </c>
      <c r="Y415" s="3">
        <v>124</v>
      </c>
      <c r="Z415" s="3" t="str">
        <f>IFERROR(MID(VLOOKUP($B415,Seqs!$A:$B,2,0),AA415,1),"")</f>
        <v>V</v>
      </c>
      <c r="AA415" s="3">
        <v>131</v>
      </c>
      <c r="AB415" s="3" t="str">
        <f>IFERROR(MID(VLOOKUP($B415,Seqs!$A:$B,2,0),AC415,1),"")</f>
        <v>D</v>
      </c>
      <c r="AC415" s="3">
        <v>132</v>
      </c>
      <c r="AD415" s="3" t="str">
        <f>IFERROR(MID(VLOOKUP($B415,Seqs!$A:$B,2,0),AE415,1),"")</f>
        <v>G</v>
      </c>
      <c r="AE415" s="3">
        <v>157</v>
      </c>
      <c r="AF415" s="3" t="str">
        <f>IFERROR(MID(VLOOKUP($B415,Seqs!$A:$B,2,0),AG415,1),"")</f>
        <v>C</v>
      </c>
      <c r="AG415" s="3">
        <v>170</v>
      </c>
      <c r="AH415" s="3" t="str">
        <f>IFERROR(MID(VLOOKUP($B415,Seqs!$A:$B,2,0),AI415,1),"")</f>
        <v>I</v>
      </c>
      <c r="AI415" s="3">
        <v>172</v>
      </c>
      <c r="AJ415" s="3" t="str">
        <f>IFERROR(MID(VLOOKUP($B415,Seqs!$A:$B,2,0),AK415,1),"")</f>
        <v>V</v>
      </c>
      <c r="AK415" s="3">
        <v>178</v>
      </c>
      <c r="AL415" s="3" t="str">
        <f>IFERROR(MID(VLOOKUP($B415,Seqs!$A:$B,2,0),AM415,1),"")</f>
        <v>H</v>
      </c>
      <c r="AM415" s="3">
        <v>214</v>
      </c>
      <c r="AN415" s="3" t="str">
        <f>IFERROR(MID(VLOOKUP($B415,Seqs!$A:$B,2,0),AO415,1),"")</f>
        <v>A</v>
      </c>
      <c r="AO415" s="3">
        <v>266</v>
      </c>
      <c r="AP415" s="3" t="str">
        <f>IFERROR(MID(VLOOKUP($B415,Seqs!$A:$B,2,0),AQ415,1),"")</f>
        <v>Y</v>
      </c>
      <c r="AQ415" s="3">
        <v>298</v>
      </c>
      <c r="AR415" s="3" t="str">
        <f>IFERROR(MID(VLOOKUP($B415,Seqs!$A:$B,2,0),AS415,1),"")</f>
        <v>N</v>
      </c>
      <c r="AS415" s="3">
        <v>309</v>
      </c>
      <c r="AT415" s="3" t="str">
        <f>IFERROR(MID(VLOOKUP($B415,Seqs!$A:$B,2,0),AU415,1),"")</f>
        <v>L</v>
      </c>
      <c r="AU415" s="3">
        <v>332</v>
      </c>
      <c r="AV415" s="3" t="str">
        <f>IFERROR(MID(VLOOKUP($B415,Seqs!$A:$B,2,0),AW415,1),"")</f>
        <v>R</v>
      </c>
      <c r="AW415" s="3">
        <v>333</v>
      </c>
      <c r="AX415" s="3" t="str">
        <f>IFERROR(MID(VLOOKUP($B415,Seqs!$A:$B,2,0),AY415,1),"")</f>
        <v>I</v>
      </c>
      <c r="AY415" s="3">
        <v>344</v>
      </c>
      <c r="AZ415" s="77" t="str">
        <f>VLOOKUP(B415,Classification!A:D,2,0)</f>
        <v>A</v>
      </c>
      <c r="BA415" s="94" t="str">
        <f>VLOOKUP(B415,Classification!A:D,4,0)</f>
        <v>Prostanoid</v>
      </c>
      <c r="BB415" s="27" t="b">
        <f>AND(E415&lt;G415,OR(G415&lt;I415,I415="-"),OR(I415&lt;K415,I415="-"),OR(K415&lt;M415,K415="-"),M415&lt;O415,OR(O415&lt;Q415,Q415="-"),OR(Q415&lt;S415,Q415="-"),OR(S415&lt;U415,S415="-"),U415&lt;W415,OR(W415&lt;Y415,Y415="-"),OR(Y415&lt;AA415,Y415="-"),OR(AA415&lt;AC415,AA415="-"),AC415&lt;AE415,OR(AE415&lt;AG415,AG415="-"),OR(AG415&lt;AI415,AG415="-"),OR(AI415&lt;AK415,AI415="-"),AK415&lt;AM415,AM415&lt;AO415,AO415&lt;AQ415,AQ415&lt;AS415,AS415&lt;AU415,OR(AU415&lt;AW415,AW415="-"),OR(AW415&lt;AY415,AW415="-"))</f>
        <v>1</v>
      </c>
      <c r="BC415" s="23">
        <f>_xlfn.AGGREGATE(9,6,CH415:CS415)-_xlfn.AGGREGATE(9,6,BV415:CG415)+12</f>
        <v>242</v>
      </c>
      <c r="BD415" s="2" t="s">
        <v>1370</v>
      </c>
      <c r="BE415" s="3" t="s">
        <v>1368</v>
      </c>
      <c r="BF415" s="118">
        <v>3.2</v>
      </c>
      <c r="BG415" s="49" t="s">
        <v>1</v>
      </c>
      <c r="BH415" s="49" t="s">
        <v>1</v>
      </c>
      <c r="BI415" s="1"/>
      <c r="BJ415" s="70" t="s">
        <v>1281</v>
      </c>
      <c r="BK415" s="57" t="s">
        <v>1281</v>
      </c>
      <c r="BL415" s="57" t="s">
        <v>1281</v>
      </c>
      <c r="BM415" s="57" t="s">
        <v>1281</v>
      </c>
      <c r="BN415" s="57" t="s">
        <v>1281</v>
      </c>
      <c r="BO415" s="57" t="s">
        <v>1281</v>
      </c>
      <c r="BP415" s="57" t="s">
        <v>1281</v>
      </c>
      <c r="BQ415" s="57" t="s">
        <v>1281</v>
      </c>
      <c r="BR415" s="57" t="s">
        <v>1281</v>
      </c>
      <c r="BS415" s="57" t="s">
        <v>1281</v>
      </c>
      <c r="BT415" s="57" t="s">
        <v>1281</v>
      </c>
      <c r="BU415" s="57" t="s">
        <v>1281</v>
      </c>
      <c r="BV415" s="70">
        <f>E415</f>
        <v>18</v>
      </c>
      <c r="BW415" s="71" t="str">
        <f>I415</f>
        <v>-</v>
      </c>
      <c r="BX415" s="72">
        <f>M415</f>
        <v>51</v>
      </c>
      <c r="BY415" s="71">
        <f>Q415</f>
        <v>84</v>
      </c>
      <c r="BZ415" s="72">
        <f>U415</f>
        <v>88</v>
      </c>
      <c r="CA415" s="71">
        <f>Y415</f>
        <v>124</v>
      </c>
      <c r="CB415" s="72">
        <f>AC415</f>
        <v>132</v>
      </c>
      <c r="CC415" s="71">
        <f>AG415</f>
        <v>170</v>
      </c>
      <c r="CD415" s="72">
        <f>AK415</f>
        <v>178</v>
      </c>
      <c r="CE415" s="71">
        <f>AO415</f>
        <v>266</v>
      </c>
      <c r="CF415" s="72">
        <f>AS415</f>
        <v>309</v>
      </c>
      <c r="CG415" s="71">
        <f>AW415</f>
        <v>333</v>
      </c>
      <c r="CH415" s="70">
        <f>G415</f>
        <v>43</v>
      </c>
      <c r="CI415" s="71" t="str">
        <f>K415</f>
        <v>-</v>
      </c>
      <c r="CJ415" s="72">
        <f>O415</f>
        <v>82</v>
      </c>
      <c r="CK415" s="72">
        <f>S415</f>
        <v>87</v>
      </c>
      <c r="CL415" s="72">
        <f>W415</f>
        <v>123</v>
      </c>
      <c r="CM415" s="72">
        <f>AA415</f>
        <v>131</v>
      </c>
      <c r="CN415" s="72">
        <f>AE415</f>
        <v>157</v>
      </c>
      <c r="CO415" s="72">
        <f>AI415</f>
        <v>172</v>
      </c>
      <c r="CP415" s="72">
        <f>AM415</f>
        <v>214</v>
      </c>
      <c r="CQ415" s="72">
        <f>AQ415</f>
        <v>298</v>
      </c>
      <c r="CR415" s="72">
        <f>AU415</f>
        <v>332</v>
      </c>
      <c r="CS415" s="72">
        <f>AY415</f>
        <v>344</v>
      </c>
      <c r="CT415" s="23" t="e">
        <f>M415-K415</f>
        <v>#VALUE!</v>
      </c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</row>
    <row r="416" spans="1:1029" x14ac:dyDescent="0.2">
      <c r="A416" s="3" t="str">
        <f>CONCATENATE(B416,"_",C416)</f>
        <v>pe2r4_human_5YHL</v>
      </c>
      <c r="B416" s="3" t="s">
        <v>363</v>
      </c>
      <c r="C416" s="3" t="s">
        <v>1531</v>
      </c>
      <c r="D416" s="3" t="str">
        <f>IFERROR(MID(VLOOKUP($B416,Seqs!$A:$B,2,0),E416,1),"")</f>
        <v>N</v>
      </c>
      <c r="E416" s="3">
        <v>18</v>
      </c>
      <c r="F416" s="3" t="str">
        <f>IFERROR(MID(VLOOKUP($B416,Seqs!$A:$B,2,0),G416,1),"")</f>
        <v>C</v>
      </c>
      <c r="G416" s="3">
        <v>43</v>
      </c>
      <c r="H416" s="3" t="str">
        <f>IFERROR(MID(VLOOKUP($B416,Seqs!$A:$B,2,0),I416,1),"")</f>
        <v/>
      </c>
      <c r="I416" s="23" t="s">
        <v>23</v>
      </c>
      <c r="J416" s="3" t="str">
        <f>IFERROR(MID(VLOOKUP($B416,Seqs!$A:$B,2,0),K416,1),"")</f>
        <v/>
      </c>
      <c r="K416" s="23" t="s">
        <v>23</v>
      </c>
      <c r="L416" s="3" t="str">
        <f>IFERROR(MID(VLOOKUP($B416,Seqs!$A:$B,2,0),M416,1),"")</f>
        <v>E</v>
      </c>
      <c r="M416" s="3">
        <v>51</v>
      </c>
      <c r="N416" s="3" t="str">
        <f>IFERROR(MID(VLOOKUP($B416,Seqs!$A:$B,2,0),O416,1),"")</f>
        <v>K</v>
      </c>
      <c r="O416" s="3">
        <v>82</v>
      </c>
      <c r="P416" s="3" t="str">
        <f>IFERROR(MID(VLOOKUP($B416,Seqs!$A:$B,2,0),Q416,1),"")</f>
        <v>Q</v>
      </c>
      <c r="Q416" s="3">
        <v>84</v>
      </c>
      <c r="R416" s="3" t="str">
        <f>IFERROR(MID(VLOOKUP($B416,Seqs!$A:$B,2,0),S416,1),"")</f>
        <v>G</v>
      </c>
      <c r="S416" s="3">
        <v>87</v>
      </c>
      <c r="T416" s="3" t="str">
        <f>IFERROR(MID(VLOOKUP($B416,Seqs!$A:$B,2,0),U416,1),"")</f>
        <v>G</v>
      </c>
      <c r="U416" s="3">
        <v>88</v>
      </c>
      <c r="V416" s="3" t="str">
        <f>IFERROR(MID(VLOOKUP($B416,Seqs!$A:$B,2,0),W416,1),"")</f>
        <v>H</v>
      </c>
      <c r="W416" s="3">
        <v>123</v>
      </c>
      <c r="X416" s="3" t="str">
        <f>IFERROR(MID(VLOOKUP($B416,Seqs!$A:$B,2,0),Y416,1),"")</f>
        <v>A</v>
      </c>
      <c r="Y416" s="3">
        <v>124</v>
      </c>
      <c r="Z416" s="3" t="str">
        <f>IFERROR(MID(VLOOKUP($B416,Seqs!$A:$B,2,0),AA416,1),"")</f>
        <v>V</v>
      </c>
      <c r="AA416" s="3">
        <v>131</v>
      </c>
      <c r="AB416" s="3" t="str">
        <f>IFERROR(MID(VLOOKUP($B416,Seqs!$A:$B,2,0),AC416,1),"")</f>
        <v>D</v>
      </c>
      <c r="AC416" s="3">
        <v>132</v>
      </c>
      <c r="AD416" s="3" t="str">
        <f>IFERROR(MID(VLOOKUP($B416,Seqs!$A:$B,2,0),AE416,1),"")</f>
        <v>G</v>
      </c>
      <c r="AE416" s="3">
        <v>157</v>
      </c>
      <c r="AF416" s="3" t="str">
        <f>IFERROR(MID(VLOOKUP($B416,Seqs!$A:$B,2,0),AG416,1),"")</f>
        <v>C</v>
      </c>
      <c r="AG416" s="3">
        <v>170</v>
      </c>
      <c r="AH416" s="3" t="str">
        <f>IFERROR(MID(VLOOKUP($B416,Seqs!$A:$B,2,0),AI416,1),"")</f>
        <v>I</v>
      </c>
      <c r="AI416" s="3">
        <v>172</v>
      </c>
      <c r="AJ416" s="3" t="str">
        <f>IFERROR(MID(VLOOKUP($B416,Seqs!$A:$B,2,0),AK416,1),"")</f>
        <v>V</v>
      </c>
      <c r="AK416" s="3">
        <v>178</v>
      </c>
      <c r="AL416" s="3" t="str">
        <f>IFERROR(MID(VLOOKUP($B416,Seqs!$A:$B,2,0),AM416,1),"")</f>
        <v>H</v>
      </c>
      <c r="AM416" s="3">
        <v>214</v>
      </c>
      <c r="AN416" s="3" t="str">
        <f>IFERROR(MID(VLOOKUP($B416,Seqs!$A:$B,2,0),AO416,1),"")</f>
        <v>A</v>
      </c>
      <c r="AO416" s="3">
        <v>266</v>
      </c>
      <c r="AP416" s="3" t="str">
        <f>IFERROR(MID(VLOOKUP($B416,Seqs!$A:$B,2,0),AQ416,1),"")</f>
        <v>Y</v>
      </c>
      <c r="AQ416" s="3">
        <v>298</v>
      </c>
      <c r="AR416" s="3" t="str">
        <f>IFERROR(MID(VLOOKUP($B416,Seqs!$A:$B,2,0),AS416,1),"")</f>
        <v>N</v>
      </c>
      <c r="AS416" s="3">
        <v>309</v>
      </c>
      <c r="AT416" s="3" t="str">
        <f>IFERROR(MID(VLOOKUP($B416,Seqs!$A:$B,2,0),AU416,1),"")</f>
        <v>L</v>
      </c>
      <c r="AU416" s="3">
        <v>332</v>
      </c>
      <c r="AV416" s="3" t="str">
        <f>IFERROR(MID(VLOOKUP($B416,Seqs!$A:$B,2,0),AW416,1),"")</f>
        <v>R</v>
      </c>
      <c r="AW416" s="3">
        <v>333</v>
      </c>
      <c r="AX416" s="3" t="str">
        <f>IFERROR(MID(VLOOKUP($B416,Seqs!$A:$B,2,0),AY416,1),"")</f>
        <v>I</v>
      </c>
      <c r="AY416" s="3">
        <v>344</v>
      </c>
      <c r="AZ416" s="77" t="str">
        <f>VLOOKUP(B416,Classification!A:D,2,0)</f>
        <v>A</v>
      </c>
      <c r="BA416" s="94" t="str">
        <f>VLOOKUP(B416,Classification!A:D,4,0)</f>
        <v>Prostanoid</v>
      </c>
      <c r="BB416" s="27" t="b">
        <f>AND(E416&lt;G416,OR(G416&lt;I416,I416="-"),OR(I416&lt;K416,I416="-"),OR(K416&lt;M416,K416="-"),M416&lt;O416,OR(O416&lt;Q416,Q416="-"),OR(Q416&lt;S416,Q416="-"),OR(S416&lt;U416,S416="-"),U416&lt;W416,OR(W416&lt;Y416,Y416="-"),OR(Y416&lt;AA416,Y416="-"),OR(AA416&lt;AC416,AA416="-"),AC416&lt;AE416,OR(AE416&lt;AG416,AG416="-"),OR(AG416&lt;AI416,AG416="-"),OR(AI416&lt;AK416,AI416="-"),AK416&lt;AM416,AM416&lt;AO416,AO416&lt;AQ416,AQ416&lt;AS416,AS416&lt;AU416,OR(AU416&lt;AW416,AW416="-"),OR(AW416&lt;AY416,AW416="-"))</f>
        <v>1</v>
      </c>
      <c r="BC416" s="23">
        <f>_xlfn.AGGREGATE(9,6,CH416:CS416)-_xlfn.AGGREGATE(9,6,BV416:CG416)+12</f>
        <v>242</v>
      </c>
      <c r="BD416" s="2" t="s">
        <v>23</v>
      </c>
      <c r="BE416" s="3" t="s">
        <v>1368</v>
      </c>
      <c r="BF416" s="118">
        <v>4.2</v>
      </c>
      <c r="BG416" s="49" t="s">
        <v>1</v>
      </c>
      <c r="BH416" s="49" t="s">
        <v>1</v>
      </c>
      <c r="BI416" s="1"/>
      <c r="BJ416" s="70" t="s">
        <v>1281</v>
      </c>
      <c r="BK416" s="57" t="s">
        <v>1281</v>
      </c>
      <c r="BL416" s="57" t="s">
        <v>1281</v>
      </c>
      <c r="BM416" s="57" t="s">
        <v>1281</v>
      </c>
      <c r="BN416" s="57" t="s">
        <v>1281</v>
      </c>
      <c r="BO416" s="57" t="s">
        <v>1281</v>
      </c>
      <c r="BP416" s="57" t="s">
        <v>1281</v>
      </c>
      <c r="BQ416" s="57" t="s">
        <v>1281</v>
      </c>
      <c r="BR416" s="57" t="s">
        <v>1281</v>
      </c>
      <c r="BS416" s="57" t="s">
        <v>1281</v>
      </c>
      <c r="BT416" s="57" t="s">
        <v>1281</v>
      </c>
      <c r="BU416" s="57" t="s">
        <v>1281</v>
      </c>
      <c r="BV416" s="70">
        <f>E416</f>
        <v>18</v>
      </c>
      <c r="BW416" s="71" t="str">
        <f>I416</f>
        <v>-</v>
      </c>
      <c r="BX416" s="72">
        <f>M416</f>
        <v>51</v>
      </c>
      <c r="BY416" s="71">
        <f>Q416</f>
        <v>84</v>
      </c>
      <c r="BZ416" s="72">
        <f>U416</f>
        <v>88</v>
      </c>
      <c r="CA416" s="71">
        <f>Y416</f>
        <v>124</v>
      </c>
      <c r="CB416" s="72">
        <f>AC416</f>
        <v>132</v>
      </c>
      <c r="CC416" s="71">
        <f>AG416</f>
        <v>170</v>
      </c>
      <c r="CD416" s="72">
        <f>AK416</f>
        <v>178</v>
      </c>
      <c r="CE416" s="71">
        <f>AO416</f>
        <v>266</v>
      </c>
      <c r="CF416" s="72">
        <f>AS416</f>
        <v>309</v>
      </c>
      <c r="CG416" s="71">
        <f>AW416</f>
        <v>333</v>
      </c>
      <c r="CH416" s="70">
        <f>G416</f>
        <v>43</v>
      </c>
      <c r="CI416" s="71" t="str">
        <f>K416</f>
        <v>-</v>
      </c>
      <c r="CJ416" s="72">
        <f>O416</f>
        <v>82</v>
      </c>
      <c r="CK416" s="72">
        <f>S416</f>
        <v>87</v>
      </c>
      <c r="CL416" s="72">
        <f>W416</f>
        <v>123</v>
      </c>
      <c r="CM416" s="72">
        <f>AA416</f>
        <v>131</v>
      </c>
      <c r="CN416" s="72">
        <f>AE416</f>
        <v>157</v>
      </c>
      <c r="CO416" s="72">
        <f>AI416</f>
        <v>172</v>
      </c>
      <c r="CP416" s="72">
        <f>AM416</f>
        <v>214</v>
      </c>
      <c r="CQ416" s="72">
        <f>AQ416</f>
        <v>298</v>
      </c>
      <c r="CR416" s="72">
        <f>AU416</f>
        <v>332</v>
      </c>
      <c r="CS416" s="72">
        <f>AY416</f>
        <v>344</v>
      </c>
      <c r="CT416" s="23" t="e">
        <f>M416-K416</f>
        <v>#VALUE!</v>
      </c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  <c r="AMK416" s="1"/>
      <c r="AML416" s="1"/>
      <c r="AMM416" s="1"/>
      <c r="AMN416" s="1"/>
      <c r="AMO416" s="1"/>
    </row>
    <row r="417" spans="1:1030" x14ac:dyDescent="0.2">
      <c r="A417" s="3" t="str">
        <f>CONCATENATE(B417,"_",C417)</f>
        <v>ptafr_human__wt</v>
      </c>
      <c r="B417" s="3" t="s">
        <v>370</v>
      </c>
      <c r="C417" s="3" t="s">
        <v>100</v>
      </c>
      <c r="D417" s="3" t="str">
        <f>IFERROR(MID(VLOOKUP($B417,Seqs!$A:$B,2,0),E417,1),"")</f>
        <v>D</v>
      </c>
      <c r="E417" s="3">
        <v>10</v>
      </c>
      <c r="F417" s="3" t="str">
        <f>IFERROR(MID(VLOOKUP($B417,Seqs!$A:$B,2,0),G417,1),"")</f>
        <v>Y</v>
      </c>
      <c r="G417" s="3">
        <v>44</v>
      </c>
      <c r="H417" s="3" t="str">
        <f>IFERROR(MID(VLOOKUP($B417,Seqs!$A:$B,2,0),I417,1),"")</f>
        <v/>
      </c>
      <c r="I417" s="23" t="s">
        <v>23</v>
      </c>
      <c r="J417" s="3" t="str">
        <f>IFERROR(MID(VLOOKUP($B417,Seqs!$A:$B,2,0),K417,1),"")</f>
        <v/>
      </c>
      <c r="K417" s="23" t="s">
        <v>23</v>
      </c>
      <c r="L417" s="3" t="str">
        <f>IFERROR(MID(VLOOKUP($B417,Seqs!$A:$B,2,0),M417,1),"")</f>
        <v>F</v>
      </c>
      <c r="M417" s="3">
        <v>49</v>
      </c>
      <c r="N417" s="3" t="str">
        <f>IFERROR(MID(VLOOKUP($B417,Seqs!$A:$B,2,0),O417,1),"")</f>
        <v>Q</v>
      </c>
      <c r="O417" s="3">
        <v>80</v>
      </c>
      <c r="P417" s="3" t="str">
        <f>IFERROR(MID(VLOOKUP($B417,Seqs!$A:$B,2,0),Q417,1),"")</f>
        <v>N</v>
      </c>
      <c r="Q417" s="3">
        <v>82</v>
      </c>
      <c r="R417" s="3" t="str">
        <f>IFERROR(MID(VLOOKUP($B417,Seqs!$A:$B,2,0),S417,1),"")</f>
        <v>L</v>
      </c>
      <c r="S417" s="3">
        <v>85</v>
      </c>
      <c r="T417" s="3" t="str">
        <f>IFERROR(MID(VLOOKUP($B417,Seqs!$A:$B,2,0),U417,1),"")</f>
        <v>P</v>
      </c>
      <c r="U417" s="3">
        <v>86</v>
      </c>
      <c r="V417" s="3" t="str">
        <f>IFERROR(MID(VLOOKUP($B417,Seqs!$A:$B,2,0),W417,1),"")</f>
        <v>R</v>
      </c>
      <c r="W417" s="3">
        <v>121</v>
      </c>
      <c r="X417" s="3" t="str">
        <f>IFERROR(MID(VLOOKUP($B417,Seqs!$A:$B,2,0),Y417,1),"")</f>
        <v>P</v>
      </c>
      <c r="Y417" s="3">
        <v>122</v>
      </c>
      <c r="Z417" s="3" t="str">
        <f>IFERROR(MID(VLOOKUP($B417,Seqs!$A:$B,2,0),AA417,1),"")</f>
        <v>N</v>
      </c>
      <c r="AA417" s="3">
        <v>129</v>
      </c>
      <c r="AB417" s="3" t="str">
        <f>IFERROR(MID(VLOOKUP($B417,Seqs!$A:$B,2,0),AC417,1),"")</f>
        <v>T</v>
      </c>
      <c r="AC417" s="3">
        <v>130</v>
      </c>
      <c r="AD417" s="3" t="str">
        <f>IFERROR(MID(VLOOKUP($B417,Seqs!$A:$B,2,0),AE417,1),"")</f>
        <v>L</v>
      </c>
      <c r="AE417" s="3">
        <v>155</v>
      </c>
      <c r="AF417" s="3" t="str">
        <f>IFERROR(MID(VLOOKUP($B417,Seqs!$A:$B,2,0),AG417,1),"")</f>
        <v>C</v>
      </c>
      <c r="AG417" s="3">
        <v>173</v>
      </c>
      <c r="AH417" s="3" t="str">
        <f>IFERROR(MID(VLOOKUP($B417,Seqs!$A:$B,2,0),AI417,1),"")</f>
        <v>E</v>
      </c>
      <c r="AI417" s="3">
        <v>175</v>
      </c>
      <c r="AJ417" s="3" t="str">
        <f>IFERROR(MID(VLOOKUP($B417,Seqs!$A:$B,2,0),AK417,1),"")</f>
        <v>S</v>
      </c>
      <c r="AK417" s="3">
        <v>181</v>
      </c>
      <c r="AL417" s="3" t="str">
        <f>IFERROR(MID(VLOOKUP($B417,Seqs!$A:$B,2,0),AM417,1),"")</f>
        <v>Q</v>
      </c>
      <c r="AM417" s="3">
        <v>216</v>
      </c>
      <c r="AN417" s="3" t="str">
        <f>IFERROR(MID(VLOOKUP($B417,Seqs!$A:$B,2,0),AO417,1),"")</f>
        <v>Q</v>
      </c>
      <c r="AO417" s="3">
        <v>221</v>
      </c>
      <c r="AP417" s="3" t="str">
        <f>IFERROR(MID(VLOOKUP($B417,Seqs!$A:$B,2,0),AQ417,1),"")</f>
        <v>G</v>
      </c>
      <c r="AQ417" s="3">
        <v>261</v>
      </c>
      <c r="AR417" s="3" t="str">
        <f>IFERROR(MID(VLOOKUP($B417,Seqs!$A:$B,2,0),AS417,1),"")</f>
        <v>D</v>
      </c>
      <c r="AS417" s="3">
        <v>264</v>
      </c>
      <c r="AT417" s="3" t="str">
        <f>IFERROR(MID(VLOOKUP($B417,Seqs!$A:$B,2,0),AU417,1),"")</f>
        <v>K</v>
      </c>
      <c r="AU417" s="3">
        <v>299</v>
      </c>
      <c r="AV417" s="3" t="str">
        <f>IFERROR(MID(VLOOKUP($B417,Seqs!$A:$B,2,0),AW417,1),"")</f>
        <v>F</v>
      </c>
      <c r="AW417" s="3">
        <v>300</v>
      </c>
      <c r="AX417" s="3" t="str">
        <f>IFERROR(MID(VLOOKUP($B417,Seqs!$A:$B,2,0),AY417,1),"")</f>
        <v>S</v>
      </c>
      <c r="AY417" s="3">
        <v>313</v>
      </c>
      <c r="AZ417" s="77" t="str">
        <f>VLOOKUP(B417,Classification!A:D,2,0)</f>
        <v>A</v>
      </c>
      <c r="BA417" s="94" t="str">
        <f>VLOOKUP(B417,Classification!A:D,4,0)</f>
        <v>Platelet-activatingfactor</v>
      </c>
      <c r="BB417" s="27" t="b">
        <f>AND(E417&lt;G417,OR(G417&lt;I417,I417="-"),OR(I417&lt;K417,I417="-"),OR(K417&lt;M417,K417="-"),M417&lt;O417,OR(O417&lt;Q417,Q417="-"),OR(Q417&lt;S417,Q417="-"),OR(S417&lt;U417,S417="-"),U417&lt;W417,OR(W417&lt;Y417,Y417="-"),OR(Y417&lt;AA417,Y417="-"),OR(AA417&lt;AC417,AA417="-"),AC417&lt;AE417,OR(AE417&lt;AG417,AG417="-"),OR(AG417&lt;AI417,AG417="-"),OR(AI417&lt;AK417,AI417="-"),AK417&lt;AM417,AM417&lt;AO417,AO417&lt;AQ417,AQ417&lt;AS417,AS417&lt;AU417,OR(AU417&lt;AW417,AW417="-"),OR(AW417&lt;AY417,AW417="-"))</f>
        <v>1</v>
      </c>
      <c r="BC417" s="23">
        <f>_xlfn.AGGREGATE(9,6,CH417:CS417)-_xlfn.AGGREGATE(9,6,BV417:CG417)+12</f>
        <v>272</v>
      </c>
      <c r="BD417" s="2" t="s">
        <v>23</v>
      </c>
      <c r="BE417" s="3" t="s">
        <v>23</v>
      </c>
      <c r="BF417" s="118" t="s">
        <v>23</v>
      </c>
      <c r="BG417" s="49" t="s">
        <v>1371</v>
      </c>
      <c r="BH417" s="49" t="s">
        <v>1371</v>
      </c>
      <c r="BI417" s="1"/>
      <c r="BJ417" s="70" t="s">
        <v>1281</v>
      </c>
      <c r="BK417" s="57" t="s">
        <v>1281</v>
      </c>
      <c r="BL417" s="57" t="s">
        <v>1281</v>
      </c>
      <c r="BM417" s="57" t="s">
        <v>1281</v>
      </c>
      <c r="BN417" s="57" t="s">
        <v>1281</v>
      </c>
      <c r="BO417" s="57" t="s">
        <v>1281</v>
      </c>
      <c r="BP417" s="57" t="s">
        <v>1281</v>
      </c>
      <c r="BQ417" s="57" t="s">
        <v>1281</v>
      </c>
      <c r="BR417" s="57" t="s">
        <v>1281</v>
      </c>
      <c r="BS417" s="57" t="s">
        <v>1281</v>
      </c>
      <c r="BT417" s="57" t="s">
        <v>1281</v>
      </c>
      <c r="BU417" s="57" t="s">
        <v>1281</v>
      </c>
      <c r="BV417" s="70">
        <f>E417</f>
        <v>10</v>
      </c>
      <c r="BW417" s="71" t="str">
        <f>I417</f>
        <v>-</v>
      </c>
      <c r="BX417" s="72">
        <f>M417</f>
        <v>49</v>
      </c>
      <c r="BY417" s="71">
        <f>Q417</f>
        <v>82</v>
      </c>
      <c r="BZ417" s="72">
        <f>U417</f>
        <v>86</v>
      </c>
      <c r="CA417" s="71">
        <f>Y417</f>
        <v>122</v>
      </c>
      <c r="CB417" s="72">
        <f>AC417</f>
        <v>130</v>
      </c>
      <c r="CC417" s="71">
        <f>AG417</f>
        <v>173</v>
      </c>
      <c r="CD417" s="72">
        <f>AK417</f>
        <v>181</v>
      </c>
      <c r="CE417" s="71">
        <f>AO417</f>
        <v>221</v>
      </c>
      <c r="CF417" s="72">
        <f>AS417</f>
        <v>264</v>
      </c>
      <c r="CG417" s="71">
        <f>AW417</f>
        <v>300</v>
      </c>
      <c r="CH417" s="70">
        <f>G417</f>
        <v>44</v>
      </c>
      <c r="CI417" s="71" t="str">
        <f>K417</f>
        <v>-</v>
      </c>
      <c r="CJ417" s="72">
        <f>O417</f>
        <v>80</v>
      </c>
      <c r="CK417" s="72">
        <f>S417</f>
        <v>85</v>
      </c>
      <c r="CL417" s="72">
        <f>W417</f>
        <v>121</v>
      </c>
      <c r="CM417" s="72">
        <f>AA417</f>
        <v>129</v>
      </c>
      <c r="CN417" s="72">
        <f>AE417</f>
        <v>155</v>
      </c>
      <c r="CO417" s="72">
        <f>AI417</f>
        <v>175</v>
      </c>
      <c r="CP417" s="72">
        <f>AM417</f>
        <v>216</v>
      </c>
      <c r="CQ417" s="72">
        <f>AQ417</f>
        <v>261</v>
      </c>
      <c r="CR417" s="72">
        <f>AU417</f>
        <v>299</v>
      </c>
      <c r="CS417" s="72">
        <f>AY417</f>
        <v>313</v>
      </c>
      <c r="CT417" s="23" t="e">
        <f>M417-K417</f>
        <v>#VALUE!</v>
      </c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  <c r="AMK417" s="1"/>
      <c r="AML417" s="1"/>
      <c r="AMM417" s="1"/>
      <c r="AMN417" s="1"/>
      <c r="AMO417" s="1"/>
    </row>
    <row r="418" spans="1:1030" x14ac:dyDescent="0.2">
      <c r="A418" s="3" t="str">
        <f>CONCATENATE(B418,"_",C418)</f>
        <v>ptafr_human_5ZKP</v>
      </c>
      <c r="B418" s="3" t="s">
        <v>370</v>
      </c>
      <c r="C418" s="3" t="s">
        <v>1499</v>
      </c>
      <c r="D418" s="3" t="str">
        <f>IFERROR(MID(VLOOKUP($B418,Seqs!$A:$B,2,0),E418,1),"")</f>
        <v>S</v>
      </c>
      <c r="E418" s="3">
        <v>11</v>
      </c>
      <c r="F418" s="3" t="str">
        <f>IFERROR(MID(VLOOKUP($B418,Seqs!$A:$B,2,0),G418,1),"")</f>
        <v>Y</v>
      </c>
      <c r="G418" s="3">
        <v>44</v>
      </c>
      <c r="H418" s="3" t="str">
        <f>IFERROR(MID(VLOOKUP($B418,Seqs!$A:$B,2,0),I418,1),"")</f>
        <v/>
      </c>
      <c r="I418" s="23" t="s">
        <v>23</v>
      </c>
      <c r="J418" s="3" t="str">
        <f>IFERROR(MID(VLOOKUP($B418,Seqs!$A:$B,2,0),K418,1),"")</f>
        <v/>
      </c>
      <c r="K418" s="23" t="s">
        <v>23</v>
      </c>
      <c r="L418" s="3" t="str">
        <f>IFERROR(MID(VLOOKUP($B418,Seqs!$A:$B,2,0),M418,1),"")</f>
        <v>F</v>
      </c>
      <c r="M418" s="3">
        <v>49</v>
      </c>
      <c r="N418" s="3" t="str">
        <f>IFERROR(MID(VLOOKUP($B418,Seqs!$A:$B,2,0),O418,1),"")</f>
        <v>Q</v>
      </c>
      <c r="O418" s="3">
        <v>80</v>
      </c>
      <c r="P418" s="3" t="str">
        <f>IFERROR(MID(VLOOKUP($B418,Seqs!$A:$B,2,0),Q418,1),"")</f>
        <v>N</v>
      </c>
      <c r="Q418" s="3">
        <v>82</v>
      </c>
      <c r="R418" s="3" t="str">
        <f>IFERROR(MID(VLOOKUP($B418,Seqs!$A:$B,2,0),S418,1),"")</f>
        <v>L</v>
      </c>
      <c r="S418" s="3">
        <v>85</v>
      </c>
      <c r="T418" s="3" t="str">
        <f>IFERROR(MID(VLOOKUP($B418,Seqs!$A:$B,2,0),U418,1),"")</f>
        <v>P</v>
      </c>
      <c r="U418" s="3">
        <v>86</v>
      </c>
      <c r="V418" s="3" t="str">
        <f>IFERROR(MID(VLOOKUP($B418,Seqs!$A:$B,2,0),W418,1),"")</f>
        <v>T</v>
      </c>
      <c r="W418" s="3">
        <v>120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I</v>
      </c>
      <c r="AC418" s="3">
        <v>141</v>
      </c>
      <c r="AD418" s="3" t="str">
        <f>IFERROR(MID(VLOOKUP($B418,Seqs!$A:$B,2,0),AE418,1),"")</f>
        <v>L</v>
      </c>
      <c r="AE418" s="3">
        <v>155</v>
      </c>
      <c r="AF418" s="3" t="str">
        <f>IFERROR(MID(VLOOKUP($B418,Seqs!$A:$B,2,0),AG418,1),"")</f>
        <v>C</v>
      </c>
      <c r="AG418" s="3">
        <v>173</v>
      </c>
      <c r="AH418" s="3" t="str">
        <f>IFERROR(MID(VLOOKUP($B418,Seqs!$A:$B,2,0),AI418,1),"")</f>
        <v>E</v>
      </c>
      <c r="AI418" s="3">
        <v>175</v>
      </c>
      <c r="AJ418" s="3" t="str">
        <f>IFERROR(MID(VLOOKUP($B418,Seqs!$A:$B,2,0),AK418,1),"")</f>
        <v>P</v>
      </c>
      <c r="AK418" s="3">
        <v>183</v>
      </c>
      <c r="AL418" s="3" t="str">
        <f>IFERROR(MID(VLOOKUP($B418,Seqs!$A:$B,2,0),AM418,1),"")</f>
        <v>L</v>
      </c>
      <c r="AM418" s="3">
        <v>214</v>
      </c>
      <c r="AN418" s="3" t="str">
        <f>IFERROR(MID(VLOOKUP($B418,Seqs!$A:$B,2,0),AO418,1),"")</f>
        <v>A</v>
      </c>
      <c r="AO418" s="3">
        <v>224</v>
      </c>
      <c r="AP418" s="3" t="str">
        <f>IFERROR(MID(VLOOKUP($B418,Seqs!$A:$B,2,0),AQ418,1),"")</f>
        <v>G</v>
      </c>
      <c r="AQ418" s="3">
        <v>261</v>
      </c>
      <c r="AR418" s="3" t="str">
        <f>IFERROR(MID(VLOOKUP($B418,Seqs!$A:$B,2,0),AS418,1),"")</f>
        <v>D</v>
      </c>
      <c r="AS418" s="3">
        <v>264</v>
      </c>
      <c r="AT418" s="3" t="str">
        <f>IFERROR(MID(VLOOKUP($B418,Seqs!$A:$B,2,0),AU418,1),"")</f>
        <v>K</v>
      </c>
      <c r="AU418" s="3">
        <v>299</v>
      </c>
      <c r="AV418" s="3" t="str">
        <f>IFERROR(MID(VLOOKUP($B418,Seqs!$A:$B,2,0),AW418,1),"")</f>
        <v>F</v>
      </c>
      <c r="AW418" s="3">
        <v>300</v>
      </c>
      <c r="AX418" s="3" t="str">
        <f>IFERROR(MID(VLOOKUP($B418,Seqs!$A:$B,2,0),AY418,1),"")</f>
        <v>S</v>
      </c>
      <c r="AY418" s="3">
        <v>313</v>
      </c>
      <c r="AZ418" s="77" t="str">
        <f>VLOOKUP(B418,Classification!A:D,2,0)</f>
        <v>A</v>
      </c>
      <c r="BA418" s="94" t="str">
        <f>VLOOKUP(B418,Classification!A:D,4,0)</f>
        <v>Platelet-activatingfactor</v>
      </c>
      <c r="BB418" s="27" t="b">
        <f>AND(E418&lt;G418,OR(G418&lt;I418,I418="-"),OR(I418&lt;K418,I418="-"),OR(K418&lt;M418,K418="-"),M418&lt;O418,OR(O418&lt;Q418,Q418="-"),OR(Q418&lt;S418,Q418="-"),OR(S418&lt;U418,S418="-"),U418&lt;W418,OR(W418&lt;Y418,Y418="-"),OR(Y418&lt;AA418,Y418="-"),OR(AA418&lt;AC418,AA418="-"),AC418&lt;AE418,OR(AE418&lt;AG418,AG418="-"),OR(AG418&lt;AI418,AG418="-"),OR(AI418&lt;AK418,AI418="-"),AK418&lt;AM418,AM418&lt;AO418,AO418&lt;AQ418,AQ418&lt;AS418,AS418&lt;AU418,OR(AU418&lt;AW418,AW418="-"),OR(AW418&lt;AY418,AW418="-"))</f>
        <v>1</v>
      </c>
      <c r="BC418" s="23">
        <f>_xlfn.AGGREGATE(9,6,CH418:CS418)-_xlfn.AGGREGATE(9,6,BV418:CG418)+12</f>
        <v>245</v>
      </c>
      <c r="BD418" s="2" t="s">
        <v>1369</v>
      </c>
      <c r="BE418" s="3" t="s">
        <v>1285</v>
      </c>
      <c r="BF418" s="118">
        <v>2.81</v>
      </c>
      <c r="BG418" s="49" t="s">
        <v>1</v>
      </c>
      <c r="BH418" s="49" t="s">
        <v>1</v>
      </c>
      <c r="BI418" s="1"/>
      <c r="BJ418" s="70" t="s">
        <v>1281</v>
      </c>
      <c r="BK418" s="57" t="s">
        <v>1281</v>
      </c>
      <c r="BL418" s="57" t="s">
        <v>1281</v>
      </c>
      <c r="BM418" s="57" t="s">
        <v>1281</v>
      </c>
      <c r="BN418" s="57" t="s">
        <v>1281</v>
      </c>
      <c r="BO418" s="57" t="s">
        <v>1281</v>
      </c>
      <c r="BP418" s="57" t="s">
        <v>1281</v>
      </c>
      <c r="BQ418" s="57" t="s">
        <v>1281</v>
      </c>
      <c r="BR418" s="57" t="s">
        <v>1281</v>
      </c>
      <c r="BS418" s="57" t="s">
        <v>1281</v>
      </c>
      <c r="BT418" s="57" t="s">
        <v>1281</v>
      </c>
      <c r="BU418" s="57" t="s">
        <v>1281</v>
      </c>
      <c r="BV418" s="70">
        <f>E418</f>
        <v>11</v>
      </c>
      <c r="BW418" s="71" t="str">
        <f>I418</f>
        <v>-</v>
      </c>
      <c r="BX418" s="72">
        <f>M418</f>
        <v>49</v>
      </c>
      <c r="BY418" s="71">
        <f>Q418</f>
        <v>82</v>
      </c>
      <c r="BZ418" s="72">
        <f>U418</f>
        <v>86</v>
      </c>
      <c r="CA418" s="71" t="str">
        <f>Y418</f>
        <v>-</v>
      </c>
      <c r="CB418" s="72">
        <f>AC418</f>
        <v>141</v>
      </c>
      <c r="CC418" s="71">
        <f>AG418</f>
        <v>173</v>
      </c>
      <c r="CD418" s="72">
        <f>AK418</f>
        <v>183</v>
      </c>
      <c r="CE418" s="71">
        <f>AO418</f>
        <v>224</v>
      </c>
      <c r="CF418" s="72">
        <f>AS418</f>
        <v>264</v>
      </c>
      <c r="CG418" s="71">
        <f>AW418</f>
        <v>300</v>
      </c>
      <c r="CH418" s="70">
        <f>G418</f>
        <v>44</v>
      </c>
      <c r="CI418" s="71" t="str">
        <f>K418</f>
        <v>-</v>
      </c>
      <c r="CJ418" s="72">
        <f>O418</f>
        <v>80</v>
      </c>
      <c r="CK418" s="72">
        <f>S418</f>
        <v>85</v>
      </c>
      <c r="CL418" s="72">
        <f>W418</f>
        <v>120</v>
      </c>
      <c r="CM418" s="72" t="str">
        <f>AA418</f>
        <v>-</v>
      </c>
      <c r="CN418" s="72">
        <f>AE418</f>
        <v>155</v>
      </c>
      <c r="CO418" s="72">
        <f>AI418</f>
        <v>175</v>
      </c>
      <c r="CP418" s="72">
        <f>AM418</f>
        <v>214</v>
      </c>
      <c r="CQ418" s="72">
        <f>AQ418</f>
        <v>261</v>
      </c>
      <c r="CR418" s="72">
        <f>AU418</f>
        <v>299</v>
      </c>
      <c r="CS418" s="72">
        <f>AY418</f>
        <v>313</v>
      </c>
      <c r="CT418" s="23" t="e">
        <f>M418-K418</f>
        <v>#VALUE!</v>
      </c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  <c r="AMK418" s="1"/>
      <c r="AML418" s="1"/>
      <c r="AMM418" s="1"/>
      <c r="AMN418" s="1"/>
      <c r="AMO418" s="1"/>
    </row>
    <row r="419" spans="1:1030" x14ac:dyDescent="0.2">
      <c r="A419" s="3" t="str">
        <f>CONCATENATE(B419,"_",C419)</f>
        <v>ptafr_human_5ZKQ</v>
      </c>
      <c r="B419" s="3" t="s">
        <v>370</v>
      </c>
      <c r="C419" s="3" t="s">
        <v>1500</v>
      </c>
      <c r="D419" s="3" t="str">
        <f>IFERROR(MID(VLOOKUP($B419,Seqs!$A:$B,2,0),E419,1),"")</f>
        <v>D</v>
      </c>
      <c r="E419" s="3">
        <v>10</v>
      </c>
      <c r="F419" s="3" t="str">
        <f>IFERROR(MID(VLOOKUP($B419,Seqs!$A:$B,2,0),G419,1),"")</f>
        <v>L</v>
      </c>
      <c r="G419" s="3">
        <v>43</v>
      </c>
      <c r="H419" s="3" t="str">
        <f>IFERROR(MID(VLOOKUP($B419,Seqs!$A:$B,2,0),I419,1),"")</f>
        <v/>
      </c>
      <c r="I419" s="23" t="s">
        <v>23</v>
      </c>
      <c r="J419" s="3" t="str">
        <f>IFERROR(MID(VLOOKUP($B419,Seqs!$A:$B,2,0),K419,1),"")</f>
        <v/>
      </c>
      <c r="K419" s="23" t="s">
        <v>23</v>
      </c>
      <c r="L419" s="3" t="str">
        <f>IFERROR(MID(VLOOKUP($B419,Seqs!$A:$B,2,0),M419,1),"")</f>
        <v>F</v>
      </c>
      <c r="M419" s="3">
        <v>49</v>
      </c>
      <c r="N419" s="3" t="str">
        <f>IFERROR(MID(VLOOKUP($B419,Seqs!$A:$B,2,0),O419,1),"")</f>
        <v>Q</v>
      </c>
      <c r="O419" s="3">
        <v>80</v>
      </c>
      <c r="P419" s="3" t="str">
        <f>IFERROR(MID(VLOOKUP($B419,Seqs!$A:$B,2,0),Q419,1),"")</f>
        <v>N</v>
      </c>
      <c r="Q419" s="3">
        <v>82</v>
      </c>
      <c r="R419" s="3" t="str">
        <f>IFERROR(MID(VLOOKUP($B419,Seqs!$A:$B,2,0),S419,1),"")</f>
        <v>L</v>
      </c>
      <c r="S419" s="3">
        <v>85</v>
      </c>
      <c r="T419" s="3" t="str">
        <f>IFERROR(MID(VLOOKUP($B419,Seqs!$A:$B,2,0),U419,1),"")</f>
        <v>P</v>
      </c>
      <c r="U419" s="3">
        <v>86</v>
      </c>
      <c r="V419" s="3" t="str">
        <f>IFERROR(MID(VLOOKUP($B419,Seqs!$A:$B,2,0),W419,1),"")</f>
        <v>R</v>
      </c>
      <c r="W419" s="3">
        <v>121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T</v>
      </c>
      <c r="AC419" s="3">
        <v>130</v>
      </c>
      <c r="AD419" s="3" t="str">
        <f>IFERROR(MID(VLOOKUP($B419,Seqs!$A:$B,2,0),AE419,1),"")</f>
        <v>I</v>
      </c>
      <c r="AE419" s="3">
        <v>154</v>
      </c>
      <c r="AF419" s="3" t="str">
        <f>IFERROR(MID(VLOOKUP($B419,Seqs!$A:$B,2,0),AG419,1),"")</f>
        <v>C</v>
      </c>
      <c r="AG419" s="3">
        <v>173</v>
      </c>
      <c r="AH419" s="3" t="str">
        <f>IFERROR(MID(VLOOKUP($B419,Seqs!$A:$B,2,0),AI419,1),"")</f>
        <v>E</v>
      </c>
      <c r="AI419" s="3">
        <v>175</v>
      </c>
      <c r="AJ419" s="3" t="str">
        <f>IFERROR(MID(VLOOKUP($B419,Seqs!$A:$B,2,0),AK419,1),"")</f>
        <v>S</v>
      </c>
      <c r="AK419" s="3">
        <v>181</v>
      </c>
      <c r="AL419" s="3" t="str">
        <f>IFERROR(MID(VLOOKUP($B419,Seqs!$A:$B,2,0),AM419,1),"")</f>
        <v>M</v>
      </c>
      <c r="AM419" s="3">
        <v>215</v>
      </c>
      <c r="AN419" s="3" t="str">
        <f>IFERROR(MID(VLOOKUP($B419,Seqs!$A:$B,2,0),AO419,1),"")</f>
        <v>K</v>
      </c>
      <c r="AO419" s="3">
        <v>227</v>
      </c>
      <c r="AP419" s="3" t="str">
        <f>IFERROR(MID(VLOOKUP($B419,Seqs!$A:$B,2,0),AQ419,1),"")</f>
        <v>G</v>
      </c>
      <c r="AQ419" s="3">
        <v>261</v>
      </c>
      <c r="AR419" s="3" t="str">
        <f>IFERROR(MID(VLOOKUP($B419,Seqs!$A:$B,2,0),AS419,1),"")</f>
        <v>D</v>
      </c>
      <c r="AS419" s="3">
        <v>264</v>
      </c>
      <c r="AT419" s="3" t="str">
        <f>IFERROR(MID(VLOOKUP($B419,Seqs!$A:$B,2,0),AU419,1),"")</f>
        <v>T</v>
      </c>
      <c r="AU419" s="3">
        <v>297</v>
      </c>
      <c r="AV419" s="3" t="str">
        <f>IFERROR(MID(VLOOKUP($B419,Seqs!$A:$B,2,0),AW419,1),"")</f>
        <v/>
      </c>
      <c r="AW419" s="3" t="s">
        <v>23</v>
      </c>
      <c r="AX419" s="3" t="str">
        <f>IFERROR(MID(VLOOKUP($B419,Seqs!$A:$B,2,0),AY419,1),"")</f>
        <v/>
      </c>
      <c r="AY419" s="3" t="s">
        <v>23</v>
      </c>
      <c r="AZ419" s="77" t="str">
        <f>VLOOKUP(B419,Classification!A:D,2,0)</f>
        <v>A</v>
      </c>
      <c r="BA419" s="94" t="str">
        <f>VLOOKUP(B419,Classification!A:D,4,0)</f>
        <v>Platelet-activatingfactor</v>
      </c>
      <c r="BB419" s="27" t="b">
        <f>AND(E419&lt;G419,OR(G419&lt;I419,I419="-"),OR(I419&lt;K419,I419="-"),OR(K419&lt;M419,K419="-"),M419&lt;O419,OR(O419&lt;Q419,Q419="-"),OR(Q419&lt;S419,Q419="-"),OR(S419&lt;U419,S419="-"),U419&lt;W419,OR(W419&lt;Y419,Y419="-"),OR(Y419&lt;AA419,Y419="-"),OR(AA419&lt;AC419,AA419="-"),AC419&lt;AE419,OR(AE419&lt;AG419,AG419="-"),OR(AG419&lt;AI419,AG419="-"),OR(AI419&lt;AK419,AI419="-"),AK419&lt;AM419,AM419&lt;AO419,AO419&lt;AQ419,AQ419&lt;AS419,AS419&lt;AU419,OR(AU419&lt;AW419,AW419="-"),OR(AW419&lt;AY419,AW419="-"))</f>
        <v>1</v>
      </c>
      <c r="BC419" s="23">
        <f>_xlfn.AGGREGATE(9,6,CH419:CS419)-_xlfn.AGGREGATE(9,6,BV419:CG419)+12</f>
        <v>241</v>
      </c>
      <c r="BD419" s="2" t="s">
        <v>1423</v>
      </c>
      <c r="BE419" s="3" t="s">
        <v>1422</v>
      </c>
      <c r="BF419" s="118">
        <v>2.9</v>
      </c>
      <c r="BG419" s="49" t="s">
        <v>1275</v>
      </c>
      <c r="BH419" s="49" t="s">
        <v>1275</v>
      </c>
      <c r="BI419" s="1"/>
      <c r="BJ419" s="70" t="s">
        <v>1281</v>
      </c>
      <c r="BK419" s="57" t="s">
        <v>1281</v>
      </c>
      <c r="BL419" s="57" t="s">
        <v>1281</v>
      </c>
      <c r="BM419" s="57" t="s">
        <v>1281</v>
      </c>
      <c r="BN419" s="57" t="s">
        <v>1281</v>
      </c>
      <c r="BO419" s="57" t="s">
        <v>1281</v>
      </c>
      <c r="BP419" s="57" t="s">
        <v>1281</v>
      </c>
      <c r="BQ419" s="57" t="s">
        <v>1281</v>
      </c>
      <c r="BR419" s="57" t="s">
        <v>1281</v>
      </c>
      <c r="BS419" s="57" t="s">
        <v>1281</v>
      </c>
      <c r="BT419" s="57" t="s">
        <v>1281</v>
      </c>
      <c r="BU419" s="57" t="s">
        <v>1281</v>
      </c>
      <c r="BV419" s="70">
        <f>E419</f>
        <v>10</v>
      </c>
      <c r="BW419" s="71" t="str">
        <f>I419</f>
        <v>-</v>
      </c>
      <c r="BX419" s="72">
        <f>M419</f>
        <v>49</v>
      </c>
      <c r="BY419" s="71">
        <f>Q419</f>
        <v>82</v>
      </c>
      <c r="BZ419" s="72">
        <f>U419</f>
        <v>86</v>
      </c>
      <c r="CA419" s="71" t="str">
        <f>Y419</f>
        <v>-</v>
      </c>
      <c r="CB419" s="72">
        <f>AC419</f>
        <v>130</v>
      </c>
      <c r="CC419" s="71">
        <f>AG419</f>
        <v>173</v>
      </c>
      <c r="CD419" s="72">
        <f>AK419</f>
        <v>181</v>
      </c>
      <c r="CE419" s="71">
        <f>AO419</f>
        <v>227</v>
      </c>
      <c r="CF419" s="72">
        <f>AS419</f>
        <v>264</v>
      </c>
      <c r="CG419" s="71" t="str">
        <f>AW419</f>
        <v>-</v>
      </c>
      <c r="CH419" s="70">
        <f>G419</f>
        <v>43</v>
      </c>
      <c r="CI419" s="71" t="str">
        <f>K419</f>
        <v>-</v>
      </c>
      <c r="CJ419" s="72">
        <f>O419</f>
        <v>80</v>
      </c>
      <c r="CK419" s="72">
        <f>S419</f>
        <v>85</v>
      </c>
      <c r="CL419" s="72">
        <f>W419</f>
        <v>121</v>
      </c>
      <c r="CM419" s="72" t="str">
        <f>AA419</f>
        <v>-</v>
      </c>
      <c r="CN419" s="72">
        <f>AE419</f>
        <v>154</v>
      </c>
      <c r="CO419" s="72">
        <f>AI419</f>
        <v>175</v>
      </c>
      <c r="CP419" s="72">
        <f>AM419</f>
        <v>215</v>
      </c>
      <c r="CQ419" s="72">
        <f>AQ419</f>
        <v>261</v>
      </c>
      <c r="CR419" s="72">
        <f>AU419</f>
        <v>297</v>
      </c>
      <c r="CS419" s="72" t="str">
        <f>AY419</f>
        <v>-</v>
      </c>
      <c r="CT419" s="23" t="e">
        <f>M419-K419</f>
        <v>#VALUE!</v>
      </c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  <c r="AMK419" s="1"/>
      <c r="AML419" s="1"/>
      <c r="AMM419" s="1"/>
      <c r="AMN419" s="1"/>
      <c r="AMO419" s="1"/>
    </row>
    <row r="420" spans="1:1030" x14ac:dyDescent="0.2">
      <c r="A420" s="3" t="str">
        <f t="shared" si="3886"/>
        <v>q08bg4_danre__wt</v>
      </c>
      <c r="B420" s="3" t="s">
        <v>1434</v>
      </c>
      <c r="C420" s="3" t="s">
        <v>100</v>
      </c>
      <c r="D420" s="3" t="str">
        <f>IFERROR(MID(VLOOKUP($B420,Seqs!$A:$B,2,0),E420,1),"")</f>
        <v>K</v>
      </c>
      <c r="E420" s="3">
        <v>26</v>
      </c>
      <c r="F420" s="3" t="str">
        <f>IFERROR(MID(VLOOKUP($B420,Seqs!$A:$B,2,0),G420,1),"")</f>
        <v>S</v>
      </c>
      <c r="G420" s="3">
        <v>55</v>
      </c>
      <c r="H420" s="3" t="str">
        <f>IFERROR(MID(VLOOKUP($B420,Seqs!$A:$B,2,0),I420,1),"")</f>
        <v>L</v>
      </c>
      <c r="I420" s="23">
        <v>56</v>
      </c>
      <c r="J420" s="3" t="str">
        <f>IFERROR(MID(VLOOKUP($B420,Seqs!$A:$B,2,0),K420,1),"")</f>
        <v>R</v>
      </c>
      <c r="K420" s="23">
        <v>59</v>
      </c>
      <c r="L420" s="3" t="str">
        <f>IFERROR(MID(VLOOKUP($B420,Seqs!$A:$B,2,0),M420,1),"")</f>
        <v>N</v>
      </c>
      <c r="M420" s="3">
        <v>60</v>
      </c>
      <c r="N420" s="3" t="str">
        <f>IFERROR(MID(VLOOKUP($B420,Seqs!$A:$B,2,0),O420,1),"")</f>
        <v>Q</v>
      </c>
      <c r="O420" s="3">
        <v>89</v>
      </c>
      <c r="P420" s="3" t="str">
        <f>IFERROR(MID(VLOOKUP($B420,Seqs!$A:$B,2,0),Q420,1),"")</f>
        <v>N</v>
      </c>
      <c r="Q420" s="3">
        <v>91</v>
      </c>
      <c r="R420" s="3" t="str">
        <f>IFERROR(MID(VLOOKUP($B420,Seqs!$A:$B,2,0),S420,1),"")</f>
        <v>F</v>
      </c>
      <c r="S420" s="3">
        <v>94</v>
      </c>
      <c r="T420" s="3" t="str">
        <f>IFERROR(MID(VLOOKUP($B420,Seqs!$A:$B,2,0),U420,1),"")</f>
        <v>G</v>
      </c>
      <c r="U420" s="3">
        <v>95</v>
      </c>
      <c r="V420" s="3" t="str">
        <f>IFERROR(MID(VLOOKUP($B420,Seqs!$A:$B,2,0),W420,1),"")</f>
        <v>Y</v>
      </c>
      <c r="W420" s="3">
        <v>130</v>
      </c>
      <c r="X420" s="3" t="str">
        <f>IFERROR(MID(VLOOKUP($B420,Seqs!$A:$B,2,0),Y420,1),"")</f>
        <v>P</v>
      </c>
      <c r="Y420" s="3">
        <v>131</v>
      </c>
      <c r="Z420" s="3" t="str">
        <f>IFERROR(MID(VLOOKUP($B420,Seqs!$A:$B,2,0),AA420,1),"")</f>
        <v>R</v>
      </c>
      <c r="AA420" s="3">
        <v>138</v>
      </c>
      <c r="AB420" s="3" t="str">
        <f>IFERROR(MID(VLOOKUP($B420,Seqs!$A:$B,2,0),AC420,1),"")</f>
        <v>T</v>
      </c>
      <c r="AC420" s="3">
        <v>139</v>
      </c>
      <c r="AD420" s="3" t="str">
        <f>IFERROR(MID(VLOOKUP($B420,Seqs!$A:$B,2,0),AE420,1),"")</f>
        <v>N</v>
      </c>
      <c r="AE420" s="3">
        <v>166</v>
      </c>
      <c r="AF420" s="3" t="str">
        <f>IFERROR(MID(VLOOKUP($B420,Seqs!$A:$B,2,0),AG420,1),"")</f>
        <v>C</v>
      </c>
      <c r="AG420" s="3">
        <v>178</v>
      </c>
      <c r="AH420" s="3" t="str">
        <f>IFERROR(MID(VLOOKUP($B420,Seqs!$A:$B,2,0),AI420,1),"")</f>
        <v>E</v>
      </c>
      <c r="AI420" s="3">
        <v>180</v>
      </c>
      <c r="AJ420" s="3" t="str">
        <f>IFERROR(MID(VLOOKUP($B420,Seqs!$A:$B,2,0),AK420,1),"")</f>
        <v>W</v>
      </c>
      <c r="AK420" s="3">
        <v>187</v>
      </c>
      <c r="AL420" s="3" t="str">
        <f>IFERROR(MID(VLOOKUP($B420,Seqs!$A:$B,2,0),AM420,1),"")</f>
        <v>P</v>
      </c>
      <c r="AM420" s="3">
        <v>224</v>
      </c>
      <c r="AN420" s="3" t="str">
        <f>IFERROR(MID(VLOOKUP($B420,Seqs!$A:$B,2,0),AO420,1),"")</f>
        <v>R</v>
      </c>
      <c r="AO420" s="3">
        <v>229</v>
      </c>
      <c r="AP420" s="3" t="str">
        <f>IFERROR(MID(VLOOKUP($B420,Seqs!$A:$B,2,0),AQ420,1),"")</f>
        <v>N</v>
      </c>
      <c r="AQ420" s="3">
        <v>269</v>
      </c>
      <c r="AR420" s="3" t="str">
        <f>IFERROR(MID(VLOOKUP($B420,Seqs!$A:$B,2,0),AS420,1),"")</f>
        <v>G</v>
      </c>
      <c r="AS420" s="3">
        <v>273</v>
      </c>
      <c r="AT420" s="3" t="str">
        <f>IFERROR(MID(VLOOKUP($B420,Seqs!$A:$B,2,0),AU420,1),"")</f>
        <v>T</v>
      </c>
      <c r="AU420" s="3">
        <v>305</v>
      </c>
      <c r="AV420" s="3" t="str">
        <f>IFERROR(MID(VLOOKUP($B420,Seqs!$A:$B,2,0),AW420,1),"")</f>
        <v>S</v>
      </c>
      <c r="AW420" s="3">
        <v>306</v>
      </c>
      <c r="AX420" s="3" t="str">
        <f>IFERROR(MID(VLOOKUP($B420,Seqs!$A:$B,2,0),AY420,1),"")</f>
        <v>G</v>
      </c>
      <c r="AY420" s="3">
        <v>320</v>
      </c>
      <c r="AZ420" s="77" t="str">
        <f>VLOOKUP(B420,Classification!A:D,2,0)</f>
        <v>A</v>
      </c>
      <c r="BA420" s="94" t="str">
        <f>VLOOKUP(B420,Classification!A:D,4,0)</f>
        <v>Lysophospholipid(LPA)</v>
      </c>
      <c r="BB420" s="27" t="b">
        <f t="shared" si="3887"/>
        <v>1</v>
      </c>
      <c r="BC420" s="23">
        <f t="shared" si="3888"/>
        <v>270</v>
      </c>
      <c r="BD420" s="2" t="s">
        <v>23</v>
      </c>
      <c r="BE420" s="3" t="s">
        <v>23</v>
      </c>
      <c r="BF420" s="118" t="s">
        <v>23</v>
      </c>
      <c r="BG420" s="49" t="s">
        <v>1</v>
      </c>
      <c r="BH420" s="49" t="s">
        <v>1371</v>
      </c>
      <c r="BI420" s="1"/>
      <c r="BJ420" s="70" t="s">
        <v>1281</v>
      </c>
      <c r="BK420" s="57" t="s">
        <v>1281</v>
      </c>
      <c r="BL420" s="57" t="s">
        <v>1281</v>
      </c>
      <c r="BM420" s="57" t="s">
        <v>1281</v>
      </c>
      <c r="BN420" s="57" t="s">
        <v>1281</v>
      </c>
      <c r="BO420" s="57" t="s">
        <v>1281</v>
      </c>
      <c r="BP420" s="57" t="s">
        <v>1281</v>
      </c>
      <c r="BQ420" s="57" t="s">
        <v>1281</v>
      </c>
      <c r="BR420" s="57" t="s">
        <v>1281</v>
      </c>
      <c r="BS420" s="57" t="s">
        <v>1281</v>
      </c>
      <c r="BT420" s="57" t="s">
        <v>1281</v>
      </c>
      <c r="BU420" s="57" t="s">
        <v>1281</v>
      </c>
      <c r="BV420" s="70">
        <f t="shared" si="3889"/>
        <v>26</v>
      </c>
      <c r="BW420" s="71">
        <f t="shared" si="3890"/>
        <v>56</v>
      </c>
      <c r="BX420" s="72">
        <f t="shared" si="3891"/>
        <v>60</v>
      </c>
      <c r="BY420" s="71">
        <f t="shared" si="3892"/>
        <v>91</v>
      </c>
      <c r="BZ420" s="72">
        <f t="shared" si="3893"/>
        <v>95</v>
      </c>
      <c r="CA420" s="71">
        <f t="shared" si="3894"/>
        <v>131</v>
      </c>
      <c r="CB420" s="72">
        <f t="shared" si="3895"/>
        <v>139</v>
      </c>
      <c r="CC420" s="71">
        <f t="shared" si="3896"/>
        <v>178</v>
      </c>
      <c r="CD420" s="72">
        <f t="shared" si="3897"/>
        <v>187</v>
      </c>
      <c r="CE420" s="71">
        <f t="shared" si="3898"/>
        <v>229</v>
      </c>
      <c r="CF420" s="72">
        <f t="shared" si="3899"/>
        <v>273</v>
      </c>
      <c r="CG420" s="71">
        <f t="shared" si="3900"/>
        <v>306</v>
      </c>
      <c r="CH420" s="70">
        <f t="shared" si="3901"/>
        <v>55</v>
      </c>
      <c r="CI420" s="71">
        <f t="shared" si="3902"/>
        <v>59</v>
      </c>
      <c r="CJ420" s="72">
        <f t="shared" si="3903"/>
        <v>89</v>
      </c>
      <c r="CK420" s="72">
        <f t="shared" si="3904"/>
        <v>94</v>
      </c>
      <c r="CL420" s="72">
        <f t="shared" si="3905"/>
        <v>130</v>
      </c>
      <c r="CM420" s="72">
        <f t="shared" si="3906"/>
        <v>138</v>
      </c>
      <c r="CN420" s="72">
        <f t="shared" si="3907"/>
        <v>166</v>
      </c>
      <c r="CO420" s="72">
        <f t="shared" si="3908"/>
        <v>180</v>
      </c>
      <c r="CP420" s="72">
        <f t="shared" si="3909"/>
        <v>224</v>
      </c>
      <c r="CQ420" s="72">
        <f t="shared" si="3910"/>
        <v>269</v>
      </c>
      <c r="CR420" s="72">
        <f t="shared" si="3911"/>
        <v>305</v>
      </c>
      <c r="CS420" s="72">
        <f t="shared" si="3912"/>
        <v>320</v>
      </c>
      <c r="CT420" s="23">
        <f t="shared" si="3913"/>
        <v>1</v>
      </c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  <c r="AMK420" s="1"/>
      <c r="AML420" s="1"/>
      <c r="AMM420" s="1"/>
      <c r="AMN420" s="1"/>
      <c r="AMO420" s="1"/>
    </row>
    <row r="421" spans="1:1030" x14ac:dyDescent="0.2">
      <c r="A421" s="3" t="str">
        <f t="shared" si="3886"/>
        <v>q08bg4_danre_5XSZ</v>
      </c>
      <c r="B421" s="3" t="s">
        <v>1434</v>
      </c>
      <c r="C421" s="3" t="s">
        <v>1436</v>
      </c>
      <c r="D421" s="3" t="str">
        <f>IFERROR(MID(VLOOKUP($B421,Seqs!$A:$B,2,0),E421,1),"")</f>
        <v>K</v>
      </c>
      <c r="E421" s="3">
        <v>26</v>
      </c>
      <c r="F421" s="3" t="str">
        <f>IFERROR(MID(VLOOKUP($B421,Seqs!$A:$B,2,0),G421,1),"")</f>
        <v>S</v>
      </c>
      <c r="G421" s="3">
        <v>55</v>
      </c>
      <c r="H421" s="3" t="str">
        <f>IFERROR(MID(VLOOKUP($B421,Seqs!$A:$B,2,0),I421,1),"")</f>
        <v/>
      </c>
      <c r="I421" s="23" t="s">
        <v>23</v>
      </c>
      <c r="J421" s="3" t="str">
        <f>IFERROR(MID(VLOOKUP($B421,Seqs!$A:$B,2,0),K421,1),"")</f>
        <v/>
      </c>
      <c r="K421" s="23" t="s">
        <v>23</v>
      </c>
      <c r="L421" s="3" t="str">
        <f>IFERROR(MID(VLOOKUP($B421,Seqs!$A:$B,2,0),M421,1),"")</f>
        <v>N</v>
      </c>
      <c r="M421" s="3">
        <v>60</v>
      </c>
      <c r="N421" s="3" t="str">
        <f>IFERROR(MID(VLOOKUP($B421,Seqs!$A:$B,2,0),O421,1),"")</f>
        <v>Q</v>
      </c>
      <c r="O421" s="3">
        <v>89</v>
      </c>
      <c r="P421" s="3" t="str">
        <f>IFERROR(MID(VLOOKUP($B421,Seqs!$A:$B,2,0),Q421,1),"")</f>
        <v>N</v>
      </c>
      <c r="Q421" s="3">
        <v>91</v>
      </c>
      <c r="R421" s="3" t="str">
        <f>IFERROR(MID(VLOOKUP($B421,Seqs!$A:$B,2,0),S421,1),"")</f>
        <v>F</v>
      </c>
      <c r="S421" s="3">
        <v>94</v>
      </c>
      <c r="T421" s="3" t="str">
        <f>IFERROR(MID(VLOOKUP($B421,Seqs!$A:$B,2,0),U421,1),"")</f>
        <v>G</v>
      </c>
      <c r="U421" s="3">
        <v>95</v>
      </c>
      <c r="V421" s="3" t="str">
        <f>IFERROR(MID(VLOOKUP($B421,Seqs!$A:$B,2,0),W421,1),"")</f>
        <v>Y</v>
      </c>
      <c r="W421" s="3">
        <v>130</v>
      </c>
      <c r="X421" s="3" t="str">
        <f>IFERROR(MID(VLOOKUP($B421,Seqs!$A:$B,2,0),Y421,1),"")</f>
        <v>P</v>
      </c>
      <c r="Y421" s="3">
        <v>131</v>
      </c>
      <c r="Z421" s="3" t="str">
        <f>IFERROR(MID(VLOOKUP($B421,Seqs!$A:$B,2,0),AA421,1),"")</f>
        <v>R</v>
      </c>
      <c r="AA421" s="3">
        <v>138</v>
      </c>
      <c r="AB421" s="3" t="str">
        <f>IFERROR(MID(VLOOKUP($B421,Seqs!$A:$B,2,0),AC421,1),"")</f>
        <v>T</v>
      </c>
      <c r="AC421" s="3">
        <v>139</v>
      </c>
      <c r="AD421" s="3" t="str">
        <f>IFERROR(MID(VLOOKUP($B421,Seqs!$A:$B,2,0),AE421,1),"")</f>
        <v>N</v>
      </c>
      <c r="AE421" s="3">
        <v>166</v>
      </c>
      <c r="AF421" s="3" t="str">
        <f>IFERROR(MID(VLOOKUP($B421,Seqs!$A:$B,2,0),AG421,1),"")</f>
        <v>C</v>
      </c>
      <c r="AG421" s="3">
        <v>178</v>
      </c>
      <c r="AH421" s="3" t="str">
        <f>IFERROR(MID(VLOOKUP($B421,Seqs!$A:$B,2,0),AI421,1),"")</f>
        <v>F</v>
      </c>
      <c r="AI421" s="3">
        <v>179</v>
      </c>
      <c r="AJ421" s="3" t="str">
        <f>IFERROR(MID(VLOOKUP($B421,Seqs!$A:$B,2,0),AK421,1),"")</f>
        <v>W</v>
      </c>
      <c r="AK421" s="3">
        <v>187</v>
      </c>
      <c r="AL421" s="3" t="str">
        <f>IFERROR(MID(VLOOKUP($B421,Seqs!$A:$B,2,0),AM421,1),"")</f>
        <v>R</v>
      </c>
      <c r="AM421" s="3">
        <v>223</v>
      </c>
      <c r="AN421" s="3" t="str">
        <f>IFERROR(MID(VLOOKUP($B421,Seqs!$A:$B,2,0),AO421,1),"")</f>
        <v>N</v>
      </c>
      <c r="AO421" s="3">
        <v>234</v>
      </c>
      <c r="AP421" s="3" t="str">
        <f>IFERROR(MID(VLOOKUP($B421,Seqs!$A:$B,2,0),AQ421,1),"")</f>
        <v>N</v>
      </c>
      <c r="AQ421" s="3">
        <v>269</v>
      </c>
      <c r="AR421" s="3" t="str">
        <f>IFERROR(MID(VLOOKUP($B421,Seqs!$A:$B,2,0),AS421,1),"")</f>
        <v>G</v>
      </c>
      <c r="AS421" s="3">
        <v>273</v>
      </c>
      <c r="AT421" s="3" t="str">
        <f>IFERROR(MID(VLOOKUP($B421,Seqs!$A:$B,2,0),AU421,1),"")</f>
        <v>T</v>
      </c>
      <c r="AU421" s="3">
        <v>308</v>
      </c>
      <c r="AV421" s="3" t="str">
        <f>IFERROR(MID(VLOOKUP($B421,Seqs!$A:$B,2,0),AW421,1),"")</f>
        <v/>
      </c>
      <c r="AW421" s="3" t="s">
        <v>23</v>
      </c>
      <c r="AX421" s="3" t="str">
        <f>IFERROR(MID(VLOOKUP($B421,Seqs!$A:$B,2,0),AY421,1),"")</f>
        <v/>
      </c>
      <c r="AY421" s="3" t="s">
        <v>23</v>
      </c>
      <c r="AZ421" s="77" t="str">
        <f>VLOOKUP(B421,Classification!A:D,2,0)</f>
        <v>A</v>
      </c>
      <c r="BA421" s="94" t="str">
        <f>VLOOKUP(B421,Classification!A:D,4,0)</f>
        <v>Lysophospholipid(LPA)</v>
      </c>
      <c r="BB421" s="27" t="b">
        <f t="shared" si="3887"/>
        <v>1</v>
      </c>
      <c r="BC421" s="23">
        <f t="shared" si="3888"/>
        <v>249</v>
      </c>
      <c r="BD421" s="2" t="s">
        <v>1369</v>
      </c>
      <c r="BE421" s="3" t="s">
        <v>1285</v>
      </c>
      <c r="BF421" s="118">
        <v>3.2</v>
      </c>
      <c r="BG421" s="49" t="s">
        <v>1</v>
      </c>
      <c r="BH421" s="49" t="s">
        <v>1371</v>
      </c>
      <c r="BI421" s="1"/>
      <c r="BJ421" s="70" t="s">
        <v>1281</v>
      </c>
      <c r="BK421" s="57" t="s">
        <v>1281</v>
      </c>
      <c r="BL421" s="57" t="s">
        <v>1281</v>
      </c>
      <c r="BM421" s="57" t="s">
        <v>1281</v>
      </c>
      <c r="BN421" s="57" t="s">
        <v>1281</v>
      </c>
      <c r="BO421" s="57" t="s">
        <v>1281</v>
      </c>
      <c r="BP421" s="57" t="s">
        <v>1281</v>
      </c>
      <c r="BQ421" s="57" t="s">
        <v>1281</v>
      </c>
      <c r="BR421" s="57" t="s">
        <v>1281</v>
      </c>
      <c r="BS421" s="57" t="s">
        <v>1281</v>
      </c>
      <c r="BT421" s="57" t="s">
        <v>1281</v>
      </c>
      <c r="BU421" s="57" t="s">
        <v>1281</v>
      </c>
      <c r="BV421" s="70">
        <f t="shared" si="3889"/>
        <v>26</v>
      </c>
      <c r="BW421" s="71" t="str">
        <f t="shared" si="3890"/>
        <v>-</v>
      </c>
      <c r="BX421" s="72">
        <f t="shared" si="3891"/>
        <v>60</v>
      </c>
      <c r="BY421" s="71">
        <f t="shared" si="3892"/>
        <v>91</v>
      </c>
      <c r="BZ421" s="72">
        <f t="shared" si="3893"/>
        <v>95</v>
      </c>
      <c r="CA421" s="71">
        <f t="shared" si="3894"/>
        <v>131</v>
      </c>
      <c r="CB421" s="72">
        <f t="shared" si="3895"/>
        <v>139</v>
      </c>
      <c r="CC421" s="71">
        <f t="shared" si="3896"/>
        <v>178</v>
      </c>
      <c r="CD421" s="72">
        <f t="shared" si="3897"/>
        <v>187</v>
      </c>
      <c r="CE421" s="71">
        <f t="shared" si="3898"/>
        <v>234</v>
      </c>
      <c r="CF421" s="72">
        <f t="shared" si="3899"/>
        <v>273</v>
      </c>
      <c r="CG421" s="71" t="str">
        <f t="shared" si="3900"/>
        <v>-</v>
      </c>
      <c r="CH421" s="70">
        <f t="shared" si="3901"/>
        <v>55</v>
      </c>
      <c r="CI421" s="71" t="str">
        <f t="shared" si="3902"/>
        <v>-</v>
      </c>
      <c r="CJ421" s="72">
        <f t="shared" si="3903"/>
        <v>89</v>
      </c>
      <c r="CK421" s="72">
        <f t="shared" si="3904"/>
        <v>94</v>
      </c>
      <c r="CL421" s="72">
        <f t="shared" si="3905"/>
        <v>130</v>
      </c>
      <c r="CM421" s="72">
        <f t="shared" si="3906"/>
        <v>138</v>
      </c>
      <c r="CN421" s="72">
        <f t="shared" si="3907"/>
        <v>166</v>
      </c>
      <c r="CO421" s="72">
        <f t="shared" si="3908"/>
        <v>179</v>
      </c>
      <c r="CP421" s="72">
        <f t="shared" si="3909"/>
        <v>223</v>
      </c>
      <c r="CQ421" s="72">
        <f t="shared" si="3910"/>
        <v>269</v>
      </c>
      <c r="CR421" s="72">
        <f t="shared" si="3911"/>
        <v>308</v>
      </c>
      <c r="CS421" s="72" t="str">
        <f t="shared" si="3912"/>
        <v>-</v>
      </c>
      <c r="CT421" s="23" t="e">
        <f t="shared" si="3913"/>
        <v>#VALUE!</v>
      </c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  <c r="AMK421" s="1"/>
      <c r="AML421" s="1"/>
      <c r="AMM421" s="1"/>
      <c r="AMN421" s="1"/>
      <c r="AMO421" s="1"/>
    </row>
    <row r="422" spans="1:1030" x14ac:dyDescent="0.2">
      <c r="A422" s="3" t="str">
        <f t="shared" si="3886"/>
        <v>q9wtk1_cavpo__wt</v>
      </c>
      <c r="B422" s="3" t="s">
        <v>1445</v>
      </c>
      <c r="C422" s="3" t="s">
        <v>100</v>
      </c>
      <c r="D422" s="3" t="str">
        <f>IFERROR(MID(VLOOKUP($B422,Seqs!$A:$B,2,0),E422,1),"")</f>
        <v>T</v>
      </c>
      <c r="E422" s="3">
        <v>17</v>
      </c>
      <c r="F422" s="3" t="str">
        <f>IFERROR(MID(VLOOKUP($B422,Seqs!$A:$B,2,0),G422,1),"")</f>
        <v>R</v>
      </c>
      <c r="G422" s="3">
        <v>48</v>
      </c>
      <c r="H422" s="3" t="str">
        <f>IFERROR(MID(VLOOKUP($B422,Seqs!$A:$B,2,0),I422,1),"")</f>
        <v>M</v>
      </c>
      <c r="I422" s="23">
        <v>49</v>
      </c>
      <c r="J422" s="3" t="str">
        <f>IFERROR(MID(VLOOKUP($B422,Seqs!$A:$B,2,0),K422,1),"")</f>
        <v>R</v>
      </c>
      <c r="K422" s="23">
        <v>52</v>
      </c>
      <c r="L422" s="3" t="str">
        <f>IFERROR(MID(VLOOKUP($B422,Seqs!$A:$B,2,0),M422,1),"")</f>
        <v>S</v>
      </c>
      <c r="M422" s="3">
        <v>53</v>
      </c>
      <c r="N422" s="3" t="str">
        <f>IFERROR(MID(VLOOKUP($B422,Seqs!$A:$B,2,0),O422,1),"")</f>
        <v>H</v>
      </c>
      <c r="O422" s="3">
        <v>83</v>
      </c>
      <c r="P422" s="3" t="str">
        <f>IFERROR(MID(VLOOKUP($B422,Seqs!$A:$B,2,0),Q422,1),"")</f>
        <v>T</v>
      </c>
      <c r="Q422" s="3">
        <v>84</v>
      </c>
      <c r="R422" s="3" t="str">
        <f>IFERROR(MID(VLOOKUP($B422,Seqs!$A:$B,2,0),S422,1),"")</f>
        <v>F</v>
      </c>
      <c r="S422" s="3">
        <v>87</v>
      </c>
      <c r="T422" s="3" t="str">
        <f>IFERROR(MID(VLOOKUP($B422,Seqs!$A:$B,2,0),U422,1),"")</f>
        <v>K</v>
      </c>
      <c r="U422" s="3">
        <v>88</v>
      </c>
      <c r="V422" s="3" t="str">
        <f>IFERROR(MID(VLOOKUP($B422,Seqs!$A:$B,2,0),W422,1),"")</f>
        <v>S</v>
      </c>
      <c r="W422" s="3">
        <v>123</v>
      </c>
      <c r="X422" s="3" t="str">
        <f>IFERROR(MID(VLOOKUP($B422,Seqs!$A:$B,2,0),Y422,1),"")</f>
        <v>P</v>
      </c>
      <c r="Y422" s="3">
        <v>124</v>
      </c>
      <c r="Z422" s="3" t="str">
        <f>IFERROR(MID(VLOOKUP($B422,Seqs!$A:$B,2,0),AA422,1),"")</f>
        <v>R</v>
      </c>
      <c r="AA422" s="3">
        <v>131</v>
      </c>
      <c r="AB422" s="3" t="str">
        <f>IFERROR(MID(VLOOKUP($B422,Seqs!$A:$B,2,0),AC422,1),"")</f>
        <v>T</v>
      </c>
      <c r="AC422" s="3">
        <v>132</v>
      </c>
      <c r="AD422" s="3" t="str">
        <f>IFERROR(MID(VLOOKUP($B422,Seqs!$A:$B,2,0),AE422,1),"")</f>
        <v>R</v>
      </c>
      <c r="AE422" s="3">
        <v>158</v>
      </c>
      <c r="AF422" s="3" t="str">
        <f>IFERROR(MID(VLOOKUP($B422,Seqs!$A:$B,2,0),AG422,1),"")</f>
        <v>C</v>
      </c>
      <c r="AG422" s="3">
        <v>170</v>
      </c>
      <c r="AH422" s="3" t="str">
        <f>IFERROR(MID(VLOOKUP($B422,Seqs!$A:$B,2,0),AI422,1),"")</f>
        <v>A</v>
      </c>
      <c r="AI422" s="3">
        <v>172</v>
      </c>
      <c r="AJ422" s="3" t="str">
        <f>IFERROR(MID(VLOOKUP($B422,Seqs!$A:$B,2,0),AK422,1),"")</f>
        <v>S</v>
      </c>
      <c r="AK422" s="3">
        <v>176</v>
      </c>
      <c r="AL422" s="3" t="str">
        <f>IFERROR(MID(VLOOKUP($B422,Seqs!$A:$B,2,0),AM422,1),"")</f>
        <v>R</v>
      </c>
      <c r="AM422" s="3">
        <v>213</v>
      </c>
      <c r="AN422" s="3" t="str">
        <f>IFERROR(MID(VLOOKUP($B422,Seqs!$A:$B,2,0),AO422,1),"")</f>
        <v>R</v>
      </c>
      <c r="AO422" s="3">
        <v>218</v>
      </c>
      <c r="AP422" s="3" t="str">
        <f>IFERROR(MID(VLOOKUP($B422,Seqs!$A:$B,2,0),AQ422,1),"")</f>
        <v>A</v>
      </c>
      <c r="AQ422" s="3">
        <v>252</v>
      </c>
      <c r="AR422" s="3" t="str">
        <f>IFERROR(MID(VLOOKUP($B422,Seqs!$A:$B,2,0),AS422,1),"")</f>
        <v>L</v>
      </c>
      <c r="AS422" s="3">
        <v>255</v>
      </c>
      <c r="AT422" s="3" t="str">
        <f>IFERROR(MID(VLOOKUP($B422,Seqs!$A:$B,2,0),AU422,1),"")</f>
        <v>A</v>
      </c>
      <c r="AU422" s="3">
        <v>287</v>
      </c>
      <c r="AV422" s="3" t="str">
        <f>IFERROR(MID(VLOOKUP($B422,Seqs!$A:$B,2,0),AW422,1),"")</f>
        <v>G</v>
      </c>
      <c r="AW422" s="3">
        <v>288</v>
      </c>
      <c r="AX422" s="3" t="str">
        <f>IFERROR(MID(VLOOKUP($B422,Seqs!$A:$B,2,0),AY422,1),"")</f>
        <v>K</v>
      </c>
      <c r="AY422" s="3">
        <v>302</v>
      </c>
      <c r="AZ422" s="77" t="str">
        <f>VLOOKUP(B422,Classification!A:D,2,0)</f>
        <v>A</v>
      </c>
      <c r="BA422" s="94" t="str">
        <f>VLOOKUP(B422,Classification!A:D,4,0)</f>
        <v>Leukotriene</v>
      </c>
      <c r="BB422" s="27" t="b">
        <f t="shared" si="3887"/>
        <v>1</v>
      </c>
      <c r="BC422" s="23">
        <f t="shared" si="3888"/>
        <v>266</v>
      </c>
      <c r="BD422" s="2" t="s">
        <v>23</v>
      </c>
      <c r="BE422" s="3" t="s">
        <v>23</v>
      </c>
      <c r="BF422" s="118" t="s">
        <v>23</v>
      </c>
      <c r="BG422" s="49" t="s">
        <v>1</v>
      </c>
      <c r="BH422" s="49" t="s">
        <v>1</v>
      </c>
      <c r="BI422" s="1"/>
      <c r="BJ422" s="70" t="s">
        <v>1281</v>
      </c>
      <c r="BK422" s="57" t="s">
        <v>1281</v>
      </c>
      <c r="BL422" s="57" t="s">
        <v>1281</v>
      </c>
      <c r="BM422" s="57" t="s">
        <v>1281</v>
      </c>
      <c r="BN422" s="57" t="s">
        <v>1281</v>
      </c>
      <c r="BO422" s="57" t="s">
        <v>1281</v>
      </c>
      <c r="BP422" s="57" t="s">
        <v>1281</v>
      </c>
      <c r="BQ422" s="57" t="s">
        <v>1281</v>
      </c>
      <c r="BR422" s="57" t="s">
        <v>1281</v>
      </c>
      <c r="BS422" s="57" t="s">
        <v>1281</v>
      </c>
      <c r="BT422" s="57" t="s">
        <v>1281</v>
      </c>
      <c r="BU422" s="57" t="s">
        <v>1281</v>
      </c>
      <c r="BV422" s="70">
        <f t="shared" si="3889"/>
        <v>17</v>
      </c>
      <c r="BW422" s="71">
        <f t="shared" si="3890"/>
        <v>49</v>
      </c>
      <c r="BX422" s="72">
        <f t="shared" si="3891"/>
        <v>53</v>
      </c>
      <c r="BY422" s="71">
        <f t="shared" si="3892"/>
        <v>84</v>
      </c>
      <c r="BZ422" s="72">
        <f t="shared" si="3893"/>
        <v>88</v>
      </c>
      <c r="CA422" s="71">
        <f t="shared" si="3894"/>
        <v>124</v>
      </c>
      <c r="CB422" s="72">
        <f t="shared" si="3895"/>
        <v>132</v>
      </c>
      <c r="CC422" s="71">
        <f t="shared" si="3896"/>
        <v>170</v>
      </c>
      <c r="CD422" s="72">
        <f t="shared" si="3897"/>
        <v>176</v>
      </c>
      <c r="CE422" s="71">
        <f t="shared" si="3898"/>
        <v>218</v>
      </c>
      <c r="CF422" s="72">
        <f t="shared" si="3899"/>
        <v>255</v>
      </c>
      <c r="CG422" s="71">
        <f t="shared" si="3900"/>
        <v>288</v>
      </c>
      <c r="CH422" s="70">
        <f t="shared" si="3901"/>
        <v>48</v>
      </c>
      <c r="CI422" s="71">
        <f t="shared" si="3902"/>
        <v>52</v>
      </c>
      <c r="CJ422" s="72">
        <f t="shared" si="3903"/>
        <v>83</v>
      </c>
      <c r="CK422" s="72">
        <f t="shared" si="3904"/>
        <v>87</v>
      </c>
      <c r="CL422" s="72">
        <f t="shared" si="3905"/>
        <v>123</v>
      </c>
      <c r="CM422" s="72">
        <f t="shared" si="3906"/>
        <v>131</v>
      </c>
      <c r="CN422" s="72">
        <f t="shared" si="3907"/>
        <v>158</v>
      </c>
      <c r="CO422" s="72">
        <f t="shared" si="3908"/>
        <v>172</v>
      </c>
      <c r="CP422" s="72">
        <f t="shared" si="3909"/>
        <v>213</v>
      </c>
      <c r="CQ422" s="72">
        <f t="shared" si="3910"/>
        <v>252</v>
      </c>
      <c r="CR422" s="72">
        <f t="shared" si="3911"/>
        <v>287</v>
      </c>
      <c r="CS422" s="72">
        <f t="shared" si="3912"/>
        <v>302</v>
      </c>
      <c r="CT422" s="23">
        <f t="shared" si="3913"/>
        <v>1</v>
      </c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  <c r="AMK422" s="1"/>
      <c r="AML422" s="1"/>
      <c r="AMM422" s="1"/>
      <c r="AMN422" s="1"/>
      <c r="AMO422" s="1"/>
    </row>
    <row r="423" spans="1:1030" x14ac:dyDescent="0.2">
      <c r="A423" s="3" t="str">
        <f t="shared" si="3886"/>
        <v>q9wtk1_cavpo_5X33</v>
      </c>
      <c r="B423" s="3" t="s">
        <v>1445</v>
      </c>
      <c r="C423" s="3" t="s">
        <v>1446</v>
      </c>
      <c r="D423" s="3" t="str">
        <f>IFERROR(MID(VLOOKUP($B423,Seqs!$A:$B,2,0),E423,1),"")</f>
        <v>T</v>
      </c>
      <c r="E423" s="3">
        <v>17</v>
      </c>
      <c r="F423" s="3" t="str">
        <f>IFERROR(MID(VLOOKUP($B423,Seqs!$A:$B,2,0),G423,1),"")</f>
        <v>R</v>
      </c>
      <c r="G423" s="3">
        <v>48</v>
      </c>
      <c r="H423" s="3" t="str">
        <f>IFERROR(MID(VLOOKUP($B423,Seqs!$A:$B,2,0),I423,1),"")</f>
        <v/>
      </c>
      <c r="I423" s="23" t="s">
        <v>23</v>
      </c>
      <c r="J423" s="3" t="str">
        <f>IFERROR(MID(VLOOKUP($B423,Seqs!$A:$B,2,0),K423,1),"")</f>
        <v/>
      </c>
      <c r="K423" s="23" t="s">
        <v>23</v>
      </c>
      <c r="L423" s="3" t="str">
        <f>IFERROR(MID(VLOOKUP($B423,Seqs!$A:$B,2,0),M423,1),"")</f>
        <v>S</v>
      </c>
      <c r="M423" s="3">
        <v>53</v>
      </c>
      <c r="N423" s="3" t="str">
        <f>IFERROR(MID(VLOOKUP($B423,Seqs!$A:$B,2,0),O423,1),"")</f>
        <v>H</v>
      </c>
      <c r="O423" s="3">
        <v>83</v>
      </c>
      <c r="P423" s="3" t="str">
        <f>IFERROR(MID(VLOOKUP($B423,Seqs!$A:$B,2,0),Q423,1),"")</f>
        <v>T</v>
      </c>
      <c r="Q423" s="3">
        <v>84</v>
      </c>
      <c r="R423" s="3" t="str">
        <f>IFERROR(MID(VLOOKUP($B423,Seqs!$A:$B,2,0),S423,1),"")</f>
        <v>F</v>
      </c>
      <c r="S423" s="3">
        <v>87</v>
      </c>
      <c r="T423" s="3" t="str">
        <f>IFERROR(MID(VLOOKUP($B423,Seqs!$A:$B,2,0),U423,1),"")</f>
        <v>K</v>
      </c>
      <c r="U423" s="3">
        <v>88</v>
      </c>
      <c r="V423" s="3" t="str">
        <f>IFERROR(MID(VLOOKUP($B423,Seqs!$A:$B,2,0),W423,1),"")</f>
        <v>S</v>
      </c>
      <c r="W423" s="3">
        <v>123</v>
      </c>
      <c r="X423" s="3" t="str">
        <f>IFERROR(MID(VLOOKUP($B423,Seqs!$A:$B,2,0),Y423,1),"")</f>
        <v>P</v>
      </c>
      <c r="Y423" s="3">
        <v>124</v>
      </c>
      <c r="Z423" s="3" t="str">
        <f>IFERROR(MID(VLOOKUP($B423,Seqs!$A:$B,2,0),AA423,1),"")</f>
        <v>R</v>
      </c>
      <c r="AA423" s="3">
        <v>131</v>
      </c>
      <c r="AB423" s="3" t="str">
        <f>IFERROR(MID(VLOOKUP($B423,Seqs!$A:$B,2,0),AC423,1),"")</f>
        <v>T</v>
      </c>
      <c r="AC423" s="3">
        <v>132</v>
      </c>
      <c r="AD423" s="3" t="str">
        <f>IFERROR(MID(VLOOKUP($B423,Seqs!$A:$B,2,0),AE423,1),"")</f>
        <v>R</v>
      </c>
      <c r="AE423" s="3">
        <v>158</v>
      </c>
      <c r="AF423" s="3" t="str">
        <f>IFERROR(MID(VLOOKUP($B423,Seqs!$A:$B,2,0),AG423,1),"")</f>
        <v>C</v>
      </c>
      <c r="AG423" s="3">
        <v>170</v>
      </c>
      <c r="AH423" s="3" t="str">
        <f>IFERROR(MID(VLOOKUP($B423,Seqs!$A:$B,2,0),AI423,1),"")</f>
        <v>A</v>
      </c>
      <c r="AI423" s="3">
        <v>172</v>
      </c>
      <c r="AJ423" s="3" t="str">
        <f>IFERROR(MID(VLOOKUP($B423,Seqs!$A:$B,2,0),AK423,1),"")</f>
        <v>S</v>
      </c>
      <c r="AK423" s="3">
        <v>176</v>
      </c>
      <c r="AL423" s="3" t="str">
        <f>IFERROR(MID(VLOOKUP($B423,Seqs!$A:$B,2,0),AM423,1),"")</f>
        <v>R</v>
      </c>
      <c r="AM423" s="3">
        <v>213</v>
      </c>
      <c r="AN423" s="3" t="str">
        <f>IFERROR(MID(VLOOKUP($B423,Seqs!$A:$B,2,0),AO423,1),"")</f>
        <v>I</v>
      </c>
      <c r="AO423" s="3">
        <v>227</v>
      </c>
      <c r="AP423" s="3" t="str">
        <f>IFERROR(MID(VLOOKUP($B423,Seqs!$A:$B,2,0),AQ423,1),"")</f>
        <v>R</v>
      </c>
      <c r="AQ423" s="3">
        <v>249</v>
      </c>
      <c r="AR423" s="3" t="str">
        <f>IFERROR(MID(VLOOKUP($B423,Seqs!$A:$B,2,0),AS423,1),"")</f>
        <v>Q</v>
      </c>
      <c r="AS423" s="3">
        <v>261</v>
      </c>
      <c r="AT423" s="3" t="str">
        <f>IFERROR(MID(VLOOKUP($B423,Seqs!$A:$B,2,0),AU423,1),"")</f>
        <v>S</v>
      </c>
      <c r="AU423" s="3">
        <v>278</v>
      </c>
      <c r="AV423" s="3" t="str">
        <f>IFERROR(MID(VLOOKUP($B423,Seqs!$A:$B,2,0),AW423,1),"")</f>
        <v/>
      </c>
      <c r="AW423" s="3" t="s">
        <v>23</v>
      </c>
      <c r="AX423" s="3" t="str">
        <f>IFERROR(MID(VLOOKUP($B423,Seqs!$A:$B,2,0),AY423,1),"")</f>
        <v/>
      </c>
      <c r="AY423" s="3" t="s">
        <v>23</v>
      </c>
      <c r="AZ423" s="77" t="str">
        <f>VLOOKUP(B423,Classification!A:D,2,0)</f>
        <v>A</v>
      </c>
      <c r="BA423" s="94" t="str">
        <f>VLOOKUP(B423,Classification!A:D,4,0)</f>
        <v>Leukotriene</v>
      </c>
      <c r="BB423" s="27" t="b">
        <f t="shared" si="3887"/>
        <v>1</v>
      </c>
      <c r="BC423" s="23">
        <f t="shared" si="3888"/>
        <v>222</v>
      </c>
      <c r="BD423" s="2" t="s">
        <v>1370</v>
      </c>
      <c r="BE423" s="3" t="s">
        <v>1368</v>
      </c>
      <c r="BF423" s="118">
        <v>3.7</v>
      </c>
      <c r="BG423" s="49" t="s">
        <v>1</v>
      </c>
      <c r="BH423" s="49" t="s">
        <v>1371</v>
      </c>
      <c r="BI423" s="1"/>
      <c r="BJ423" s="70" t="s">
        <v>1281</v>
      </c>
      <c r="BK423" s="57" t="s">
        <v>1281</v>
      </c>
      <c r="BL423" s="57" t="s">
        <v>1281</v>
      </c>
      <c r="BM423" s="57" t="s">
        <v>1281</v>
      </c>
      <c r="BN423" s="57" t="s">
        <v>1281</v>
      </c>
      <c r="BO423" s="57" t="s">
        <v>1281</v>
      </c>
      <c r="BP423" s="57" t="s">
        <v>1281</v>
      </c>
      <c r="BQ423" s="57" t="s">
        <v>1281</v>
      </c>
      <c r="BR423" s="57" t="s">
        <v>1281</v>
      </c>
      <c r="BS423" s="57" t="s">
        <v>1281</v>
      </c>
      <c r="BT423" s="57" t="s">
        <v>1281</v>
      </c>
      <c r="BU423" s="57" t="s">
        <v>1281</v>
      </c>
      <c r="BV423" s="70">
        <f t="shared" si="3889"/>
        <v>17</v>
      </c>
      <c r="BW423" s="71" t="str">
        <f t="shared" si="3890"/>
        <v>-</v>
      </c>
      <c r="BX423" s="72">
        <f t="shared" si="3891"/>
        <v>53</v>
      </c>
      <c r="BY423" s="71">
        <f t="shared" si="3892"/>
        <v>84</v>
      </c>
      <c r="BZ423" s="72">
        <f t="shared" si="3893"/>
        <v>88</v>
      </c>
      <c r="CA423" s="71">
        <f t="shared" si="3894"/>
        <v>124</v>
      </c>
      <c r="CB423" s="72">
        <f t="shared" si="3895"/>
        <v>132</v>
      </c>
      <c r="CC423" s="71">
        <f t="shared" si="3896"/>
        <v>170</v>
      </c>
      <c r="CD423" s="72">
        <f t="shared" si="3897"/>
        <v>176</v>
      </c>
      <c r="CE423" s="71">
        <f t="shared" si="3898"/>
        <v>227</v>
      </c>
      <c r="CF423" s="72">
        <f t="shared" si="3899"/>
        <v>261</v>
      </c>
      <c r="CG423" s="71" t="str">
        <f t="shared" si="3900"/>
        <v>-</v>
      </c>
      <c r="CH423" s="70">
        <f t="shared" si="3901"/>
        <v>48</v>
      </c>
      <c r="CI423" s="71" t="str">
        <f t="shared" si="3902"/>
        <v>-</v>
      </c>
      <c r="CJ423" s="72">
        <f t="shared" si="3903"/>
        <v>83</v>
      </c>
      <c r="CK423" s="72">
        <f t="shared" si="3904"/>
        <v>87</v>
      </c>
      <c r="CL423" s="72">
        <f t="shared" si="3905"/>
        <v>123</v>
      </c>
      <c r="CM423" s="72">
        <f t="shared" si="3906"/>
        <v>131</v>
      </c>
      <c r="CN423" s="72">
        <f t="shared" si="3907"/>
        <v>158</v>
      </c>
      <c r="CO423" s="72">
        <f t="shared" si="3908"/>
        <v>172</v>
      </c>
      <c r="CP423" s="72">
        <f t="shared" si="3909"/>
        <v>213</v>
      </c>
      <c r="CQ423" s="72">
        <f t="shared" si="3910"/>
        <v>249</v>
      </c>
      <c r="CR423" s="72">
        <f t="shared" si="3911"/>
        <v>278</v>
      </c>
      <c r="CS423" s="72" t="str">
        <f t="shared" si="3912"/>
        <v>-</v>
      </c>
      <c r="CT423" s="23" t="e">
        <f t="shared" si="3913"/>
        <v>#VALUE!</v>
      </c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  <c r="ALO423" s="1"/>
      <c r="ALP423" s="1"/>
      <c r="ALQ423" s="1"/>
      <c r="ALR423" s="1"/>
      <c r="ALS423" s="1"/>
      <c r="ALT423" s="1"/>
      <c r="ALU423" s="1"/>
      <c r="ALV423" s="1"/>
      <c r="ALW423" s="1"/>
      <c r="ALX423" s="1"/>
      <c r="ALY423" s="1"/>
      <c r="ALZ423" s="1"/>
      <c r="AMA423" s="1"/>
      <c r="AMB423" s="1"/>
      <c r="AMC423" s="1"/>
      <c r="AMD423" s="1"/>
      <c r="AME423" s="1"/>
      <c r="AMF423" s="1"/>
      <c r="AMG423" s="1"/>
      <c r="AMH423" s="1"/>
      <c r="AMI423" s="1"/>
      <c r="AMJ423" s="1"/>
      <c r="AMK423" s="1"/>
      <c r="AML423" s="1"/>
      <c r="AMM423" s="1"/>
      <c r="AMN423" s="1"/>
      <c r="AMO423" s="1"/>
    </row>
    <row r="424" spans="1:1030" x14ac:dyDescent="0.2">
      <c r="A424" s="3" t="str">
        <f t="shared" si="3240"/>
        <v>s1pr1_human__wt</v>
      </c>
      <c r="B424" s="3" t="s">
        <v>104</v>
      </c>
      <c r="C424" s="3" t="s">
        <v>100</v>
      </c>
      <c r="D424" s="3" t="str">
        <f>IFERROR(MID(VLOOKUP($B424,Seqs!$A:$B,2,0),E424,1),"")</f>
        <v>E</v>
      </c>
      <c r="E424" s="3">
        <v>42</v>
      </c>
      <c r="F424" s="3" t="str">
        <f>IFERROR(MID(VLOOKUP($B424,Seqs!$A:$B,2,0),G424,1),"")</f>
        <v>T</v>
      </c>
      <c r="G424" s="3">
        <v>73</v>
      </c>
      <c r="H424" s="3" t="str">
        <f>IFERROR(MID(VLOOKUP($B424,Seqs!$A:$B,2,0),I424,1),"")</f>
        <v>K</v>
      </c>
      <c r="I424" s="23">
        <v>74</v>
      </c>
      <c r="J424" s="3" t="str">
        <f>IFERROR(MID(VLOOKUP($B424,Seqs!$A:$B,2,0),K424,1),"")</f>
        <v>H</v>
      </c>
      <c r="K424" s="23">
        <v>77</v>
      </c>
      <c r="L424" s="3" t="str">
        <f>IFERROR(MID(VLOOKUP($B424,Seqs!$A:$B,2,0),M424,1),"")</f>
        <v>R</v>
      </c>
      <c r="M424" s="3">
        <v>78</v>
      </c>
      <c r="N424" s="3" t="str">
        <f>IFERROR(MID(VLOOKUP($B424,Seqs!$A:$B,2,0),O424,1),"")</f>
        <v>L</v>
      </c>
      <c r="O424" s="3">
        <v>104</v>
      </c>
      <c r="P424" s="3" t="str">
        <f>IFERROR(MID(VLOOKUP($B424,Seqs!$A:$B,2,0),Q424,1),"")</f>
        <v>G</v>
      </c>
      <c r="Q424" s="3">
        <v>106</v>
      </c>
      <c r="R424" s="3" t="str">
        <f>IFERROR(MID(VLOOKUP($B424,Seqs!$A:$B,2,0),S424,1),"")</f>
        <v>L</v>
      </c>
      <c r="S424" s="3">
        <v>112</v>
      </c>
      <c r="T424" s="3" t="str">
        <f>IFERROR(MID(VLOOKUP($B424,Seqs!$A:$B,2,0),U424,1),"")</f>
        <v>T</v>
      </c>
      <c r="U424" s="3">
        <v>113</v>
      </c>
      <c r="V424" s="3" t="str">
        <f>IFERROR(MID(VLOOKUP($B424,Seqs!$A:$B,2,0),W424,1),"")</f>
        <v>K</v>
      </c>
      <c r="W424" s="105">
        <v>148</v>
      </c>
      <c r="X424" s="3" t="str">
        <f>IFERROR(MID(VLOOKUP($B424,Seqs!$A:$B,2,0),Y424,1),"")</f>
        <v>M</v>
      </c>
      <c r="Y424" s="105">
        <v>149</v>
      </c>
      <c r="Z424" s="3" t="str">
        <f>IFERROR(MID(VLOOKUP($B424,Seqs!$A:$B,2,0),AA424,1),"")</f>
        <v>S</v>
      </c>
      <c r="AA424" s="105">
        <v>155</v>
      </c>
      <c r="AB424" s="3" t="str">
        <f>IFERROR(MID(VLOOKUP($B424,Seqs!$A:$B,2,0),AC424,1),"")</f>
        <v>N</v>
      </c>
      <c r="AC424" s="105">
        <v>156</v>
      </c>
      <c r="AD424" s="3" t="str">
        <f>IFERROR(MID(VLOOKUP($B424,Seqs!$A:$B,2,0),AE424,1),"")</f>
        <v>G</v>
      </c>
      <c r="AE424" s="3">
        <v>181</v>
      </c>
      <c r="AF424" s="3" t="str">
        <f>IFERROR(MID(VLOOKUP($B424,Seqs!$A:$B,2,0),AG424,1),"")</f>
        <v/>
      </c>
      <c r="AG424" s="3" t="s">
        <v>23</v>
      </c>
      <c r="AH424" s="3" t="str">
        <f>IFERROR(MID(VLOOKUP($B424,Seqs!$A:$B,2,0),AI424,1),"")</f>
        <v/>
      </c>
      <c r="AI424" s="3" t="s">
        <v>23</v>
      </c>
      <c r="AJ424" s="3" t="str">
        <f>IFERROR(MID(VLOOKUP($B424,Seqs!$A:$B,2,0),AK424,1),"")</f>
        <v>H</v>
      </c>
      <c r="AK424" s="3">
        <v>199</v>
      </c>
      <c r="AL424" s="3" t="str">
        <f>IFERROR(MID(VLOOKUP($B424,Seqs!$A:$B,2,0),AM424,1),"")</f>
        <v>T</v>
      </c>
      <c r="AM424" s="3">
        <v>236</v>
      </c>
      <c r="AN424" s="3" t="str">
        <f>IFERROR(MID(VLOOKUP($B424,Seqs!$A:$B,2,0),AO424,1),"")</f>
        <v>S</v>
      </c>
      <c r="AO424" s="3">
        <v>245</v>
      </c>
      <c r="AP424" s="3" t="str">
        <f>IFERROR(MID(VLOOKUP($B424,Seqs!$A:$B,2,0),AQ424,1),"")</f>
        <v>C</v>
      </c>
      <c r="AQ424" s="3">
        <v>282</v>
      </c>
      <c r="AR424" s="3" t="str">
        <f>IFERROR(MID(VLOOKUP($B424,Seqs!$A:$B,2,0),AS424,1),"")</f>
        <v>D</v>
      </c>
      <c r="AS424" s="3">
        <v>288</v>
      </c>
      <c r="AT424" s="3" t="str">
        <f>IFERROR(MID(VLOOKUP($B424,Seqs!$A:$B,2,0),AU424,1),"")</f>
        <v>T</v>
      </c>
      <c r="AU424" s="3">
        <v>314</v>
      </c>
      <c r="AV424" s="3" t="str">
        <f>IFERROR(MID(VLOOKUP($B424,Seqs!$A:$B,2,0),AW424,1),"")</f>
        <v>N</v>
      </c>
      <c r="AW424" s="3">
        <v>315</v>
      </c>
      <c r="AX424" s="3" t="str">
        <f>IFERROR(MID(VLOOKUP($B424,Seqs!$A:$B,2,0),AY424,1),"")</f>
        <v>S</v>
      </c>
      <c r="AY424" s="3">
        <v>327</v>
      </c>
      <c r="AZ424" s="77" t="str">
        <f>VLOOKUP(B424,Classification!A:D,2,0)</f>
        <v>A</v>
      </c>
      <c r="BA424" s="94" t="str">
        <f>VLOOKUP(B424,Classification!A:D,4,0)</f>
        <v>Lysophospholipid(S1P)</v>
      </c>
      <c r="BB424" s="27" t="b">
        <f t="shared" si="3241"/>
        <v>1</v>
      </c>
      <c r="BC424" s="23">
        <f t="shared" si="3214"/>
        <v>256</v>
      </c>
      <c r="BD424" s="56" t="s">
        <v>23</v>
      </c>
      <c r="BE424" s="3" t="s">
        <v>23</v>
      </c>
      <c r="BF424" s="118" t="s">
        <v>23</v>
      </c>
      <c r="BG424" s="49" t="s">
        <v>1366</v>
      </c>
      <c r="BH424" s="49" t="s">
        <v>1371</v>
      </c>
      <c r="BI424" s="1"/>
      <c r="BJ424" s="70" t="s">
        <v>1281</v>
      </c>
      <c r="BK424" s="57" t="s">
        <v>1281</v>
      </c>
      <c r="BL424" s="57" t="s">
        <v>1281</v>
      </c>
      <c r="BM424" s="57" t="s">
        <v>1281</v>
      </c>
      <c r="BN424" s="57" t="s">
        <v>1281</v>
      </c>
      <c r="BO424" s="57" t="s">
        <v>1281</v>
      </c>
      <c r="BP424" s="57" t="s">
        <v>1281</v>
      </c>
      <c r="BQ424" s="57" t="s">
        <v>1281</v>
      </c>
      <c r="BR424" s="57" t="s">
        <v>1281</v>
      </c>
      <c r="BS424" s="57" t="s">
        <v>1281</v>
      </c>
      <c r="BT424" s="57" t="s">
        <v>1281</v>
      </c>
      <c r="BU424" s="57" t="s">
        <v>1281</v>
      </c>
      <c r="BV424" s="70">
        <f t="shared" si="3215"/>
        <v>42</v>
      </c>
      <c r="BW424" s="71">
        <f t="shared" si="3216"/>
        <v>74</v>
      </c>
      <c r="BX424" s="72">
        <f t="shared" si="3217"/>
        <v>78</v>
      </c>
      <c r="BY424" s="71">
        <f t="shared" si="3218"/>
        <v>106</v>
      </c>
      <c r="BZ424" s="72">
        <f t="shared" si="3219"/>
        <v>113</v>
      </c>
      <c r="CA424" s="71">
        <f t="shared" si="3220"/>
        <v>149</v>
      </c>
      <c r="CB424" s="72">
        <f t="shared" si="3221"/>
        <v>156</v>
      </c>
      <c r="CC424" s="71" t="str">
        <f t="shared" si="3222"/>
        <v>-</v>
      </c>
      <c r="CD424" s="72">
        <f t="shared" si="3223"/>
        <v>199</v>
      </c>
      <c r="CE424" s="71">
        <f t="shared" si="3224"/>
        <v>245</v>
      </c>
      <c r="CF424" s="72">
        <f t="shared" si="3225"/>
        <v>288</v>
      </c>
      <c r="CG424" s="71">
        <f t="shared" si="3226"/>
        <v>315</v>
      </c>
      <c r="CH424" s="70">
        <f t="shared" si="3227"/>
        <v>73</v>
      </c>
      <c r="CI424" s="71">
        <f t="shared" si="3228"/>
        <v>77</v>
      </c>
      <c r="CJ424" s="72">
        <f t="shared" si="3229"/>
        <v>104</v>
      </c>
      <c r="CK424" s="72">
        <f t="shared" si="3230"/>
        <v>112</v>
      </c>
      <c r="CL424" s="72">
        <f t="shared" si="3231"/>
        <v>148</v>
      </c>
      <c r="CM424" s="72">
        <f t="shared" si="3232"/>
        <v>155</v>
      </c>
      <c r="CN424" s="72">
        <f t="shared" si="3233"/>
        <v>181</v>
      </c>
      <c r="CO424" s="72" t="str">
        <f t="shared" si="3234"/>
        <v>-</v>
      </c>
      <c r="CP424" s="72">
        <f t="shared" si="3235"/>
        <v>236</v>
      </c>
      <c r="CQ424" s="72">
        <f t="shared" si="3236"/>
        <v>282</v>
      </c>
      <c r="CR424" s="72">
        <f t="shared" si="3237"/>
        <v>314</v>
      </c>
      <c r="CS424" s="72">
        <f t="shared" si="3238"/>
        <v>327</v>
      </c>
      <c r="CT424" s="23">
        <f t="shared" si="3239"/>
        <v>1</v>
      </c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  <c r="AMK424" s="1"/>
      <c r="AML424" s="1"/>
      <c r="AMM424" s="1"/>
      <c r="AMN424" s="1"/>
      <c r="AMO424" s="1"/>
    </row>
    <row r="425" spans="1:1030" x14ac:dyDescent="0.2">
      <c r="A425" s="3" t="str">
        <f t="shared" si="3240"/>
        <v>s1pr1_human_3V2Y</v>
      </c>
      <c r="B425" s="3" t="s">
        <v>104</v>
      </c>
      <c r="C425" s="3" t="s">
        <v>94</v>
      </c>
      <c r="D425" s="3" t="str">
        <f>IFERROR(MID(VLOOKUP($B425,Seqs!$A:$B,2,0),E425,1),"")</f>
        <v>E</v>
      </c>
      <c r="E425" s="3">
        <v>42</v>
      </c>
      <c r="F425" s="3" t="str">
        <f>IFERROR(MID(VLOOKUP($B425,Seqs!$A:$B,2,0),G425,1),"")</f>
        <v>T</v>
      </c>
      <c r="G425" s="3">
        <v>73</v>
      </c>
      <c r="H425" s="3" t="str">
        <f>IFERROR(MID(VLOOKUP($B425,Seqs!$A:$B,2,0),I425,1),"")</f>
        <v>K</v>
      </c>
      <c r="I425" s="23">
        <v>74</v>
      </c>
      <c r="J425" s="3" t="str">
        <f>IFERROR(MID(VLOOKUP($B425,Seqs!$A:$B,2,0),K425,1),"")</f>
        <v>H</v>
      </c>
      <c r="K425" s="23">
        <v>77</v>
      </c>
      <c r="L425" s="3" t="str">
        <f>IFERROR(MID(VLOOKUP($B425,Seqs!$A:$B,2,0),M425,1),"")</f>
        <v>R</v>
      </c>
      <c r="M425" s="3">
        <v>78</v>
      </c>
      <c r="N425" s="3" t="str">
        <f>IFERROR(MID(VLOOKUP($B425,Seqs!$A:$B,2,0),O425,1),"")</f>
        <v>L</v>
      </c>
      <c r="O425" s="3">
        <v>104</v>
      </c>
      <c r="P425" s="3" t="str">
        <f>IFERROR(MID(VLOOKUP($B425,Seqs!$A:$B,2,0),Q425,1),"")</f>
        <v>G</v>
      </c>
      <c r="Q425" s="3">
        <v>106</v>
      </c>
      <c r="R425" s="3" t="str">
        <f>IFERROR(MID(VLOOKUP($B425,Seqs!$A:$B,2,0),S425,1),"")</f>
        <v>L</v>
      </c>
      <c r="S425" s="3">
        <v>112</v>
      </c>
      <c r="T425" s="3" t="str">
        <f>IFERROR(MID(VLOOKUP($B425,Seqs!$A:$B,2,0),U425,1),"")</f>
        <v>T</v>
      </c>
      <c r="U425" s="3">
        <v>113</v>
      </c>
      <c r="V425" s="3" t="str">
        <f>IFERROR(MID(VLOOKUP($B425,Seqs!$A:$B,2,0),W425,1),"")</f>
        <v>T</v>
      </c>
      <c r="W425" s="105">
        <v>145</v>
      </c>
      <c r="X425" s="3" t="str">
        <f>IFERROR(MID(VLOOKUP($B425,Seqs!$A:$B,2,0),Y425,1),"")</f>
        <v/>
      </c>
      <c r="Y425" s="3" t="s">
        <v>23</v>
      </c>
      <c r="Z425" s="3" t="str">
        <f>IFERROR(MID(VLOOKUP($B425,Seqs!$A:$B,2,0),AA425,1),"")</f>
        <v/>
      </c>
      <c r="AA425" s="3" t="s">
        <v>23</v>
      </c>
      <c r="AB425" s="3" t="str">
        <f>IFERROR(MID(VLOOKUP($B425,Seqs!$A:$B,2,0),AC425,1),"")</f>
        <v>N</v>
      </c>
      <c r="AC425" s="105">
        <v>156</v>
      </c>
      <c r="AD425" s="3" t="str">
        <f>IFERROR(MID(VLOOKUP($B425,Seqs!$A:$B,2,0),AE425,1),"")</f>
        <v>G</v>
      </c>
      <c r="AE425" s="3">
        <v>181</v>
      </c>
      <c r="AF425" s="3" t="str">
        <f>IFERROR(MID(VLOOKUP($B425,Seqs!$A:$B,2,0),AG425,1),"")</f>
        <v/>
      </c>
      <c r="AG425" s="3" t="s">
        <v>23</v>
      </c>
      <c r="AH425" s="3" t="str">
        <f>IFERROR(MID(VLOOKUP($B425,Seqs!$A:$B,2,0),AI425,1),"")</f>
        <v/>
      </c>
      <c r="AI425" s="3" t="s">
        <v>23</v>
      </c>
      <c r="AJ425" s="3" t="str">
        <f>IFERROR(MID(VLOOKUP($B425,Seqs!$A:$B,2,0),AK425,1),"")</f>
        <v>H</v>
      </c>
      <c r="AK425" s="3">
        <v>199</v>
      </c>
      <c r="AL425" s="3" t="str">
        <f>IFERROR(MID(VLOOKUP($B425,Seqs!$A:$B,2,0),AM425,1),"")</f>
        <v>R</v>
      </c>
      <c r="AM425" s="3">
        <v>231</v>
      </c>
      <c r="AN425" s="3" t="str">
        <f>IFERROR(MID(VLOOKUP($B425,Seqs!$A:$B,2,0),AO425,1),"")</f>
        <v>S</v>
      </c>
      <c r="AO425" s="3">
        <v>251</v>
      </c>
      <c r="AP425" s="3" t="str">
        <f>IFERROR(MID(VLOOKUP($B425,Seqs!$A:$B,2,0),AQ425,1),"")</f>
        <v>C</v>
      </c>
      <c r="AQ425" s="3">
        <v>282</v>
      </c>
      <c r="AR425" s="3" t="str">
        <f>IFERROR(MID(VLOOKUP($B425,Seqs!$A:$B,2,0),AS425,1),"")</f>
        <v>D</v>
      </c>
      <c r="AS425" s="3">
        <v>288</v>
      </c>
      <c r="AT425" s="3" t="str">
        <f>IFERROR(MID(VLOOKUP($B425,Seqs!$A:$B,2,0),AU425,1),"")</f>
        <v>T</v>
      </c>
      <c r="AU425" s="3">
        <v>314</v>
      </c>
      <c r="AV425" s="3" t="str">
        <f>IFERROR(MID(VLOOKUP($B425,Seqs!$A:$B,2,0),AW425,1),"")</f>
        <v>N</v>
      </c>
      <c r="AW425" s="3">
        <v>315</v>
      </c>
      <c r="AX425" s="3" t="str">
        <f>IFERROR(MID(VLOOKUP($B425,Seqs!$A:$B,2,0),AY425,1),"")</f>
        <v>I</v>
      </c>
      <c r="AY425" s="3">
        <v>323</v>
      </c>
      <c r="AZ425" s="77" t="str">
        <f>VLOOKUP(B425,Classification!A:D,2,0)</f>
        <v>A</v>
      </c>
      <c r="BA425" s="94" t="str">
        <f>VLOOKUP(B425,Classification!A:D,4,0)</f>
        <v>Lysophospholipid(S1P)</v>
      </c>
      <c r="BB425" s="27" t="b">
        <f t="shared" si="3241"/>
        <v>1</v>
      </c>
      <c r="BC425" s="23">
        <f t="shared" si="3214"/>
        <v>232</v>
      </c>
      <c r="BD425" s="2" t="s">
        <v>1370</v>
      </c>
      <c r="BE425" s="3" t="s">
        <v>1368</v>
      </c>
      <c r="BF425" s="118">
        <v>2.8</v>
      </c>
      <c r="BG425" s="49" t="s">
        <v>1371</v>
      </c>
      <c r="BH425" s="49" t="s">
        <v>1371</v>
      </c>
      <c r="BI425" s="1"/>
      <c r="BJ425" s="70" t="s">
        <v>1281</v>
      </c>
      <c r="BK425" s="57" t="s">
        <v>1281</v>
      </c>
      <c r="BL425" s="57" t="s">
        <v>1281</v>
      </c>
      <c r="BM425" s="57" t="s">
        <v>1281</v>
      </c>
      <c r="BN425" s="57" t="s">
        <v>1281</v>
      </c>
      <c r="BO425" s="57" t="s">
        <v>1281</v>
      </c>
      <c r="BP425" s="57" t="s">
        <v>1281</v>
      </c>
      <c r="BQ425" s="57" t="s">
        <v>1281</v>
      </c>
      <c r="BR425" s="57" t="s">
        <v>1281</v>
      </c>
      <c r="BS425" s="57" t="s">
        <v>1281</v>
      </c>
      <c r="BT425" s="57" t="s">
        <v>1281</v>
      </c>
      <c r="BU425" s="57" t="s">
        <v>1281</v>
      </c>
      <c r="BV425" s="70">
        <f t="shared" si="3215"/>
        <v>42</v>
      </c>
      <c r="BW425" s="71">
        <f t="shared" si="3216"/>
        <v>74</v>
      </c>
      <c r="BX425" s="72">
        <f t="shared" si="3217"/>
        <v>78</v>
      </c>
      <c r="BY425" s="71">
        <f t="shared" si="3218"/>
        <v>106</v>
      </c>
      <c r="BZ425" s="72">
        <f t="shared" si="3219"/>
        <v>113</v>
      </c>
      <c r="CA425" s="71" t="str">
        <f t="shared" si="3220"/>
        <v>-</v>
      </c>
      <c r="CB425" s="72">
        <f t="shared" si="3221"/>
        <v>156</v>
      </c>
      <c r="CC425" s="71" t="str">
        <f t="shared" si="3222"/>
        <v>-</v>
      </c>
      <c r="CD425" s="72">
        <f t="shared" si="3223"/>
        <v>199</v>
      </c>
      <c r="CE425" s="71">
        <f t="shared" si="3224"/>
        <v>251</v>
      </c>
      <c r="CF425" s="72">
        <f t="shared" si="3225"/>
        <v>288</v>
      </c>
      <c r="CG425" s="71">
        <f t="shared" si="3226"/>
        <v>315</v>
      </c>
      <c r="CH425" s="70">
        <f t="shared" si="3227"/>
        <v>73</v>
      </c>
      <c r="CI425" s="71">
        <f t="shared" si="3228"/>
        <v>77</v>
      </c>
      <c r="CJ425" s="72">
        <f t="shared" si="3229"/>
        <v>104</v>
      </c>
      <c r="CK425" s="72">
        <f t="shared" si="3230"/>
        <v>112</v>
      </c>
      <c r="CL425" s="72">
        <f t="shared" si="3231"/>
        <v>145</v>
      </c>
      <c r="CM425" s="72" t="str">
        <f t="shared" si="3232"/>
        <v>-</v>
      </c>
      <c r="CN425" s="72">
        <f t="shared" si="3233"/>
        <v>181</v>
      </c>
      <c r="CO425" s="72" t="str">
        <f t="shared" si="3234"/>
        <v>-</v>
      </c>
      <c r="CP425" s="72">
        <f t="shared" si="3235"/>
        <v>231</v>
      </c>
      <c r="CQ425" s="72">
        <f t="shared" si="3236"/>
        <v>282</v>
      </c>
      <c r="CR425" s="72">
        <f t="shared" si="3237"/>
        <v>314</v>
      </c>
      <c r="CS425" s="72">
        <f t="shared" si="3238"/>
        <v>323</v>
      </c>
      <c r="CT425" s="23">
        <f t="shared" si="3239"/>
        <v>1</v>
      </c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  <c r="AMK425" s="1"/>
      <c r="AML425" s="1"/>
      <c r="AMM425" s="1"/>
      <c r="AMN425" s="1"/>
      <c r="AMO425" s="1"/>
    </row>
    <row r="426" spans="1:1030" x14ac:dyDescent="0.2">
      <c r="A426" s="3" t="str">
        <f t="shared" ref="A426:A427" si="4082">CONCATENATE(B426,"_",C426)</f>
        <v>sucr1_rat__wt</v>
      </c>
      <c r="B426" s="3" t="s">
        <v>1591</v>
      </c>
      <c r="C426" s="3" t="s">
        <v>100</v>
      </c>
      <c r="D426" s="3" t="str">
        <f>IFERROR(MID(VLOOKUP($B426,Seqs!$A:$B,2,0),E426,1),"")</f>
        <v>C</v>
      </c>
      <c r="E426" s="3">
        <v>7</v>
      </c>
      <c r="F426" s="3" t="str">
        <f>IFERROR(MID(VLOOKUP($B426,Seqs!$A:$B,2,0),G426,1),"")</f>
        <v>M</v>
      </c>
      <c r="G426" s="3">
        <v>48</v>
      </c>
      <c r="H426" s="3" t="str">
        <f>IFERROR(MID(VLOOKUP($B426,Seqs!$A:$B,2,0),I426,1),"")</f>
        <v/>
      </c>
      <c r="I426" s="23" t="s">
        <v>23</v>
      </c>
      <c r="J426" s="3" t="str">
        <f>IFERROR(MID(VLOOKUP($B426,Seqs!$A:$B,2,0),K426,1),"")</f>
        <v/>
      </c>
      <c r="K426" s="23" t="s">
        <v>23</v>
      </c>
      <c r="L426" s="3" t="str">
        <f>IFERROR(MID(VLOOKUP($B426,Seqs!$A:$B,2,0),M426,1),"")</f>
        <v>N</v>
      </c>
      <c r="M426" s="3">
        <v>52</v>
      </c>
      <c r="N426" s="3" t="str">
        <f>IFERROR(MID(VLOOKUP($B426,Seqs!$A:$B,2,0),O426,1),"")</f>
        <v>G</v>
      </c>
      <c r="O426" s="3">
        <v>82</v>
      </c>
      <c r="P426" s="3" t="str">
        <f>IFERROR(MID(VLOOKUP($B426,Seqs!$A:$B,2,0),Q426,1),"")</f>
        <v>N</v>
      </c>
      <c r="Q426" s="3">
        <v>83</v>
      </c>
      <c r="R426" s="3" t="str">
        <f>IFERROR(MID(VLOOKUP($B426,Seqs!$A:$B,2,0),S426,1),"")</f>
        <v>Y</v>
      </c>
      <c r="S426" s="3">
        <v>86</v>
      </c>
      <c r="T426" s="3" t="str">
        <f>IFERROR(MID(VLOOKUP($B426,Seqs!$A:$B,2,0),U426,1),"")</f>
        <v>G</v>
      </c>
      <c r="U426" s="3">
        <v>87</v>
      </c>
      <c r="V426" s="3" t="str">
        <f>IFERROR(MID(VLOOKUP($B426,Seqs!$A:$B,2,0),W426,1),"")</f>
        <v>F</v>
      </c>
      <c r="W426" s="3">
        <v>122</v>
      </c>
      <c r="X426" s="3" t="str">
        <f>IFERROR(MID(VLOOKUP($B426,Seqs!$A:$B,2,0),Y426,1),"")</f>
        <v>P</v>
      </c>
      <c r="Y426" s="3">
        <v>123</v>
      </c>
      <c r="Z426" s="3" t="str">
        <f>IFERROR(MID(VLOOKUP($B426,Seqs!$A:$B,2,0),AA426,1),"")</f>
        <v>Q</v>
      </c>
      <c r="AA426" s="3">
        <v>130</v>
      </c>
      <c r="AB426" s="3" t="str">
        <f>IFERROR(MID(VLOOKUP($B426,Seqs!$A:$B,2,0),AC426,1),"")</f>
        <v>K</v>
      </c>
      <c r="AC426" s="3">
        <v>131</v>
      </c>
      <c r="AD426" s="3" t="str">
        <f>IFERROR(MID(VLOOKUP($B426,Seqs!$A:$B,2,0),AE426,1),"")</f>
        <v>T</v>
      </c>
      <c r="AE426" s="3">
        <v>160</v>
      </c>
      <c r="AF426" s="3" t="str">
        <f>IFERROR(MID(VLOOKUP($B426,Seqs!$A:$B,2,0),AG426,1),"")</f>
        <v>C</v>
      </c>
      <c r="AG426" s="3">
        <v>168</v>
      </c>
      <c r="AH426" s="3" t="str">
        <f>IFERROR(MID(VLOOKUP($B426,Seqs!$A:$B,2,0),AI426,1),"")</f>
        <v>D</v>
      </c>
      <c r="AI426" s="3">
        <v>170</v>
      </c>
      <c r="AJ426" s="3" t="str">
        <f>IFERROR(MID(VLOOKUP($B426,Seqs!$A:$B,2,0),AK426,1),"")</f>
        <v>N</v>
      </c>
      <c r="AK426" s="3">
        <v>176</v>
      </c>
      <c r="AL426" s="3" t="str">
        <f>IFERROR(MID(VLOOKUP($B426,Seqs!$A:$B,2,0),AM426,1),"")</f>
        <v>R</v>
      </c>
      <c r="AM426" s="3">
        <v>213</v>
      </c>
      <c r="AN426" s="3" t="str">
        <f>IFERROR(MID(VLOOKUP($B426,Seqs!$A:$B,2,0),AO426,1),"")</f>
        <v>Q</v>
      </c>
      <c r="AO426" s="3">
        <v>217</v>
      </c>
      <c r="AP426" s="3" t="str">
        <f>IFERROR(MID(VLOOKUP($B426,Seqs!$A:$B,2,0),AQ426,1),"")</f>
        <v>L</v>
      </c>
      <c r="AQ426" s="3">
        <v>256</v>
      </c>
      <c r="AR426" s="3" t="str">
        <f>IFERROR(MID(VLOOKUP($B426,Seqs!$A:$B,2,0),AS426,1),"")</f>
        <v>C</v>
      </c>
      <c r="AS426" s="3">
        <v>263</v>
      </c>
      <c r="AT426" s="3" t="str">
        <f>IFERROR(MID(VLOOKUP($B426,Seqs!$A:$B,2,0),AU426,1),"")</f>
        <v>V</v>
      </c>
      <c r="AU426" s="3">
        <v>293</v>
      </c>
      <c r="AV426" s="3" t="str">
        <f>IFERROR(MID(VLOOKUP($B426,Seqs!$A:$B,2,0),AW426,1),"")</f>
        <v>G</v>
      </c>
      <c r="AW426" s="3">
        <v>294</v>
      </c>
      <c r="AX426" s="3" t="str">
        <f>IFERROR(MID(VLOOKUP($B426,Seqs!$A:$B,2,0),AY426,1),"")</f>
        <v>L</v>
      </c>
      <c r="AY426" s="3">
        <v>312</v>
      </c>
      <c r="AZ426" s="77" t="str">
        <f>VLOOKUP(B426,Classification!A:D,2,0)</f>
        <v>A</v>
      </c>
      <c r="BA426" s="94" t="str">
        <f>VLOOKUP(B426,Classification!A:D,4,0)</f>
        <v>Succinate</v>
      </c>
      <c r="BB426" s="27" t="b">
        <f t="shared" ref="BB426:BB427" si="4083">AND(E426&lt;G426,OR(G426&lt;I426,I426="-"),OR(I426&lt;K426,I426="-"),OR(K426&lt;M426,K426="-"),M426&lt;O426,OR(O426&lt;Q426,Q426="-"),OR(Q426&lt;S426,Q426="-"),OR(S426&lt;U426,S426="-"),U426&lt;W426,OR(W426&lt;Y426,Y426="-"),OR(Y426&lt;AA426,Y426="-"),OR(AA426&lt;AC426,AA426="-"),AC426&lt;AE426,OR(AE426&lt;AG426,AG426="-"),OR(AG426&lt;AI426,AG426="-"),OR(AI426&lt;AK426,AI426="-"),AK426&lt;AM426,AM426&lt;AO426,AO426&lt;AQ426,AQ426&lt;AS426,AS426&lt;AU426,OR(AU426&lt;AW426,AW426="-"),OR(AW426&lt;AY426,AW426="-"))</f>
        <v>1</v>
      </c>
      <c r="BC426" s="23">
        <f t="shared" ref="BC426:BC427" si="4084">_xlfn.AGGREGATE(9,6,CH426:CS426)-_xlfn.AGGREGATE(9,6,BV426:CG426)+12</f>
        <v>283</v>
      </c>
      <c r="BD426" s="2" t="s">
        <v>23</v>
      </c>
      <c r="BE426" s="3" t="s">
        <v>23</v>
      </c>
      <c r="BF426" s="118" t="s">
        <v>23</v>
      </c>
      <c r="BG426" s="49" t="s">
        <v>1371</v>
      </c>
      <c r="BH426" s="49" t="s">
        <v>1371</v>
      </c>
      <c r="BI426" s="1"/>
      <c r="BJ426" s="70" t="s">
        <v>1281</v>
      </c>
      <c r="BK426" s="57" t="s">
        <v>1281</v>
      </c>
      <c r="BL426" s="57" t="s">
        <v>1281</v>
      </c>
      <c r="BM426" s="57" t="s">
        <v>1281</v>
      </c>
      <c r="BN426" s="57" t="s">
        <v>1281</v>
      </c>
      <c r="BO426" s="57" t="s">
        <v>1281</v>
      </c>
      <c r="BP426" s="57" t="s">
        <v>1281</v>
      </c>
      <c r="BQ426" s="57" t="s">
        <v>1281</v>
      </c>
      <c r="BR426" s="57" t="s">
        <v>1281</v>
      </c>
      <c r="BS426" s="57" t="s">
        <v>1281</v>
      </c>
      <c r="BT426" s="57" t="s">
        <v>1281</v>
      </c>
      <c r="BU426" s="57" t="s">
        <v>1281</v>
      </c>
      <c r="BV426" s="70">
        <f t="shared" ref="BV426:BV427" si="4085">E426</f>
        <v>7</v>
      </c>
      <c r="BW426" s="71" t="str">
        <f t="shared" ref="BW426:BW427" si="4086">I426</f>
        <v>-</v>
      </c>
      <c r="BX426" s="72">
        <f t="shared" ref="BX426:BX427" si="4087">M426</f>
        <v>52</v>
      </c>
      <c r="BY426" s="71">
        <f t="shared" ref="BY426:BY427" si="4088">Q426</f>
        <v>83</v>
      </c>
      <c r="BZ426" s="72">
        <f t="shared" ref="BZ426:BZ427" si="4089">U426</f>
        <v>87</v>
      </c>
      <c r="CA426" s="71">
        <f t="shared" ref="CA426:CA427" si="4090">Y426</f>
        <v>123</v>
      </c>
      <c r="CB426" s="72">
        <f t="shared" ref="CB426:CB427" si="4091">AC426</f>
        <v>131</v>
      </c>
      <c r="CC426" s="71">
        <f t="shared" ref="CC426:CC427" si="4092">AG426</f>
        <v>168</v>
      </c>
      <c r="CD426" s="72">
        <f t="shared" ref="CD426:CD427" si="4093">AK426</f>
        <v>176</v>
      </c>
      <c r="CE426" s="71">
        <f t="shared" ref="CE426:CE427" si="4094">AO426</f>
        <v>217</v>
      </c>
      <c r="CF426" s="72">
        <f t="shared" ref="CF426:CF427" si="4095">AS426</f>
        <v>263</v>
      </c>
      <c r="CG426" s="71">
        <f t="shared" ref="CG426:CG427" si="4096">AW426</f>
        <v>294</v>
      </c>
      <c r="CH426" s="70">
        <f t="shared" ref="CH426:CH427" si="4097">G426</f>
        <v>48</v>
      </c>
      <c r="CI426" s="71" t="str">
        <f t="shared" ref="CI426:CI427" si="4098">K426</f>
        <v>-</v>
      </c>
      <c r="CJ426" s="72">
        <f t="shared" ref="CJ426:CJ427" si="4099">O426</f>
        <v>82</v>
      </c>
      <c r="CK426" s="72">
        <f t="shared" ref="CK426:CK427" si="4100">S426</f>
        <v>86</v>
      </c>
      <c r="CL426" s="72">
        <f t="shared" ref="CL426:CL427" si="4101">W426</f>
        <v>122</v>
      </c>
      <c r="CM426" s="72">
        <f t="shared" ref="CM426:CM427" si="4102">AA426</f>
        <v>130</v>
      </c>
      <c r="CN426" s="72">
        <f t="shared" ref="CN426:CN427" si="4103">AE426</f>
        <v>160</v>
      </c>
      <c r="CO426" s="72">
        <f t="shared" ref="CO426:CO427" si="4104">AI426</f>
        <v>170</v>
      </c>
      <c r="CP426" s="72">
        <f t="shared" ref="CP426:CP427" si="4105">AM426</f>
        <v>213</v>
      </c>
      <c r="CQ426" s="72">
        <f t="shared" ref="CQ426:CQ427" si="4106">AQ426</f>
        <v>256</v>
      </c>
      <c r="CR426" s="72">
        <f t="shared" ref="CR426:CR427" si="4107">AU426</f>
        <v>293</v>
      </c>
      <c r="CS426" s="72">
        <f t="shared" ref="CS426:CS427" si="4108">AY426</f>
        <v>312</v>
      </c>
      <c r="CT426" s="23" t="e">
        <f t="shared" ref="CT426:CT427" si="4109">M426-K426</f>
        <v>#VALUE!</v>
      </c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  <c r="AMK426" s="1"/>
      <c r="AML426" s="1"/>
      <c r="AMM426" s="1"/>
      <c r="AMN426" s="1"/>
      <c r="AMO426" s="1"/>
    </row>
    <row r="427" spans="1:1030" x14ac:dyDescent="0.2">
      <c r="A427" s="3" t="str">
        <f t="shared" si="4082"/>
        <v>sucr1_rat_6IBB</v>
      </c>
      <c r="B427" s="3" t="s">
        <v>1591</v>
      </c>
      <c r="C427" s="3" t="s">
        <v>1592</v>
      </c>
      <c r="D427" s="3" t="str">
        <f>IFERROR(MID(VLOOKUP($B427,Seqs!$A:$B,2,0),E427,1),"")</f>
        <v>C</v>
      </c>
      <c r="E427" s="3">
        <v>7</v>
      </c>
      <c r="F427" s="3" t="str">
        <f>IFERROR(MID(VLOOKUP($B427,Seqs!$A:$B,2,0),G427,1),"")</f>
        <v>M</v>
      </c>
      <c r="G427" s="3">
        <v>48</v>
      </c>
      <c r="H427" s="3" t="str">
        <f>IFERROR(MID(VLOOKUP($B427,Seqs!$A:$B,2,0),I427,1),"")</f>
        <v/>
      </c>
      <c r="I427" s="23" t="s">
        <v>23</v>
      </c>
      <c r="J427" s="3" t="str">
        <f>IFERROR(MID(VLOOKUP($B427,Seqs!$A:$B,2,0),K427,1),"")</f>
        <v/>
      </c>
      <c r="K427" s="23" t="s">
        <v>23</v>
      </c>
      <c r="L427" s="3" t="str">
        <f>IFERROR(MID(VLOOKUP($B427,Seqs!$A:$B,2,0),M427,1),"")</f>
        <v>N</v>
      </c>
      <c r="M427" s="3">
        <v>52</v>
      </c>
      <c r="N427" s="3" t="str">
        <f>IFERROR(MID(VLOOKUP($B427,Seqs!$A:$B,2,0),O427,1),"")</f>
        <v>T</v>
      </c>
      <c r="O427" s="3">
        <v>81</v>
      </c>
      <c r="P427" s="3" t="str">
        <f>IFERROR(MID(VLOOKUP($B427,Seqs!$A:$B,2,0),Q427,1),"")</f>
        <v>N</v>
      </c>
      <c r="Q427" s="3">
        <v>83</v>
      </c>
      <c r="R427" s="3" t="str">
        <f>IFERROR(MID(VLOOKUP($B427,Seqs!$A:$B,2,0),S427,1),"")</f>
        <v>Y</v>
      </c>
      <c r="S427" s="3">
        <v>86</v>
      </c>
      <c r="T427" s="3" t="str">
        <f>IFERROR(MID(VLOOKUP($B427,Seqs!$A:$B,2,0),U427,1),"")</f>
        <v>G</v>
      </c>
      <c r="U427" s="3">
        <v>87</v>
      </c>
      <c r="V427" s="3" t="str">
        <f>IFERROR(MID(VLOOKUP($B427,Seqs!$A:$B,2,0),W427,1),"")</f>
        <v>F</v>
      </c>
      <c r="W427" s="3">
        <v>122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K</v>
      </c>
      <c r="AC427" s="3">
        <v>131</v>
      </c>
      <c r="AD427" s="3" t="str">
        <f>IFERROR(MID(VLOOKUP($B427,Seqs!$A:$B,2,0),AE427,1),"")</f>
        <v>I</v>
      </c>
      <c r="AE427" s="3">
        <v>157</v>
      </c>
      <c r="AF427" s="3" t="str">
        <f>IFERROR(MID(VLOOKUP($B427,Seqs!$A:$B,2,0),AG427,1),"")</f>
        <v>C</v>
      </c>
      <c r="AG427" s="3">
        <v>168</v>
      </c>
      <c r="AH427" s="3" t="str">
        <f>IFERROR(MID(VLOOKUP($B427,Seqs!$A:$B,2,0),AI427,1),"")</f>
        <v>D</v>
      </c>
      <c r="AI427" s="3">
        <v>170</v>
      </c>
      <c r="AJ427" s="3" t="str">
        <f>IFERROR(MID(VLOOKUP($B427,Seqs!$A:$B,2,0),AK427,1),"")</f>
        <v>N</v>
      </c>
      <c r="AK427" s="3">
        <v>176</v>
      </c>
      <c r="AL427" s="3" t="str">
        <f>IFERROR(MID(VLOOKUP($B427,Seqs!$A:$B,2,0),AM427,1),"")</f>
        <v>R</v>
      </c>
      <c r="AM427" s="3">
        <v>213</v>
      </c>
      <c r="AN427" s="3" t="str">
        <f>IFERROR(MID(VLOOKUP($B427,Seqs!$A:$B,2,0),AO427,1),"")</f>
        <v>L</v>
      </c>
      <c r="AO427" s="3">
        <v>227</v>
      </c>
      <c r="AP427" s="3" t="str">
        <f>IFERROR(MID(VLOOKUP($B427,Seqs!$A:$B,2,0),AQ427,1),"")</f>
        <v>L</v>
      </c>
      <c r="AQ427" s="3">
        <v>256</v>
      </c>
      <c r="AR427" s="3" t="str">
        <f>IFERROR(MID(VLOOKUP($B427,Seqs!$A:$B,2,0),AS427,1),"")</f>
        <v>C</v>
      </c>
      <c r="AS427" s="3">
        <v>263</v>
      </c>
      <c r="AT427" s="3" t="str">
        <f>IFERROR(MID(VLOOKUP($B427,Seqs!$A:$B,2,0),AU427,1),"")</f>
        <v>L</v>
      </c>
      <c r="AU427" s="105">
        <v>292</v>
      </c>
      <c r="AV427" s="3" t="str">
        <f>IFERROR(MID(VLOOKUP($B427,Seqs!$A:$B,2,0),AW427,1),"")</f>
        <v>H</v>
      </c>
      <c r="AW427" s="3">
        <v>296</v>
      </c>
      <c r="AX427" s="3" t="str">
        <f>IFERROR(MID(VLOOKUP($B427,Seqs!$A:$B,2,0),AY427,1),"")</f>
        <v>L</v>
      </c>
      <c r="AY427" s="3">
        <v>312</v>
      </c>
      <c r="AZ427" s="77" t="str">
        <f>VLOOKUP(B427,Classification!A:D,2,0)</f>
        <v>A</v>
      </c>
      <c r="BA427" s="94" t="str">
        <f>VLOOKUP(B427,Classification!A:D,4,0)</f>
        <v>Succinate</v>
      </c>
      <c r="BB427" s="27" t="b">
        <f t="shared" si="4083"/>
        <v>1</v>
      </c>
      <c r="BC427" s="23">
        <f t="shared" si="4084"/>
        <v>259</v>
      </c>
      <c r="BD427" s="2" t="s">
        <v>23</v>
      </c>
      <c r="BE427" s="3" t="s">
        <v>1285</v>
      </c>
      <c r="BF427" s="118">
        <v>2.12</v>
      </c>
      <c r="BG427" s="49" t="s">
        <v>1</v>
      </c>
      <c r="BH427" s="49" t="s">
        <v>1</v>
      </c>
      <c r="BI427" s="1"/>
      <c r="BJ427" s="70" t="s">
        <v>1281</v>
      </c>
      <c r="BK427" s="57" t="s">
        <v>1281</v>
      </c>
      <c r="BL427" s="57" t="s">
        <v>1281</v>
      </c>
      <c r="BM427" s="57" t="s">
        <v>1281</v>
      </c>
      <c r="BN427" s="57" t="s">
        <v>1281</v>
      </c>
      <c r="BO427" s="57" t="s">
        <v>1281</v>
      </c>
      <c r="BP427" s="57" t="s">
        <v>1281</v>
      </c>
      <c r="BQ427" s="57" t="s">
        <v>1281</v>
      </c>
      <c r="BR427" s="57" t="s">
        <v>1281</v>
      </c>
      <c r="BS427" s="57" t="s">
        <v>1281</v>
      </c>
      <c r="BT427" s="57" t="s">
        <v>1281</v>
      </c>
      <c r="BU427" s="57" t="s">
        <v>1281</v>
      </c>
      <c r="BV427" s="70">
        <f t="shared" si="4085"/>
        <v>7</v>
      </c>
      <c r="BW427" s="71" t="str">
        <f t="shared" si="4086"/>
        <v>-</v>
      </c>
      <c r="BX427" s="72">
        <f t="shared" si="4087"/>
        <v>52</v>
      </c>
      <c r="BY427" s="71">
        <f t="shared" si="4088"/>
        <v>83</v>
      </c>
      <c r="BZ427" s="72">
        <f t="shared" si="4089"/>
        <v>87</v>
      </c>
      <c r="CA427" s="71" t="str">
        <f t="shared" si="4090"/>
        <v>-</v>
      </c>
      <c r="CB427" s="72">
        <f t="shared" si="4091"/>
        <v>131</v>
      </c>
      <c r="CC427" s="71">
        <f t="shared" si="4092"/>
        <v>168</v>
      </c>
      <c r="CD427" s="72">
        <f t="shared" si="4093"/>
        <v>176</v>
      </c>
      <c r="CE427" s="71">
        <f t="shared" si="4094"/>
        <v>227</v>
      </c>
      <c r="CF427" s="72">
        <f t="shared" si="4095"/>
        <v>263</v>
      </c>
      <c r="CG427" s="71">
        <f t="shared" si="4096"/>
        <v>296</v>
      </c>
      <c r="CH427" s="70">
        <f t="shared" si="4097"/>
        <v>48</v>
      </c>
      <c r="CI427" s="71" t="str">
        <f t="shared" si="4098"/>
        <v>-</v>
      </c>
      <c r="CJ427" s="72">
        <f t="shared" si="4099"/>
        <v>81</v>
      </c>
      <c r="CK427" s="72">
        <f t="shared" si="4100"/>
        <v>86</v>
      </c>
      <c r="CL427" s="72">
        <f t="shared" si="4101"/>
        <v>122</v>
      </c>
      <c r="CM427" s="72" t="str">
        <f t="shared" si="4102"/>
        <v>-</v>
      </c>
      <c r="CN427" s="72">
        <f t="shared" si="4103"/>
        <v>157</v>
      </c>
      <c r="CO427" s="72">
        <f t="shared" si="4104"/>
        <v>170</v>
      </c>
      <c r="CP427" s="72">
        <f t="shared" si="4105"/>
        <v>213</v>
      </c>
      <c r="CQ427" s="72">
        <f t="shared" si="4106"/>
        <v>256</v>
      </c>
      <c r="CR427" s="72">
        <f t="shared" si="4107"/>
        <v>292</v>
      </c>
      <c r="CS427" s="72">
        <f t="shared" si="4108"/>
        <v>312</v>
      </c>
      <c r="CT427" s="23" t="e">
        <f t="shared" si="4109"/>
        <v>#VALUE!</v>
      </c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  <c r="AMK427" s="1"/>
      <c r="AML427" s="1"/>
      <c r="AMM427" s="1"/>
      <c r="AMN427" s="1"/>
      <c r="AMO427" s="1"/>
    </row>
    <row r="428" spans="1:1030" x14ac:dyDescent="0.2">
      <c r="A428" s="3" t="str">
        <f t="shared" ref="A428" si="4110">CONCATENATE(B428,"_",C428)</f>
        <v>sucr1_rat_6RNK</v>
      </c>
      <c r="B428" s="3" t="s">
        <v>1591</v>
      </c>
      <c r="C428" s="3" t="s">
        <v>1594</v>
      </c>
      <c r="D428" s="3" t="str">
        <f>IFERROR(MID(VLOOKUP($B428,Seqs!$A:$B,2,0),E428,1),"")</f>
        <v>C</v>
      </c>
      <c r="E428" s="3">
        <v>7</v>
      </c>
      <c r="F428" s="3" t="str">
        <f>IFERROR(MID(VLOOKUP($B428,Seqs!$A:$B,2,0),G428,1),"")</f>
        <v>M</v>
      </c>
      <c r="G428" s="3">
        <v>48</v>
      </c>
      <c r="H428" s="3" t="str">
        <f>IFERROR(MID(VLOOKUP($B428,Seqs!$A:$B,2,0),I428,1),"")</f>
        <v/>
      </c>
      <c r="I428" s="23" t="s">
        <v>23</v>
      </c>
      <c r="J428" s="3" t="str">
        <f>IFERROR(MID(VLOOKUP($B428,Seqs!$A:$B,2,0),K428,1),"")</f>
        <v/>
      </c>
      <c r="K428" s="23" t="s">
        <v>23</v>
      </c>
      <c r="L428" s="3" t="str">
        <f>IFERROR(MID(VLOOKUP($B428,Seqs!$A:$B,2,0),M428,1),"")</f>
        <v>N</v>
      </c>
      <c r="M428" s="3">
        <v>52</v>
      </c>
      <c r="N428" s="3" t="str">
        <f>IFERROR(MID(VLOOKUP($B428,Seqs!$A:$B,2,0),O428,1),"")</f>
        <v>G</v>
      </c>
      <c r="O428" s="3">
        <v>82</v>
      </c>
      <c r="P428" s="3" t="str">
        <f>IFERROR(MID(VLOOKUP($B428,Seqs!$A:$B,2,0),Q428,1),"")</f>
        <v>N</v>
      </c>
      <c r="Q428" s="3">
        <v>83</v>
      </c>
      <c r="R428" s="3" t="str">
        <f>IFERROR(MID(VLOOKUP($B428,Seqs!$A:$B,2,0),S428,1),"")</f>
        <v>Y</v>
      </c>
      <c r="S428" s="3">
        <v>86</v>
      </c>
      <c r="T428" s="3" t="str">
        <f>IFERROR(MID(VLOOKUP($B428,Seqs!$A:$B,2,0),U428,1),"")</f>
        <v>G</v>
      </c>
      <c r="U428" s="3">
        <v>87</v>
      </c>
      <c r="V428" s="3" t="str">
        <f>IFERROR(MID(VLOOKUP($B428,Seqs!$A:$B,2,0),W428,1),"")</f>
        <v>F</v>
      </c>
      <c r="W428" s="3">
        <v>122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K</v>
      </c>
      <c r="AC428" s="3">
        <v>131</v>
      </c>
      <c r="AD428" s="3" t="str">
        <f>IFERROR(MID(VLOOKUP($B428,Seqs!$A:$B,2,0),AE428,1),"")</f>
        <v>T</v>
      </c>
      <c r="AE428" s="3">
        <v>160</v>
      </c>
      <c r="AF428" s="3" t="str">
        <f>IFERROR(MID(VLOOKUP($B428,Seqs!$A:$B,2,0),AG428,1),"")</f>
        <v>C</v>
      </c>
      <c r="AG428" s="3">
        <v>168</v>
      </c>
      <c r="AH428" s="3" t="str">
        <f>IFERROR(MID(VLOOKUP($B428,Seqs!$A:$B,2,0),AI428,1),"")</f>
        <v>D</v>
      </c>
      <c r="AI428" s="3">
        <v>170</v>
      </c>
      <c r="AJ428" s="3" t="str">
        <f>IFERROR(MID(VLOOKUP($B428,Seqs!$A:$B,2,0),AK428,1),"")</f>
        <v>N</v>
      </c>
      <c r="AK428" s="3">
        <v>176</v>
      </c>
      <c r="AL428" s="3" t="str">
        <f>IFERROR(MID(VLOOKUP($B428,Seqs!$A:$B,2,0),AM428,1),"")</f>
        <v>S</v>
      </c>
      <c r="AM428" s="3">
        <v>214</v>
      </c>
      <c r="AN428" s="3" t="str">
        <f>IFERROR(MID(VLOOKUP($B428,Seqs!$A:$B,2,0),AO428,1),"")</f>
        <v>N</v>
      </c>
      <c r="AO428" s="3">
        <v>224</v>
      </c>
      <c r="AP428" s="3" t="str">
        <f>IFERROR(MID(VLOOKUP($B428,Seqs!$A:$B,2,0),AQ428,1),"")</f>
        <v>L</v>
      </c>
      <c r="AQ428" s="3">
        <v>256</v>
      </c>
      <c r="AR428" s="3" t="str">
        <f>IFERROR(MID(VLOOKUP($B428,Seqs!$A:$B,2,0),AS428,1),"")</f>
        <v>G</v>
      </c>
      <c r="AS428" s="3">
        <v>262</v>
      </c>
      <c r="AT428" s="3" t="str">
        <f>IFERROR(MID(VLOOKUP($B428,Seqs!$A:$B,2,0),AU428,1),"")</f>
        <v>L</v>
      </c>
      <c r="AU428" s="105">
        <v>292</v>
      </c>
      <c r="AV428" s="3" t="str">
        <f>IFERROR(MID(VLOOKUP($B428,Seqs!$A:$B,2,0),AW428,1),"")</f>
        <v>H</v>
      </c>
      <c r="AW428" s="3">
        <v>296</v>
      </c>
      <c r="AX428" s="3" t="str">
        <f>IFERROR(MID(VLOOKUP($B428,Seqs!$A:$B,2,0),AY428,1),"")</f>
        <v>L</v>
      </c>
      <c r="AY428" s="3">
        <v>305</v>
      </c>
      <c r="AZ428" s="77" t="str">
        <f>VLOOKUP(B428,Classification!A:D,2,0)</f>
        <v>A</v>
      </c>
      <c r="BA428" s="94" t="str">
        <f>VLOOKUP(B428,Classification!A:D,4,0)</f>
        <v>Succinate</v>
      </c>
      <c r="BB428" s="27" t="b">
        <f t="shared" ref="BB428" si="4111">AND(E428&lt;G428,OR(G428&lt;I428,I428="-"),OR(I428&lt;K428,I428="-"),OR(K428&lt;M428,K428="-"),M428&lt;O428,OR(O428&lt;Q428,Q428="-"),OR(Q428&lt;S428,Q428="-"),OR(S428&lt;U428,S428="-"),U428&lt;W428,OR(W428&lt;Y428,Y428="-"),OR(Y428&lt;AA428,Y428="-"),OR(AA428&lt;AC428,AA428="-"),AC428&lt;AE428,OR(AE428&lt;AG428,AG428="-"),OR(AG428&lt;AI428,AG428="-"),OR(AI428&lt;AK428,AI428="-"),AK428&lt;AM428,AM428&lt;AO428,AO428&lt;AQ428,AQ428&lt;AS428,AS428&lt;AU428,OR(AU428&lt;AW428,AW428="-"),OR(AW428&lt;AY428,AW428="-"))</f>
        <v>1</v>
      </c>
      <c r="BC428" s="23">
        <f t="shared" ref="BC428" si="4112">_xlfn.AGGREGATE(9,6,CH428:CS428)-_xlfn.AGGREGATE(9,6,BV428:CG428)+12</f>
        <v>261</v>
      </c>
      <c r="BD428" s="2" t="s">
        <v>1369</v>
      </c>
      <c r="BE428" s="3" t="s">
        <v>1285</v>
      </c>
      <c r="BF428" s="118">
        <v>1.94</v>
      </c>
      <c r="BG428" s="49" t="s">
        <v>1</v>
      </c>
      <c r="BH428" s="49" t="s">
        <v>1</v>
      </c>
      <c r="BI428" s="1"/>
      <c r="BJ428" s="70" t="s">
        <v>1281</v>
      </c>
      <c r="BK428" s="57" t="s">
        <v>1281</v>
      </c>
      <c r="BL428" s="57" t="s">
        <v>1281</v>
      </c>
      <c r="BM428" s="57" t="s">
        <v>1281</v>
      </c>
      <c r="BN428" s="57" t="s">
        <v>1281</v>
      </c>
      <c r="BO428" s="57" t="s">
        <v>1281</v>
      </c>
      <c r="BP428" s="57" t="s">
        <v>1281</v>
      </c>
      <c r="BQ428" s="57" t="s">
        <v>1281</v>
      </c>
      <c r="BR428" s="57" t="s">
        <v>1281</v>
      </c>
      <c r="BS428" s="57" t="s">
        <v>1281</v>
      </c>
      <c r="BT428" s="57" t="s">
        <v>1281</v>
      </c>
      <c r="BU428" s="57" t="s">
        <v>1281</v>
      </c>
      <c r="BV428" s="70">
        <f t="shared" ref="BV428" si="4113">E428</f>
        <v>7</v>
      </c>
      <c r="BW428" s="71" t="str">
        <f t="shared" ref="BW428" si="4114">I428</f>
        <v>-</v>
      </c>
      <c r="BX428" s="72">
        <f t="shared" ref="BX428" si="4115">M428</f>
        <v>52</v>
      </c>
      <c r="BY428" s="71">
        <f t="shared" ref="BY428" si="4116">Q428</f>
        <v>83</v>
      </c>
      <c r="BZ428" s="72">
        <f t="shared" ref="BZ428" si="4117">U428</f>
        <v>87</v>
      </c>
      <c r="CA428" s="71" t="str">
        <f t="shared" ref="CA428" si="4118">Y428</f>
        <v>-</v>
      </c>
      <c r="CB428" s="72">
        <f t="shared" ref="CB428" si="4119">AC428</f>
        <v>131</v>
      </c>
      <c r="CC428" s="71">
        <f t="shared" ref="CC428" si="4120">AG428</f>
        <v>168</v>
      </c>
      <c r="CD428" s="72">
        <f t="shared" ref="CD428" si="4121">AK428</f>
        <v>176</v>
      </c>
      <c r="CE428" s="71">
        <f t="shared" ref="CE428" si="4122">AO428</f>
        <v>224</v>
      </c>
      <c r="CF428" s="72">
        <f t="shared" ref="CF428" si="4123">AS428</f>
        <v>262</v>
      </c>
      <c r="CG428" s="71">
        <f t="shared" ref="CG428" si="4124">AW428</f>
        <v>296</v>
      </c>
      <c r="CH428" s="70">
        <f t="shared" ref="CH428" si="4125">G428</f>
        <v>48</v>
      </c>
      <c r="CI428" s="71" t="str">
        <f t="shared" ref="CI428" si="4126">K428</f>
        <v>-</v>
      </c>
      <c r="CJ428" s="72">
        <f t="shared" ref="CJ428" si="4127">O428</f>
        <v>82</v>
      </c>
      <c r="CK428" s="72">
        <f t="shared" ref="CK428" si="4128">S428</f>
        <v>86</v>
      </c>
      <c r="CL428" s="72">
        <f t="shared" ref="CL428" si="4129">W428</f>
        <v>122</v>
      </c>
      <c r="CM428" s="72" t="str">
        <f t="shared" ref="CM428" si="4130">AA428</f>
        <v>-</v>
      </c>
      <c r="CN428" s="72">
        <f t="shared" ref="CN428" si="4131">AE428</f>
        <v>160</v>
      </c>
      <c r="CO428" s="72">
        <f t="shared" ref="CO428" si="4132">AI428</f>
        <v>170</v>
      </c>
      <c r="CP428" s="72">
        <f t="shared" ref="CP428" si="4133">AM428</f>
        <v>214</v>
      </c>
      <c r="CQ428" s="72">
        <f t="shared" ref="CQ428" si="4134">AQ428</f>
        <v>256</v>
      </c>
      <c r="CR428" s="72">
        <f t="shared" ref="CR428" si="4135">AU428</f>
        <v>292</v>
      </c>
      <c r="CS428" s="72">
        <f t="shared" ref="CS428" si="4136">AY428</f>
        <v>305</v>
      </c>
      <c r="CT428" s="23" t="e">
        <f t="shared" ref="CT428" si="4137">M428-K428</f>
        <v>#VALUE!</v>
      </c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  <c r="AMK428" s="1"/>
      <c r="AML428" s="1"/>
      <c r="AMM428" s="1"/>
      <c r="AMN428" s="1"/>
      <c r="AMO428" s="1"/>
    </row>
    <row r="429" spans="1:1030" s="12" customFormat="1" x14ac:dyDescent="0.2">
      <c r="A429" s="9" t="str">
        <f t="shared" ref="A429" si="4138">CONCATENATE(B429,"_",C429)</f>
        <v>sucr1_rat_6Z10</v>
      </c>
      <c r="B429" s="9" t="s">
        <v>1591</v>
      </c>
      <c r="C429" s="9" t="s">
        <v>1732</v>
      </c>
      <c r="D429" s="9" t="str">
        <f>IFERROR(MID(VLOOKUP($B429,Seqs!$A:$B,2,0),E429,1),"")</f>
        <v>C</v>
      </c>
      <c r="E429" s="9">
        <v>7</v>
      </c>
      <c r="F429" s="9" t="str">
        <f>IFERROR(MID(VLOOKUP($B429,Seqs!$A:$B,2,0),G429,1),"")</f>
        <v>M</v>
      </c>
      <c r="G429" s="9">
        <v>48</v>
      </c>
      <c r="H429" s="9" t="str">
        <f>IFERROR(MID(VLOOKUP($B429,Seqs!$A:$B,2,0),I429,1),"")</f>
        <v/>
      </c>
      <c r="I429" s="109" t="s">
        <v>23</v>
      </c>
      <c r="J429" s="9" t="str">
        <f>IFERROR(MID(VLOOKUP($B429,Seqs!$A:$B,2,0),K429,1),"")</f>
        <v/>
      </c>
      <c r="K429" s="109" t="s">
        <v>23</v>
      </c>
      <c r="L429" s="9" t="str">
        <f>IFERROR(MID(VLOOKUP($B429,Seqs!$A:$B,2,0),M429,1),"")</f>
        <v>N</v>
      </c>
      <c r="M429" s="9">
        <v>52</v>
      </c>
      <c r="N429" s="9" t="str">
        <f>IFERROR(MID(VLOOKUP($B429,Seqs!$A:$B,2,0),O429,1),"")</f>
        <v>G</v>
      </c>
      <c r="O429" s="9">
        <v>82</v>
      </c>
      <c r="P429" s="9" t="str">
        <f>IFERROR(MID(VLOOKUP($B429,Seqs!$A:$B,2,0),Q429,1),"")</f>
        <v>N</v>
      </c>
      <c r="Q429" s="9">
        <v>83</v>
      </c>
      <c r="R429" s="9" t="str">
        <f>IFERROR(MID(VLOOKUP($B429,Seqs!$A:$B,2,0),S429,1),"")</f>
        <v>Y</v>
      </c>
      <c r="S429" s="9">
        <v>86</v>
      </c>
      <c r="T429" s="9" t="str">
        <f>IFERROR(MID(VLOOKUP($B429,Seqs!$A:$B,2,0),U429,1),"")</f>
        <v>G</v>
      </c>
      <c r="U429" s="9">
        <v>87</v>
      </c>
      <c r="V429" s="9" t="str">
        <f>IFERROR(MID(VLOOKUP($B429,Seqs!$A:$B,2,0),W429,1),"")</f>
        <v>F</v>
      </c>
      <c r="W429" s="9">
        <v>122</v>
      </c>
      <c r="X429" s="9" t="str">
        <f>IFERROR(MID(VLOOKUP($B429,Seqs!$A:$B,2,0),Y429,1),"")</f>
        <v/>
      </c>
      <c r="Y429" s="9" t="s">
        <v>23</v>
      </c>
      <c r="Z429" s="9" t="str">
        <f>IFERROR(MID(VLOOKUP($B429,Seqs!$A:$B,2,0),AA429,1),"")</f>
        <v/>
      </c>
      <c r="AA429" s="9" t="s">
        <v>23</v>
      </c>
      <c r="AB429" s="9" t="str">
        <f>IFERROR(MID(VLOOKUP($B429,Seqs!$A:$B,2,0),AC429,1),"")</f>
        <v>K</v>
      </c>
      <c r="AC429" s="9">
        <v>131</v>
      </c>
      <c r="AD429" s="9" t="str">
        <f>IFERROR(MID(VLOOKUP($B429,Seqs!$A:$B,2,0),AE429,1),"")</f>
        <v>T</v>
      </c>
      <c r="AE429" s="9">
        <v>160</v>
      </c>
      <c r="AF429" s="9" t="str">
        <f>IFERROR(MID(VLOOKUP($B429,Seqs!$A:$B,2,0),AG429,1),"")</f>
        <v>C</v>
      </c>
      <c r="AG429" s="9">
        <v>168</v>
      </c>
      <c r="AH429" s="9" t="str">
        <f>IFERROR(MID(VLOOKUP($B429,Seqs!$A:$B,2,0),AI429,1),"")</f>
        <v>D</v>
      </c>
      <c r="AI429" s="9">
        <v>170</v>
      </c>
      <c r="AJ429" s="9" t="str">
        <f>IFERROR(MID(VLOOKUP($B429,Seqs!$A:$B,2,0),AK429,1),"")</f>
        <v>N</v>
      </c>
      <c r="AK429" s="9">
        <v>176</v>
      </c>
      <c r="AL429" s="9" t="str">
        <f>IFERROR(MID(VLOOKUP($B429,Seqs!$A:$B,2,0),AM429,1),"")</f>
        <v>S</v>
      </c>
      <c r="AM429" s="9">
        <v>214</v>
      </c>
      <c r="AN429" s="9" t="str">
        <f>IFERROR(MID(VLOOKUP($B429,Seqs!$A:$B,2,0),AO429,1),"")</f>
        <v>N</v>
      </c>
      <c r="AO429" s="9">
        <v>224</v>
      </c>
      <c r="AP429" s="9" t="str">
        <f>IFERROR(MID(VLOOKUP($B429,Seqs!$A:$B,2,0),AQ429,1),"")</f>
        <v>L</v>
      </c>
      <c r="AQ429" s="9">
        <v>256</v>
      </c>
      <c r="AR429" s="9" t="str">
        <f>IFERROR(MID(VLOOKUP($B429,Seqs!$A:$B,2,0),AS429,1),"")</f>
        <v>G</v>
      </c>
      <c r="AS429" s="9">
        <v>262</v>
      </c>
      <c r="AT429" s="9" t="str">
        <f>IFERROR(MID(VLOOKUP($B429,Seqs!$A:$B,2,0),AU429,1),"")</f>
        <v>L</v>
      </c>
      <c r="AU429" s="105">
        <v>292</v>
      </c>
      <c r="AV429" s="9" t="str">
        <f>IFERROR(MID(VLOOKUP($B429,Seqs!$A:$B,2,0),AW429,1),"")</f>
        <v>H</v>
      </c>
      <c r="AW429" s="9">
        <v>296</v>
      </c>
      <c r="AX429" s="9" t="str">
        <f>IFERROR(MID(VLOOKUP($B429,Seqs!$A:$B,2,0),AY429,1),"")</f>
        <v>K</v>
      </c>
      <c r="AY429" s="9">
        <v>304</v>
      </c>
      <c r="AZ429" s="110" t="str">
        <f>VLOOKUP(B429,Classification!A:D,2,0)</f>
        <v>A</v>
      </c>
      <c r="BA429" s="98" t="str">
        <f>VLOOKUP(B429,Classification!A:D,4,0)</f>
        <v>Succinate</v>
      </c>
      <c r="BB429" s="36" t="b">
        <f t="shared" ref="BB429" si="4139">AND(E429&lt;G429,OR(G429&lt;I429,I429="-"),OR(I429&lt;K429,I429="-"),OR(K429&lt;M429,K429="-"),M429&lt;O429,OR(O429&lt;Q429,Q429="-"),OR(Q429&lt;S429,Q429="-"),OR(S429&lt;U429,S429="-"),U429&lt;W429,OR(W429&lt;Y429,Y429="-"),OR(Y429&lt;AA429,Y429="-"),OR(AA429&lt;AC429,AA429="-"),AC429&lt;AE429,OR(AE429&lt;AG429,AG429="-"),OR(AG429&lt;AI429,AG429="-"),OR(AI429&lt;AK429,AI429="-"),AK429&lt;AM429,AM429&lt;AO429,AO429&lt;AQ429,AQ429&lt;AS429,AS429&lt;AU429,OR(AU429&lt;AW429,AW429="-"),OR(AW429&lt;AY429,AW429="-"))</f>
        <v>1</v>
      </c>
      <c r="BC429" s="109">
        <f t="shared" ref="BC429" si="4140">_xlfn.AGGREGATE(9,6,CH429:CS429)-_xlfn.AGGREGATE(9,6,BV429:CG429)+12</f>
        <v>260</v>
      </c>
      <c r="BD429" s="40" t="s">
        <v>23</v>
      </c>
      <c r="BE429" s="9" t="s">
        <v>1285</v>
      </c>
      <c r="BF429" s="119">
        <v>2.27</v>
      </c>
      <c r="BG429" s="51" t="s">
        <v>1</v>
      </c>
      <c r="BH429" s="51" t="s">
        <v>1</v>
      </c>
      <c r="BJ429" s="111" t="s">
        <v>1281</v>
      </c>
      <c r="BK429" s="112" t="s">
        <v>1281</v>
      </c>
      <c r="BL429" s="112" t="s">
        <v>1281</v>
      </c>
      <c r="BM429" s="112" t="s">
        <v>1281</v>
      </c>
      <c r="BN429" s="112" t="s">
        <v>1281</v>
      </c>
      <c r="BO429" s="112" t="s">
        <v>1281</v>
      </c>
      <c r="BP429" s="112" t="s">
        <v>1281</v>
      </c>
      <c r="BQ429" s="112" t="s">
        <v>1281</v>
      </c>
      <c r="BR429" s="112" t="s">
        <v>1281</v>
      </c>
      <c r="BS429" s="112" t="s">
        <v>1281</v>
      </c>
      <c r="BT429" s="112" t="s">
        <v>1281</v>
      </c>
      <c r="BU429" s="112" t="s">
        <v>1281</v>
      </c>
      <c r="BV429" s="111">
        <f t="shared" ref="BV429" si="4141">E429</f>
        <v>7</v>
      </c>
      <c r="BW429" s="113" t="str">
        <f t="shared" ref="BW429" si="4142">I429</f>
        <v>-</v>
      </c>
      <c r="BX429" s="114">
        <f t="shared" ref="BX429" si="4143">M429</f>
        <v>52</v>
      </c>
      <c r="BY429" s="113">
        <f t="shared" ref="BY429" si="4144">Q429</f>
        <v>83</v>
      </c>
      <c r="BZ429" s="114">
        <f t="shared" ref="BZ429" si="4145">U429</f>
        <v>87</v>
      </c>
      <c r="CA429" s="113" t="str">
        <f t="shared" ref="CA429" si="4146">Y429</f>
        <v>-</v>
      </c>
      <c r="CB429" s="114">
        <f t="shared" ref="CB429" si="4147">AC429</f>
        <v>131</v>
      </c>
      <c r="CC429" s="113">
        <f t="shared" ref="CC429" si="4148">AG429</f>
        <v>168</v>
      </c>
      <c r="CD429" s="114">
        <f t="shared" ref="CD429" si="4149">AK429</f>
        <v>176</v>
      </c>
      <c r="CE429" s="113">
        <f t="shared" ref="CE429" si="4150">AO429</f>
        <v>224</v>
      </c>
      <c r="CF429" s="114">
        <f t="shared" ref="CF429" si="4151">AS429</f>
        <v>262</v>
      </c>
      <c r="CG429" s="113">
        <f t="shared" ref="CG429" si="4152">AW429</f>
        <v>296</v>
      </c>
      <c r="CH429" s="111">
        <f t="shared" ref="CH429" si="4153">G429</f>
        <v>48</v>
      </c>
      <c r="CI429" s="113" t="str">
        <f t="shared" ref="CI429" si="4154">K429</f>
        <v>-</v>
      </c>
      <c r="CJ429" s="114">
        <f t="shared" ref="CJ429" si="4155">O429</f>
        <v>82</v>
      </c>
      <c r="CK429" s="114">
        <f t="shared" ref="CK429" si="4156">S429</f>
        <v>86</v>
      </c>
      <c r="CL429" s="114">
        <f t="shared" ref="CL429" si="4157">W429</f>
        <v>122</v>
      </c>
      <c r="CM429" s="114" t="str">
        <f t="shared" ref="CM429" si="4158">AA429</f>
        <v>-</v>
      </c>
      <c r="CN429" s="114">
        <f t="shared" ref="CN429" si="4159">AE429</f>
        <v>160</v>
      </c>
      <c r="CO429" s="114">
        <f t="shared" ref="CO429" si="4160">AI429</f>
        <v>170</v>
      </c>
      <c r="CP429" s="114">
        <f t="shared" ref="CP429" si="4161">AM429</f>
        <v>214</v>
      </c>
      <c r="CQ429" s="114">
        <f t="shared" ref="CQ429" si="4162">AQ429</f>
        <v>256</v>
      </c>
      <c r="CR429" s="114">
        <f t="shared" ref="CR429" si="4163">AU429</f>
        <v>292</v>
      </c>
      <c r="CS429" s="114">
        <f t="shared" ref="CS429" si="4164">AY429</f>
        <v>304</v>
      </c>
      <c r="CT429" s="109" t="e">
        <f t="shared" ref="CT429" si="4165">M429-K429</f>
        <v>#VALUE!</v>
      </c>
    </row>
    <row r="430" spans="1:1030" x14ac:dyDescent="0.2">
      <c r="A430" s="3" t="str">
        <f t="shared" si="3240"/>
        <v>us28_hcmva__wt</v>
      </c>
      <c r="B430" s="3" t="s">
        <v>917</v>
      </c>
      <c r="C430" s="3" t="s">
        <v>100</v>
      </c>
      <c r="D430" s="3" t="str">
        <f>IFERROR(MID(VLOOKUP($B430,Seqs!$A:$B,2,0),E430,1),"")</f>
        <v>F</v>
      </c>
      <c r="E430" s="105">
        <v>25</v>
      </c>
      <c r="F430" s="3" t="str">
        <f>IFERROR(MID(VLOOKUP($B430,Seqs!$A:$B,2,0),G430,1),"")</f>
        <v>R</v>
      </c>
      <c r="G430" s="3">
        <v>61</v>
      </c>
      <c r="H430" s="3" t="str">
        <f>IFERROR(MID(VLOOKUP($B430,Seqs!$A:$B,2,0),I430,1),"")</f>
        <v>R</v>
      </c>
      <c r="I430" s="23">
        <v>62</v>
      </c>
      <c r="J430" s="3" t="str">
        <f>IFERROR(MID(VLOOKUP($B430,Seqs!$A:$B,2,0),K430,1),"")</f>
        <v>Q</v>
      </c>
      <c r="K430" s="23">
        <v>65</v>
      </c>
      <c r="L430" s="3" t="str">
        <f>IFERROR(MID(VLOOKUP($B430,Seqs!$A:$B,2,0),M430,1),"")</f>
        <v>C</v>
      </c>
      <c r="M430" s="3">
        <v>66</v>
      </c>
      <c r="N430" s="3" t="str">
        <f>IFERROR(MID(VLOOKUP($B430,Seqs!$A:$B,2,0),O430,1),"")</f>
        <v>D</v>
      </c>
      <c r="O430" s="3">
        <v>95</v>
      </c>
      <c r="P430" s="3" t="str">
        <f>IFERROR(MID(VLOOKUP($B430,Seqs!$A:$B,2,0),Q430,1),"")</f>
        <v/>
      </c>
      <c r="Q430" s="3" t="s">
        <v>23</v>
      </c>
      <c r="R430" s="3" t="str">
        <f>IFERROR(MID(VLOOKUP($B430,Seqs!$A:$B,2,0),S430,1),"")</f>
        <v/>
      </c>
      <c r="S430" s="3" t="s">
        <v>23</v>
      </c>
      <c r="T430" s="3" t="str">
        <f>IFERROR(MID(VLOOKUP($B430,Seqs!$A:$B,2,0),U430,1),"")</f>
        <v>A</v>
      </c>
      <c r="U430" s="105">
        <v>100</v>
      </c>
      <c r="V430" s="3" t="str">
        <f>IFERROR(MID(VLOOKUP($B430,Seqs!$A:$B,2,0),W430,1),"")</f>
        <v>V</v>
      </c>
      <c r="W430" s="105">
        <v>134</v>
      </c>
      <c r="X430" s="3" t="str">
        <f>IFERROR(MID(VLOOKUP($B430,Seqs!$A:$B,2,0),Y430,1),"")</f>
        <v/>
      </c>
      <c r="Y430" s="3" t="s">
        <v>23</v>
      </c>
      <c r="Z430" s="3" t="str">
        <f>IFERROR(MID(VLOOKUP($B430,Seqs!$A:$B,2,0),AA430,1),"")</f>
        <v/>
      </c>
      <c r="AA430" s="3" t="s">
        <v>23</v>
      </c>
      <c r="AB430" s="3" t="str">
        <f>IFERROR(MID(VLOOKUP($B430,Seqs!$A:$B,2,0),AC430,1),"")</f>
        <v>P</v>
      </c>
      <c r="AC430" s="9">
        <v>140</v>
      </c>
      <c r="AD430" s="3" t="str">
        <f>IFERROR(MID(VLOOKUP($B430,Seqs!$A:$B,2,0),AE430,1),"")</f>
        <v>M</v>
      </c>
      <c r="AE430" s="105">
        <v>164</v>
      </c>
      <c r="AF430" s="3" t="str">
        <f>IFERROR(MID(VLOOKUP($B430,Seqs!$A:$B,2,0),AG430,1),"")</f>
        <v>C</v>
      </c>
      <c r="AG430" s="3">
        <v>173</v>
      </c>
      <c r="AH430" s="3" t="str">
        <f>IFERROR(MID(VLOOKUP($B430,Seqs!$A:$B,2,0),AI430,1),"")</f>
        <v>T</v>
      </c>
      <c r="AI430" s="3">
        <v>175</v>
      </c>
      <c r="AJ430" s="3" t="str">
        <f>IFERROR(MID(VLOOKUP($B430,Seqs!$A:$B,2,0),AK430,1),"")</f>
        <v>S</v>
      </c>
      <c r="AK430" s="105">
        <v>183</v>
      </c>
      <c r="AL430" s="3" t="str">
        <f>IFERROR(MID(VLOOKUP($B430,Seqs!$A:$B,2,0),AM430,1),"")</f>
        <v>S</v>
      </c>
      <c r="AM430" s="3">
        <v>218</v>
      </c>
      <c r="AN430" s="3" t="str">
        <f>IFERROR(MID(VLOOKUP($B430,Seqs!$A:$B,2,0),AO430,1),"")</f>
        <v>H</v>
      </c>
      <c r="AO430" s="3">
        <v>222</v>
      </c>
      <c r="AP430" s="3" t="str">
        <f>IFERROR(MID(VLOOKUP($B430,Seqs!$A:$B,2,0),AQ430,1),"")</f>
        <v>K</v>
      </c>
      <c r="AQ430" s="3">
        <v>257</v>
      </c>
      <c r="AR430" s="3" t="str">
        <f>IFERROR(MID(VLOOKUP($B430,Seqs!$A:$B,2,0),AS430,1),"")</f>
        <v>S</v>
      </c>
      <c r="AS430" s="3">
        <v>262</v>
      </c>
      <c r="AT430" s="3" t="str">
        <f>IFERROR(MID(VLOOKUP($B430,Seqs!$A:$B,2,0),AU430,1),"")</f>
        <v>V</v>
      </c>
      <c r="AU430" s="3">
        <v>294</v>
      </c>
      <c r="AV430" s="3" t="str">
        <f>IFERROR(MID(VLOOKUP($B430,Seqs!$A:$B,2,0),AW430,1),"")</f>
        <v>G</v>
      </c>
      <c r="AW430" s="3">
        <v>295</v>
      </c>
      <c r="AX430" s="3" t="str">
        <f>IFERROR(MID(VLOOKUP($B430,Seqs!$A:$B,2,0),AY430,1),"")</f>
        <v>R</v>
      </c>
      <c r="AY430" s="3">
        <v>310</v>
      </c>
      <c r="AZ430" s="77" t="str">
        <f>VLOOKUP(B430,Classification!A:D,2,0)</f>
        <v>A</v>
      </c>
      <c r="BA430" s="94" t="str">
        <f>VLOOKUP(B430,Classification!A:D,4,0)</f>
        <v>Chemokine</v>
      </c>
      <c r="BB430" s="27" t="b">
        <f t="shared" si="3241"/>
        <v>1</v>
      </c>
      <c r="BC430" s="23">
        <f t="shared" si="3214"/>
        <v>257</v>
      </c>
      <c r="BD430" s="56" t="s">
        <v>23</v>
      </c>
      <c r="BE430" s="3" t="s">
        <v>23</v>
      </c>
      <c r="BF430" s="118" t="s">
        <v>23</v>
      </c>
      <c r="BG430" s="49" t="s">
        <v>1366</v>
      </c>
      <c r="BH430" s="49" t="s">
        <v>1371</v>
      </c>
      <c r="BI430" s="1"/>
      <c r="BJ430" s="70" t="s">
        <v>1281</v>
      </c>
      <c r="BK430" s="57" t="s">
        <v>1281</v>
      </c>
      <c r="BL430" s="57" t="s">
        <v>1281</v>
      </c>
      <c r="BM430" s="57" t="s">
        <v>1281</v>
      </c>
      <c r="BN430" s="57" t="s">
        <v>1281</v>
      </c>
      <c r="BO430" s="57" t="s">
        <v>1281</v>
      </c>
      <c r="BP430" s="57" t="s">
        <v>1281</v>
      </c>
      <c r="BQ430" s="57" t="s">
        <v>1281</v>
      </c>
      <c r="BR430" s="57" t="s">
        <v>1281</v>
      </c>
      <c r="BS430" s="57" t="s">
        <v>1281</v>
      </c>
      <c r="BT430" s="57" t="s">
        <v>1281</v>
      </c>
      <c r="BU430" s="57" t="s">
        <v>1281</v>
      </c>
      <c r="BV430" s="70">
        <f t="shared" si="3215"/>
        <v>25</v>
      </c>
      <c r="BW430" s="71">
        <f t="shared" si="3216"/>
        <v>62</v>
      </c>
      <c r="BX430" s="72">
        <f t="shared" si="3217"/>
        <v>66</v>
      </c>
      <c r="BY430" s="71" t="str">
        <f t="shared" si="3218"/>
        <v>-</v>
      </c>
      <c r="BZ430" s="72">
        <f t="shared" si="3219"/>
        <v>100</v>
      </c>
      <c r="CA430" s="71" t="str">
        <f t="shared" si="3220"/>
        <v>-</v>
      </c>
      <c r="CB430" s="72">
        <f t="shared" si="3221"/>
        <v>140</v>
      </c>
      <c r="CC430" s="71">
        <f t="shared" si="3222"/>
        <v>173</v>
      </c>
      <c r="CD430" s="72">
        <f t="shared" si="3223"/>
        <v>183</v>
      </c>
      <c r="CE430" s="71">
        <f t="shared" si="3224"/>
        <v>222</v>
      </c>
      <c r="CF430" s="72">
        <f t="shared" si="3225"/>
        <v>262</v>
      </c>
      <c r="CG430" s="71">
        <f t="shared" si="3226"/>
        <v>295</v>
      </c>
      <c r="CH430" s="70">
        <f t="shared" si="3227"/>
        <v>61</v>
      </c>
      <c r="CI430" s="71">
        <f t="shared" si="3228"/>
        <v>65</v>
      </c>
      <c r="CJ430" s="72">
        <f t="shared" si="3229"/>
        <v>95</v>
      </c>
      <c r="CK430" s="72" t="str">
        <f t="shared" si="3230"/>
        <v>-</v>
      </c>
      <c r="CL430" s="72">
        <f t="shared" si="3231"/>
        <v>134</v>
      </c>
      <c r="CM430" s="72" t="str">
        <f t="shared" si="3232"/>
        <v>-</v>
      </c>
      <c r="CN430" s="72">
        <f t="shared" si="3233"/>
        <v>164</v>
      </c>
      <c r="CO430" s="72">
        <f t="shared" si="3234"/>
        <v>175</v>
      </c>
      <c r="CP430" s="72">
        <f t="shared" si="3235"/>
        <v>218</v>
      </c>
      <c r="CQ430" s="72">
        <f t="shared" si="3236"/>
        <v>257</v>
      </c>
      <c r="CR430" s="72">
        <f t="shared" si="3237"/>
        <v>294</v>
      </c>
      <c r="CS430" s="72">
        <f t="shared" si="3238"/>
        <v>310</v>
      </c>
      <c r="CT430" s="23">
        <f t="shared" si="3239"/>
        <v>1</v>
      </c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</row>
    <row r="431" spans="1:1030" x14ac:dyDescent="0.2">
      <c r="A431" s="3" t="str">
        <f t="shared" si="3240"/>
        <v>us28_hcmva_4XT1</v>
      </c>
      <c r="B431" s="3" t="s">
        <v>917</v>
      </c>
      <c r="C431" s="3" t="s">
        <v>1117</v>
      </c>
      <c r="D431" s="3" t="str">
        <f>IFERROR(MID(VLOOKUP($B431,Seqs!$A:$B,2,0),E431,1),"")</f>
        <v>F</v>
      </c>
      <c r="E431" s="105">
        <v>25</v>
      </c>
      <c r="F431" s="3" t="str">
        <f>IFERROR(MID(VLOOKUP($B431,Seqs!$A:$B,2,0),G431,1),"")</f>
        <v>R</v>
      </c>
      <c r="G431" s="3">
        <v>61</v>
      </c>
      <c r="H431" s="3" t="str">
        <f>IFERROR(MID(VLOOKUP($B431,Seqs!$A:$B,2,0),I431,1),"")</f>
        <v/>
      </c>
      <c r="I431" s="23" t="s">
        <v>23</v>
      </c>
      <c r="J431" s="3" t="str">
        <f>IFERROR(MID(VLOOKUP($B431,Seqs!$A:$B,2,0),K431,1),"")</f>
        <v/>
      </c>
      <c r="K431" s="23" t="s">
        <v>23</v>
      </c>
      <c r="L431" s="3" t="str">
        <f>IFERROR(MID(VLOOKUP($B431,Seqs!$A:$B,2,0),M431,1),"")</f>
        <v>C</v>
      </c>
      <c r="M431" s="3">
        <v>66</v>
      </c>
      <c r="N431" s="3" t="str">
        <f>IFERROR(MID(VLOOKUP($B431,Seqs!$A:$B,2,0),O431,1),"")</f>
        <v>D</v>
      </c>
      <c r="O431" s="3">
        <v>95</v>
      </c>
      <c r="P431" s="3" t="str">
        <f>IFERROR(MID(VLOOKUP($B431,Seqs!$A:$B,2,0),Q431,1),"")</f>
        <v/>
      </c>
      <c r="Q431" s="3" t="s">
        <v>23</v>
      </c>
      <c r="R431" s="3" t="str">
        <f>IFERROR(MID(VLOOKUP($B431,Seqs!$A:$B,2,0),S431,1),"")</f>
        <v/>
      </c>
      <c r="S431" s="3" t="s">
        <v>23</v>
      </c>
      <c r="T431" s="3" t="str">
        <f>IFERROR(MID(VLOOKUP($B431,Seqs!$A:$B,2,0),U431,1),"")</f>
        <v>P</v>
      </c>
      <c r="U431" s="3">
        <v>103</v>
      </c>
      <c r="V431" s="3" t="str">
        <f>IFERROR(MID(VLOOKUP($B431,Seqs!$A:$B,2,0),W431,1),"")</f>
        <v>V</v>
      </c>
      <c r="W431" s="105">
        <v>134</v>
      </c>
      <c r="X431" s="3" t="str">
        <f>IFERROR(MID(VLOOKUP($B431,Seqs!$A:$B,2,0),Y431,1),"")</f>
        <v/>
      </c>
      <c r="Y431" s="3" t="s">
        <v>23</v>
      </c>
      <c r="Z431" s="3" t="str">
        <f>IFERROR(MID(VLOOKUP($B431,Seqs!$A:$B,2,0),AA431,1),"")</f>
        <v/>
      </c>
      <c r="AA431" s="3" t="s">
        <v>23</v>
      </c>
      <c r="AB431" s="3" t="str">
        <f>IFERROR(MID(VLOOKUP($B431,Seqs!$A:$B,2,0),AC431,1),"")</f>
        <v>P</v>
      </c>
      <c r="AC431" s="9">
        <v>140</v>
      </c>
      <c r="AD431" s="3" t="str">
        <f>IFERROR(MID(VLOOKUP($B431,Seqs!$A:$B,2,0),AE431,1),"")</f>
        <v>M</v>
      </c>
      <c r="AE431" s="105">
        <v>164</v>
      </c>
      <c r="AF431" s="3" t="str">
        <f>IFERROR(MID(VLOOKUP($B431,Seqs!$A:$B,2,0),AG431,1),"")</f>
        <v>C</v>
      </c>
      <c r="AG431" s="3">
        <v>173</v>
      </c>
      <c r="AH431" s="3" t="str">
        <f>IFERROR(MID(VLOOKUP($B431,Seqs!$A:$B,2,0),AI431,1),"")</f>
        <v>T</v>
      </c>
      <c r="AI431" s="3">
        <v>175</v>
      </c>
      <c r="AJ431" s="3" t="str">
        <f>IFERROR(MID(VLOOKUP($B431,Seqs!$A:$B,2,0),AK431,1),"")</f>
        <v>S</v>
      </c>
      <c r="AK431" s="105">
        <v>183</v>
      </c>
      <c r="AL431" s="3" t="str">
        <f>IFERROR(MID(VLOOKUP($B431,Seqs!$A:$B,2,0),AM431,1),"")</f>
        <v>S</v>
      </c>
      <c r="AM431" s="3">
        <v>218</v>
      </c>
      <c r="AN431" s="3" t="str">
        <f>IFERROR(MID(VLOOKUP($B431,Seqs!$A:$B,2,0),AO431,1),"")</f>
        <v>H</v>
      </c>
      <c r="AO431" s="3">
        <v>222</v>
      </c>
      <c r="AP431" s="3" t="str">
        <f>IFERROR(MID(VLOOKUP($B431,Seqs!$A:$B,2,0),AQ431,1),"")</f>
        <v>K</v>
      </c>
      <c r="AQ431" s="3">
        <v>257</v>
      </c>
      <c r="AR431" s="3" t="str">
        <f>IFERROR(MID(VLOOKUP($B431,Seqs!$A:$B,2,0),AS431,1),"")</f>
        <v>C</v>
      </c>
      <c r="AS431" s="3">
        <v>263</v>
      </c>
      <c r="AT431" s="3" t="str">
        <f>IFERROR(MID(VLOOKUP($B431,Seqs!$A:$B,2,0),AU431,1),"")</f>
        <v>V</v>
      </c>
      <c r="AU431" s="3">
        <v>294</v>
      </c>
      <c r="AV431" s="3" t="str">
        <f>IFERROR(MID(VLOOKUP($B431,Seqs!$A:$B,2,0),AW431,1),"")</f>
        <v>G</v>
      </c>
      <c r="AW431" s="3">
        <v>295</v>
      </c>
      <c r="AX431" s="3" t="str">
        <f>IFERROR(MID(VLOOKUP($B431,Seqs!$A:$B,2,0),AY431,1),"")</f>
        <v>R</v>
      </c>
      <c r="AY431" s="3">
        <v>310</v>
      </c>
      <c r="AZ431" s="77" t="str">
        <f>VLOOKUP(B431,Classification!A:D,2,0)</f>
        <v>A</v>
      </c>
      <c r="BA431" s="94" t="str">
        <f>VLOOKUP(B431,Classification!A:D,4,0)</f>
        <v>Chemokine</v>
      </c>
      <c r="BB431" s="27" t="b">
        <f t="shared" si="3241"/>
        <v>1</v>
      </c>
      <c r="BC431" s="23">
        <f t="shared" si="3214"/>
        <v>250</v>
      </c>
      <c r="BD431" s="4" t="s">
        <v>23</v>
      </c>
      <c r="BE431" s="3" t="s">
        <v>1285</v>
      </c>
      <c r="BF431" s="118">
        <v>2.89</v>
      </c>
      <c r="BG431" s="49" t="s">
        <v>1371</v>
      </c>
      <c r="BH431" s="49" t="s">
        <v>1371</v>
      </c>
      <c r="BI431" s="1"/>
      <c r="BJ431" s="70" t="s">
        <v>1281</v>
      </c>
      <c r="BK431" s="57" t="s">
        <v>1281</v>
      </c>
      <c r="BL431" s="57" t="s">
        <v>1281</v>
      </c>
      <c r="BM431" s="57" t="s">
        <v>1281</v>
      </c>
      <c r="BN431" s="57" t="s">
        <v>1281</v>
      </c>
      <c r="BO431" s="57" t="s">
        <v>1281</v>
      </c>
      <c r="BP431" s="57" t="s">
        <v>1281</v>
      </c>
      <c r="BQ431" s="57" t="s">
        <v>1281</v>
      </c>
      <c r="BR431" s="57" t="s">
        <v>1281</v>
      </c>
      <c r="BS431" s="57" t="s">
        <v>1281</v>
      </c>
      <c r="BT431" s="57" t="s">
        <v>1281</v>
      </c>
      <c r="BU431" s="57" t="s">
        <v>1281</v>
      </c>
      <c r="BV431" s="70">
        <f t="shared" si="3215"/>
        <v>25</v>
      </c>
      <c r="BW431" s="71" t="str">
        <f t="shared" si="3216"/>
        <v>-</v>
      </c>
      <c r="BX431" s="72">
        <f t="shared" si="3217"/>
        <v>66</v>
      </c>
      <c r="BY431" s="71" t="str">
        <f t="shared" si="3218"/>
        <v>-</v>
      </c>
      <c r="BZ431" s="72">
        <f t="shared" si="3219"/>
        <v>103</v>
      </c>
      <c r="CA431" s="71" t="str">
        <f t="shared" si="3220"/>
        <v>-</v>
      </c>
      <c r="CB431" s="72">
        <f t="shared" si="3221"/>
        <v>140</v>
      </c>
      <c r="CC431" s="71">
        <f t="shared" si="3222"/>
        <v>173</v>
      </c>
      <c r="CD431" s="72">
        <f t="shared" si="3223"/>
        <v>183</v>
      </c>
      <c r="CE431" s="71">
        <f t="shared" si="3224"/>
        <v>222</v>
      </c>
      <c r="CF431" s="72">
        <f t="shared" si="3225"/>
        <v>263</v>
      </c>
      <c r="CG431" s="71">
        <f t="shared" si="3226"/>
        <v>295</v>
      </c>
      <c r="CH431" s="70">
        <f t="shared" si="3227"/>
        <v>61</v>
      </c>
      <c r="CI431" s="71" t="str">
        <f t="shared" si="3228"/>
        <v>-</v>
      </c>
      <c r="CJ431" s="72">
        <f t="shared" si="3229"/>
        <v>95</v>
      </c>
      <c r="CK431" s="72" t="str">
        <f t="shared" si="3230"/>
        <v>-</v>
      </c>
      <c r="CL431" s="72">
        <f t="shared" si="3231"/>
        <v>134</v>
      </c>
      <c r="CM431" s="72" t="str">
        <f t="shared" si="3232"/>
        <v>-</v>
      </c>
      <c r="CN431" s="72">
        <f t="shared" si="3233"/>
        <v>164</v>
      </c>
      <c r="CO431" s="72">
        <f t="shared" si="3234"/>
        <v>175</v>
      </c>
      <c r="CP431" s="72">
        <f t="shared" si="3235"/>
        <v>218</v>
      </c>
      <c r="CQ431" s="72">
        <f t="shared" si="3236"/>
        <v>257</v>
      </c>
      <c r="CR431" s="72">
        <f t="shared" si="3237"/>
        <v>294</v>
      </c>
      <c r="CS431" s="72">
        <f t="shared" si="3238"/>
        <v>310</v>
      </c>
      <c r="CT431" s="23" t="e">
        <f t="shared" si="3239"/>
        <v>#VALUE!</v>
      </c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</row>
    <row r="432" spans="1:1030" x14ac:dyDescent="0.2">
      <c r="A432" s="3" t="str">
        <f t="shared" si="3240"/>
        <v>us28_hcmva_4XT3</v>
      </c>
      <c r="B432" s="2" t="s">
        <v>917</v>
      </c>
      <c r="C432" s="3" t="s">
        <v>1365</v>
      </c>
      <c r="D432" s="3" t="str">
        <f>IFERROR(MID(VLOOKUP($B432,Seqs!$A:$B,2,0),E432,1),"")</f>
        <v>F</v>
      </c>
      <c r="E432" s="105">
        <v>25</v>
      </c>
      <c r="F432" s="3" t="str">
        <f>IFERROR(MID(VLOOKUP($B432,Seqs!$A:$B,2,0),G432,1),"")</f>
        <v>R</v>
      </c>
      <c r="G432" s="105">
        <v>62</v>
      </c>
      <c r="H432" s="3" t="str">
        <f>IFERROR(MID(VLOOKUP($B432,Seqs!$A:$B,2,0),I432,1),"")</f>
        <v/>
      </c>
      <c r="I432" s="23" t="s">
        <v>23</v>
      </c>
      <c r="J432" s="3" t="str">
        <f>IFERROR(MID(VLOOKUP($B432,Seqs!$A:$B,2,0),K432,1),"")</f>
        <v/>
      </c>
      <c r="K432" s="23" t="s">
        <v>23</v>
      </c>
      <c r="L432" s="3" t="str">
        <f>IFERROR(MID(VLOOKUP($B432,Seqs!$A:$B,2,0),M432,1),"")</f>
        <v>C</v>
      </c>
      <c r="M432" s="3">
        <v>66</v>
      </c>
      <c r="N432" s="3" t="str">
        <f>IFERROR(MID(VLOOKUP($B432,Seqs!$A:$B,2,0),O432,1),"")</f>
        <v>D</v>
      </c>
      <c r="O432" s="3">
        <v>95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P</v>
      </c>
      <c r="U432" s="3">
        <v>103</v>
      </c>
      <c r="V432" s="3" t="str">
        <f>IFERROR(MID(VLOOKUP($B432,Seqs!$A:$B,2,0),W432,1),"")</f>
        <v>V</v>
      </c>
      <c r="W432" s="105">
        <v>134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P</v>
      </c>
      <c r="AC432" s="9">
        <v>140</v>
      </c>
      <c r="AD432" s="3" t="str">
        <f>IFERROR(MID(VLOOKUP($B432,Seqs!$A:$B,2,0),AE432,1),"")</f>
        <v>M</v>
      </c>
      <c r="AE432" s="105">
        <v>164</v>
      </c>
      <c r="AF432" s="3" t="str">
        <f>IFERROR(MID(VLOOKUP($B432,Seqs!$A:$B,2,0),AG432,1),"")</f>
        <v>C</v>
      </c>
      <c r="AG432" s="3">
        <v>173</v>
      </c>
      <c r="AH432" s="3" t="str">
        <f>IFERROR(MID(VLOOKUP($B432,Seqs!$A:$B,2,0),AI432,1),"")</f>
        <v>T</v>
      </c>
      <c r="AI432" s="3">
        <v>175</v>
      </c>
      <c r="AJ432" s="3" t="str">
        <f>IFERROR(MID(VLOOKUP($B432,Seqs!$A:$B,2,0),AK432,1),"")</f>
        <v>S</v>
      </c>
      <c r="AK432" s="105">
        <v>183</v>
      </c>
      <c r="AL432" s="3" t="str">
        <f>IFERROR(MID(VLOOKUP($B432,Seqs!$A:$B,2,0),AM432,1),"")</f>
        <v>S</v>
      </c>
      <c r="AM432" s="3">
        <v>218</v>
      </c>
      <c r="AN432" s="3" t="str">
        <f>IFERROR(MID(VLOOKUP($B432,Seqs!$A:$B,2,0),AO432,1),"")</f>
        <v>H</v>
      </c>
      <c r="AO432" s="3">
        <v>222</v>
      </c>
      <c r="AP432" s="3" t="str">
        <f>IFERROR(MID(VLOOKUP($B432,Seqs!$A:$B,2,0),AQ432,1),"")</f>
        <v>K</v>
      </c>
      <c r="AQ432" s="3">
        <v>257</v>
      </c>
      <c r="AR432" s="3" t="str">
        <f>IFERROR(MID(VLOOKUP($B432,Seqs!$A:$B,2,0),AS432,1),"")</f>
        <v>C</v>
      </c>
      <c r="AS432" s="3">
        <v>263</v>
      </c>
      <c r="AT432" s="3" t="str">
        <f>IFERROR(MID(VLOOKUP($B432,Seqs!$A:$B,2,0),AU432,1),"")</f>
        <v>V</v>
      </c>
      <c r="AU432" s="3">
        <v>294</v>
      </c>
      <c r="AV432" s="3" t="str">
        <f>IFERROR(MID(VLOOKUP($B432,Seqs!$A:$B,2,0),AW432,1),"")</f>
        <v/>
      </c>
      <c r="AW432" s="3" t="s">
        <v>23</v>
      </c>
      <c r="AX432" s="3" t="str">
        <f>IFERROR(MID(VLOOKUP($B432,Seqs!$A:$B,2,0),AY432,1),"")</f>
        <v/>
      </c>
      <c r="AY432" s="3" t="s">
        <v>23</v>
      </c>
      <c r="AZ432" s="77" t="str">
        <f>VLOOKUP(B432,Classification!A:D,2,0)</f>
        <v>A</v>
      </c>
      <c r="BA432" s="94" t="str">
        <f>VLOOKUP(B432,Classification!A:D,4,0)</f>
        <v>Chemokine</v>
      </c>
      <c r="BB432" s="27" t="b">
        <f t="shared" ref="BB432:BB440" si="4166">AND(E432&lt;G432,OR(G432&lt;I432,I432="-"),OR(I432&lt;K432,I432="-"),OR(K432&lt;M432,K432="-"),M432&lt;O432,OR(O432&lt;Q432,Q432="-"),OR(Q432&lt;S432,Q432="-"),OR(S432&lt;U432,S432="-"),U432&lt;W432,OR(W432&lt;Y432,Y432="-"),OR(Y432&lt;AA432,Y432="-"),OR(AA432&lt;AC432,AA432="-"),AC432&lt;AE432,OR(AE432&lt;AG432,AG432="-"),OR(AG432&lt;AI432,AG432="-"),OR(AI432&lt;AK432,AI432="-"),AK432&lt;AM432,AM432&lt;AO432,AO432&lt;AQ432,AQ432&lt;AS432,AS432&lt;AU432,OR(AU432&lt;AW432,AW432="-"),OR(AW432&lt;AY432,AW432="-"))</f>
        <v>1</v>
      </c>
      <c r="BC432" s="23">
        <f t="shared" ref="BC432:BC440" si="4167">_xlfn.AGGREGATE(9,6,CH432:CS432)-_xlfn.AGGREGATE(9,6,BV432:CG432)+12</f>
        <v>236</v>
      </c>
      <c r="BD432" s="4" t="s">
        <v>23</v>
      </c>
      <c r="BE432" s="3" t="s">
        <v>1285</v>
      </c>
      <c r="BF432" s="118">
        <v>3.8</v>
      </c>
      <c r="BG432" s="49" t="s">
        <v>1371</v>
      </c>
      <c r="BH432" s="49" t="s">
        <v>1371</v>
      </c>
      <c r="BI432" s="1"/>
      <c r="BJ432" s="70" t="s">
        <v>1281</v>
      </c>
      <c r="BK432" s="57" t="s">
        <v>1281</v>
      </c>
      <c r="BL432" s="57" t="s">
        <v>1281</v>
      </c>
      <c r="BM432" s="57" t="s">
        <v>1281</v>
      </c>
      <c r="BN432" s="57" t="s">
        <v>1281</v>
      </c>
      <c r="BO432" s="57" t="s">
        <v>1281</v>
      </c>
      <c r="BP432" s="57" t="s">
        <v>1281</v>
      </c>
      <c r="BQ432" s="57" t="s">
        <v>1281</v>
      </c>
      <c r="BR432" s="57" t="s">
        <v>1281</v>
      </c>
      <c r="BS432" s="57" t="s">
        <v>1281</v>
      </c>
      <c r="BT432" s="57" t="s">
        <v>1281</v>
      </c>
      <c r="BU432" s="57" t="s">
        <v>1281</v>
      </c>
      <c r="BV432" s="70">
        <f t="shared" ref="BV432:BV440" si="4168">E432</f>
        <v>25</v>
      </c>
      <c r="BW432" s="71" t="str">
        <f t="shared" ref="BW432:BW440" si="4169">I432</f>
        <v>-</v>
      </c>
      <c r="BX432" s="72">
        <f t="shared" ref="BX432:BX440" si="4170">M432</f>
        <v>66</v>
      </c>
      <c r="BY432" s="71" t="str">
        <f t="shared" ref="BY432:BY440" si="4171">Q432</f>
        <v>-</v>
      </c>
      <c r="BZ432" s="72">
        <f t="shared" ref="BZ432:BZ440" si="4172">U432</f>
        <v>103</v>
      </c>
      <c r="CA432" s="71" t="str">
        <f t="shared" ref="CA432:CA440" si="4173">Y432</f>
        <v>-</v>
      </c>
      <c r="CB432" s="72">
        <f t="shared" ref="CB432:CB440" si="4174">AC432</f>
        <v>140</v>
      </c>
      <c r="CC432" s="71">
        <f t="shared" ref="CC432:CC440" si="4175">AG432</f>
        <v>173</v>
      </c>
      <c r="CD432" s="72">
        <f t="shared" ref="CD432:CD440" si="4176">AK432</f>
        <v>183</v>
      </c>
      <c r="CE432" s="71">
        <f t="shared" ref="CE432:CE440" si="4177">AO432</f>
        <v>222</v>
      </c>
      <c r="CF432" s="72">
        <f t="shared" ref="CF432:CF440" si="4178">AS432</f>
        <v>263</v>
      </c>
      <c r="CG432" s="71" t="str">
        <f t="shared" ref="CG432:CG440" si="4179">AW432</f>
        <v>-</v>
      </c>
      <c r="CH432" s="70">
        <f t="shared" ref="CH432:CH440" si="4180">G432</f>
        <v>62</v>
      </c>
      <c r="CI432" s="71" t="str">
        <f t="shared" ref="CI432:CI440" si="4181">K432</f>
        <v>-</v>
      </c>
      <c r="CJ432" s="72">
        <f t="shared" ref="CJ432:CJ440" si="4182">O432</f>
        <v>95</v>
      </c>
      <c r="CK432" s="72" t="str">
        <f t="shared" ref="CK432:CK440" si="4183">S432</f>
        <v>-</v>
      </c>
      <c r="CL432" s="72">
        <f t="shared" ref="CL432:CL440" si="4184">W432</f>
        <v>134</v>
      </c>
      <c r="CM432" s="72" t="str">
        <f t="shared" ref="CM432:CM440" si="4185">AA432</f>
        <v>-</v>
      </c>
      <c r="CN432" s="72">
        <f t="shared" ref="CN432:CN440" si="4186">AE432</f>
        <v>164</v>
      </c>
      <c r="CO432" s="72">
        <f t="shared" ref="CO432:CO440" si="4187">AI432</f>
        <v>175</v>
      </c>
      <c r="CP432" s="72">
        <f t="shared" ref="CP432:CP440" si="4188">AM432</f>
        <v>218</v>
      </c>
      <c r="CQ432" s="72">
        <f t="shared" ref="CQ432:CQ440" si="4189">AQ432</f>
        <v>257</v>
      </c>
      <c r="CR432" s="72">
        <f t="shared" ref="CR432:CR440" si="4190">AU432</f>
        <v>294</v>
      </c>
      <c r="CS432" s="72" t="str">
        <f t="shared" ref="CS432:CS440" si="4191">AY432</f>
        <v>-</v>
      </c>
      <c r="CT432" s="23" t="e">
        <f t="shared" ref="CT432:CT440" si="4192">M432-K432</f>
        <v>#VALUE!</v>
      </c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6"/>
      <c r="JO432" s="6"/>
      <c r="JP432" s="6"/>
      <c r="JQ432" s="6"/>
      <c r="JR432" s="6"/>
      <c r="JS432" s="6"/>
      <c r="JT432" s="6"/>
      <c r="JU432" s="6"/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6"/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6"/>
      <c r="KV432" s="6"/>
      <c r="KW432" s="6"/>
      <c r="KX432" s="6"/>
      <c r="KY432" s="6"/>
      <c r="KZ432" s="6"/>
      <c r="LA432" s="6"/>
      <c r="LB432" s="6"/>
      <c r="LC432" s="6"/>
      <c r="LD432" s="6"/>
      <c r="LE432" s="6"/>
      <c r="LF432" s="6"/>
      <c r="LG432" s="6"/>
      <c r="LH432" s="6"/>
      <c r="LI432" s="6"/>
      <c r="LJ432" s="6"/>
      <c r="LK432" s="6"/>
      <c r="LL432" s="6"/>
      <c r="LM432" s="6"/>
      <c r="LN432" s="6"/>
      <c r="LO432" s="6"/>
      <c r="LP432" s="6"/>
      <c r="LQ432" s="6"/>
      <c r="LR432" s="6"/>
      <c r="LS432" s="6"/>
      <c r="LT432" s="6"/>
      <c r="LU432" s="6"/>
      <c r="LV432" s="6"/>
      <c r="LW432" s="6"/>
      <c r="LX432" s="6"/>
      <c r="LY432" s="6"/>
      <c r="LZ432" s="6"/>
      <c r="MA432" s="6"/>
      <c r="MB432" s="6"/>
      <c r="MC432" s="6"/>
      <c r="MD432" s="6"/>
      <c r="ME432" s="6"/>
      <c r="MF432" s="6"/>
      <c r="MG432" s="6"/>
      <c r="MH432" s="6"/>
      <c r="MI432" s="6"/>
      <c r="MJ432" s="6"/>
      <c r="MK432" s="6"/>
      <c r="ML432" s="6"/>
      <c r="MM432" s="6"/>
      <c r="MN432" s="6"/>
      <c r="MO432" s="6"/>
      <c r="MP432" s="6"/>
      <c r="MQ432" s="6"/>
      <c r="MR432" s="6"/>
      <c r="MS432" s="6"/>
      <c r="MT432" s="6"/>
      <c r="MU432" s="6"/>
      <c r="MV432" s="6"/>
      <c r="MW432" s="6"/>
      <c r="MX432" s="6"/>
      <c r="MY432" s="6"/>
      <c r="MZ432" s="6"/>
      <c r="NA432" s="6"/>
      <c r="NB432" s="6"/>
      <c r="NC432" s="6"/>
      <c r="ND432" s="6"/>
      <c r="NE432" s="6"/>
      <c r="NF432" s="6"/>
      <c r="NG432" s="6"/>
      <c r="NH432" s="6"/>
      <c r="NI432" s="6"/>
      <c r="NJ432" s="6"/>
      <c r="NK432" s="6"/>
      <c r="NL432" s="6"/>
      <c r="NM432" s="6"/>
      <c r="NN432" s="6"/>
      <c r="NO432" s="6"/>
      <c r="NP432" s="6"/>
      <c r="NQ432" s="6"/>
      <c r="NR432" s="6"/>
      <c r="NS432" s="6"/>
      <c r="NT432" s="6"/>
      <c r="NU432" s="6"/>
      <c r="NV432" s="6"/>
      <c r="NW432" s="6"/>
      <c r="NX432" s="6"/>
      <c r="NY432" s="6"/>
      <c r="NZ432" s="6"/>
      <c r="OA432" s="6"/>
      <c r="OB432" s="6"/>
      <c r="OC432" s="6"/>
      <c r="OD432" s="6"/>
      <c r="OE432" s="6"/>
      <c r="OF432" s="6"/>
      <c r="OG432" s="6"/>
      <c r="OH432" s="6"/>
      <c r="OI432" s="6"/>
      <c r="OJ432" s="6"/>
      <c r="OK432" s="6"/>
      <c r="OL432" s="6"/>
      <c r="OM432" s="6"/>
      <c r="ON432" s="6"/>
      <c r="OO432" s="6"/>
      <c r="OP432" s="6"/>
      <c r="OQ432" s="6"/>
      <c r="OR432" s="6"/>
      <c r="OS432" s="6"/>
      <c r="OT432" s="6"/>
      <c r="OU432" s="6"/>
      <c r="OV432" s="6"/>
      <c r="OW432" s="6"/>
      <c r="OX432" s="6"/>
      <c r="OY432" s="6"/>
      <c r="OZ432" s="6"/>
      <c r="PA432" s="6"/>
      <c r="PB432" s="6"/>
      <c r="PC432" s="6"/>
      <c r="PD432" s="6"/>
      <c r="PE432" s="6"/>
      <c r="PF432" s="6"/>
      <c r="PG432" s="6"/>
      <c r="PH432" s="6"/>
      <c r="PI432" s="6"/>
      <c r="PJ432" s="6"/>
      <c r="PK432" s="6"/>
      <c r="PL432" s="6"/>
      <c r="PM432" s="6"/>
      <c r="PN432" s="6"/>
      <c r="PO432" s="6"/>
      <c r="PP432" s="6"/>
      <c r="PQ432" s="6"/>
      <c r="PR432" s="6"/>
      <c r="PS432" s="6"/>
      <c r="PT432" s="6"/>
      <c r="PU432" s="6"/>
      <c r="PV432" s="6"/>
      <c r="PW432" s="6"/>
      <c r="PX432" s="6"/>
      <c r="PY432" s="6"/>
      <c r="PZ432" s="6"/>
      <c r="QA432" s="6"/>
      <c r="QB432" s="6"/>
      <c r="QC432" s="6"/>
      <c r="QD432" s="6"/>
      <c r="QE432" s="6"/>
      <c r="QF432" s="6"/>
      <c r="QG432" s="6"/>
      <c r="QH432" s="6"/>
      <c r="QI432" s="6"/>
      <c r="QJ432" s="6"/>
      <c r="QK432" s="6"/>
      <c r="QL432" s="6"/>
      <c r="QM432" s="6"/>
      <c r="QN432" s="6"/>
      <c r="QO432" s="6"/>
      <c r="QP432" s="6"/>
      <c r="QQ432" s="6"/>
      <c r="QR432" s="6"/>
      <c r="QS432" s="6"/>
      <c r="QT432" s="6"/>
      <c r="QU432" s="6"/>
      <c r="QV432" s="6"/>
      <c r="QW432" s="6"/>
      <c r="QX432" s="6"/>
      <c r="QY432" s="6"/>
      <c r="QZ432" s="6"/>
      <c r="RA432" s="6"/>
      <c r="RB432" s="6"/>
      <c r="RC432" s="6"/>
      <c r="RD432" s="6"/>
      <c r="RE432" s="6"/>
      <c r="RF432" s="6"/>
      <c r="RG432" s="6"/>
      <c r="RH432" s="6"/>
      <c r="RI432" s="6"/>
      <c r="RJ432" s="6"/>
      <c r="RK432" s="6"/>
      <c r="RL432" s="6"/>
      <c r="RM432" s="6"/>
      <c r="RN432" s="6"/>
      <c r="RO432" s="6"/>
      <c r="RP432" s="6"/>
      <c r="RQ432" s="6"/>
      <c r="RR432" s="6"/>
      <c r="RS432" s="6"/>
      <c r="RT432" s="6"/>
      <c r="RU432" s="6"/>
      <c r="RV432" s="6"/>
      <c r="RW432" s="6"/>
      <c r="RX432" s="6"/>
      <c r="RY432" s="6"/>
      <c r="RZ432" s="6"/>
      <c r="SA432" s="6"/>
      <c r="SB432" s="6"/>
      <c r="SC432" s="6"/>
      <c r="SD432" s="6"/>
      <c r="SE432" s="6"/>
      <c r="SF432" s="6"/>
      <c r="SG432" s="6"/>
      <c r="SH432" s="6"/>
      <c r="SI432" s="6"/>
      <c r="SJ432" s="6"/>
      <c r="SK432" s="6"/>
      <c r="SL432" s="6"/>
      <c r="SM432" s="6"/>
      <c r="SN432" s="6"/>
      <c r="SO432" s="6"/>
      <c r="SP432" s="6"/>
      <c r="SQ432" s="6"/>
      <c r="SR432" s="6"/>
      <c r="SS432" s="6"/>
      <c r="ST432" s="6"/>
      <c r="SU432" s="6"/>
      <c r="SV432" s="6"/>
      <c r="SW432" s="6"/>
      <c r="SX432" s="6"/>
      <c r="SY432" s="6"/>
      <c r="SZ432" s="6"/>
      <c r="TA432" s="6"/>
      <c r="TB432" s="6"/>
      <c r="TC432" s="6"/>
      <c r="TD432" s="6"/>
      <c r="TE432" s="6"/>
      <c r="TF432" s="6"/>
      <c r="TG432" s="6"/>
      <c r="TH432" s="6"/>
      <c r="TI432" s="6"/>
      <c r="TJ432" s="6"/>
      <c r="TK432" s="6"/>
      <c r="TL432" s="6"/>
      <c r="TM432" s="6"/>
      <c r="TN432" s="6"/>
      <c r="TO432" s="6"/>
      <c r="TP432" s="6"/>
      <c r="TQ432" s="6"/>
      <c r="TR432" s="6"/>
      <c r="TS432" s="6"/>
      <c r="TT432" s="6"/>
      <c r="TU432" s="6"/>
      <c r="TV432" s="6"/>
      <c r="TW432" s="6"/>
      <c r="TX432" s="6"/>
      <c r="TY432" s="6"/>
      <c r="TZ432" s="6"/>
      <c r="UA432" s="6"/>
      <c r="UB432" s="6"/>
      <c r="UC432" s="6"/>
      <c r="UD432" s="6"/>
      <c r="UE432" s="6"/>
      <c r="UF432" s="6"/>
      <c r="UG432" s="6"/>
      <c r="UH432" s="6"/>
      <c r="UI432" s="6"/>
      <c r="UJ432" s="6"/>
      <c r="UK432" s="6"/>
      <c r="UL432" s="6"/>
      <c r="UM432" s="6"/>
      <c r="UN432" s="6"/>
      <c r="UO432" s="6"/>
      <c r="UP432" s="6"/>
      <c r="UQ432" s="6"/>
      <c r="UR432" s="6"/>
      <c r="US432" s="6"/>
      <c r="UT432" s="6"/>
      <c r="UU432" s="6"/>
      <c r="UV432" s="6"/>
      <c r="UW432" s="6"/>
      <c r="UX432" s="6"/>
      <c r="UY432" s="6"/>
      <c r="UZ432" s="6"/>
      <c r="VA432" s="6"/>
      <c r="VB432" s="6"/>
      <c r="VC432" s="6"/>
      <c r="VD432" s="6"/>
      <c r="VE432" s="6"/>
      <c r="VF432" s="6"/>
      <c r="VG432" s="6"/>
      <c r="VH432" s="6"/>
      <c r="VI432" s="6"/>
      <c r="VJ432" s="6"/>
      <c r="VK432" s="6"/>
      <c r="VL432" s="6"/>
      <c r="VM432" s="6"/>
      <c r="VN432" s="6"/>
      <c r="VO432" s="6"/>
      <c r="VP432" s="6"/>
      <c r="VQ432" s="6"/>
      <c r="VR432" s="6"/>
      <c r="VS432" s="6"/>
      <c r="VT432" s="6"/>
      <c r="VU432" s="6"/>
      <c r="VV432" s="6"/>
      <c r="VW432" s="6"/>
      <c r="VX432" s="6"/>
      <c r="VY432" s="6"/>
      <c r="VZ432" s="6"/>
      <c r="WA432" s="6"/>
      <c r="WB432" s="6"/>
      <c r="WC432" s="6"/>
      <c r="WD432" s="6"/>
      <c r="WE432" s="6"/>
      <c r="WF432" s="6"/>
      <c r="WG432" s="6"/>
      <c r="WH432" s="6"/>
      <c r="WI432" s="6"/>
      <c r="WJ432" s="6"/>
      <c r="WK432" s="6"/>
      <c r="WL432" s="6"/>
      <c r="WM432" s="6"/>
      <c r="WN432" s="6"/>
      <c r="WO432" s="6"/>
      <c r="WP432" s="6"/>
      <c r="WQ432" s="6"/>
      <c r="WR432" s="6"/>
      <c r="WS432" s="6"/>
      <c r="WT432" s="6"/>
      <c r="WU432" s="6"/>
      <c r="WV432" s="6"/>
      <c r="WW432" s="6"/>
      <c r="WX432" s="6"/>
      <c r="WY432" s="6"/>
      <c r="WZ432" s="6"/>
      <c r="XA432" s="6"/>
      <c r="XB432" s="6"/>
      <c r="XC432" s="6"/>
      <c r="XD432" s="6"/>
      <c r="XE432" s="6"/>
      <c r="XF432" s="6"/>
      <c r="XG432" s="6"/>
      <c r="XH432" s="6"/>
      <c r="XI432" s="6"/>
      <c r="XJ432" s="6"/>
      <c r="XK432" s="6"/>
      <c r="XL432" s="6"/>
      <c r="XM432" s="6"/>
      <c r="XN432" s="6"/>
      <c r="XO432" s="6"/>
      <c r="XP432" s="6"/>
      <c r="XQ432" s="6"/>
      <c r="XR432" s="6"/>
      <c r="XS432" s="6"/>
      <c r="XT432" s="6"/>
      <c r="XU432" s="6"/>
      <c r="XV432" s="6"/>
      <c r="XW432" s="6"/>
      <c r="XX432" s="6"/>
      <c r="XY432" s="6"/>
      <c r="XZ432" s="6"/>
      <c r="YA432" s="6"/>
      <c r="YB432" s="6"/>
      <c r="YC432" s="6"/>
      <c r="YD432" s="6"/>
      <c r="YE432" s="6"/>
      <c r="YF432" s="6"/>
      <c r="YG432" s="6"/>
      <c r="YH432" s="6"/>
      <c r="YI432" s="6"/>
      <c r="YJ432" s="6"/>
      <c r="YK432" s="6"/>
      <c r="YL432" s="6"/>
      <c r="YM432" s="6"/>
      <c r="YN432" s="6"/>
      <c r="YO432" s="6"/>
      <c r="YP432" s="6"/>
      <c r="YQ432" s="6"/>
      <c r="YR432" s="6"/>
      <c r="YS432" s="6"/>
      <c r="YT432" s="6"/>
      <c r="YU432" s="6"/>
      <c r="YV432" s="6"/>
      <c r="YW432" s="6"/>
      <c r="YX432" s="6"/>
      <c r="YY432" s="6"/>
      <c r="YZ432" s="6"/>
      <c r="ZA432" s="6"/>
      <c r="ZB432" s="6"/>
      <c r="ZC432" s="6"/>
      <c r="ZD432" s="6"/>
      <c r="ZE432" s="6"/>
      <c r="ZF432" s="6"/>
      <c r="ZG432" s="6"/>
      <c r="ZH432" s="6"/>
      <c r="ZI432" s="6"/>
      <c r="ZJ432" s="6"/>
      <c r="ZK432" s="6"/>
      <c r="ZL432" s="6"/>
      <c r="ZM432" s="6"/>
      <c r="ZN432" s="6"/>
      <c r="ZO432" s="6"/>
      <c r="ZP432" s="6"/>
      <c r="ZQ432" s="6"/>
      <c r="ZR432" s="6"/>
      <c r="ZS432" s="6"/>
      <c r="ZT432" s="6"/>
      <c r="ZU432" s="6"/>
      <c r="ZV432" s="6"/>
      <c r="ZW432" s="6"/>
      <c r="ZX432" s="6"/>
      <c r="ZY432" s="6"/>
      <c r="ZZ432" s="6"/>
      <c r="AAA432" s="6"/>
      <c r="AAB432" s="6"/>
      <c r="AAC432" s="6"/>
      <c r="AAD432" s="6"/>
      <c r="AAE432" s="6"/>
      <c r="AAF432" s="6"/>
      <c r="AAG432" s="6"/>
      <c r="AAH432" s="6"/>
      <c r="AAI432" s="6"/>
      <c r="AAJ432" s="6"/>
      <c r="AAK432" s="6"/>
      <c r="AAL432" s="6"/>
      <c r="AAM432" s="6"/>
      <c r="AAN432" s="6"/>
      <c r="AAO432" s="6"/>
      <c r="AAP432" s="6"/>
      <c r="AAQ432" s="6"/>
      <c r="AAR432" s="6"/>
      <c r="AAS432" s="6"/>
      <c r="AAT432" s="6"/>
      <c r="AAU432" s="6"/>
      <c r="AAV432" s="6"/>
      <c r="AAW432" s="6"/>
      <c r="AAX432" s="6"/>
      <c r="AAY432" s="6"/>
      <c r="AAZ432" s="6"/>
      <c r="ABA432" s="6"/>
      <c r="ABB432" s="6"/>
      <c r="ABC432" s="6"/>
      <c r="ABD432" s="6"/>
      <c r="ABE432" s="6"/>
      <c r="ABF432" s="6"/>
      <c r="ABG432" s="6"/>
      <c r="ABH432" s="6"/>
      <c r="ABI432" s="6"/>
      <c r="ABJ432" s="6"/>
      <c r="ABK432" s="6"/>
      <c r="ABL432" s="6"/>
      <c r="ABM432" s="6"/>
      <c r="ABN432" s="6"/>
      <c r="ABO432" s="6"/>
      <c r="ABP432" s="6"/>
      <c r="ABQ432" s="6"/>
      <c r="ABR432" s="6"/>
      <c r="ABS432" s="6"/>
      <c r="ABT432" s="6"/>
      <c r="ABU432" s="6"/>
      <c r="ABV432" s="6"/>
      <c r="ABW432" s="6"/>
      <c r="ABX432" s="6"/>
      <c r="ABY432" s="6"/>
      <c r="ABZ432" s="6"/>
      <c r="ACA432" s="6"/>
      <c r="ACB432" s="6"/>
      <c r="ACC432" s="6"/>
      <c r="ACD432" s="6"/>
      <c r="ACE432" s="6"/>
      <c r="ACF432" s="6"/>
      <c r="ACG432" s="6"/>
      <c r="ACH432" s="6"/>
      <c r="ACI432" s="6"/>
      <c r="ACJ432" s="6"/>
      <c r="ACK432" s="6"/>
      <c r="ACL432" s="6"/>
      <c r="ACM432" s="6"/>
      <c r="ACN432" s="6"/>
      <c r="ACO432" s="6"/>
      <c r="ACP432" s="6"/>
      <c r="ACQ432" s="6"/>
      <c r="ACR432" s="6"/>
      <c r="ACS432" s="6"/>
      <c r="ACT432" s="6"/>
      <c r="ACU432" s="6"/>
      <c r="ACV432" s="6"/>
      <c r="ACW432" s="6"/>
      <c r="ACX432" s="6"/>
      <c r="ACY432" s="6"/>
      <c r="ACZ432" s="6"/>
      <c r="ADA432" s="6"/>
      <c r="ADB432" s="6"/>
      <c r="ADC432" s="6"/>
      <c r="ADD432" s="6"/>
      <c r="ADE432" s="6"/>
      <c r="ADF432" s="6"/>
      <c r="ADG432" s="6"/>
      <c r="ADH432" s="6"/>
      <c r="ADI432" s="6"/>
      <c r="ADJ432" s="6"/>
      <c r="ADK432" s="6"/>
      <c r="ADL432" s="6"/>
      <c r="ADM432" s="6"/>
      <c r="ADN432" s="6"/>
      <c r="ADO432" s="6"/>
      <c r="ADP432" s="6"/>
      <c r="ADQ432" s="6"/>
      <c r="ADR432" s="6"/>
      <c r="ADS432" s="6"/>
      <c r="ADT432" s="6"/>
      <c r="ADU432" s="6"/>
      <c r="ADV432" s="6"/>
      <c r="ADW432" s="6"/>
      <c r="ADX432" s="6"/>
      <c r="ADY432" s="6"/>
      <c r="ADZ432" s="6"/>
      <c r="AEA432" s="6"/>
      <c r="AEB432" s="6"/>
      <c r="AEC432" s="6"/>
      <c r="AED432" s="6"/>
      <c r="AEE432" s="6"/>
      <c r="AEF432" s="6"/>
      <c r="AEG432" s="6"/>
      <c r="AEH432" s="6"/>
      <c r="AEI432" s="6"/>
      <c r="AEJ432" s="6"/>
      <c r="AEK432" s="6"/>
      <c r="AEL432" s="6"/>
      <c r="AEM432" s="6"/>
      <c r="AEN432" s="6"/>
      <c r="AEO432" s="6"/>
      <c r="AEP432" s="6"/>
      <c r="AEQ432" s="6"/>
      <c r="AER432" s="6"/>
      <c r="AES432" s="6"/>
      <c r="AET432" s="6"/>
      <c r="AEU432" s="6"/>
      <c r="AEV432" s="6"/>
      <c r="AEW432" s="6"/>
      <c r="AEX432" s="6"/>
      <c r="AEY432" s="6"/>
      <c r="AEZ432" s="6"/>
      <c r="AFA432" s="6"/>
      <c r="AFB432" s="6"/>
      <c r="AFC432" s="6"/>
      <c r="AFD432" s="6"/>
      <c r="AFE432" s="6"/>
      <c r="AFF432" s="6"/>
      <c r="AFG432" s="6"/>
      <c r="AFH432" s="6"/>
      <c r="AFI432" s="6"/>
      <c r="AFJ432" s="6"/>
      <c r="AFK432" s="6"/>
      <c r="AFL432" s="6"/>
      <c r="AFM432" s="6"/>
      <c r="AFN432" s="6"/>
      <c r="AFO432" s="6"/>
      <c r="AFP432" s="6"/>
      <c r="AFQ432" s="6"/>
      <c r="AFR432" s="6"/>
      <c r="AFS432" s="6"/>
      <c r="AFT432" s="6"/>
      <c r="AFU432" s="6"/>
      <c r="AFV432" s="6"/>
      <c r="AFW432" s="6"/>
      <c r="AFX432" s="6"/>
      <c r="AFY432" s="6"/>
      <c r="AFZ432" s="6"/>
      <c r="AGA432" s="6"/>
      <c r="AGB432" s="6"/>
      <c r="AGC432" s="6"/>
      <c r="AGD432" s="6"/>
      <c r="AGE432" s="6"/>
      <c r="AGF432" s="6"/>
      <c r="AGG432" s="6"/>
      <c r="AGH432" s="6"/>
      <c r="AGI432" s="6"/>
      <c r="AGJ432" s="6"/>
      <c r="AGK432" s="6"/>
      <c r="AGL432" s="6"/>
      <c r="AGM432" s="6"/>
      <c r="AGN432" s="6"/>
      <c r="AGO432" s="6"/>
      <c r="AGP432" s="6"/>
      <c r="AGQ432" s="6"/>
      <c r="AGR432" s="6"/>
      <c r="AGS432" s="6"/>
      <c r="AGT432" s="6"/>
      <c r="AGU432" s="6"/>
      <c r="AGV432" s="6"/>
      <c r="AGW432" s="6"/>
      <c r="AGX432" s="6"/>
      <c r="AGY432" s="6"/>
      <c r="AGZ432" s="6"/>
      <c r="AHA432" s="6"/>
      <c r="AHB432" s="6"/>
      <c r="AHC432" s="6"/>
      <c r="AHD432" s="6"/>
      <c r="AHE432" s="6"/>
      <c r="AHF432" s="6"/>
      <c r="AHG432" s="6"/>
      <c r="AHH432" s="6"/>
      <c r="AHI432" s="6"/>
      <c r="AHJ432" s="6"/>
      <c r="AHK432" s="6"/>
      <c r="AHL432" s="6"/>
      <c r="AHM432" s="6"/>
      <c r="AHN432" s="6"/>
      <c r="AHO432" s="6"/>
      <c r="AHP432" s="6"/>
      <c r="AHQ432" s="6"/>
      <c r="AHR432" s="6"/>
      <c r="AHS432" s="6"/>
      <c r="AHT432" s="6"/>
      <c r="AHU432" s="6"/>
      <c r="AHV432" s="6"/>
      <c r="AHW432" s="6"/>
      <c r="AHX432" s="6"/>
      <c r="AHY432" s="6"/>
      <c r="AHZ432" s="6"/>
      <c r="AIA432" s="6"/>
      <c r="AIB432" s="6"/>
      <c r="AIC432" s="6"/>
      <c r="AID432" s="6"/>
      <c r="AIE432" s="6"/>
      <c r="AIF432" s="6"/>
      <c r="AIG432" s="6"/>
      <c r="AIH432" s="6"/>
      <c r="AII432" s="6"/>
      <c r="AIJ432" s="6"/>
      <c r="AIK432" s="6"/>
      <c r="AIL432" s="6"/>
      <c r="AIM432" s="6"/>
      <c r="AIN432" s="6"/>
      <c r="AIO432" s="6"/>
      <c r="AIP432" s="6"/>
      <c r="AIQ432" s="6"/>
      <c r="AIR432" s="6"/>
      <c r="AIS432" s="6"/>
      <c r="AIT432" s="6"/>
      <c r="AIU432" s="6"/>
      <c r="AIV432" s="6"/>
      <c r="AIW432" s="6"/>
      <c r="AIX432" s="6"/>
      <c r="AIY432" s="6"/>
      <c r="AIZ432" s="6"/>
      <c r="AJA432" s="6"/>
      <c r="AJB432" s="6"/>
      <c r="AJC432" s="6"/>
      <c r="AJD432" s="6"/>
      <c r="AJE432" s="6"/>
      <c r="AJF432" s="6"/>
      <c r="AJG432" s="6"/>
      <c r="AJH432" s="6"/>
      <c r="AJI432" s="6"/>
      <c r="AJJ432" s="6"/>
      <c r="AJK432" s="6"/>
      <c r="AJL432" s="6"/>
      <c r="AJM432" s="6"/>
      <c r="AJN432" s="6"/>
      <c r="AJO432" s="6"/>
      <c r="AJP432" s="6"/>
      <c r="AJQ432" s="6"/>
      <c r="AJR432" s="6"/>
      <c r="AJS432" s="6"/>
      <c r="AJT432" s="6"/>
      <c r="AJU432" s="6"/>
      <c r="AJV432" s="6"/>
      <c r="AJW432" s="6"/>
      <c r="AJX432" s="6"/>
      <c r="AJY432" s="6"/>
      <c r="AJZ432" s="6"/>
      <c r="AKA432" s="6"/>
      <c r="AKB432" s="6"/>
      <c r="AKC432" s="6"/>
      <c r="AKD432" s="6"/>
      <c r="AKE432" s="6"/>
      <c r="AKF432" s="6"/>
      <c r="AKG432" s="6"/>
      <c r="AKH432" s="6"/>
      <c r="AKI432" s="6"/>
      <c r="AKJ432" s="6"/>
      <c r="AKK432" s="6"/>
      <c r="AKL432" s="6"/>
      <c r="AKM432" s="6"/>
      <c r="AKN432" s="6"/>
      <c r="AKO432" s="6"/>
      <c r="AKP432" s="6"/>
      <c r="AKQ432" s="6"/>
      <c r="AKR432" s="6"/>
      <c r="AKS432" s="6"/>
      <c r="AKT432" s="6"/>
      <c r="AKU432" s="6"/>
      <c r="AKV432" s="6"/>
      <c r="AKW432" s="6"/>
      <c r="AKX432" s="6"/>
      <c r="AKY432" s="6"/>
      <c r="AKZ432" s="6"/>
      <c r="ALA432" s="6"/>
      <c r="ALB432" s="6"/>
      <c r="ALC432" s="6"/>
      <c r="ALD432" s="6"/>
      <c r="ALE432" s="6"/>
      <c r="ALF432" s="6"/>
      <c r="ALG432" s="6"/>
      <c r="ALH432" s="6"/>
      <c r="ALI432" s="6"/>
      <c r="ALJ432" s="6"/>
      <c r="ALK432" s="6"/>
      <c r="ALL432" s="6"/>
      <c r="ALM432" s="6"/>
      <c r="ALN432" s="6"/>
      <c r="ALO432" s="6"/>
      <c r="ALP432" s="6"/>
      <c r="ALQ432" s="6"/>
      <c r="ALR432" s="6"/>
      <c r="ALS432" s="6"/>
      <c r="ALT432" s="6"/>
      <c r="ALU432" s="6"/>
      <c r="ALV432" s="6"/>
      <c r="ALW432" s="6"/>
      <c r="ALX432" s="6"/>
      <c r="ALY432" s="6"/>
      <c r="ALZ432" s="6"/>
      <c r="AMA432" s="6"/>
      <c r="AMB432" s="6"/>
      <c r="AMC432" s="6"/>
      <c r="AMD432" s="6"/>
      <c r="AME432" s="6"/>
      <c r="AMF432" s="6"/>
      <c r="AMG432" s="6"/>
      <c r="AMH432" s="6"/>
      <c r="AMI432" s="6"/>
      <c r="AMJ432" s="6"/>
      <c r="AMK432" s="6"/>
      <c r="AML432" s="6"/>
      <c r="AMM432" s="6"/>
      <c r="AMN432" s="6"/>
      <c r="AMO432" s="6"/>
      <c r="AMP432" s="6"/>
    </row>
    <row r="433" spans="1:1030" x14ac:dyDescent="0.2">
      <c r="A433" s="3" t="str">
        <f t="shared" ref="A433:A443" si="4193">CONCATENATE(B433,"_",C433)</f>
        <v>q80km9_hcmv__wt</v>
      </c>
      <c r="B433" s="2" t="s">
        <v>1501</v>
      </c>
      <c r="C433" s="3" t="s">
        <v>100</v>
      </c>
      <c r="D433" s="3" t="str">
        <f>IFERROR(MID(VLOOKUP($B433,Seqs!$A:$B,2,0),E433,1),"")</f>
        <v>F</v>
      </c>
      <c r="E433" s="3">
        <v>25</v>
      </c>
      <c r="F433" s="3" t="str">
        <f>IFERROR(MID(VLOOKUP($B433,Seqs!$A:$B,2,0),G433,1),"")</f>
        <v>R</v>
      </c>
      <c r="G433" s="3">
        <v>61</v>
      </c>
      <c r="H433" s="3" t="str">
        <f>IFERROR(MID(VLOOKUP($B433,Seqs!$A:$B,2,0),I433,1),"")</f>
        <v>R</v>
      </c>
      <c r="I433" s="23">
        <v>62</v>
      </c>
      <c r="J433" s="3" t="str">
        <f>IFERROR(MID(VLOOKUP($B433,Seqs!$A:$B,2,0),K433,1),"")</f>
        <v>Q</v>
      </c>
      <c r="K433" s="23">
        <v>65</v>
      </c>
      <c r="L433" s="3" t="str">
        <f>IFERROR(MID(VLOOKUP($B433,Seqs!$A:$B,2,0),M433,1),"")</f>
        <v>C</v>
      </c>
      <c r="M433" s="3">
        <v>66</v>
      </c>
      <c r="N433" s="3" t="str">
        <f>IFERROR(MID(VLOOKUP($B433,Seqs!$A:$B,2,0),O433,1),"")</f>
        <v>D</v>
      </c>
      <c r="O433" s="3">
        <v>95</v>
      </c>
      <c r="P433" s="3" t="str">
        <f>IFERROR(MID(VLOOKUP($B433,Seqs!$A:$B,2,0),Q433,1),"")</f>
        <v/>
      </c>
      <c r="Q433" s="3" t="s">
        <v>23</v>
      </c>
      <c r="R433" s="3" t="str">
        <f>IFERROR(MID(VLOOKUP($B433,Seqs!$A:$B,2,0),S433,1),"")</f>
        <v/>
      </c>
      <c r="S433" s="3" t="s">
        <v>23</v>
      </c>
      <c r="T433" s="3" t="str">
        <f>IFERROR(MID(VLOOKUP($B433,Seqs!$A:$B,2,0),U433,1),"")</f>
        <v>A</v>
      </c>
      <c r="U433" s="3">
        <v>100</v>
      </c>
      <c r="V433" s="3" t="str">
        <f>IFERROR(MID(VLOOKUP($B433,Seqs!$A:$B,2,0),W433,1),"")</f>
        <v>V</v>
      </c>
      <c r="W433" s="3">
        <v>134</v>
      </c>
      <c r="X433" s="3" t="str">
        <f>IFERROR(MID(VLOOKUP($B433,Seqs!$A:$B,2,0),Y433,1),"")</f>
        <v/>
      </c>
      <c r="Y433" s="3" t="s">
        <v>23</v>
      </c>
      <c r="Z433" s="3" t="str">
        <f>IFERROR(MID(VLOOKUP($B433,Seqs!$A:$B,2,0),AA433,1),"")</f>
        <v/>
      </c>
      <c r="AA433" s="3" t="s">
        <v>23</v>
      </c>
      <c r="AB433" s="3" t="str">
        <f>IFERROR(MID(VLOOKUP($B433,Seqs!$A:$B,2,0),AC433,1),"")</f>
        <v>P</v>
      </c>
      <c r="AC433" s="3">
        <v>140</v>
      </c>
      <c r="AD433" s="3" t="str">
        <f>IFERROR(MID(VLOOKUP($B433,Seqs!$A:$B,2,0),AE433,1),"")</f>
        <v>M</v>
      </c>
      <c r="AE433" s="3">
        <v>164</v>
      </c>
      <c r="AF433" s="3" t="str">
        <f>IFERROR(MID(VLOOKUP($B433,Seqs!$A:$B,2,0),AG433,1),"")</f>
        <v>C</v>
      </c>
      <c r="AG433" s="3">
        <v>173</v>
      </c>
      <c r="AH433" s="3" t="str">
        <f>IFERROR(MID(VLOOKUP($B433,Seqs!$A:$B,2,0),AI433,1),"")</f>
        <v>T</v>
      </c>
      <c r="AI433" s="3">
        <v>175</v>
      </c>
      <c r="AJ433" s="3" t="str">
        <f>IFERROR(MID(VLOOKUP($B433,Seqs!$A:$B,2,0),AK433,1),"")</f>
        <v>S</v>
      </c>
      <c r="AK433" s="3">
        <v>183</v>
      </c>
      <c r="AL433" s="3" t="str">
        <f>IFERROR(MID(VLOOKUP($B433,Seqs!$A:$B,2,0),AM433,1),"")</f>
        <v>S</v>
      </c>
      <c r="AM433" s="3">
        <v>218</v>
      </c>
      <c r="AN433" s="3" t="str">
        <f>IFERROR(MID(VLOOKUP($B433,Seqs!$A:$B,2,0),AO433,1),"")</f>
        <v>H</v>
      </c>
      <c r="AO433" s="3">
        <v>222</v>
      </c>
      <c r="AP433" s="3" t="str">
        <f>IFERROR(MID(VLOOKUP($B433,Seqs!$A:$B,2,0),AQ433,1),"")</f>
        <v>K</v>
      </c>
      <c r="AQ433" s="3">
        <v>257</v>
      </c>
      <c r="AR433" s="3" t="str">
        <f>IFERROR(MID(VLOOKUP($B433,Seqs!$A:$B,2,0),AS433,1),"")</f>
        <v>S</v>
      </c>
      <c r="AS433" s="3">
        <v>262</v>
      </c>
      <c r="AT433" s="3" t="str">
        <f>IFERROR(MID(VLOOKUP($B433,Seqs!$A:$B,2,0),AU433,1),"")</f>
        <v>V</v>
      </c>
      <c r="AU433" s="3">
        <v>294</v>
      </c>
      <c r="AV433" s="3" t="str">
        <f>IFERROR(MID(VLOOKUP($B433,Seqs!$A:$B,2,0),AW433,1),"")</f>
        <v>G</v>
      </c>
      <c r="AW433" s="3">
        <v>295</v>
      </c>
      <c r="AX433" s="3" t="str">
        <f>IFERROR(MID(VLOOKUP($B433,Seqs!$A:$B,2,0),AY433,1),"")</f>
        <v>R</v>
      </c>
      <c r="AY433" s="3">
        <v>310</v>
      </c>
      <c r="AZ433" s="77" t="str">
        <f>VLOOKUP(B433,Classification!A:D,2,0)</f>
        <v>A</v>
      </c>
      <c r="BA433" s="94" t="str">
        <f>VLOOKUP(B433,Classification!A:D,4,0)</f>
        <v>Chemokine</v>
      </c>
      <c r="BB433" s="27" t="b">
        <f t="shared" si="4166"/>
        <v>1</v>
      </c>
      <c r="BC433" s="23">
        <f t="shared" si="4167"/>
        <v>257</v>
      </c>
      <c r="BD433" s="4" t="s">
        <v>23</v>
      </c>
      <c r="BE433" s="3" t="s">
        <v>23</v>
      </c>
      <c r="BF433" s="118" t="s">
        <v>23</v>
      </c>
      <c r="BG433" s="49" t="s">
        <v>1371</v>
      </c>
      <c r="BH433" s="49" t="s">
        <v>1371</v>
      </c>
      <c r="BI433" s="1"/>
      <c r="BJ433" s="70" t="s">
        <v>1281</v>
      </c>
      <c r="BK433" s="57" t="s">
        <v>1281</v>
      </c>
      <c r="BL433" s="57" t="s">
        <v>1281</v>
      </c>
      <c r="BM433" s="57" t="s">
        <v>1281</v>
      </c>
      <c r="BN433" s="57" t="s">
        <v>1281</v>
      </c>
      <c r="BO433" s="57" t="s">
        <v>1281</v>
      </c>
      <c r="BP433" s="57" t="s">
        <v>1281</v>
      </c>
      <c r="BQ433" s="57" t="s">
        <v>1281</v>
      </c>
      <c r="BR433" s="57" t="s">
        <v>1281</v>
      </c>
      <c r="BS433" s="57" t="s">
        <v>1281</v>
      </c>
      <c r="BT433" s="57" t="s">
        <v>1281</v>
      </c>
      <c r="BU433" s="57" t="s">
        <v>1281</v>
      </c>
      <c r="BV433" s="70">
        <f t="shared" si="4168"/>
        <v>25</v>
      </c>
      <c r="BW433" s="71">
        <f t="shared" si="4169"/>
        <v>62</v>
      </c>
      <c r="BX433" s="72">
        <f t="shared" si="4170"/>
        <v>66</v>
      </c>
      <c r="BY433" s="71" t="str">
        <f t="shared" si="4171"/>
        <v>-</v>
      </c>
      <c r="BZ433" s="72">
        <f t="shared" si="4172"/>
        <v>100</v>
      </c>
      <c r="CA433" s="71" t="str">
        <f t="shared" si="4173"/>
        <v>-</v>
      </c>
      <c r="CB433" s="72">
        <f t="shared" si="4174"/>
        <v>140</v>
      </c>
      <c r="CC433" s="71">
        <f t="shared" si="4175"/>
        <v>173</v>
      </c>
      <c r="CD433" s="72">
        <f t="shared" si="4176"/>
        <v>183</v>
      </c>
      <c r="CE433" s="71">
        <f t="shared" si="4177"/>
        <v>222</v>
      </c>
      <c r="CF433" s="72">
        <f t="shared" si="4178"/>
        <v>262</v>
      </c>
      <c r="CG433" s="71">
        <f t="shared" si="4179"/>
        <v>295</v>
      </c>
      <c r="CH433" s="70">
        <f t="shared" si="4180"/>
        <v>61</v>
      </c>
      <c r="CI433" s="71">
        <f t="shared" si="4181"/>
        <v>65</v>
      </c>
      <c r="CJ433" s="72">
        <f t="shared" si="4182"/>
        <v>95</v>
      </c>
      <c r="CK433" s="72" t="str">
        <f t="shared" si="4183"/>
        <v>-</v>
      </c>
      <c r="CL433" s="72">
        <f t="shared" si="4184"/>
        <v>134</v>
      </c>
      <c r="CM433" s="72" t="str">
        <f t="shared" si="4185"/>
        <v>-</v>
      </c>
      <c r="CN433" s="72">
        <f t="shared" si="4186"/>
        <v>164</v>
      </c>
      <c r="CO433" s="72">
        <f t="shared" si="4187"/>
        <v>175</v>
      </c>
      <c r="CP433" s="72">
        <f t="shared" si="4188"/>
        <v>218</v>
      </c>
      <c r="CQ433" s="72">
        <f t="shared" si="4189"/>
        <v>257</v>
      </c>
      <c r="CR433" s="72">
        <f t="shared" si="4190"/>
        <v>294</v>
      </c>
      <c r="CS433" s="72">
        <f t="shared" si="4191"/>
        <v>310</v>
      </c>
      <c r="CT433" s="23">
        <f t="shared" si="4192"/>
        <v>1</v>
      </c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Q433" s="6"/>
      <c r="KR433" s="6"/>
      <c r="KS433" s="6"/>
      <c r="KT433" s="6"/>
      <c r="KU433" s="6"/>
      <c r="KV433" s="6"/>
      <c r="KW433" s="6"/>
      <c r="KX433" s="6"/>
      <c r="KY433" s="6"/>
      <c r="KZ433" s="6"/>
      <c r="LA433" s="6"/>
      <c r="LB433" s="6"/>
      <c r="LC433" s="6"/>
      <c r="LD433" s="6"/>
      <c r="LE433" s="6"/>
      <c r="LF433" s="6"/>
      <c r="LG433" s="6"/>
      <c r="LH433" s="6"/>
      <c r="LI433" s="6"/>
      <c r="LJ433" s="6"/>
      <c r="LK433" s="6"/>
      <c r="LL433" s="6"/>
      <c r="LM433" s="6"/>
      <c r="LN433" s="6"/>
      <c r="LO433" s="6"/>
      <c r="LP433" s="6"/>
      <c r="LQ433" s="6"/>
      <c r="LR433" s="6"/>
      <c r="LS433" s="6"/>
      <c r="LT433" s="6"/>
      <c r="LU433" s="6"/>
      <c r="LV433" s="6"/>
      <c r="LW433" s="6"/>
      <c r="LX433" s="6"/>
      <c r="LY433" s="6"/>
      <c r="LZ433" s="6"/>
      <c r="MA433" s="6"/>
      <c r="MB433" s="6"/>
      <c r="MC433" s="6"/>
      <c r="MD433" s="6"/>
      <c r="ME433" s="6"/>
      <c r="MF433" s="6"/>
      <c r="MG433" s="6"/>
      <c r="MH433" s="6"/>
      <c r="MI433" s="6"/>
      <c r="MJ433" s="6"/>
      <c r="MK433" s="6"/>
      <c r="ML433" s="6"/>
      <c r="MM433" s="6"/>
      <c r="MN433" s="6"/>
      <c r="MO433" s="6"/>
      <c r="MP433" s="6"/>
      <c r="MQ433" s="6"/>
      <c r="MR433" s="6"/>
      <c r="MS433" s="6"/>
      <c r="MT433" s="6"/>
      <c r="MU433" s="6"/>
      <c r="MV433" s="6"/>
      <c r="MW433" s="6"/>
      <c r="MX433" s="6"/>
      <c r="MY433" s="6"/>
      <c r="MZ433" s="6"/>
      <c r="NA433" s="6"/>
      <c r="NB433" s="6"/>
      <c r="NC433" s="6"/>
      <c r="ND433" s="6"/>
      <c r="NE433" s="6"/>
      <c r="NF433" s="6"/>
      <c r="NG433" s="6"/>
      <c r="NH433" s="6"/>
      <c r="NI433" s="6"/>
      <c r="NJ433" s="6"/>
      <c r="NK433" s="6"/>
      <c r="NL433" s="6"/>
      <c r="NM433" s="6"/>
      <c r="NN433" s="6"/>
      <c r="NO433" s="6"/>
      <c r="NP433" s="6"/>
      <c r="NQ433" s="6"/>
      <c r="NR433" s="6"/>
      <c r="NS433" s="6"/>
      <c r="NT433" s="6"/>
      <c r="NU433" s="6"/>
      <c r="NV433" s="6"/>
      <c r="NW433" s="6"/>
      <c r="NX433" s="6"/>
      <c r="NY433" s="6"/>
      <c r="NZ433" s="6"/>
      <c r="OA433" s="6"/>
      <c r="OB433" s="6"/>
      <c r="OC433" s="6"/>
      <c r="OD433" s="6"/>
      <c r="OE433" s="6"/>
      <c r="OF433" s="6"/>
      <c r="OG433" s="6"/>
      <c r="OH433" s="6"/>
      <c r="OI433" s="6"/>
      <c r="OJ433" s="6"/>
      <c r="OK433" s="6"/>
      <c r="OL433" s="6"/>
      <c r="OM433" s="6"/>
      <c r="ON433" s="6"/>
      <c r="OO433" s="6"/>
      <c r="OP433" s="6"/>
      <c r="OQ433" s="6"/>
      <c r="OR433" s="6"/>
      <c r="OS433" s="6"/>
      <c r="OT433" s="6"/>
      <c r="OU433" s="6"/>
      <c r="OV433" s="6"/>
      <c r="OW433" s="6"/>
      <c r="OX433" s="6"/>
      <c r="OY433" s="6"/>
      <c r="OZ433" s="6"/>
      <c r="PA433" s="6"/>
      <c r="PB433" s="6"/>
      <c r="PC433" s="6"/>
      <c r="PD433" s="6"/>
      <c r="PE433" s="6"/>
      <c r="PF433" s="6"/>
      <c r="PG433" s="6"/>
      <c r="PH433" s="6"/>
      <c r="PI433" s="6"/>
      <c r="PJ433" s="6"/>
      <c r="PK433" s="6"/>
      <c r="PL433" s="6"/>
      <c r="PM433" s="6"/>
      <c r="PN433" s="6"/>
      <c r="PO433" s="6"/>
      <c r="PP433" s="6"/>
      <c r="PQ433" s="6"/>
      <c r="PR433" s="6"/>
      <c r="PS433" s="6"/>
      <c r="PT433" s="6"/>
      <c r="PU433" s="6"/>
      <c r="PV433" s="6"/>
      <c r="PW433" s="6"/>
      <c r="PX433" s="6"/>
      <c r="PY433" s="6"/>
      <c r="PZ433" s="6"/>
      <c r="QA433" s="6"/>
      <c r="QB433" s="6"/>
      <c r="QC433" s="6"/>
      <c r="QD433" s="6"/>
      <c r="QE433" s="6"/>
      <c r="QF433" s="6"/>
      <c r="QG433" s="6"/>
      <c r="QH433" s="6"/>
      <c r="QI433" s="6"/>
      <c r="QJ433" s="6"/>
      <c r="QK433" s="6"/>
      <c r="QL433" s="6"/>
      <c r="QM433" s="6"/>
      <c r="QN433" s="6"/>
      <c r="QO433" s="6"/>
      <c r="QP433" s="6"/>
      <c r="QQ433" s="6"/>
      <c r="QR433" s="6"/>
      <c r="QS433" s="6"/>
      <c r="QT433" s="6"/>
      <c r="QU433" s="6"/>
      <c r="QV433" s="6"/>
      <c r="QW433" s="6"/>
      <c r="QX433" s="6"/>
      <c r="QY433" s="6"/>
      <c r="QZ433" s="6"/>
      <c r="RA433" s="6"/>
      <c r="RB433" s="6"/>
      <c r="RC433" s="6"/>
      <c r="RD433" s="6"/>
      <c r="RE433" s="6"/>
      <c r="RF433" s="6"/>
      <c r="RG433" s="6"/>
      <c r="RH433" s="6"/>
      <c r="RI433" s="6"/>
      <c r="RJ433" s="6"/>
      <c r="RK433" s="6"/>
      <c r="RL433" s="6"/>
      <c r="RM433" s="6"/>
      <c r="RN433" s="6"/>
      <c r="RO433" s="6"/>
      <c r="RP433" s="6"/>
      <c r="RQ433" s="6"/>
      <c r="RR433" s="6"/>
      <c r="RS433" s="6"/>
      <c r="RT433" s="6"/>
      <c r="RU433" s="6"/>
      <c r="RV433" s="6"/>
      <c r="RW433" s="6"/>
      <c r="RX433" s="6"/>
      <c r="RY433" s="6"/>
      <c r="RZ433" s="6"/>
      <c r="SA433" s="6"/>
      <c r="SB433" s="6"/>
      <c r="SC433" s="6"/>
      <c r="SD433" s="6"/>
      <c r="SE433" s="6"/>
      <c r="SF433" s="6"/>
      <c r="SG433" s="6"/>
      <c r="SH433" s="6"/>
      <c r="SI433" s="6"/>
      <c r="SJ433" s="6"/>
      <c r="SK433" s="6"/>
      <c r="SL433" s="6"/>
      <c r="SM433" s="6"/>
      <c r="SN433" s="6"/>
      <c r="SO433" s="6"/>
      <c r="SP433" s="6"/>
      <c r="SQ433" s="6"/>
      <c r="SR433" s="6"/>
      <c r="SS433" s="6"/>
      <c r="ST433" s="6"/>
      <c r="SU433" s="6"/>
      <c r="SV433" s="6"/>
      <c r="SW433" s="6"/>
      <c r="SX433" s="6"/>
      <c r="SY433" s="6"/>
      <c r="SZ433" s="6"/>
      <c r="TA433" s="6"/>
      <c r="TB433" s="6"/>
      <c r="TC433" s="6"/>
      <c r="TD433" s="6"/>
      <c r="TE433" s="6"/>
      <c r="TF433" s="6"/>
      <c r="TG433" s="6"/>
      <c r="TH433" s="6"/>
      <c r="TI433" s="6"/>
      <c r="TJ433" s="6"/>
      <c r="TK433" s="6"/>
      <c r="TL433" s="6"/>
      <c r="TM433" s="6"/>
      <c r="TN433" s="6"/>
      <c r="TO433" s="6"/>
      <c r="TP433" s="6"/>
      <c r="TQ433" s="6"/>
      <c r="TR433" s="6"/>
      <c r="TS433" s="6"/>
      <c r="TT433" s="6"/>
      <c r="TU433" s="6"/>
      <c r="TV433" s="6"/>
      <c r="TW433" s="6"/>
      <c r="TX433" s="6"/>
      <c r="TY433" s="6"/>
      <c r="TZ433" s="6"/>
      <c r="UA433" s="6"/>
      <c r="UB433" s="6"/>
      <c r="UC433" s="6"/>
      <c r="UD433" s="6"/>
      <c r="UE433" s="6"/>
      <c r="UF433" s="6"/>
      <c r="UG433" s="6"/>
      <c r="UH433" s="6"/>
      <c r="UI433" s="6"/>
      <c r="UJ433" s="6"/>
      <c r="UK433" s="6"/>
      <c r="UL433" s="6"/>
      <c r="UM433" s="6"/>
      <c r="UN433" s="6"/>
      <c r="UO433" s="6"/>
      <c r="UP433" s="6"/>
      <c r="UQ433" s="6"/>
      <c r="UR433" s="6"/>
      <c r="US433" s="6"/>
      <c r="UT433" s="6"/>
      <c r="UU433" s="6"/>
      <c r="UV433" s="6"/>
      <c r="UW433" s="6"/>
      <c r="UX433" s="6"/>
      <c r="UY433" s="6"/>
      <c r="UZ433" s="6"/>
      <c r="VA433" s="6"/>
      <c r="VB433" s="6"/>
      <c r="VC433" s="6"/>
      <c r="VD433" s="6"/>
      <c r="VE433" s="6"/>
      <c r="VF433" s="6"/>
      <c r="VG433" s="6"/>
      <c r="VH433" s="6"/>
      <c r="VI433" s="6"/>
      <c r="VJ433" s="6"/>
      <c r="VK433" s="6"/>
      <c r="VL433" s="6"/>
      <c r="VM433" s="6"/>
      <c r="VN433" s="6"/>
      <c r="VO433" s="6"/>
      <c r="VP433" s="6"/>
      <c r="VQ433" s="6"/>
      <c r="VR433" s="6"/>
      <c r="VS433" s="6"/>
      <c r="VT433" s="6"/>
      <c r="VU433" s="6"/>
      <c r="VV433" s="6"/>
      <c r="VW433" s="6"/>
      <c r="VX433" s="6"/>
      <c r="VY433" s="6"/>
      <c r="VZ433" s="6"/>
      <c r="WA433" s="6"/>
      <c r="WB433" s="6"/>
      <c r="WC433" s="6"/>
      <c r="WD433" s="6"/>
      <c r="WE433" s="6"/>
      <c r="WF433" s="6"/>
      <c r="WG433" s="6"/>
      <c r="WH433" s="6"/>
      <c r="WI433" s="6"/>
      <c r="WJ433" s="6"/>
      <c r="WK433" s="6"/>
      <c r="WL433" s="6"/>
      <c r="WM433" s="6"/>
      <c r="WN433" s="6"/>
      <c r="WO433" s="6"/>
      <c r="WP433" s="6"/>
      <c r="WQ433" s="6"/>
      <c r="WR433" s="6"/>
      <c r="WS433" s="6"/>
      <c r="WT433" s="6"/>
      <c r="WU433" s="6"/>
      <c r="WV433" s="6"/>
      <c r="WW433" s="6"/>
      <c r="WX433" s="6"/>
      <c r="WY433" s="6"/>
      <c r="WZ433" s="6"/>
      <c r="XA433" s="6"/>
      <c r="XB433" s="6"/>
      <c r="XC433" s="6"/>
      <c r="XD433" s="6"/>
      <c r="XE433" s="6"/>
      <c r="XF433" s="6"/>
      <c r="XG433" s="6"/>
      <c r="XH433" s="6"/>
      <c r="XI433" s="6"/>
      <c r="XJ433" s="6"/>
      <c r="XK433" s="6"/>
      <c r="XL433" s="6"/>
      <c r="XM433" s="6"/>
      <c r="XN433" s="6"/>
      <c r="XO433" s="6"/>
      <c r="XP433" s="6"/>
      <c r="XQ433" s="6"/>
      <c r="XR433" s="6"/>
      <c r="XS433" s="6"/>
      <c r="XT433" s="6"/>
      <c r="XU433" s="6"/>
      <c r="XV433" s="6"/>
      <c r="XW433" s="6"/>
      <c r="XX433" s="6"/>
      <c r="XY433" s="6"/>
      <c r="XZ433" s="6"/>
      <c r="YA433" s="6"/>
      <c r="YB433" s="6"/>
      <c r="YC433" s="6"/>
      <c r="YD433" s="6"/>
      <c r="YE433" s="6"/>
      <c r="YF433" s="6"/>
      <c r="YG433" s="6"/>
      <c r="YH433" s="6"/>
      <c r="YI433" s="6"/>
      <c r="YJ433" s="6"/>
      <c r="YK433" s="6"/>
      <c r="YL433" s="6"/>
      <c r="YM433" s="6"/>
      <c r="YN433" s="6"/>
      <c r="YO433" s="6"/>
      <c r="YP433" s="6"/>
      <c r="YQ433" s="6"/>
      <c r="YR433" s="6"/>
      <c r="YS433" s="6"/>
      <c r="YT433" s="6"/>
      <c r="YU433" s="6"/>
      <c r="YV433" s="6"/>
      <c r="YW433" s="6"/>
      <c r="YX433" s="6"/>
      <c r="YY433" s="6"/>
      <c r="YZ433" s="6"/>
      <c r="ZA433" s="6"/>
      <c r="ZB433" s="6"/>
      <c r="ZC433" s="6"/>
      <c r="ZD433" s="6"/>
      <c r="ZE433" s="6"/>
      <c r="ZF433" s="6"/>
      <c r="ZG433" s="6"/>
      <c r="ZH433" s="6"/>
      <c r="ZI433" s="6"/>
      <c r="ZJ433" s="6"/>
      <c r="ZK433" s="6"/>
      <c r="ZL433" s="6"/>
      <c r="ZM433" s="6"/>
      <c r="ZN433" s="6"/>
      <c r="ZO433" s="6"/>
      <c r="ZP433" s="6"/>
      <c r="ZQ433" s="6"/>
      <c r="ZR433" s="6"/>
      <c r="ZS433" s="6"/>
      <c r="ZT433" s="6"/>
      <c r="ZU433" s="6"/>
      <c r="ZV433" s="6"/>
      <c r="ZW433" s="6"/>
      <c r="ZX433" s="6"/>
      <c r="ZY433" s="6"/>
      <c r="ZZ433" s="6"/>
      <c r="AAA433" s="6"/>
      <c r="AAB433" s="6"/>
      <c r="AAC433" s="6"/>
      <c r="AAD433" s="6"/>
      <c r="AAE433" s="6"/>
      <c r="AAF433" s="6"/>
      <c r="AAG433" s="6"/>
      <c r="AAH433" s="6"/>
      <c r="AAI433" s="6"/>
      <c r="AAJ433" s="6"/>
      <c r="AAK433" s="6"/>
      <c r="AAL433" s="6"/>
      <c r="AAM433" s="6"/>
      <c r="AAN433" s="6"/>
      <c r="AAO433" s="6"/>
      <c r="AAP433" s="6"/>
      <c r="AAQ433" s="6"/>
      <c r="AAR433" s="6"/>
      <c r="AAS433" s="6"/>
      <c r="AAT433" s="6"/>
      <c r="AAU433" s="6"/>
      <c r="AAV433" s="6"/>
      <c r="AAW433" s="6"/>
      <c r="AAX433" s="6"/>
      <c r="AAY433" s="6"/>
      <c r="AAZ433" s="6"/>
      <c r="ABA433" s="6"/>
      <c r="ABB433" s="6"/>
      <c r="ABC433" s="6"/>
      <c r="ABD433" s="6"/>
      <c r="ABE433" s="6"/>
      <c r="ABF433" s="6"/>
      <c r="ABG433" s="6"/>
      <c r="ABH433" s="6"/>
      <c r="ABI433" s="6"/>
      <c r="ABJ433" s="6"/>
      <c r="ABK433" s="6"/>
      <c r="ABL433" s="6"/>
      <c r="ABM433" s="6"/>
      <c r="ABN433" s="6"/>
      <c r="ABO433" s="6"/>
      <c r="ABP433" s="6"/>
      <c r="ABQ433" s="6"/>
      <c r="ABR433" s="6"/>
      <c r="ABS433" s="6"/>
      <c r="ABT433" s="6"/>
      <c r="ABU433" s="6"/>
      <c r="ABV433" s="6"/>
      <c r="ABW433" s="6"/>
      <c r="ABX433" s="6"/>
      <c r="ABY433" s="6"/>
      <c r="ABZ433" s="6"/>
      <c r="ACA433" s="6"/>
      <c r="ACB433" s="6"/>
      <c r="ACC433" s="6"/>
      <c r="ACD433" s="6"/>
      <c r="ACE433" s="6"/>
      <c r="ACF433" s="6"/>
      <c r="ACG433" s="6"/>
      <c r="ACH433" s="6"/>
      <c r="ACI433" s="6"/>
      <c r="ACJ433" s="6"/>
      <c r="ACK433" s="6"/>
      <c r="ACL433" s="6"/>
      <c r="ACM433" s="6"/>
      <c r="ACN433" s="6"/>
      <c r="ACO433" s="6"/>
      <c r="ACP433" s="6"/>
      <c r="ACQ433" s="6"/>
      <c r="ACR433" s="6"/>
      <c r="ACS433" s="6"/>
      <c r="ACT433" s="6"/>
      <c r="ACU433" s="6"/>
      <c r="ACV433" s="6"/>
      <c r="ACW433" s="6"/>
      <c r="ACX433" s="6"/>
      <c r="ACY433" s="6"/>
      <c r="ACZ433" s="6"/>
      <c r="ADA433" s="6"/>
      <c r="ADB433" s="6"/>
      <c r="ADC433" s="6"/>
      <c r="ADD433" s="6"/>
      <c r="ADE433" s="6"/>
      <c r="ADF433" s="6"/>
      <c r="ADG433" s="6"/>
      <c r="ADH433" s="6"/>
      <c r="ADI433" s="6"/>
      <c r="ADJ433" s="6"/>
      <c r="ADK433" s="6"/>
      <c r="ADL433" s="6"/>
      <c r="ADM433" s="6"/>
      <c r="ADN433" s="6"/>
      <c r="ADO433" s="6"/>
      <c r="ADP433" s="6"/>
      <c r="ADQ433" s="6"/>
      <c r="ADR433" s="6"/>
      <c r="ADS433" s="6"/>
      <c r="ADT433" s="6"/>
      <c r="ADU433" s="6"/>
      <c r="ADV433" s="6"/>
      <c r="ADW433" s="6"/>
      <c r="ADX433" s="6"/>
      <c r="ADY433" s="6"/>
      <c r="ADZ433" s="6"/>
      <c r="AEA433" s="6"/>
      <c r="AEB433" s="6"/>
      <c r="AEC433" s="6"/>
      <c r="AED433" s="6"/>
      <c r="AEE433" s="6"/>
      <c r="AEF433" s="6"/>
      <c r="AEG433" s="6"/>
      <c r="AEH433" s="6"/>
      <c r="AEI433" s="6"/>
      <c r="AEJ433" s="6"/>
      <c r="AEK433" s="6"/>
      <c r="AEL433" s="6"/>
      <c r="AEM433" s="6"/>
      <c r="AEN433" s="6"/>
      <c r="AEO433" s="6"/>
      <c r="AEP433" s="6"/>
      <c r="AEQ433" s="6"/>
      <c r="AER433" s="6"/>
      <c r="AES433" s="6"/>
      <c r="AET433" s="6"/>
      <c r="AEU433" s="6"/>
      <c r="AEV433" s="6"/>
      <c r="AEW433" s="6"/>
      <c r="AEX433" s="6"/>
      <c r="AEY433" s="6"/>
      <c r="AEZ433" s="6"/>
      <c r="AFA433" s="6"/>
      <c r="AFB433" s="6"/>
      <c r="AFC433" s="6"/>
      <c r="AFD433" s="6"/>
      <c r="AFE433" s="6"/>
      <c r="AFF433" s="6"/>
      <c r="AFG433" s="6"/>
      <c r="AFH433" s="6"/>
      <c r="AFI433" s="6"/>
      <c r="AFJ433" s="6"/>
      <c r="AFK433" s="6"/>
      <c r="AFL433" s="6"/>
      <c r="AFM433" s="6"/>
      <c r="AFN433" s="6"/>
      <c r="AFO433" s="6"/>
      <c r="AFP433" s="6"/>
      <c r="AFQ433" s="6"/>
      <c r="AFR433" s="6"/>
      <c r="AFS433" s="6"/>
      <c r="AFT433" s="6"/>
      <c r="AFU433" s="6"/>
      <c r="AFV433" s="6"/>
      <c r="AFW433" s="6"/>
      <c r="AFX433" s="6"/>
      <c r="AFY433" s="6"/>
      <c r="AFZ433" s="6"/>
      <c r="AGA433" s="6"/>
      <c r="AGB433" s="6"/>
      <c r="AGC433" s="6"/>
      <c r="AGD433" s="6"/>
      <c r="AGE433" s="6"/>
      <c r="AGF433" s="6"/>
      <c r="AGG433" s="6"/>
      <c r="AGH433" s="6"/>
      <c r="AGI433" s="6"/>
      <c r="AGJ433" s="6"/>
      <c r="AGK433" s="6"/>
      <c r="AGL433" s="6"/>
      <c r="AGM433" s="6"/>
      <c r="AGN433" s="6"/>
      <c r="AGO433" s="6"/>
      <c r="AGP433" s="6"/>
      <c r="AGQ433" s="6"/>
      <c r="AGR433" s="6"/>
      <c r="AGS433" s="6"/>
      <c r="AGT433" s="6"/>
      <c r="AGU433" s="6"/>
      <c r="AGV433" s="6"/>
      <c r="AGW433" s="6"/>
      <c r="AGX433" s="6"/>
      <c r="AGY433" s="6"/>
      <c r="AGZ433" s="6"/>
      <c r="AHA433" s="6"/>
      <c r="AHB433" s="6"/>
      <c r="AHC433" s="6"/>
      <c r="AHD433" s="6"/>
      <c r="AHE433" s="6"/>
      <c r="AHF433" s="6"/>
      <c r="AHG433" s="6"/>
      <c r="AHH433" s="6"/>
      <c r="AHI433" s="6"/>
      <c r="AHJ433" s="6"/>
      <c r="AHK433" s="6"/>
      <c r="AHL433" s="6"/>
      <c r="AHM433" s="6"/>
      <c r="AHN433" s="6"/>
      <c r="AHO433" s="6"/>
      <c r="AHP433" s="6"/>
      <c r="AHQ433" s="6"/>
      <c r="AHR433" s="6"/>
      <c r="AHS433" s="6"/>
      <c r="AHT433" s="6"/>
      <c r="AHU433" s="6"/>
      <c r="AHV433" s="6"/>
      <c r="AHW433" s="6"/>
      <c r="AHX433" s="6"/>
      <c r="AHY433" s="6"/>
      <c r="AHZ433" s="6"/>
      <c r="AIA433" s="6"/>
      <c r="AIB433" s="6"/>
      <c r="AIC433" s="6"/>
      <c r="AID433" s="6"/>
      <c r="AIE433" s="6"/>
      <c r="AIF433" s="6"/>
      <c r="AIG433" s="6"/>
      <c r="AIH433" s="6"/>
      <c r="AII433" s="6"/>
      <c r="AIJ433" s="6"/>
      <c r="AIK433" s="6"/>
      <c r="AIL433" s="6"/>
      <c r="AIM433" s="6"/>
      <c r="AIN433" s="6"/>
      <c r="AIO433" s="6"/>
      <c r="AIP433" s="6"/>
      <c r="AIQ433" s="6"/>
      <c r="AIR433" s="6"/>
      <c r="AIS433" s="6"/>
      <c r="AIT433" s="6"/>
      <c r="AIU433" s="6"/>
      <c r="AIV433" s="6"/>
      <c r="AIW433" s="6"/>
      <c r="AIX433" s="6"/>
      <c r="AIY433" s="6"/>
      <c r="AIZ433" s="6"/>
      <c r="AJA433" s="6"/>
      <c r="AJB433" s="6"/>
      <c r="AJC433" s="6"/>
      <c r="AJD433" s="6"/>
      <c r="AJE433" s="6"/>
      <c r="AJF433" s="6"/>
      <c r="AJG433" s="6"/>
      <c r="AJH433" s="6"/>
      <c r="AJI433" s="6"/>
      <c r="AJJ433" s="6"/>
      <c r="AJK433" s="6"/>
      <c r="AJL433" s="6"/>
      <c r="AJM433" s="6"/>
      <c r="AJN433" s="6"/>
      <c r="AJO433" s="6"/>
      <c r="AJP433" s="6"/>
      <c r="AJQ433" s="6"/>
      <c r="AJR433" s="6"/>
      <c r="AJS433" s="6"/>
      <c r="AJT433" s="6"/>
      <c r="AJU433" s="6"/>
      <c r="AJV433" s="6"/>
      <c r="AJW433" s="6"/>
      <c r="AJX433" s="6"/>
      <c r="AJY433" s="6"/>
      <c r="AJZ433" s="6"/>
      <c r="AKA433" s="6"/>
      <c r="AKB433" s="6"/>
      <c r="AKC433" s="6"/>
      <c r="AKD433" s="6"/>
      <c r="AKE433" s="6"/>
      <c r="AKF433" s="6"/>
      <c r="AKG433" s="6"/>
      <c r="AKH433" s="6"/>
      <c r="AKI433" s="6"/>
      <c r="AKJ433" s="6"/>
      <c r="AKK433" s="6"/>
      <c r="AKL433" s="6"/>
      <c r="AKM433" s="6"/>
      <c r="AKN433" s="6"/>
      <c r="AKO433" s="6"/>
      <c r="AKP433" s="6"/>
      <c r="AKQ433" s="6"/>
      <c r="AKR433" s="6"/>
      <c r="AKS433" s="6"/>
      <c r="AKT433" s="6"/>
      <c r="AKU433" s="6"/>
      <c r="AKV433" s="6"/>
      <c r="AKW433" s="6"/>
      <c r="AKX433" s="6"/>
      <c r="AKY433" s="6"/>
      <c r="AKZ433" s="6"/>
      <c r="ALA433" s="6"/>
      <c r="ALB433" s="6"/>
      <c r="ALC433" s="6"/>
      <c r="ALD433" s="6"/>
      <c r="ALE433" s="6"/>
      <c r="ALF433" s="6"/>
      <c r="ALG433" s="6"/>
      <c r="ALH433" s="6"/>
      <c r="ALI433" s="6"/>
      <c r="ALJ433" s="6"/>
      <c r="ALK433" s="6"/>
      <c r="ALL433" s="6"/>
      <c r="ALM433" s="6"/>
      <c r="ALN433" s="6"/>
      <c r="ALO433" s="6"/>
      <c r="ALP433" s="6"/>
      <c r="ALQ433" s="6"/>
      <c r="ALR433" s="6"/>
      <c r="ALS433" s="6"/>
      <c r="ALT433" s="6"/>
      <c r="ALU433" s="6"/>
      <c r="ALV433" s="6"/>
      <c r="ALW433" s="6"/>
      <c r="ALX433" s="6"/>
      <c r="ALY433" s="6"/>
      <c r="ALZ433" s="6"/>
      <c r="AMA433" s="6"/>
      <c r="AMB433" s="6"/>
      <c r="AMC433" s="6"/>
      <c r="AMD433" s="6"/>
      <c r="AME433" s="6"/>
      <c r="AMF433" s="6"/>
      <c r="AMG433" s="6"/>
      <c r="AMH433" s="6"/>
      <c r="AMI433" s="6"/>
      <c r="AMJ433" s="6"/>
      <c r="AMK433" s="6"/>
      <c r="AML433" s="6"/>
      <c r="AMM433" s="6"/>
      <c r="AMN433" s="6"/>
      <c r="AMO433" s="6"/>
      <c r="AMP433" s="6"/>
    </row>
    <row r="434" spans="1:1030" x14ac:dyDescent="0.2">
      <c r="A434" s="3" t="str">
        <f t="shared" si="4193"/>
        <v>q80km9_hcmv_5WB1</v>
      </c>
      <c r="B434" s="2" t="s">
        <v>1501</v>
      </c>
      <c r="C434" s="3" t="s">
        <v>1503</v>
      </c>
      <c r="D434" s="3" t="str">
        <f>IFERROR(MID(VLOOKUP($B434,Seqs!$A:$B,2,0),E434,1),"")</f>
        <v>F</v>
      </c>
      <c r="E434" s="3">
        <v>25</v>
      </c>
      <c r="F434" s="3" t="str">
        <f>IFERROR(MID(VLOOKUP($B434,Seqs!$A:$B,2,0),G434,1),"")</f>
        <v>W</v>
      </c>
      <c r="G434" s="3">
        <v>60</v>
      </c>
      <c r="H434" s="3" t="str">
        <f>IFERROR(MID(VLOOKUP($B434,Seqs!$A:$B,2,0),I434,1),"")</f>
        <v/>
      </c>
      <c r="I434" s="23" t="s">
        <v>23</v>
      </c>
      <c r="J434" s="3" t="str">
        <f>IFERROR(MID(VLOOKUP($B434,Seqs!$A:$B,2,0),K434,1),"")</f>
        <v/>
      </c>
      <c r="K434" s="23" t="s">
        <v>23</v>
      </c>
      <c r="L434" s="3" t="str">
        <f>IFERROR(MID(VLOOKUP($B434,Seqs!$A:$B,2,0),M434,1),"")</f>
        <v>C</v>
      </c>
      <c r="M434" s="3">
        <v>66</v>
      </c>
      <c r="N434" s="3" t="str">
        <f>IFERROR(MID(VLOOKUP($B434,Seqs!$A:$B,2,0),O434,1),"")</f>
        <v>D</v>
      </c>
      <c r="O434" s="3">
        <v>95</v>
      </c>
      <c r="P434" s="3" t="str">
        <f>IFERROR(MID(VLOOKUP($B434,Seqs!$A:$B,2,0),Q434,1),"")</f>
        <v/>
      </c>
      <c r="Q434" s="3" t="s">
        <v>23</v>
      </c>
      <c r="R434" s="3" t="str">
        <f>IFERROR(MID(VLOOKUP($B434,Seqs!$A:$B,2,0),S434,1),"")</f>
        <v/>
      </c>
      <c r="S434" s="3" t="s">
        <v>23</v>
      </c>
      <c r="T434" s="3" t="str">
        <f>IFERROR(MID(VLOOKUP($B434,Seqs!$A:$B,2,0),U434,1),"")</f>
        <v>A</v>
      </c>
      <c r="U434" s="3">
        <v>100</v>
      </c>
      <c r="V434" s="3" t="str">
        <f>IFERROR(MID(VLOOKUP($B434,Seqs!$A:$B,2,0),W434,1),"")</f>
        <v>V</v>
      </c>
      <c r="W434" s="3">
        <v>134</v>
      </c>
      <c r="X434" s="3" t="str">
        <f>IFERROR(MID(VLOOKUP($B434,Seqs!$A:$B,2,0),Y434,1),"")</f>
        <v/>
      </c>
      <c r="Y434" s="3" t="s">
        <v>23</v>
      </c>
      <c r="Z434" s="3" t="str">
        <f>IFERROR(MID(VLOOKUP($B434,Seqs!$A:$B,2,0),AA434,1),"")</f>
        <v/>
      </c>
      <c r="AA434" s="3" t="s">
        <v>23</v>
      </c>
      <c r="AB434" s="3" t="str">
        <f>IFERROR(MID(VLOOKUP($B434,Seqs!$A:$B,2,0),AC434,1),"")</f>
        <v>P</v>
      </c>
      <c r="AC434" s="3">
        <v>140</v>
      </c>
      <c r="AD434" s="3" t="str">
        <f>IFERROR(MID(VLOOKUP($B434,Seqs!$A:$B,2,0),AE434,1),"")</f>
        <v>M</v>
      </c>
      <c r="AE434" s="3">
        <v>164</v>
      </c>
      <c r="AF434" s="3" t="str">
        <f>IFERROR(MID(VLOOKUP($B434,Seqs!$A:$B,2,0),AG434,1),"")</f>
        <v>C</v>
      </c>
      <c r="AG434" s="3">
        <v>173</v>
      </c>
      <c r="AH434" s="3" t="str">
        <f>IFERROR(MID(VLOOKUP($B434,Seqs!$A:$B,2,0),AI434,1),"")</f>
        <v>T</v>
      </c>
      <c r="AI434" s="3">
        <v>175</v>
      </c>
      <c r="AJ434" s="3" t="str">
        <f>IFERROR(MID(VLOOKUP($B434,Seqs!$A:$B,2,0),AK434,1),"")</f>
        <v>S</v>
      </c>
      <c r="AK434" s="3">
        <v>183</v>
      </c>
      <c r="AL434" s="3" t="str">
        <f>IFERROR(MID(VLOOKUP($B434,Seqs!$A:$B,2,0),AM434,1),"")</f>
        <v>S</v>
      </c>
      <c r="AM434" s="3">
        <v>218</v>
      </c>
      <c r="AN434" s="3" t="str">
        <f>IFERROR(MID(VLOOKUP($B434,Seqs!$A:$B,2,0),AO434,1),"")</f>
        <v>H</v>
      </c>
      <c r="AO434" s="3">
        <v>222</v>
      </c>
      <c r="AP434" s="3" t="str">
        <f>IFERROR(MID(VLOOKUP($B434,Seqs!$A:$B,2,0),AQ434,1),"")</f>
        <v>K</v>
      </c>
      <c r="AQ434" s="3">
        <v>257</v>
      </c>
      <c r="AR434" s="3" t="str">
        <f>IFERROR(MID(VLOOKUP($B434,Seqs!$A:$B,2,0),AS434,1),"")</f>
        <v>S</v>
      </c>
      <c r="AS434" s="3">
        <v>262</v>
      </c>
      <c r="AT434" s="3" t="str">
        <f>IFERROR(MID(VLOOKUP($B434,Seqs!$A:$B,2,0),AU434,1),"")</f>
        <v>V</v>
      </c>
      <c r="AU434" s="3">
        <v>294</v>
      </c>
      <c r="AV434" s="3" t="str">
        <f>IFERROR(MID(VLOOKUP($B434,Seqs!$A:$B,2,0),AW434,1),"")</f>
        <v>G</v>
      </c>
      <c r="AW434" s="3">
        <v>295</v>
      </c>
      <c r="AX434" s="3" t="str">
        <f>IFERROR(MID(VLOOKUP($B434,Seqs!$A:$B,2,0),AY434,1),"")</f>
        <v>R</v>
      </c>
      <c r="AY434" s="3">
        <v>310</v>
      </c>
      <c r="AZ434" s="77" t="str">
        <f>VLOOKUP(B434,Classification!A:D,2,0)</f>
        <v>A</v>
      </c>
      <c r="BA434" s="94" t="str">
        <f>VLOOKUP(B434,Classification!A:D,4,0)</f>
        <v>Chemokine</v>
      </c>
      <c r="BB434" s="27" t="b">
        <f t="shared" si="4166"/>
        <v>1</v>
      </c>
      <c r="BC434" s="23">
        <f t="shared" si="4167"/>
        <v>253</v>
      </c>
      <c r="BD434" s="4" t="s">
        <v>1369</v>
      </c>
      <c r="BE434" s="3" t="s">
        <v>1285</v>
      </c>
      <c r="BF434" s="118">
        <v>3.51</v>
      </c>
      <c r="BG434" s="49" t="s">
        <v>1</v>
      </c>
      <c r="BH434" s="49" t="s">
        <v>1</v>
      </c>
      <c r="BI434" s="1"/>
      <c r="BJ434" s="70" t="s">
        <v>1281</v>
      </c>
      <c r="BK434" s="57" t="s">
        <v>1281</v>
      </c>
      <c r="BL434" s="57" t="s">
        <v>1281</v>
      </c>
      <c r="BM434" s="57" t="s">
        <v>1281</v>
      </c>
      <c r="BN434" s="57" t="s">
        <v>1281</v>
      </c>
      <c r="BO434" s="57" t="s">
        <v>1281</v>
      </c>
      <c r="BP434" s="57" t="s">
        <v>1281</v>
      </c>
      <c r="BQ434" s="57" t="s">
        <v>1281</v>
      </c>
      <c r="BR434" s="57" t="s">
        <v>1281</v>
      </c>
      <c r="BS434" s="57" t="s">
        <v>1281</v>
      </c>
      <c r="BT434" s="57" t="s">
        <v>1281</v>
      </c>
      <c r="BU434" s="57" t="s">
        <v>1281</v>
      </c>
      <c r="BV434" s="70">
        <f t="shared" si="4168"/>
        <v>25</v>
      </c>
      <c r="BW434" s="71" t="str">
        <f t="shared" si="4169"/>
        <v>-</v>
      </c>
      <c r="BX434" s="72">
        <f t="shared" si="4170"/>
        <v>66</v>
      </c>
      <c r="BY434" s="71" t="str">
        <f t="shared" si="4171"/>
        <v>-</v>
      </c>
      <c r="BZ434" s="72">
        <f t="shared" si="4172"/>
        <v>100</v>
      </c>
      <c r="CA434" s="71" t="str">
        <f t="shared" si="4173"/>
        <v>-</v>
      </c>
      <c r="CB434" s="72">
        <f t="shared" si="4174"/>
        <v>140</v>
      </c>
      <c r="CC434" s="71">
        <f t="shared" si="4175"/>
        <v>173</v>
      </c>
      <c r="CD434" s="72">
        <f t="shared" si="4176"/>
        <v>183</v>
      </c>
      <c r="CE434" s="71">
        <f t="shared" si="4177"/>
        <v>222</v>
      </c>
      <c r="CF434" s="72">
        <f t="shared" si="4178"/>
        <v>262</v>
      </c>
      <c r="CG434" s="71">
        <f t="shared" si="4179"/>
        <v>295</v>
      </c>
      <c r="CH434" s="70">
        <f t="shared" si="4180"/>
        <v>60</v>
      </c>
      <c r="CI434" s="71" t="str">
        <f t="shared" si="4181"/>
        <v>-</v>
      </c>
      <c r="CJ434" s="72">
        <f t="shared" si="4182"/>
        <v>95</v>
      </c>
      <c r="CK434" s="72" t="str">
        <f t="shared" si="4183"/>
        <v>-</v>
      </c>
      <c r="CL434" s="72">
        <f t="shared" si="4184"/>
        <v>134</v>
      </c>
      <c r="CM434" s="72" t="str">
        <f t="shared" si="4185"/>
        <v>-</v>
      </c>
      <c r="CN434" s="72">
        <f t="shared" si="4186"/>
        <v>164</v>
      </c>
      <c r="CO434" s="72">
        <f t="shared" si="4187"/>
        <v>175</v>
      </c>
      <c r="CP434" s="72">
        <f t="shared" si="4188"/>
        <v>218</v>
      </c>
      <c r="CQ434" s="72">
        <f t="shared" si="4189"/>
        <v>257</v>
      </c>
      <c r="CR434" s="72">
        <f t="shared" si="4190"/>
        <v>294</v>
      </c>
      <c r="CS434" s="72">
        <f t="shared" si="4191"/>
        <v>310</v>
      </c>
      <c r="CT434" s="23" t="e">
        <f t="shared" si="4192"/>
        <v>#VALUE!</v>
      </c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6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  <c r="ND434" s="6"/>
      <c r="NE434" s="6"/>
      <c r="NF434" s="6"/>
      <c r="NG434" s="6"/>
      <c r="NH434" s="6"/>
      <c r="NI434" s="6"/>
      <c r="NJ434" s="6"/>
      <c r="NK434" s="6"/>
      <c r="NL434" s="6"/>
      <c r="NM434" s="6"/>
      <c r="NN434" s="6"/>
      <c r="NO434" s="6"/>
      <c r="NP434" s="6"/>
      <c r="NQ434" s="6"/>
      <c r="NR434" s="6"/>
      <c r="NS434" s="6"/>
      <c r="NT434" s="6"/>
      <c r="NU434" s="6"/>
      <c r="NV434" s="6"/>
      <c r="NW434" s="6"/>
      <c r="NX434" s="6"/>
      <c r="NY434" s="6"/>
      <c r="NZ434" s="6"/>
      <c r="OA434" s="6"/>
      <c r="OB434" s="6"/>
      <c r="OC434" s="6"/>
      <c r="OD434" s="6"/>
      <c r="OE434" s="6"/>
      <c r="OF434" s="6"/>
      <c r="OG434" s="6"/>
      <c r="OH434" s="6"/>
      <c r="OI434" s="6"/>
      <c r="OJ434" s="6"/>
      <c r="OK434" s="6"/>
      <c r="OL434" s="6"/>
      <c r="OM434" s="6"/>
      <c r="ON434" s="6"/>
      <c r="OO434" s="6"/>
      <c r="OP434" s="6"/>
      <c r="OQ434" s="6"/>
      <c r="OR434" s="6"/>
      <c r="OS434" s="6"/>
      <c r="OT434" s="6"/>
      <c r="OU434" s="6"/>
      <c r="OV434" s="6"/>
      <c r="OW434" s="6"/>
      <c r="OX434" s="6"/>
      <c r="OY434" s="6"/>
      <c r="OZ434" s="6"/>
      <c r="PA434" s="6"/>
      <c r="PB434" s="6"/>
      <c r="PC434" s="6"/>
      <c r="PD434" s="6"/>
      <c r="PE434" s="6"/>
      <c r="PF434" s="6"/>
      <c r="PG434" s="6"/>
      <c r="PH434" s="6"/>
      <c r="PI434" s="6"/>
      <c r="PJ434" s="6"/>
      <c r="PK434" s="6"/>
      <c r="PL434" s="6"/>
      <c r="PM434" s="6"/>
      <c r="PN434" s="6"/>
      <c r="PO434" s="6"/>
      <c r="PP434" s="6"/>
      <c r="PQ434" s="6"/>
      <c r="PR434" s="6"/>
      <c r="PS434" s="6"/>
      <c r="PT434" s="6"/>
      <c r="PU434" s="6"/>
      <c r="PV434" s="6"/>
      <c r="PW434" s="6"/>
      <c r="PX434" s="6"/>
      <c r="PY434" s="6"/>
      <c r="PZ434" s="6"/>
      <c r="QA434" s="6"/>
      <c r="QB434" s="6"/>
      <c r="QC434" s="6"/>
      <c r="QD434" s="6"/>
      <c r="QE434" s="6"/>
      <c r="QF434" s="6"/>
      <c r="QG434" s="6"/>
      <c r="QH434" s="6"/>
      <c r="QI434" s="6"/>
      <c r="QJ434" s="6"/>
      <c r="QK434" s="6"/>
      <c r="QL434" s="6"/>
      <c r="QM434" s="6"/>
      <c r="QN434" s="6"/>
      <c r="QO434" s="6"/>
      <c r="QP434" s="6"/>
      <c r="QQ434" s="6"/>
      <c r="QR434" s="6"/>
      <c r="QS434" s="6"/>
      <c r="QT434" s="6"/>
      <c r="QU434" s="6"/>
      <c r="QV434" s="6"/>
      <c r="QW434" s="6"/>
      <c r="QX434" s="6"/>
      <c r="QY434" s="6"/>
      <c r="QZ434" s="6"/>
      <c r="RA434" s="6"/>
      <c r="RB434" s="6"/>
      <c r="RC434" s="6"/>
      <c r="RD434" s="6"/>
      <c r="RE434" s="6"/>
      <c r="RF434" s="6"/>
      <c r="RG434" s="6"/>
      <c r="RH434" s="6"/>
      <c r="RI434" s="6"/>
      <c r="RJ434" s="6"/>
      <c r="RK434" s="6"/>
      <c r="RL434" s="6"/>
      <c r="RM434" s="6"/>
      <c r="RN434" s="6"/>
      <c r="RO434" s="6"/>
      <c r="RP434" s="6"/>
      <c r="RQ434" s="6"/>
      <c r="RR434" s="6"/>
      <c r="RS434" s="6"/>
      <c r="RT434" s="6"/>
      <c r="RU434" s="6"/>
      <c r="RV434" s="6"/>
      <c r="RW434" s="6"/>
      <c r="RX434" s="6"/>
      <c r="RY434" s="6"/>
      <c r="RZ434" s="6"/>
      <c r="SA434" s="6"/>
      <c r="SB434" s="6"/>
      <c r="SC434" s="6"/>
      <c r="SD434" s="6"/>
      <c r="SE434" s="6"/>
      <c r="SF434" s="6"/>
      <c r="SG434" s="6"/>
      <c r="SH434" s="6"/>
      <c r="SI434" s="6"/>
      <c r="SJ434" s="6"/>
      <c r="SK434" s="6"/>
      <c r="SL434" s="6"/>
      <c r="SM434" s="6"/>
      <c r="SN434" s="6"/>
      <c r="SO434" s="6"/>
      <c r="SP434" s="6"/>
      <c r="SQ434" s="6"/>
      <c r="SR434" s="6"/>
      <c r="SS434" s="6"/>
      <c r="ST434" s="6"/>
      <c r="SU434" s="6"/>
      <c r="SV434" s="6"/>
      <c r="SW434" s="6"/>
      <c r="SX434" s="6"/>
      <c r="SY434" s="6"/>
      <c r="SZ434" s="6"/>
      <c r="TA434" s="6"/>
      <c r="TB434" s="6"/>
      <c r="TC434" s="6"/>
      <c r="TD434" s="6"/>
      <c r="TE434" s="6"/>
      <c r="TF434" s="6"/>
      <c r="TG434" s="6"/>
      <c r="TH434" s="6"/>
      <c r="TI434" s="6"/>
      <c r="TJ434" s="6"/>
      <c r="TK434" s="6"/>
      <c r="TL434" s="6"/>
      <c r="TM434" s="6"/>
      <c r="TN434" s="6"/>
      <c r="TO434" s="6"/>
      <c r="TP434" s="6"/>
      <c r="TQ434" s="6"/>
      <c r="TR434" s="6"/>
      <c r="TS434" s="6"/>
      <c r="TT434" s="6"/>
      <c r="TU434" s="6"/>
      <c r="TV434" s="6"/>
      <c r="TW434" s="6"/>
      <c r="TX434" s="6"/>
      <c r="TY434" s="6"/>
      <c r="TZ434" s="6"/>
      <c r="UA434" s="6"/>
      <c r="UB434" s="6"/>
      <c r="UC434" s="6"/>
      <c r="UD434" s="6"/>
      <c r="UE434" s="6"/>
      <c r="UF434" s="6"/>
      <c r="UG434" s="6"/>
      <c r="UH434" s="6"/>
      <c r="UI434" s="6"/>
      <c r="UJ434" s="6"/>
      <c r="UK434" s="6"/>
      <c r="UL434" s="6"/>
      <c r="UM434" s="6"/>
      <c r="UN434" s="6"/>
      <c r="UO434" s="6"/>
      <c r="UP434" s="6"/>
      <c r="UQ434" s="6"/>
      <c r="UR434" s="6"/>
      <c r="US434" s="6"/>
      <c r="UT434" s="6"/>
      <c r="UU434" s="6"/>
      <c r="UV434" s="6"/>
      <c r="UW434" s="6"/>
      <c r="UX434" s="6"/>
      <c r="UY434" s="6"/>
      <c r="UZ434" s="6"/>
      <c r="VA434" s="6"/>
      <c r="VB434" s="6"/>
      <c r="VC434" s="6"/>
      <c r="VD434" s="6"/>
      <c r="VE434" s="6"/>
      <c r="VF434" s="6"/>
      <c r="VG434" s="6"/>
      <c r="VH434" s="6"/>
      <c r="VI434" s="6"/>
      <c r="VJ434" s="6"/>
      <c r="VK434" s="6"/>
      <c r="VL434" s="6"/>
      <c r="VM434" s="6"/>
      <c r="VN434" s="6"/>
      <c r="VO434" s="6"/>
      <c r="VP434" s="6"/>
      <c r="VQ434" s="6"/>
      <c r="VR434" s="6"/>
      <c r="VS434" s="6"/>
      <c r="VT434" s="6"/>
      <c r="VU434" s="6"/>
      <c r="VV434" s="6"/>
      <c r="VW434" s="6"/>
      <c r="VX434" s="6"/>
      <c r="VY434" s="6"/>
      <c r="VZ434" s="6"/>
      <c r="WA434" s="6"/>
      <c r="WB434" s="6"/>
      <c r="WC434" s="6"/>
      <c r="WD434" s="6"/>
      <c r="WE434" s="6"/>
      <c r="WF434" s="6"/>
      <c r="WG434" s="6"/>
      <c r="WH434" s="6"/>
      <c r="WI434" s="6"/>
      <c r="WJ434" s="6"/>
      <c r="WK434" s="6"/>
      <c r="WL434" s="6"/>
      <c r="WM434" s="6"/>
      <c r="WN434" s="6"/>
      <c r="WO434" s="6"/>
      <c r="WP434" s="6"/>
      <c r="WQ434" s="6"/>
      <c r="WR434" s="6"/>
      <c r="WS434" s="6"/>
      <c r="WT434" s="6"/>
      <c r="WU434" s="6"/>
      <c r="WV434" s="6"/>
      <c r="WW434" s="6"/>
      <c r="WX434" s="6"/>
      <c r="WY434" s="6"/>
      <c r="WZ434" s="6"/>
      <c r="XA434" s="6"/>
      <c r="XB434" s="6"/>
      <c r="XC434" s="6"/>
      <c r="XD434" s="6"/>
      <c r="XE434" s="6"/>
      <c r="XF434" s="6"/>
      <c r="XG434" s="6"/>
      <c r="XH434" s="6"/>
      <c r="XI434" s="6"/>
      <c r="XJ434" s="6"/>
      <c r="XK434" s="6"/>
      <c r="XL434" s="6"/>
      <c r="XM434" s="6"/>
      <c r="XN434" s="6"/>
      <c r="XO434" s="6"/>
      <c r="XP434" s="6"/>
      <c r="XQ434" s="6"/>
      <c r="XR434" s="6"/>
      <c r="XS434" s="6"/>
      <c r="XT434" s="6"/>
      <c r="XU434" s="6"/>
      <c r="XV434" s="6"/>
      <c r="XW434" s="6"/>
      <c r="XX434" s="6"/>
      <c r="XY434" s="6"/>
      <c r="XZ434" s="6"/>
      <c r="YA434" s="6"/>
      <c r="YB434" s="6"/>
      <c r="YC434" s="6"/>
      <c r="YD434" s="6"/>
      <c r="YE434" s="6"/>
      <c r="YF434" s="6"/>
      <c r="YG434" s="6"/>
      <c r="YH434" s="6"/>
      <c r="YI434" s="6"/>
      <c r="YJ434" s="6"/>
      <c r="YK434" s="6"/>
      <c r="YL434" s="6"/>
      <c r="YM434" s="6"/>
      <c r="YN434" s="6"/>
      <c r="YO434" s="6"/>
      <c r="YP434" s="6"/>
      <c r="YQ434" s="6"/>
      <c r="YR434" s="6"/>
      <c r="YS434" s="6"/>
      <c r="YT434" s="6"/>
      <c r="YU434" s="6"/>
      <c r="YV434" s="6"/>
      <c r="YW434" s="6"/>
      <c r="YX434" s="6"/>
      <c r="YY434" s="6"/>
      <c r="YZ434" s="6"/>
      <c r="ZA434" s="6"/>
      <c r="ZB434" s="6"/>
      <c r="ZC434" s="6"/>
      <c r="ZD434" s="6"/>
      <c r="ZE434" s="6"/>
      <c r="ZF434" s="6"/>
      <c r="ZG434" s="6"/>
      <c r="ZH434" s="6"/>
      <c r="ZI434" s="6"/>
      <c r="ZJ434" s="6"/>
      <c r="ZK434" s="6"/>
      <c r="ZL434" s="6"/>
      <c r="ZM434" s="6"/>
      <c r="ZN434" s="6"/>
      <c r="ZO434" s="6"/>
      <c r="ZP434" s="6"/>
      <c r="ZQ434" s="6"/>
      <c r="ZR434" s="6"/>
      <c r="ZS434" s="6"/>
      <c r="ZT434" s="6"/>
      <c r="ZU434" s="6"/>
      <c r="ZV434" s="6"/>
      <c r="ZW434" s="6"/>
      <c r="ZX434" s="6"/>
      <c r="ZY434" s="6"/>
      <c r="ZZ434" s="6"/>
      <c r="AAA434" s="6"/>
      <c r="AAB434" s="6"/>
      <c r="AAC434" s="6"/>
      <c r="AAD434" s="6"/>
      <c r="AAE434" s="6"/>
      <c r="AAF434" s="6"/>
      <c r="AAG434" s="6"/>
      <c r="AAH434" s="6"/>
      <c r="AAI434" s="6"/>
      <c r="AAJ434" s="6"/>
      <c r="AAK434" s="6"/>
      <c r="AAL434" s="6"/>
      <c r="AAM434" s="6"/>
      <c r="AAN434" s="6"/>
      <c r="AAO434" s="6"/>
      <c r="AAP434" s="6"/>
      <c r="AAQ434" s="6"/>
      <c r="AAR434" s="6"/>
      <c r="AAS434" s="6"/>
      <c r="AAT434" s="6"/>
      <c r="AAU434" s="6"/>
      <c r="AAV434" s="6"/>
      <c r="AAW434" s="6"/>
      <c r="AAX434" s="6"/>
      <c r="AAY434" s="6"/>
      <c r="AAZ434" s="6"/>
      <c r="ABA434" s="6"/>
      <c r="ABB434" s="6"/>
      <c r="ABC434" s="6"/>
      <c r="ABD434" s="6"/>
      <c r="ABE434" s="6"/>
      <c r="ABF434" s="6"/>
      <c r="ABG434" s="6"/>
      <c r="ABH434" s="6"/>
      <c r="ABI434" s="6"/>
      <c r="ABJ434" s="6"/>
      <c r="ABK434" s="6"/>
      <c r="ABL434" s="6"/>
      <c r="ABM434" s="6"/>
      <c r="ABN434" s="6"/>
      <c r="ABO434" s="6"/>
      <c r="ABP434" s="6"/>
      <c r="ABQ434" s="6"/>
      <c r="ABR434" s="6"/>
      <c r="ABS434" s="6"/>
      <c r="ABT434" s="6"/>
      <c r="ABU434" s="6"/>
      <c r="ABV434" s="6"/>
      <c r="ABW434" s="6"/>
      <c r="ABX434" s="6"/>
      <c r="ABY434" s="6"/>
      <c r="ABZ434" s="6"/>
      <c r="ACA434" s="6"/>
      <c r="ACB434" s="6"/>
      <c r="ACC434" s="6"/>
      <c r="ACD434" s="6"/>
      <c r="ACE434" s="6"/>
      <c r="ACF434" s="6"/>
      <c r="ACG434" s="6"/>
      <c r="ACH434" s="6"/>
      <c r="ACI434" s="6"/>
      <c r="ACJ434" s="6"/>
      <c r="ACK434" s="6"/>
      <c r="ACL434" s="6"/>
      <c r="ACM434" s="6"/>
      <c r="ACN434" s="6"/>
      <c r="ACO434" s="6"/>
      <c r="ACP434" s="6"/>
      <c r="ACQ434" s="6"/>
      <c r="ACR434" s="6"/>
      <c r="ACS434" s="6"/>
      <c r="ACT434" s="6"/>
      <c r="ACU434" s="6"/>
      <c r="ACV434" s="6"/>
      <c r="ACW434" s="6"/>
      <c r="ACX434" s="6"/>
      <c r="ACY434" s="6"/>
      <c r="ACZ434" s="6"/>
      <c r="ADA434" s="6"/>
      <c r="ADB434" s="6"/>
      <c r="ADC434" s="6"/>
      <c r="ADD434" s="6"/>
      <c r="ADE434" s="6"/>
      <c r="ADF434" s="6"/>
      <c r="ADG434" s="6"/>
      <c r="ADH434" s="6"/>
      <c r="ADI434" s="6"/>
      <c r="ADJ434" s="6"/>
      <c r="ADK434" s="6"/>
      <c r="ADL434" s="6"/>
      <c r="ADM434" s="6"/>
      <c r="ADN434" s="6"/>
      <c r="ADO434" s="6"/>
      <c r="ADP434" s="6"/>
      <c r="ADQ434" s="6"/>
      <c r="ADR434" s="6"/>
      <c r="ADS434" s="6"/>
      <c r="ADT434" s="6"/>
      <c r="ADU434" s="6"/>
      <c r="ADV434" s="6"/>
      <c r="ADW434" s="6"/>
      <c r="ADX434" s="6"/>
      <c r="ADY434" s="6"/>
      <c r="ADZ434" s="6"/>
      <c r="AEA434" s="6"/>
      <c r="AEB434" s="6"/>
      <c r="AEC434" s="6"/>
      <c r="AED434" s="6"/>
      <c r="AEE434" s="6"/>
      <c r="AEF434" s="6"/>
      <c r="AEG434" s="6"/>
      <c r="AEH434" s="6"/>
      <c r="AEI434" s="6"/>
      <c r="AEJ434" s="6"/>
      <c r="AEK434" s="6"/>
      <c r="AEL434" s="6"/>
      <c r="AEM434" s="6"/>
      <c r="AEN434" s="6"/>
      <c r="AEO434" s="6"/>
      <c r="AEP434" s="6"/>
      <c r="AEQ434" s="6"/>
      <c r="AER434" s="6"/>
      <c r="AES434" s="6"/>
      <c r="AET434" s="6"/>
      <c r="AEU434" s="6"/>
      <c r="AEV434" s="6"/>
      <c r="AEW434" s="6"/>
      <c r="AEX434" s="6"/>
      <c r="AEY434" s="6"/>
      <c r="AEZ434" s="6"/>
      <c r="AFA434" s="6"/>
      <c r="AFB434" s="6"/>
      <c r="AFC434" s="6"/>
      <c r="AFD434" s="6"/>
      <c r="AFE434" s="6"/>
      <c r="AFF434" s="6"/>
      <c r="AFG434" s="6"/>
      <c r="AFH434" s="6"/>
      <c r="AFI434" s="6"/>
      <c r="AFJ434" s="6"/>
      <c r="AFK434" s="6"/>
      <c r="AFL434" s="6"/>
      <c r="AFM434" s="6"/>
      <c r="AFN434" s="6"/>
      <c r="AFO434" s="6"/>
      <c r="AFP434" s="6"/>
      <c r="AFQ434" s="6"/>
      <c r="AFR434" s="6"/>
      <c r="AFS434" s="6"/>
      <c r="AFT434" s="6"/>
      <c r="AFU434" s="6"/>
      <c r="AFV434" s="6"/>
      <c r="AFW434" s="6"/>
      <c r="AFX434" s="6"/>
      <c r="AFY434" s="6"/>
      <c r="AFZ434" s="6"/>
      <c r="AGA434" s="6"/>
      <c r="AGB434" s="6"/>
      <c r="AGC434" s="6"/>
      <c r="AGD434" s="6"/>
      <c r="AGE434" s="6"/>
      <c r="AGF434" s="6"/>
      <c r="AGG434" s="6"/>
      <c r="AGH434" s="6"/>
      <c r="AGI434" s="6"/>
      <c r="AGJ434" s="6"/>
      <c r="AGK434" s="6"/>
      <c r="AGL434" s="6"/>
      <c r="AGM434" s="6"/>
      <c r="AGN434" s="6"/>
      <c r="AGO434" s="6"/>
      <c r="AGP434" s="6"/>
      <c r="AGQ434" s="6"/>
      <c r="AGR434" s="6"/>
      <c r="AGS434" s="6"/>
      <c r="AGT434" s="6"/>
      <c r="AGU434" s="6"/>
      <c r="AGV434" s="6"/>
      <c r="AGW434" s="6"/>
      <c r="AGX434" s="6"/>
      <c r="AGY434" s="6"/>
      <c r="AGZ434" s="6"/>
      <c r="AHA434" s="6"/>
      <c r="AHB434" s="6"/>
      <c r="AHC434" s="6"/>
      <c r="AHD434" s="6"/>
      <c r="AHE434" s="6"/>
      <c r="AHF434" s="6"/>
      <c r="AHG434" s="6"/>
      <c r="AHH434" s="6"/>
      <c r="AHI434" s="6"/>
      <c r="AHJ434" s="6"/>
      <c r="AHK434" s="6"/>
      <c r="AHL434" s="6"/>
      <c r="AHM434" s="6"/>
      <c r="AHN434" s="6"/>
      <c r="AHO434" s="6"/>
      <c r="AHP434" s="6"/>
      <c r="AHQ434" s="6"/>
      <c r="AHR434" s="6"/>
      <c r="AHS434" s="6"/>
      <c r="AHT434" s="6"/>
      <c r="AHU434" s="6"/>
      <c r="AHV434" s="6"/>
      <c r="AHW434" s="6"/>
      <c r="AHX434" s="6"/>
      <c r="AHY434" s="6"/>
      <c r="AHZ434" s="6"/>
      <c r="AIA434" s="6"/>
      <c r="AIB434" s="6"/>
      <c r="AIC434" s="6"/>
      <c r="AID434" s="6"/>
      <c r="AIE434" s="6"/>
      <c r="AIF434" s="6"/>
      <c r="AIG434" s="6"/>
      <c r="AIH434" s="6"/>
      <c r="AII434" s="6"/>
      <c r="AIJ434" s="6"/>
      <c r="AIK434" s="6"/>
      <c r="AIL434" s="6"/>
      <c r="AIM434" s="6"/>
      <c r="AIN434" s="6"/>
      <c r="AIO434" s="6"/>
      <c r="AIP434" s="6"/>
      <c r="AIQ434" s="6"/>
      <c r="AIR434" s="6"/>
      <c r="AIS434" s="6"/>
      <c r="AIT434" s="6"/>
      <c r="AIU434" s="6"/>
      <c r="AIV434" s="6"/>
      <c r="AIW434" s="6"/>
      <c r="AIX434" s="6"/>
      <c r="AIY434" s="6"/>
      <c r="AIZ434" s="6"/>
      <c r="AJA434" s="6"/>
      <c r="AJB434" s="6"/>
      <c r="AJC434" s="6"/>
      <c r="AJD434" s="6"/>
      <c r="AJE434" s="6"/>
      <c r="AJF434" s="6"/>
      <c r="AJG434" s="6"/>
      <c r="AJH434" s="6"/>
      <c r="AJI434" s="6"/>
      <c r="AJJ434" s="6"/>
      <c r="AJK434" s="6"/>
      <c r="AJL434" s="6"/>
      <c r="AJM434" s="6"/>
      <c r="AJN434" s="6"/>
      <c r="AJO434" s="6"/>
      <c r="AJP434" s="6"/>
      <c r="AJQ434" s="6"/>
      <c r="AJR434" s="6"/>
      <c r="AJS434" s="6"/>
      <c r="AJT434" s="6"/>
      <c r="AJU434" s="6"/>
      <c r="AJV434" s="6"/>
      <c r="AJW434" s="6"/>
      <c r="AJX434" s="6"/>
      <c r="AJY434" s="6"/>
      <c r="AJZ434" s="6"/>
      <c r="AKA434" s="6"/>
      <c r="AKB434" s="6"/>
      <c r="AKC434" s="6"/>
      <c r="AKD434" s="6"/>
      <c r="AKE434" s="6"/>
      <c r="AKF434" s="6"/>
      <c r="AKG434" s="6"/>
      <c r="AKH434" s="6"/>
      <c r="AKI434" s="6"/>
      <c r="AKJ434" s="6"/>
      <c r="AKK434" s="6"/>
      <c r="AKL434" s="6"/>
      <c r="AKM434" s="6"/>
      <c r="AKN434" s="6"/>
      <c r="AKO434" s="6"/>
      <c r="AKP434" s="6"/>
      <c r="AKQ434" s="6"/>
      <c r="AKR434" s="6"/>
      <c r="AKS434" s="6"/>
      <c r="AKT434" s="6"/>
      <c r="AKU434" s="6"/>
      <c r="AKV434" s="6"/>
      <c r="AKW434" s="6"/>
      <c r="AKX434" s="6"/>
      <c r="AKY434" s="6"/>
      <c r="AKZ434" s="6"/>
      <c r="ALA434" s="6"/>
      <c r="ALB434" s="6"/>
      <c r="ALC434" s="6"/>
      <c r="ALD434" s="6"/>
      <c r="ALE434" s="6"/>
      <c r="ALF434" s="6"/>
      <c r="ALG434" s="6"/>
      <c r="ALH434" s="6"/>
      <c r="ALI434" s="6"/>
      <c r="ALJ434" s="6"/>
      <c r="ALK434" s="6"/>
      <c r="ALL434" s="6"/>
      <c r="ALM434" s="6"/>
      <c r="ALN434" s="6"/>
      <c r="ALO434" s="6"/>
      <c r="ALP434" s="6"/>
      <c r="ALQ434" s="6"/>
      <c r="ALR434" s="6"/>
      <c r="ALS434" s="6"/>
      <c r="ALT434" s="6"/>
      <c r="ALU434" s="6"/>
      <c r="ALV434" s="6"/>
      <c r="ALW434" s="6"/>
      <c r="ALX434" s="6"/>
      <c r="ALY434" s="6"/>
      <c r="ALZ434" s="6"/>
      <c r="AMA434" s="6"/>
      <c r="AMB434" s="6"/>
      <c r="AMC434" s="6"/>
      <c r="AMD434" s="6"/>
      <c r="AME434" s="6"/>
      <c r="AMF434" s="6"/>
      <c r="AMG434" s="6"/>
      <c r="AMH434" s="6"/>
      <c r="AMI434" s="6"/>
      <c r="AMJ434" s="6"/>
      <c r="AMK434" s="6"/>
      <c r="AML434" s="6"/>
      <c r="AMM434" s="6"/>
      <c r="AMN434" s="6"/>
      <c r="AMO434" s="6"/>
      <c r="AMP434" s="6"/>
    </row>
    <row r="435" spans="1:1030" x14ac:dyDescent="0.2">
      <c r="A435" s="3" t="str">
        <f t="shared" si="4193"/>
        <v>q80km9_hcmv_5WB2</v>
      </c>
      <c r="B435" s="2" t="s">
        <v>1501</v>
      </c>
      <c r="C435" s="3" t="s">
        <v>1504</v>
      </c>
      <c r="D435" s="3" t="str">
        <f>IFERROR(MID(VLOOKUP($B435,Seqs!$A:$B,2,0),E435,1),"")</f>
        <v>F</v>
      </c>
      <c r="E435" s="3">
        <v>25</v>
      </c>
      <c r="F435" s="3" t="str">
        <f>IFERROR(MID(VLOOKUP($B435,Seqs!$A:$B,2,0),G435,1),"")</f>
        <v>W</v>
      </c>
      <c r="G435" s="3">
        <v>60</v>
      </c>
      <c r="H435" s="3" t="str">
        <f>IFERROR(MID(VLOOKUP($B435,Seqs!$A:$B,2,0),I435,1),"")</f>
        <v/>
      </c>
      <c r="I435" s="23" t="s">
        <v>23</v>
      </c>
      <c r="J435" s="3" t="str">
        <f>IFERROR(MID(VLOOKUP($B435,Seqs!$A:$B,2,0),K435,1),"")</f>
        <v/>
      </c>
      <c r="K435" s="23" t="s">
        <v>23</v>
      </c>
      <c r="L435" s="3" t="str">
        <f>IFERROR(MID(VLOOKUP($B435,Seqs!$A:$B,2,0),M435,1),"")</f>
        <v>C</v>
      </c>
      <c r="M435" s="3">
        <v>66</v>
      </c>
      <c r="N435" s="3" t="str">
        <f>IFERROR(MID(VLOOKUP($B435,Seqs!$A:$B,2,0),O435,1),"")</f>
        <v>D</v>
      </c>
      <c r="O435" s="3">
        <v>95</v>
      </c>
      <c r="P435" s="3" t="str">
        <f>IFERROR(MID(VLOOKUP($B435,Seqs!$A:$B,2,0),Q435,1),"")</f>
        <v/>
      </c>
      <c r="Q435" s="3" t="s">
        <v>23</v>
      </c>
      <c r="R435" s="3" t="str">
        <f>IFERROR(MID(VLOOKUP($B435,Seqs!$A:$B,2,0),S435,1),"")</f>
        <v/>
      </c>
      <c r="S435" s="3" t="s">
        <v>23</v>
      </c>
      <c r="T435" s="3" t="str">
        <f>IFERROR(MID(VLOOKUP($B435,Seqs!$A:$B,2,0),U435,1),"")</f>
        <v>A</v>
      </c>
      <c r="U435" s="3">
        <v>100</v>
      </c>
      <c r="V435" s="3" t="str">
        <f>IFERROR(MID(VLOOKUP($B435,Seqs!$A:$B,2,0),W435,1),"")</f>
        <v>V</v>
      </c>
      <c r="W435" s="3">
        <v>134</v>
      </c>
      <c r="X435" s="3" t="str">
        <f>IFERROR(MID(VLOOKUP($B435,Seqs!$A:$B,2,0),Y435,1),"")</f>
        <v/>
      </c>
      <c r="Y435" s="3" t="s">
        <v>23</v>
      </c>
      <c r="Z435" s="3" t="str">
        <f>IFERROR(MID(VLOOKUP($B435,Seqs!$A:$B,2,0),AA435,1),"")</f>
        <v/>
      </c>
      <c r="AA435" s="3" t="s">
        <v>23</v>
      </c>
      <c r="AB435" s="3" t="str">
        <f>IFERROR(MID(VLOOKUP($B435,Seqs!$A:$B,2,0),AC435,1),"")</f>
        <v>P</v>
      </c>
      <c r="AC435" s="3">
        <v>140</v>
      </c>
      <c r="AD435" s="3" t="str">
        <f>IFERROR(MID(VLOOKUP($B435,Seqs!$A:$B,2,0),AE435,1),"")</f>
        <v>M</v>
      </c>
      <c r="AE435" s="3">
        <v>164</v>
      </c>
      <c r="AF435" s="3" t="str">
        <f>IFERROR(MID(VLOOKUP($B435,Seqs!$A:$B,2,0),AG435,1),"")</f>
        <v>C</v>
      </c>
      <c r="AG435" s="3">
        <v>173</v>
      </c>
      <c r="AH435" s="3" t="str">
        <f>IFERROR(MID(VLOOKUP($B435,Seqs!$A:$B,2,0),AI435,1),"")</f>
        <v>T</v>
      </c>
      <c r="AI435" s="3">
        <v>175</v>
      </c>
      <c r="AJ435" s="3" t="str">
        <f>IFERROR(MID(VLOOKUP($B435,Seqs!$A:$B,2,0),AK435,1),"")</f>
        <v>S</v>
      </c>
      <c r="AK435" s="3">
        <v>183</v>
      </c>
      <c r="AL435" s="3" t="str">
        <f>IFERROR(MID(VLOOKUP($B435,Seqs!$A:$B,2,0),AM435,1),"")</f>
        <v>S</v>
      </c>
      <c r="AM435" s="3">
        <v>218</v>
      </c>
      <c r="AN435" s="3" t="str">
        <f>IFERROR(MID(VLOOKUP($B435,Seqs!$A:$B,2,0),AO435,1),"")</f>
        <v>H</v>
      </c>
      <c r="AO435" s="3">
        <v>222</v>
      </c>
      <c r="AP435" s="3" t="str">
        <f>IFERROR(MID(VLOOKUP($B435,Seqs!$A:$B,2,0),AQ435,1),"")</f>
        <v>K</v>
      </c>
      <c r="AQ435" s="3">
        <v>257</v>
      </c>
      <c r="AR435" s="3" t="str">
        <f>IFERROR(MID(VLOOKUP($B435,Seqs!$A:$B,2,0),AS435,1),"")</f>
        <v>S</v>
      </c>
      <c r="AS435" s="3">
        <v>262</v>
      </c>
      <c r="AT435" s="3" t="str">
        <f>IFERROR(MID(VLOOKUP($B435,Seqs!$A:$B,2,0),AU435,1),"")</f>
        <v>V</v>
      </c>
      <c r="AU435" s="3">
        <v>294</v>
      </c>
      <c r="AV435" s="3" t="str">
        <f>IFERROR(MID(VLOOKUP($B435,Seqs!$A:$B,2,0),AW435,1),"")</f>
        <v>G</v>
      </c>
      <c r="AW435" s="3">
        <v>295</v>
      </c>
      <c r="AX435" s="3" t="str">
        <f>IFERROR(MID(VLOOKUP($B435,Seqs!$A:$B,2,0),AY435,1),"")</f>
        <v>A</v>
      </c>
      <c r="AY435" s="3">
        <v>307</v>
      </c>
      <c r="AZ435" s="77" t="str">
        <f>VLOOKUP(B435,Classification!A:D,2,0)</f>
        <v>A</v>
      </c>
      <c r="BA435" s="94" t="str">
        <f>VLOOKUP(B435,Classification!A:D,4,0)</f>
        <v>Chemokine</v>
      </c>
      <c r="BB435" s="27" t="b">
        <f t="shared" si="4166"/>
        <v>1</v>
      </c>
      <c r="BC435" s="23">
        <f t="shared" si="4167"/>
        <v>250</v>
      </c>
      <c r="BD435" s="4" t="s">
        <v>23</v>
      </c>
      <c r="BE435" s="3" t="s">
        <v>1285</v>
      </c>
      <c r="BF435" s="118">
        <v>3.5</v>
      </c>
      <c r="BG435" s="49" t="s">
        <v>1</v>
      </c>
      <c r="BH435" s="49" t="s">
        <v>1</v>
      </c>
      <c r="BI435" s="1"/>
      <c r="BJ435" s="70" t="s">
        <v>1281</v>
      </c>
      <c r="BK435" s="57" t="s">
        <v>1281</v>
      </c>
      <c r="BL435" s="57" t="s">
        <v>1281</v>
      </c>
      <c r="BM435" s="57" t="s">
        <v>1281</v>
      </c>
      <c r="BN435" s="57" t="s">
        <v>1281</v>
      </c>
      <c r="BO435" s="57" t="s">
        <v>1281</v>
      </c>
      <c r="BP435" s="57" t="s">
        <v>1281</v>
      </c>
      <c r="BQ435" s="57" t="s">
        <v>1281</v>
      </c>
      <c r="BR435" s="57" t="s">
        <v>1281</v>
      </c>
      <c r="BS435" s="57" t="s">
        <v>1281</v>
      </c>
      <c r="BT435" s="57" t="s">
        <v>1281</v>
      </c>
      <c r="BU435" s="57" t="s">
        <v>1281</v>
      </c>
      <c r="BV435" s="70">
        <f t="shared" si="4168"/>
        <v>25</v>
      </c>
      <c r="BW435" s="71" t="str">
        <f t="shared" si="4169"/>
        <v>-</v>
      </c>
      <c r="BX435" s="72">
        <f t="shared" si="4170"/>
        <v>66</v>
      </c>
      <c r="BY435" s="71" t="str">
        <f t="shared" si="4171"/>
        <v>-</v>
      </c>
      <c r="BZ435" s="72">
        <f t="shared" si="4172"/>
        <v>100</v>
      </c>
      <c r="CA435" s="71" t="str">
        <f t="shared" si="4173"/>
        <v>-</v>
      </c>
      <c r="CB435" s="72">
        <f t="shared" si="4174"/>
        <v>140</v>
      </c>
      <c r="CC435" s="71">
        <f t="shared" si="4175"/>
        <v>173</v>
      </c>
      <c r="CD435" s="72">
        <f t="shared" si="4176"/>
        <v>183</v>
      </c>
      <c r="CE435" s="71">
        <f t="shared" si="4177"/>
        <v>222</v>
      </c>
      <c r="CF435" s="72">
        <f t="shared" si="4178"/>
        <v>262</v>
      </c>
      <c r="CG435" s="71">
        <f t="shared" si="4179"/>
        <v>295</v>
      </c>
      <c r="CH435" s="70">
        <f t="shared" si="4180"/>
        <v>60</v>
      </c>
      <c r="CI435" s="71" t="str">
        <f t="shared" si="4181"/>
        <v>-</v>
      </c>
      <c r="CJ435" s="72">
        <f t="shared" si="4182"/>
        <v>95</v>
      </c>
      <c r="CK435" s="72" t="str">
        <f t="shared" si="4183"/>
        <v>-</v>
      </c>
      <c r="CL435" s="72">
        <f t="shared" si="4184"/>
        <v>134</v>
      </c>
      <c r="CM435" s="72" t="str">
        <f t="shared" si="4185"/>
        <v>-</v>
      </c>
      <c r="CN435" s="72">
        <f t="shared" si="4186"/>
        <v>164</v>
      </c>
      <c r="CO435" s="72">
        <f t="shared" si="4187"/>
        <v>175</v>
      </c>
      <c r="CP435" s="72">
        <f t="shared" si="4188"/>
        <v>218</v>
      </c>
      <c r="CQ435" s="72">
        <f t="shared" si="4189"/>
        <v>257</v>
      </c>
      <c r="CR435" s="72">
        <f t="shared" si="4190"/>
        <v>294</v>
      </c>
      <c r="CS435" s="72">
        <f t="shared" si="4191"/>
        <v>307</v>
      </c>
      <c r="CT435" s="23" t="e">
        <f t="shared" si="4192"/>
        <v>#VALUE!</v>
      </c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"/>
      <c r="JN435" s="6"/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6"/>
      <c r="KB435" s="6"/>
      <c r="KC435" s="6"/>
      <c r="KD435" s="6"/>
      <c r="KE435" s="6"/>
      <c r="KF435" s="6"/>
      <c r="KG435" s="6"/>
      <c r="KH435" s="6"/>
      <c r="KI435" s="6"/>
      <c r="KJ435" s="6"/>
      <c r="KK435" s="6"/>
      <c r="KL435" s="6"/>
      <c r="KM435" s="6"/>
      <c r="KN435" s="6"/>
      <c r="KO435" s="6"/>
      <c r="KP435" s="6"/>
      <c r="KQ435" s="6"/>
      <c r="KR435" s="6"/>
      <c r="KS435" s="6"/>
      <c r="KT435" s="6"/>
      <c r="KU435" s="6"/>
      <c r="KV435" s="6"/>
      <c r="KW435" s="6"/>
      <c r="KX435" s="6"/>
      <c r="KY435" s="6"/>
      <c r="KZ435" s="6"/>
      <c r="LA435" s="6"/>
      <c r="LB435" s="6"/>
      <c r="LC435" s="6"/>
      <c r="LD435" s="6"/>
      <c r="LE435" s="6"/>
      <c r="LF435" s="6"/>
      <c r="LG435" s="6"/>
      <c r="LH435" s="6"/>
      <c r="LI435" s="6"/>
      <c r="LJ435" s="6"/>
      <c r="LK435" s="6"/>
      <c r="LL435" s="6"/>
      <c r="LM435" s="6"/>
      <c r="LN435" s="6"/>
      <c r="LO435" s="6"/>
      <c r="LP435" s="6"/>
      <c r="LQ435" s="6"/>
      <c r="LR435" s="6"/>
      <c r="LS435" s="6"/>
      <c r="LT435" s="6"/>
      <c r="LU435" s="6"/>
      <c r="LV435" s="6"/>
      <c r="LW435" s="6"/>
      <c r="LX435" s="6"/>
      <c r="LY435" s="6"/>
      <c r="LZ435" s="6"/>
      <c r="MA435" s="6"/>
      <c r="MB435" s="6"/>
      <c r="MC435" s="6"/>
      <c r="MD435" s="6"/>
      <c r="ME435" s="6"/>
      <c r="MF435" s="6"/>
      <c r="MG435" s="6"/>
      <c r="MH435" s="6"/>
      <c r="MI435" s="6"/>
      <c r="MJ435" s="6"/>
      <c r="MK435" s="6"/>
      <c r="ML435" s="6"/>
      <c r="MM435" s="6"/>
      <c r="MN435" s="6"/>
      <c r="MO435" s="6"/>
      <c r="MP435" s="6"/>
      <c r="MQ435" s="6"/>
      <c r="MR435" s="6"/>
      <c r="MS435" s="6"/>
      <c r="MT435" s="6"/>
      <c r="MU435" s="6"/>
      <c r="MV435" s="6"/>
      <c r="MW435" s="6"/>
      <c r="MX435" s="6"/>
      <c r="MY435" s="6"/>
      <c r="MZ435" s="6"/>
      <c r="NA435" s="6"/>
      <c r="NB435" s="6"/>
      <c r="NC435" s="6"/>
      <c r="ND435" s="6"/>
      <c r="NE435" s="6"/>
      <c r="NF435" s="6"/>
      <c r="NG435" s="6"/>
      <c r="NH435" s="6"/>
      <c r="NI435" s="6"/>
      <c r="NJ435" s="6"/>
      <c r="NK435" s="6"/>
      <c r="NL435" s="6"/>
      <c r="NM435" s="6"/>
      <c r="NN435" s="6"/>
      <c r="NO435" s="6"/>
      <c r="NP435" s="6"/>
      <c r="NQ435" s="6"/>
      <c r="NR435" s="6"/>
      <c r="NS435" s="6"/>
      <c r="NT435" s="6"/>
      <c r="NU435" s="6"/>
      <c r="NV435" s="6"/>
      <c r="NW435" s="6"/>
      <c r="NX435" s="6"/>
      <c r="NY435" s="6"/>
      <c r="NZ435" s="6"/>
      <c r="OA435" s="6"/>
      <c r="OB435" s="6"/>
      <c r="OC435" s="6"/>
      <c r="OD435" s="6"/>
      <c r="OE435" s="6"/>
      <c r="OF435" s="6"/>
      <c r="OG435" s="6"/>
      <c r="OH435" s="6"/>
      <c r="OI435" s="6"/>
      <c r="OJ435" s="6"/>
      <c r="OK435" s="6"/>
      <c r="OL435" s="6"/>
      <c r="OM435" s="6"/>
      <c r="ON435" s="6"/>
      <c r="OO435" s="6"/>
      <c r="OP435" s="6"/>
      <c r="OQ435" s="6"/>
      <c r="OR435" s="6"/>
      <c r="OS435" s="6"/>
      <c r="OT435" s="6"/>
      <c r="OU435" s="6"/>
      <c r="OV435" s="6"/>
      <c r="OW435" s="6"/>
      <c r="OX435" s="6"/>
      <c r="OY435" s="6"/>
      <c r="OZ435" s="6"/>
      <c r="PA435" s="6"/>
      <c r="PB435" s="6"/>
      <c r="PC435" s="6"/>
      <c r="PD435" s="6"/>
      <c r="PE435" s="6"/>
      <c r="PF435" s="6"/>
      <c r="PG435" s="6"/>
      <c r="PH435" s="6"/>
      <c r="PI435" s="6"/>
      <c r="PJ435" s="6"/>
      <c r="PK435" s="6"/>
      <c r="PL435" s="6"/>
      <c r="PM435" s="6"/>
      <c r="PN435" s="6"/>
      <c r="PO435" s="6"/>
      <c r="PP435" s="6"/>
      <c r="PQ435" s="6"/>
      <c r="PR435" s="6"/>
      <c r="PS435" s="6"/>
      <c r="PT435" s="6"/>
      <c r="PU435" s="6"/>
      <c r="PV435" s="6"/>
      <c r="PW435" s="6"/>
      <c r="PX435" s="6"/>
      <c r="PY435" s="6"/>
      <c r="PZ435" s="6"/>
      <c r="QA435" s="6"/>
      <c r="QB435" s="6"/>
      <c r="QC435" s="6"/>
      <c r="QD435" s="6"/>
      <c r="QE435" s="6"/>
      <c r="QF435" s="6"/>
      <c r="QG435" s="6"/>
      <c r="QH435" s="6"/>
      <c r="QI435" s="6"/>
      <c r="QJ435" s="6"/>
      <c r="QK435" s="6"/>
      <c r="QL435" s="6"/>
      <c r="QM435" s="6"/>
      <c r="QN435" s="6"/>
      <c r="QO435" s="6"/>
      <c r="QP435" s="6"/>
      <c r="QQ435" s="6"/>
      <c r="QR435" s="6"/>
      <c r="QS435" s="6"/>
      <c r="QT435" s="6"/>
      <c r="QU435" s="6"/>
      <c r="QV435" s="6"/>
      <c r="QW435" s="6"/>
      <c r="QX435" s="6"/>
      <c r="QY435" s="6"/>
      <c r="QZ435" s="6"/>
      <c r="RA435" s="6"/>
      <c r="RB435" s="6"/>
      <c r="RC435" s="6"/>
      <c r="RD435" s="6"/>
      <c r="RE435" s="6"/>
      <c r="RF435" s="6"/>
      <c r="RG435" s="6"/>
      <c r="RH435" s="6"/>
      <c r="RI435" s="6"/>
      <c r="RJ435" s="6"/>
      <c r="RK435" s="6"/>
      <c r="RL435" s="6"/>
      <c r="RM435" s="6"/>
      <c r="RN435" s="6"/>
      <c r="RO435" s="6"/>
      <c r="RP435" s="6"/>
      <c r="RQ435" s="6"/>
      <c r="RR435" s="6"/>
      <c r="RS435" s="6"/>
      <c r="RT435" s="6"/>
      <c r="RU435" s="6"/>
      <c r="RV435" s="6"/>
      <c r="RW435" s="6"/>
      <c r="RX435" s="6"/>
      <c r="RY435" s="6"/>
      <c r="RZ435" s="6"/>
      <c r="SA435" s="6"/>
      <c r="SB435" s="6"/>
      <c r="SC435" s="6"/>
      <c r="SD435" s="6"/>
      <c r="SE435" s="6"/>
      <c r="SF435" s="6"/>
      <c r="SG435" s="6"/>
      <c r="SH435" s="6"/>
      <c r="SI435" s="6"/>
      <c r="SJ435" s="6"/>
      <c r="SK435" s="6"/>
      <c r="SL435" s="6"/>
      <c r="SM435" s="6"/>
      <c r="SN435" s="6"/>
      <c r="SO435" s="6"/>
      <c r="SP435" s="6"/>
      <c r="SQ435" s="6"/>
      <c r="SR435" s="6"/>
      <c r="SS435" s="6"/>
      <c r="ST435" s="6"/>
      <c r="SU435" s="6"/>
      <c r="SV435" s="6"/>
      <c r="SW435" s="6"/>
      <c r="SX435" s="6"/>
      <c r="SY435" s="6"/>
      <c r="SZ435" s="6"/>
      <c r="TA435" s="6"/>
      <c r="TB435" s="6"/>
      <c r="TC435" s="6"/>
      <c r="TD435" s="6"/>
      <c r="TE435" s="6"/>
      <c r="TF435" s="6"/>
      <c r="TG435" s="6"/>
      <c r="TH435" s="6"/>
      <c r="TI435" s="6"/>
      <c r="TJ435" s="6"/>
      <c r="TK435" s="6"/>
      <c r="TL435" s="6"/>
      <c r="TM435" s="6"/>
      <c r="TN435" s="6"/>
      <c r="TO435" s="6"/>
      <c r="TP435" s="6"/>
      <c r="TQ435" s="6"/>
      <c r="TR435" s="6"/>
      <c r="TS435" s="6"/>
      <c r="TT435" s="6"/>
      <c r="TU435" s="6"/>
      <c r="TV435" s="6"/>
      <c r="TW435" s="6"/>
      <c r="TX435" s="6"/>
      <c r="TY435" s="6"/>
      <c r="TZ435" s="6"/>
      <c r="UA435" s="6"/>
      <c r="UB435" s="6"/>
      <c r="UC435" s="6"/>
      <c r="UD435" s="6"/>
      <c r="UE435" s="6"/>
      <c r="UF435" s="6"/>
      <c r="UG435" s="6"/>
      <c r="UH435" s="6"/>
      <c r="UI435" s="6"/>
      <c r="UJ435" s="6"/>
      <c r="UK435" s="6"/>
      <c r="UL435" s="6"/>
      <c r="UM435" s="6"/>
      <c r="UN435" s="6"/>
      <c r="UO435" s="6"/>
      <c r="UP435" s="6"/>
      <c r="UQ435" s="6"/>
      <c r="UR435" s="6"/>
      <c r="US435" s="6"/>
      <c r="UT435" s="6"/>
      <c r="UU435" s="6"/>
      <c r="UV435" s="6"/>
      <c r="UW435" s="6"/>
      <c r="UX435" s="6"/>
      <c r="UY435" s="6"/>
      <c r="UZ435" s="6"/>
      <c r="VA435" s="6"/>
      <c r="VB435" s="6"/>
      <c r="VC435" s="6"/>
      <c r="VD435" s="6"/>
      <c r="VE435" s="6"/>
      <c r="VF435" s="6"/>
      <c r="VG435" s="6"/>
      <c r="VH435" s="6"/>
      <c r="VI435" s="6"/>
      <c r="VJ435" s="6"/>
      <c r="VK435" s="6"/>
      <c r="VL435" s="6"/>
      <c r="VM435" s="6"/>
      <c r="VN435" s="6"/>
      <c r="VO435" s="6"/>
      <c r="VP435" s="6"/>
      <c r="VQ435" s="6"/>
      <c r="VR435" s="6"/>
      <c r="VS435" s="6"/>
      <c r="VT435" s="6"/>
      <c r="VU435" s="6"/>
      <c r="VV435" s="6"/>
      <c r="VW435" s="6"/>
      <c r="VX435" s="6"/>
      <c r="VY435" s="6"/>
      <c r="VZ435" s="6"/>
      <c r="WA435" s="6"/>
      <c r="WB435" s="6"/>
      <c r="WC435" s="6"/>
      <c r="WD435" s="6"/>
      <c r="WE435" s="6"/>
      <c r="WF435" s="6"/>
      <c r="WG435" s="6"/>
      <c r="WH435" s="6"/>
      <c r="WI435" s="6"/>
      <c r="WJ435" s="6"/>
      <c r="WK435" s="6"/>
      <c r="WL435" s="6"/>
      <c r="WM435" s="6"/>
      <c r="WN435" s="6"/>
      <c r="WO435" s="6"/>
      <c r="WP435" s="6"/>
      <c r="WQ435" s="6"/>
      <c r="WR435" s="6"/>
      <c r="WS435" s="6"/>
      <c r="WT435" s="6"/>
      <c r="WU435" s="6"/>
      <c r="WV435" s="6"/>
      <c r="WW435" s="6"/>
      <c r="WX435" s="6"/>
      <c r="WY435" s="6"/>
      <c r="WZ435" s="6"/>
      <c r="XA435" s="6"/>
      <c r="XB435" s="6"/>
      <c r="XC435" s="6"/>
      <c r="XD435" s="6"/>
      <c r="XE435" s="6"/>
      <c r="XF435" s="6"/>
      <c r="XG435" s="6"/>
      <c r="XH435" s="6"/>
      <c r="XI435" s="6"/>
      <c r="XJ435" s="6"/>
      <c r="XK435" s="6"/>
      <c r="XL435" s="6"/>
      <c r="XM435" s="6"/>
      <c r="XN435" s="6"/>
      <c r="XO435" s="6"/>
      <c r="XP435" s="6"/>
      <c r="XQ435" s="6"/>
      <c r="XR435" s="6"/>
      <c r="XS435" s="6"/>
      <c r="XT435" s="6"/>
      <c r="XU435" s="6"/>
      <c r="XV435" s="6"/>
      <c r="XW435" s="6"/>
      <c r="XX435" s="6"/>
      <c r="XY435" s="6"/>
      <c r="XZ435" s="6"/>
      <c r="YA435" s="6"/>
      <c r="YB435" s="6"/>
      <c r="YC435" s="6"/>
      <c r="YD435" s="6"/>
      <c r="YE435" s="6"/>
      <c r="YF435" s="6"/>
      <c r="YG435" s="6"/>
      <c r="YH435" s="6"/>
      <c r="YI435" s="6"/>
      <c r="YJ435" s="6"/>
      <c r="YK435" s="6"/>
      <c r="YL435" s="6"/>
      <c r="YM435" s="6"/>
      <c r="YN435" s="6"/>
      <c r="YO435" s="6"/>
      <c r="YP435" s="6"/>
      <c r="YQ435" s="6"/>
      <c r="YR435" s="6"/>
      <c r="YS435" s="6"/>
      <c r="YT435" s="6"/>
      <c r="YU435" s="6"/>
      <c r="YV435" s="6"/>
      <c r="YW435" s="6"/>
      <c r="YX435" s="6"/>
      <c r="YY435" s="6"/>
      <c r="YZ435" s="6"/>
      <c r="ZA435" s="6"/>
      <c r="ZB435" s="6"/>
      <c r="ZC435" s="6"/>
      <c r="ZD435" s="6"/>
      <c r="ZE435" s="6"/>
      <c r="ZF435" s="6"/>
      <c r="ZG435" s="6"/>
      <c r="ZH435" s="6"/>
      <c r="ZI435" s="6"/>
      <c r="ZJ435" s="6"/>
      <c r="ZK435" s="6"/>
      <c r="ZL435" s="6"/>
      <c r="ZM435" s="6"/>
      <c r="ZN435" s="6"/>
      <c r="ZO435" s="6"/>
      <c r="ZP435" s="6"/>
      <c r="ZQ435" s="6"/>
      <c r="ZR435" s="6"/>
      <c r="ZS435" s="6"/>
      <c r="ZT435" s="6"/>
      <c r="ZU435" s="6"/>
      <c r="ZV435" s="6"/>
      <c r="ZW435" s="6"/>
      <c r="ZX435" s="6"/>
      <c r="ZY435" s="6"/>
      <c r="ZZ435" s="6"/>
      <c r="AAA435" s="6"/>
      <c r="AAB435" s="6"/>
      <c r="AAC435" s="6"/>
      <c r="AAD435" s="6"/>
      <c r="AAE435" s="6"/>
      <c r="AAF435" s="6"/>
      <c r="AAG435" s="6"/>
      <c r="AAH435" s="6"/>
      <c r="AAI435" s="6"/>
      <c r="AAJ435" s="6"/>
      <c r="AAK435" s="6"/>
      <c r="AAL435" s="6"/>
      <c r="AAM435" s="6"/>
      <c r="AAN435" s="6"/>
      <c r="AAO435" s="6"/>
      <c r="AAP435" s="6"/>
      <c r="AAQ435" s="6"/>
      <c r="AAR435" s="6"/>
      <c r="AAS435" s="6"/>
      <c r="AAT435" s="6"/>
      <c r="AAU435" s="6"/>
      <c r="AAV435" s="6"/>
      <c r="AAW435" s="6"/>
      <c r="AAX435" s="6"/>
      <c r="AAY435" s="6"/>
      <c r="AAZ435" s="6"/>
      <c r="ABA435" s="6"/>
      <c r="ABB435" s="6"/>
      <c r="ABC435" s="6"/>
      <c r="ABD435" s="6"/>
      <c r="ABE435" s="6"/>
      <c r="ABF435" s="6"/>
      <c r="ABG435" s="6"/>
      <c r="ABH435" s="6"/>
      <c r="ABI435" s="6"/>
      <c r="ABJ435" s="6"/>
      <c r="ABK435" s="6"/>
      <c r="ABL435" s="6"/>
      <c r="ABM435" s="6"/>
      <c r="ABN435" s="6"/>
      <c r="ABO435" s="6"/>
      <c r="ABP435" s="6"/>
      <c r="ABQ435" s="6"/>
      <c r="ABR435" s="6"/>
      <c r="ABS435" s="6"/>
      <c r="ABT435" s="6"/>
      <c r="ABU435" s="6"/>
      <c r="ABV435" s="6"/>
      <c r="ABW435" s="6"/>
      <c r="ABX435" s="6"/>
      <c r="ABY435" s="6"/>
      <c r="ABZ435" s="6"/>
      <c r="ACA435" s="6"/>
      <c r="ACB435" s="6"/>
      <c r="ACC435" s="6"/>
      <c r="ACD435" s="6"/>
      <c r="ACE435" s="6"/>
      <c r="ACF435" s="6"/>
      <c r="ACG435" s="6"/>
      <c r="ACH435" s="6"/>
      <c r="ACI435" s="6"/>
      <c r="ACJ435" s="6"/>
      <c r="ACK435" s="6"/>
      <c r="ACL435" s="6"/>
      <c r="ACM435" s="6"/>
      <c r="ACN435" s="6"/>
      <c r="ACO435" s="6"/>
      <c r="ACP435" s="6"/>
      <c r="ACQ435" s="6"/>
      <c r="ACR435" s="6"/>
      <c r="ACS435" s="6"/>
      <c r="ACT435" s="6"/>
      <c r="ACU435" s="6"/>
      <c r="ACV435" s="6"/>
      <c r="ACW435" s="6"/>
      <c r="ACX435" s="6"/>
      <c r="ACY435" s="6"/>
      <c r="ACZ435" s="6"/>
      <c r="ADA435" s="6"/>
      <c r="ADB435" s="6"/>
      <c r="ADC435" s="6"/>
      <c r="ADD435" s="6"/>
      <c r="ADE435" s="6"/>
      <c r="ADF435" s="6"/>
      <c r="ADG435" s="6"/>
      <c r="ADH435" s="6"/>
      <c r="ADI435" s="6"/>
      <c r="ADJ435" s="6"/>
      <c r="ADK435" s="6"/>
      <c r="ADL435" s="6"/>
      <c r="ADM435" s="6"/>
      <c r="ADN435" s="6"/>
      <c r="ADO435" s="6"/>
      <c r="ADP435" s="6"/>
      <c r="ADQ435" s="6"/>
      <c r="ADR435" s="6"/>
      <c r="ADS435" s="6"/>
      <c r="ADT435" s="6"/>
      <c r="ADU435" s="6"/>
      <c r="ADV435" s="6"/>
      <c r="ADW435" s="6"/>
      <c r="ADX435" s="6"/>
      <c r="ADY435" s="6"/>
      <c r="ADZ435" s="6"/>
      <c r="AEA435" s="6"/>
      <c r="AEB435" s="6"/>
      <c r="AEC435" s="6"/>
      <c r="AED435" s="6"/>
      <c r="AEE435" s="6"/>
      <c r="AEF435" s="6"/>
      <c r="AEG435" s="6"/>
      <c r="AEH435" s="6"/>
      <c r="AEI435" s="6"/>
      <c r="AEJ435" s="6"/>
      <c r="AEK435" s="6"/>
      <c r="AEL435" s="6"/>
      <c r="AEM435" s="6"/>
      <c r="AEN435" s="6"/>
      <c r="AEO435" s="6"/>
      <c r="AEP435" s="6"/>
      <c r="AEQ435" s="6"/>
      <c r="AER435" s="6"/>
      <c r="AES435" s="6"/>
      <c r="AET435" s="6"/>
      <c r="AEU435" s="6"/>
      <c r="AEV435" s="6"/>
      <c r="AEW435" s="6"/>
      <c r="AEX435" s="6"/>
      <c r="AEY435" s="6"/>
      <c r="AEZ435" s="6"/>
      <c r="AFA435" s="6"/>
      <c r="AFB435" s="6"/>
      <c r="AFC435" s="6"/>
      <c r="AFD435" s="6"/>
      <c r="AFE435" s="6"/>
      <c r="AFF435" s="6"/>
      <c r="AFG435" s="6"/>
      <c r="AFH435" s="6"/>
      <c r="AFI435" s="6"/>
      <c r="AFJ435" s="6"/>
      <c r="AFK435" s="6"/>
      <c r="AFL435" s="6"/>
      <c r="AFM435" s="6"/>
      <c r="AFN435" s="6"/>
      <c r="AFO435" s="6"/>
      <c r="AFP435" s="6"/>
      <c r="AFQ435" s="6"/>
      <c r="AFR435" s="6"/>
      <c r="AFS435" s="6"/>
      <c r="AFT435" s="6"/>
      <c r="AFU435" s="6"/>
      <c r="AFV435" s="6"/>
      <c r="AFW435" s="6"/>
      <c r="AFX435" s="6"/>
      <c r="AFY435" s="6"/>
      <c r="AFZ435" s="6"/>
      <c r="AGA435" s="6"/>
      <c r="AGB435" s="6"/>
      <c r="AGC435" s="6"/>
      <c r="AGD435" s="6"/>
      <c r="AGE435" s="6"/>
      <c r="AGF435" s="6"/>
      <c r="AGG435" s="6"/>
      <c r="AGH435" s="6"/>
      <c r="AGI435" s="6"/>
      <c r="AGJ435" s="6"/>
      <c r="AGK435" s="6"/>
      <c r="AGL435" s="6"/>
      <c r="AGM435" s="6"/>
      <c r="AGN435" s="6"/>
      <c r="AGO435" s="6"/>
      <c r="AGP435" s="6"/>
      <c r="AGQ435" s="6"/>
      <c r="AGR435" s="6"/>
      <c r="AGS435" s="6"/>
      <c r="AGT435" s="6"/>
      <c r="AGU435" s="6"/>
      <c r="AGV435" s="6"/>
      <c r="AGW435" s="6"/>
      <c r="AGX435" s="6"/>
      <c r="AGY435" s="6"/>
      <c r="AGZ435" s="6"/>
      <c r="AHA435" s="6"/>
      <c r="AHB435" s="6"/>
      <c r="AHC435" s="6"/>
      <c r="AHD435" s="6"/>
      <c r="AHE435" s="6"/>
      <c r="AHF435" s="6"/>
      <c r="AHG435" s="6"/>
      <c r="AHH435" s="6"/>
      <c r="AHI435" s="6"/>
      <c r="AHJ435" s="6"/>
      <c r="AHK435" s="6"/>
      <c r="AHL435" s="6"/>
      <c r="AHM435" s="6"/>
      <c r="AHN435" s="6"/>
      <c r="AHO435" s="6"/>
      <c r="AHP435" s="6"/>
      <c r="AHQ435" s="6"/>
      <c r="AHR435" s="6"/>
      <c r="AHS435" s="6"/>
      <c r="AHT435" s="6"/>
      <c r="AHU435" s="6"/>
      <c r="AHV435" s="6"/>
      <c r="AHW435" s="6"/>
      <c r="AHX435" s="6"/>
      <c r="AHY435" s="6"/>
      <c r="AHZ435" s="6"/>
      <c r="AIA435" s="6"/>
      <c r="AIB435" s="6"/>
      <c r="AIC435" s="6"/>
      <c r="AID435" s="6"/>
      <c r="AIE435" s="6"/>
      <c r="AIF435" s="6"/>
      <c r="AIG435" s="6"/>
      <c r="AIH435" s="6"/>
      <c r="AII435" s="6"/>
      <c r="AIJ435" s="6"/>
      <c r="AIK435" s="6"/>
      <c r="AIL435" s="6"/>
      <c r="AIM435" s="6"/>
      <c r="AIN435" s="6"/>
      <c r="AIO435" s="6"/>
      <c r="AIP435" s="6"/>
      <c r="AIQ435" s="6"/>
      <c r="AIR435" s="6"/>
      <c r="AIS435" s="6"/>
      <c r="AIT435" s="6"/>
      <c r="AIU435" s="6"/>
      <c r="AIV435" s="6"/>
      <c r="AIW435" s="6"/>
      <c r="AIX435" s="6"/>
      <c r="AIY435" s="6"/>
      <c r="AIZ435" s="6"/>
      <c r="AJA435" s="6"/>
      <c r="AJB435" s="6"/>
      <c r="AJC435" s="6"/>
      <c r="AJD435" s="6"/>
      <c r="AJE435" s="6"/>
      <c r="AJF435" s="6"/>
      <c r="AJG435" s="6"/>
      <c r="AJH435" s="6"/>
      <c r="AJI435" s="6"/>
      <c r="AJJ435" s="6"/>
      <c r="AJK435" s="6"/>
      <c r="AJL435" s="6"/>
      <c r="AJM435" s="6"/>
      <c r="AJN435" s="6"/>
      <c r="AJO435" s="6"/>
      <c r="AJP435" s="6"/>
      <c r="AJQ435" s="6"/>
      <c r="AJR435" s="6"/>
      <c r="AJS435" s="6"/>
      <c r="AJT435" s="6"/>
      <c r="AJU435" s="6"/>
      <c r="AJV435" s="6"/>
      <c r="AJW435" s="6"/>
      <c r="AJX435" s="6"/>
      <c r="AJY435" s="6"/>
      <c r="AJZ435" s="6"/>
      <c r="AKA435" s="6"/>
      <c r="AKB435" s="6"/>
      <c r="AKC435" s="6"/>
      <c r="AKD435" s="6"/>
      <c r="AKE435" s="6"/>
      <c r="AKF435" s="6"/>
      <c r="AKG435" s="6"/>
      <c r="AKH435" s="6"/>
      <c r="AKI435" s="6"/>
      <c r="AKJ435" s="6"/>
      <c r="AKK435" s="6"/>
      <c r="AKL435" s="6"/>
      <c r="AKM435" s="6"/>
      <c r="AKN435" s="6"/>
      <c r="AKO435" s="6"/>
      <c r="AKP435" s="6"/>
      <c r="AKQ435" s="6"/>
      <c r="AKR435" s="6"/>
      <c r="AKS435" s="6"/>
      <c r="AKT435" s="6"/>
      <c r="AKU435" s="6"/>
      <c r="AKV435" s="6"/>
      <c r="AKW435" s="6"/>
      <c r="AKX435" s="6"/>
      <c r="AKY435" s="6"/>
      <c r="AKZ435" s="6"/>
      <c r="ALA435" s="6"/>
      <c r="ALB435" s="6"/>
      <c r="ALC435" s="6"/>
      <c r="ALD435" s="6"/>
      <c r="ALE435" s="6"/>
      <c r="ALF435" s="6"/>
      <c r="ALG435" s="6"/>
      <c r="ALH435" s="6"/>
      <c r="ALI435" s="6"/>
      <c r="ALJ435" s="6"/>
      <c r="ALK435" s="6"/>
      <c r="ALL435" s="6"/>
      <c r="ALM435" s="6"/>
      <c r="ALN435" s="6"/>
      <c r="ALO435" s="6"/>
      <c r="ALP435" s="6"/>
      <c r="ALQ435" s="6"/>
      <c r="ALR435" s="6"/>
      <c r="ALS435" s="6"/>
      <c r="ALT435" s="6"/>
      <c r="ALU435" s="6"/>
      <c r="ALV435" s="6"/>
      <c r="ALW435" s="6"/>
      <c r="ALX435" s="6"/>
      <c r="ALY435" s="6"/>
      <c r="ALZ435" s="6"/>
      <c r="AMA435" s="6"/>
      <c r="AMB435" s="6"/>
      <c r="AMC435" s="6"/>
      <c r="AMD435" s="6"/>
      <c r="AME435" s="6"/>
      <c r="AMF435" s="6"/>
      <c r="AMG435" s="6"/>
      <c r="AMH435" s="6"/>
      <c r="AMI435" s="6"/>
      <c r="AMJ435" s="6"/>
      <c r="AMK435" s="6"/>
      <c r="AML435" s="6"/>
      <c r="AMM435" s="6"/>
      <c r="AMN435" s="6"/>
      <c r="AMO435" s="6"/>
      <c r="AMP435" s="6"/>
    </row>
    <row r="436" spans="1:1030" x14ac:dyDescent="0.2">
      <c r="A436" s="3" t="str">
        <f t="shared" ref="A436:A437" si="4194">CONCATENATE(B436,"_",C436)</f>
        <v>ta2r_human__wt</v>
      </c>
      <c r="B436" s="2" t="s">
        <v>469</v>
      </c>
      <c r="C436" s="3" t="s">
        <v>100</v>
      </c>
      <c r="D436" s="3" t="str">
        <f>IFERROR(MID(VLOOKUP($B436,Seqs!$A:$B,2,0),E436,1),"")</f>
        <v>S</v>
      </c>
      <c r="E436" s="3">
        <v>27</v>
      </c>
      <c r="F436" s="3" t="str">
        <f>IFERROR(MID(VLOOKUP($B436,Seqs!$A:$B,2,0),G436,1),"")</f>
        <v>Q</v>
      </c>
      <c r="G436" s="3">
        <v>54</v>
      </c>
      <c r="H436" s="3" t="str">
        <f>IFERROR(MID(VLOOKUP($B436,Seqs!$A:$B,2,0),I436,1),"")</f>
        <v/>
      </c>
      <c r="I436" s="23" t="s">
        <v>23</v>
      </c>
      <c r="J436" s="3" t="str">
        <f>IFERROR(MID(VLOOKUP($B436,Seqs!$A:$B,2,0),K436,1),"")</f>
        <v/>
      </c>
      <c r="K436" s="23" t="s">
        <v>23</v>
      </c>
      <c r="L436" s="3" t="str">
        <f>IFERROR(MID(VLOOKUP($B436,Seqs!$A:$B,2,0),M436,1),"")</f>
        <v>S</v>
      </c>
      <c r="M436" s="3">
        <v>61</v>
      </c>
      <c r="N436" s="3" t="str">
        <f>IFERROR(MID(VLOOKUP($B436,Seqs!$A:$B,2,0),O436,1),"")</f>
        <v>A</v>
      </c>
      <c r="O436" s="3">
        <v>91</v>
      </c>
      <c r="P436" s="3" t="str">
        <f>IFERROR(MID(VLOOKUP($B436,Seqs!$A:$B,2,0),Q436,1),"")</f>
        <v>E</v>
      </c>
      <c r="Q436" s="3">
        <v>94</v>
      </c>
      <c r="R436" s="3" t="str">
        <f>IFERROR(MID(VLOOKUP($B436,Seqs!$A:$B,2,0),S436,1),"")</f>
        <v>V</v>
      </c>
      <c r="S436" s="3">
        <v>98</v>
      </c>
      <c r="T436" s="3" t="str">
        <f>IFERROR(MID(VLOOKUP($B436,Seqs!$A:$B,2,0),U436,1),"")</f>
        <v>C</v>
      </c>
      <c r="U436" s="3">
        <v>102</v>
      </c>
      <c r="V436" s="3" t="str">
        <f>IFERROR(MID(VLOOKUP($B436,Seqs!$A:$B,2,0),W436,1),"")</f>
        <v>R</v>
      </c>
      <c r="W436" s="3">
        <v>136</v>
      </c>
      <c r="X436" s="3" t="str">
        <f>IFERROR(MID(VLOOKUP($B436,Seqs!$A:$B,2,0),Y436,1),"")</f>
        <v>P</v>
      </c>
      <c r="Y436" s="3">
        <v>137</v>
      </c>
      <c r="Z436" s="3" t="str">
        <f>IFERROR(MID(VLOOKUP($B436,Seqs!$A:$B,2,0),AA436,1),"")</f>
        <v>A</v>
      </c>
      <c r="AA436" s="3">
        <v>144</v>
      </c>
      <c r="AB436" s="3" t="str">
        <f>IFERROR(MID(VLOOKUP($B436,Seqs!$A:$B,2,0),AC436,1),"")</f>
        <v>S</v>
      </c>
      <c r="AC436" s="3">
        <v>145</v>
      </c>
      <c r="AD436" s="3" t="str">
        <f>IFERROR(MID(VLOOKUP($B436,Seqs!$A:$B,2,0),AE436,1),"")</f>
        <v>G</v>
      </c>
      <c r="AE436" s="3">
        <v>170</v>
      </c>
      <c r="AF436" s="3" t="str">
        <f>IFERROR(MID(VLOOKUP($B436,Seqs!$A:$B,2,0),AG436,1),"")</f>
        <v>C</v>
      </c>
      <c r="AG436" s="3">
        <v>183</v>
      </c>
      <c r="AH436" s="3" t="str">
        <f>IFERROR(MID(VLOOKUP($B436,Seqs!$A:$B,2,0),AI436,1),"")</f>
        <v>L</v>
      </c>
      <c r="AI436" s="3">
        <v>185</v>
      </c>
      <c r="AJ436" s="3" t="str">
        <f>IFERROR(MID(VLOOKUP($B436,Seqs!$A:$B,2,0),AK436,1),"")</f>
        <v>E</v>
      </c>
      <c r="AK436" s="3">
        <v>190</v>
      </c>
      <c r="AL436" s="3" t="str">
        <f>IFERROR(MID(VLOOKUP($B436,Seqs!$A:$B,2,0),AM436,1),"")</f>
        <v>P</v>
      </c>
      <c r="AM436" s="3">
        <v>236</v>
      </c>
      <c r="AN436" s="3" t="str">
        <f>IFERROR(MID(VLOOKUP($B436,Seqs!$A:$B,2,0),AO436,1),"")</f>
        <v>E</v>
      </c>
      <c r="AO436" s="3">
        <v>240</v>
      </c>
      <c r="AP436" s="3" t="str">
        <f>IFERROR(MID(VLOOKUP($B436,Seqs!$A:$B,2,0),AQ436,1),"")</f>
        <v>R</v>
      </c>
      <c r="AQ436" s="3">
        <v>271</v>
      </c>
      <c r="AR436" s="3" t="str">
        <f>IFERROR(MID(VLOOKUP($B436,Seqs!$A:$B,2,0),AS436,1),"")</f>
        <v>S</v>
      </c>
      <c r="AS436" s="3">
        <v>283</v>
      </c>
      <c r="AT436" s="3" t="str">
        <f>IFERROR(MID(VLOOKUP($B436,Seqs!$A:$B,2,0),AU436,1),"")</f>
        <v>F</v>
      </c>
      <c r="AU436" s="3">
        <v>311</v>
      </c>
      <c r="AV436" s="3" t="str">
        <f>IFERROR(MID(VLOOKUP($B436,Seqs!$A:$B,2,0),AW436,1),"")</f>
        <v>R</v>
      </c>
      <c r="AW436" s="3">
        <v>312</v>
      </c>
      <c r="AX436" s="3" t="str">
        <f>IFERROR(MID(VLOOKUP($B436,Seqs!$A:$B,2,0),AY436,1),"")</f>
        <v>S</v>
      </c>
      <c r="AY436" s="3">
        <v>331</v>
      </c>
      <c r="AZ436" s="77" t="str">
        <f>VLOOKUP(B436,Classification!A:D,2,0)</f>
        <v>A</v>
      </c>
      <c r="BA436" s="94" t="str">
        <f>VLOOKUP(B436,Classification!A:D,4,0)</f>
        <v>Prostanoid</v>
      </c>
      <c r="BB436" s="27" t="b">
        <f t="shared" ref="BB436:BB437" si="4195">AND(E436&lt;G436,OR(G436&lt;I436,I436="-"),OR(I436&lt;K436,I436="-"),OR(K436&lt;M436,K436="-"),M436&lt;O436,OR(O436&lt;Q436,Q436="-"),OR(Q436&lt;S436,Q436="-"),OR(S436&lt;U436,S436="-"),U436&lt;W436,OR(W436&lt;Y436,Y436="-"),OR(Y436&lt;AA436,Y436="-"),OR(AA436&lt;AC436,AA436="-"),AC436&lt;AE436,OR(AE436&lt;AG436,AG436="-"),OR(AG436&lt;AI436,AG436="-"),OR(AI436&lt;AK436,AI436="-"),AK436&lt;AM436,AM436&lt;AO436,AO436&lt;AQ436,AQ436&lt;AS436,AS436&lt;AU436,OR(AU436&lt;AW436,AW436="-"),OR(AW436&lt;AY436,AW436="-"))</f>
        <v>1</v>
      </c>
      <c r="BC436" s="23">
        <f t="shared" ref="BC436:BC437" si="4196">_xlfn.AGGREGATE(9,6,CH436:CS436)-_xlfn.AGGREGATE(9,6,BV436:CG436)+12</f>
        <v>265</v>
      </c>
      <c r="BD436" s="4" t="s">
        <v>23</v>
      </c>
      <c r="BE436" s="3" t="s">
        <v>23</v>
      </c>
      <c r="BF436" s="118" t="s">
        <v>23</v>
      </c>
      <c r="BG436" s="49" t="s">
        <v>1</v>
      </c>
      <c r="BH436" s="49" t="s">
        <v>1</v>
      </c>
      <c r="BI436" s="1"/>
      <c r="BJ436" s="70" t="s">
        <v>1281</v>
      </c>
      <c r="BK436" s="57" t="s">
        <v>1281</v>
      </c>
      <c r="BL436" s="57" t="s">
        <v>1281</v>
      </c>
      <c r="BM436" s="57" t="s">
        <v>1281</v>
      </c>
      <c r="BN436" s="57" t="s">
        <v>1281</v>
      </c>
      <c r="BO436" s="57" t="s">
        <v>1281</v>
      </c>
      <c r="BP436" s="57" t="s">
        <v>1281</v>
      </c>
      <c r="BQ436" s="57" t="s">
        <v>1281</v>
      </c>
      <c r="BR436" s="57" t="s">
        <v>1281</v>
      </c>
      <c r="BS436" s="57" t="s">
        <v>1281</v>
      </c>
      <c r="BT436" s="57" t="s">
        <v>1281</v>
      </c>
      <c r="BU436" s="57" t="s">
        <v>1281</v>
      </c>
      <c r="BV436" s="70">
        <f t="shared" ref="BV436:BV437" si="4197">E436</f>
        <v>27</v>
      </c>
      <c r="BW436" s="71" t="str">
        <f t="shared" ref="BW436:BW437" si="4198">I436</f>
        <v>-</v>
      </c>
      <c r="BX436" s="72">
        <f t="shared" ref="BX436:BX437" si="4199">M436</f>
        <v>61</v>
      </c>
      <c r="BY436" s="71">
        <f t="shared" ref="BY436:BY437" si="4200">Q436</f>
        <v>94</v>
      </c>
      <c r="BZ436" s="72">
        <f t="shared" ref="BZ436:BZ437" si="4201">U436</f>
        <v>102</v>
      </c>
      <c r="CA436" s="71">
        <f t="shared" ref="CA436:CA437" si="4202">Y436</f>
        <v>137</v>
      </c>
      <c r="CB436" s="72">
        <f t="shared" ref="CB436:CB437" si="4203">AC436</f>
        <v>145</v>
      </c>
      <c r="CC436" s="71">
        <f t="shared" ref="CC436:CC437" si="4204">AG436</f>
        <v>183</v>
      </c>
      <c r="CD436" s="72">
        <f t="shared" ref="CD436:CD437" si="4205">AK436</f>
        <v>190</v>
      </c>
      <c r="CE436" s="71">
        <f t="shared" ref="CE436:CE437" si="4206">AO436</f>
        <v>240</v>
      </c>
      <c r="CF436" s="72">
        <f t="shared" ref="CF436:CF437" si="4207">AS436</f>
        <v>283</v>
      </c>
      <c r="CG436" s="71">
        <f t="shared" ref="CG436:CG437" si="4208">AW436</f>
        <v>312</v>
      </c>
      <c r="CH436" s="70">
        <f t="shared" ref="CH436:CH437" si="4209">G436</f>
        <v>54</v>
      </c>
      <c r="CI436" s="71" t="str">
        <f t="shared" ref="CI436:CI437" si="4210">K436</f>
        <v>-</v>
      </c>
      <c r="CJ436" s="72">
        <f t="shared" ref="CJ436:CJ437" si="4211">O436</f>
        <v>91</v>
      </c>
      <c r="CK436" s="72">
        <f t="shared" ref="CK436:CK437" si="4212">S436</f>
        <v>98</v>
      </c>
      <c r="CL436" s="72">
        <f t="shared" ref="CL436:CL437" si="4213">W436</f>
        <v>136</v>
      </c>
      <c r="CM436" s="72">
        <f t="shared" ref="CM436:CM437" si="4214">AA436</f>
        <v>144</v>
      </c>
      <c r="CN436" s="72">
        <f t="shared" ref="CN436:CN437" si="4215">AE436</f>
        <v>170</v>
      </c>
      <c r="CO436" s="72">
        <f t="shared" ref="CO436:CO437" si="4216">AI436</f>
        <v>185</v>
      </c>
      <c r="CP436" s="72">
        <f t="shared" ref="CP436:CP437" si="4217">AM436</f>
        <v>236</v>
      </c>
      <c r="CQ436" s="72">
        <f t="shared" ref="CQ436:CQ437" si="4218">AQ436</f>
        <v>271</v>
      </c>
      <c r="CR436" s="72">
        <f t="shared" ref="CR436:CR437" si="4219">AU436</f>
        <v>311</v>
      </c>
      <c r="CS436" s="72">
        <f t="shared" ref="CS436:CS437" si="4220">AY436</f>
        <v>331</v>
      </c>
      <c r="CT436" s="23" t="e">
        <f t="shared" ref="CT436:CT437" si="4221">M436-K436</f>
        <v>#VALUE!</v>
      </c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Q436" s="6"/>
      <c r="KR436" s="6"/>
      <c r="KS436" s="6"/>
      <c r="KT436" s="6"/>
      <c r="KU436" s="6"/>
      <c r="KV436" s="6"/>
      <c r="KW436" s="6"/>
      <c r="KX436" s="6"/>
      <c r="KY436" s="6"/>
      <c r="KZ436" s="6"/>
      <c r="LA436" s="6"/>
      <c r="LB436" s="6"/>
      <c r="LC436" s="6"/>
      <c r="LD436" s="6"/>
      <c r="LE436" s="6"/>
      <c r="LF436" s="6"/>
      <c r="LG436" s="6"/>
      <c r="LH436" s="6"/>
      <c r="LI436" s="6"/>
      <c r="LJ436" s="6"/>
      <c r="LK436" s="6"/>
      <c r="LL436" s="6"/>
      <c r="LM436" s="6"/>
      <c r="LN436" s="6"/>
      <c r="LO436" s="6"/>
      <c r="LP436" s="6"/>
      <c r="LQ436" s="6"/>
      <c r="LR436" s="6"/>
      <c r="LS436" s="6"/>
      <c r="LT436" s="6"/>
      <c r="LU436" s="6"/>
      <c r="LV436" s="6"/>
      <c r="LW436" s="6"/>
      <c r="LX436" s="6"/>
      <c r="LY436" s="6"/>
      <c r="LZ436" s="6"/>
      <c r="MA436" s="6"/>
      <c r="MB436" s="6"/>
      <c r="MC436" s="6"/>
      <c r="MD436" s="6"/>
      <c r="ME436" s="6"/>
      <c r="MF436" s="6"/>
      <c r="MG436" s="6"/>
      <c r="MH436" s="6"/>
      <c r="MI436" s="6"/>
      <c r="MJ436" s="6"/>
      <c r="MK436" s="6"/>
      <c r="ML436" s="6"/>
      <c r="MM436" s="6"/>
      <c r="MN436" s="6"/>
      <c r="MO436" s="6"/>
      <c r="MP436" s="6"/>
      <c r="MQ436" s="6"/>
      <c r="MR436" s="6"/>
      <c r="MS436" s="6"/>
      <c r="MT436" s="6"/>
      <c r="MU436" s="6"/>
      <c r="MV436" s="6"/>
      <c r="MW436" s="6"/>
      <c r="MX436" s="6"/>
      <c r="MY436" s="6"/>
      <c r="MZ436" s="6"/>
      <c r="NA436" s="6"/>
      <c r="NB436" s="6"/>
      <c r="NC436" s="6"/>
      <c r="ND436" s="6"/>
      <c r="NE436" s="6"/>
      <c r="NF436" s="6"/>
      <c r="NG436" s="6"/>
      <c r="NH436" s="6"/>
      <c r="NI436" s="6"/>
      <c r="NJ436" s="6"/>
      <c r="NK436" s="6"/>
      <c r="NL436" s="6"/>
      <c r="NM436" s="6"/>
      <c r="NN436" s="6"/>
      <c r="NO436" s="6"/>
      <c r="NP436" s="6"/>
      <c r="NQ436" s="6"/>
      <c r="NR436" s="6"/>
      <c r="NS436" s="6"/>
      <c r="NT436" s="6"/>
      <c r="NU436" s="6"/>
      <c r="NV436" s="6"/>
      <c r="NW436" s="6"/>
      <c r="NX436" s="6"/>
      <c r="NY436" s="6"/>
      <c r="NZ436" s="6"/>
      <c r="OA436" s="6"/>
      <c r="OB436" s="6"/>
      <c r="OC436" s="6"/>
      <c r="OD436" s="6"/>
      <c r="OE436" s="6"/>
      <c r="OF436" s="6"/>
      <c r="OG436" s="6"/>
      <c r="OH436" s="6"/>
      <c r="OI436" s="6"/>
      <c r="OJ436" s="6"/>
      <c r="OK436" s="6"/>
      <c r="OL436" s="6"/>
      <c r="OM436" s="6"/>
      <c r="ON436" s="6"/>
      <c r="OO436" s="6"/>
      <c r="OP436" s="6"/>
      <c r="OQ436" s="6"/>
      <c r="OR436" s="6"/>
      <c r="OS436" s="6"/>
      <c r="OT436" s="6"/>
      <c r="OU436" s="6"/>
      <c r="OV436" s="6"/>
      <c r="OW436" s="6"/>
      <c r="OX436" s="6"/>
      <c r="OY436" s="6"/>
      <c r="OZ436" s="6"/>
      <c r="PA436" s="6"/>
      <c r="PB436" s="6"/>
      <c r="PC436" s="6"/>
      <c r="PD436" s="6"/>
      <c r="PE436" s="6"/>
      <c r="PF436" s="6"/>
      <c r="PG436" s="6"/>
      <c r="PH436" s="6"/>
      <c r="PI436" s="6"/>
      <c r="PJ436" s="6"/>
      <c r="PK436" s="6"/>
      <c r="PL436" s="6"/>
      <c r="PM436" s="6"/>
      <c r="PN436" s="6"/>
      <c r="PO436" s="6"/>
      <c r="PP436" s="6"/>
      <c r="PQ436" s="6"/>
      <c r="PR436" s="6"/>
      <c r="PS436" s="6"/>
      <c r="PT436" s="6"/>
      <c r="PU436" s="6"/>
      <c r="PV436" s="6"/>
      <c r="PW436" s="6"/>
      <c r="PX436" s="6"/>
      <c r="PY436" s="6"/>
      <c r="PZ436" s="6"/>
      <c r="QA436" s="6"/>
      <c r="QB436" s="6"/>
      <c r="QC436" s="6"/>
      <c r="QD436" s="6"/>
      <c r="QE436" s="6"/>
      <c r="QF436" s="6"/>
      <c r="QG436" s="6"/>
      <c r="QH436" s="6"/>
      <c r="QI436" s="6"/>
      <c r="QJ436" s="6"/>
      <c r="QK436" s="6"/>
      <c r="QL436" s="6"/>
      <c r="QM436" s="6"/>
      <c r="QN436" s="6"/>
      <c r="QO436" s="6"/>
      <c r="QP436" s="6"/>
      <c r="QQ436" s="6"/>
      <c r="QR436" s="6"/>
      <c r="QS436" s="6"/>
      <c r="QT436" s="6"/>
      <c r="QU436" s="6"/>
      <c r="QV436" s="6"/>
      <c r="QW436" s="6"/>
      <c r="QX436" s="6"/>
      <c r="QY436" s="6"/>
      <c r="QZ436" s="6"/>
      <c r="RA436" s="6"/>
      <c r="RB436" s="6"/>
      <c r="RC436" s="6"/>
      <c r="RD436" s="6"/>
      <c r="RE436" s="6"/>
      <c r="RF436" s="6"/>
      <c r="RG436" s="6"/>
      <c r="RH436" s="6"/>
      <c r="RI436" s="6"/>
      <c r="RJ436" s="6"/>
      <c r="RK436" s="6"/>
      <c r="RL436" s="6"/>
      <c r="RM436" s="6"/>
      <c r="RN436" s="6"/>
      <c r="RO436" s="6"/>
      <c r="RP436" s="6"/>
      <c r="RQ436" s="6"/>
      <c r="RR436" s="6"/>
      <c r="RS436" s="6"/>
      <c r="RT436" s="6"/>
      <c r="RU436" s="6"/>
      <c r="RV436" s="6"/>
      <c r="RW436" s="6"/>
      <c r="RX436" s="6"/>
      <c r="RY436" s="6"/>
      <c r="RZ436" s="6"/>
      <c r="SA436" s="6"/>
      <c r="SB436" s="6"/>
      <c r="SC436" s="6"/>
      <c r="SD436" s="6"/>
      <c r="SE436" s="6"/>
      <c r="SF436" s="6"/>
      <c r="SG436" s="6"/>
      <c r="SH436" s="6"/>
      <c r="SI436" s="6"/>
      <c r="SJ436" s="6"/>
      <c r="SK436" s="6"/>
      <c r="SL436" s="6"/>
      <c r="SM436" s="6"/>
      <c r="SN436" s="6"/>
      <c r="SO436" s="6"/>
      <c r="SP436" s="6"/>
      <c r="SQ436" s="6"/>
      <c r="SR436" s="6"/>
      <c r="SS436" s="6"/>
      <c r="ST436" s="6"/>
      <c r="SU436" s="6"/>
      <c r="SV436" s="6"/>
      <c r="SW436" s="6"/>
      <c r="SX436" s="6"/>
      <c r="SY436" s="6"/>
      <c r="SZ436" s="6"/>
      <c r="TA436" s="6"/>
      <c r="TB436" s="6"/>
      <c r="TC436" s="6"/>
      <c r="TD436" s="6"/>
      <c r="TE436" s="6"/>
      <c r="TF436" s="6"/>
      <c r="TG436" s="6"/>
      <c r="TH436" s="6"/>
      <c r="TI436" s="6"/>
      <c r="TJ436" s="6"/>
      <c r="TK436" s="6"/>
      <c r="TL436" s="6"/>
      <c r="TM436" s="6"/>
      <c r="TN436" s="6"/>
      <c r="TO436" s="6"/>
      <c r="TP436" s="6"/>
      <c r="TQ436" s="6"/>
      <c r="TR436" s="6"/>
      <c r="TS436" s="6"/>
      <c r="TT436" s="6"/>
      <c r="TU436" s="6"/>
      <c r="TV436" s="6"/>
      <c r="TW436" s="6"/>
      <c r="TX436" s="6"/>
      <c r="TY436" s="6"/>
      <c r="TZ436" s="6"/>
      <c r="UA436" s="6"/>
      <c r="UB436" s="6"/>
      <c r="UC436" s="6"/>
      <c r="UD436" s="6"/>
      <c r="UE436" s="6"/>
      <c r="UF436" s="6"/>
      <c r="UG436" s="6"/>
      <c r="UH436" s="6"/>
      <c r="UI436" s="6"/>
      <c r="UJ436" s="6"/>
      <c r="UK436" s="6"/>
      <c r="UL436" s="6"/>
      <c r="UM436" s="6"/>
      <c r="UN436" s="6"/>
      <c r="UO436" s="6"/>
      <c r="UP436" s="6"/>
      <c r="UQ436" s="6"/>
      <c r="UR436" s="6"/>
      <c r="US436" s="6"/>
      <c r="UT436" s="6"/>
      <c r="UU436" s="6"/>
      <c r="UV436" s="6"/>
      <c r="UW436" s="6"/>
      <c r="UX436" s="6"/>
      <c r="UY436" s="6"/>
      <c r="UZ436" s="6"/>
      <c r="VA436" s="6"/>
      <c r="VB436" s="6"/>
      <c r="VC436" s="6"/>
      <c r="VD436" s="6"/>
      <c r="VE436" s="6"/>
      <c r="VF436" s="6"/>
      <c r="VG436" s="6"/>
      <c r="VH436" s="6"/>
      <c r="VI436" s="6"/>
      <c r="VJ436" s="6"/>
      <c r="VK436" s="6"/>
      <c r="VL436" s="6"/>
      <c r="VM436" s="6"/>
      <c r="VN436" s="6"/>
      <c r="VO436" s="6"/>
      <c r="VP436" s="6"/>
      <c r="VQ436" s="6"/>
      <c r="VR436" s="6"/>
      <c r="VS436" s="6"/>
      <c r="VT436" s="6"/>
      <c r="VU436" s="6"/>
      <c r="VV436" s="6"/>
      <c r="VW436" s="6"/>
      <c r="VX436" s="6"/>
      <c r="VY436" s="6"/>
      <c r="VZ436" s="6"/>
      <c r="WA436" s="6"/>
      <c r="WB436" s="6"/>
      <c r="WC436" s="6"/>
      <c r="WD436" s="6"/>
      <c r="WE436" s="6"/>
      <c r="WF436" s="6"/>
      <c r="WG436" s="6"/>
      <c r="WH436" s="6"/>
      <c r="WI436" s="6"/>
      <c r="WJ436" s="6"/>
      <c r="WK436" s="6"/>
      <c r="WL436" s="6"/>
      <c r="WM436" s="6"/>
      <c r="WN436" s="6"/>
      <c r="WO436" s="6"/>
      <c r="WP436" s="6"/>
      <c r="WQ436" s="6"/>
      <c r="WR436" s="6"/>
      <c r="WS436" s="6"/>
      <c r="WT436" s="6"/>
      <c r="WU436" s="6"/>
      <c r="WV436" s="6"/>
      <c r="WW436" s="6"/>
      <c r="WX436" s="6"/>
      <c r="WY436" s="6"/>
      <c r="WZ436" s="6"/>
      <c r="XA436" s="6"/>
      <c r="XB436" s="6"/>
      <c r="XC436" s="6"/>
      <c r="XD436" s="6"/>
      <c r="XE436" s="6"/>
      <c r="XF436" s="6"/>
      <c r="XG436" s="6"/>
      <c r="XH436" s="6"/>
      <c r="XI436" s="6"/>
      <c r="XJ436" s="6"/>
      <c r="XK436" s="6"/>
      <c r="XL436" s="6"/>
      <c r="XM436" s="6"/>
      <c r="XN436" s="6"/>
      <c r="XO436" s="6"/>
      <c r="XP436" s="6"/>
      <c r="XQ436" s="6"/>
      <c r="XR436" s="6"/>
      <c r="XS436" s="6"/>
      <c r="XT436" s="6"/>
      <c r="XU436" s="6"/>
      <c r="XV436" s="6"/>
      <c r="XW436" s="6"/>
      <c r="XX436" s="6"/>
      <c r="XY436" s="6"/>
      <c r="XZ436" s="6"/>
      <c r="YA436" s="6"/>
      <c r="YB436" s="6"/>
      <c r="YC436" s="6"/>
      <c r="YD436" s="6"/>
      <c r="YE436" s="6"/>
      <c r="YF436" s="6"/>
      <c r="YG436" s="6"/>
      <c r="YH436" s="6"/>
      <c r="YI436" s="6"/>
      <c r="YJ436" s="6"/>
      <c r="YK436" s="6"/>
      <c r="YL436" s="6"/>
      <c r="YM436" s="6"/>
      <c r="YN436" s="6"/>
      <c r="YO436" s="6"/>
      <c r="YP436" s="6"/>
      <c r="YQ436" s="6"/>
      <c r="YR436" s="6"/>
      <c r="YS436" s="6"/>
      <c r="YT436" s="6"/>
      <c r="YU436" s="6"/>
      <c r="YV436" s="6"/>
      <c r="YW436" s="6"/>
      <c r="YX436" s="6"/>
      <c r="YY436" s="6"/>
      <c r="YZ436" s="6"/>
      <c r="ZA436" s="6"/>
      <c r="ZB436" s="6"/>
      <c r="ZC436" s="6"/>
      <c r="ZD436" s="6"/>
      <c r="ZE436" s="6"/>
      <c r="ZF436" s="6"/>
      <c r="ZG436" s="6"/>
      <c r="ZH436" s="6"/>
      <c r="ZI436" s="6"/>
      <c r="ZJ436" s="6"/>
      <c r="ZK436" s="6"/>
      <c r="ZL436" s="6"/>
      <c r="ZM436" s="6"/>
      <c r="ZN436" s="6"/>
      <c r="ZO436" s="6"/>
      <c r="ZP436" s="6"/>
      <c r="ZQ436" s="6"/>
      <c r="ZR436" s="6"/>
      <c r="ZS436" s="6"/>
      <c r="ZT436" s="6"/>
      <c r="ZU436" s="6"/>
      <c r="ZV436" s="6"/>
      <c r="ZW436" s="6"/>
      <c r="ZX436" s="6"/>
      <c r="ZY436" s="6"/>
      <c r="ZZ436" s="6"/>
      <c r="AAA436" s="6"/>
      <c r="AAB436" s="6"/>
      <c r="AAC436" s="6"/>
      <c r="AAD436" s="6"/>
      <c r="AAE436" s="6"/>
      <c r="AAF436" s="6"/>
      <c r="AAG436" s="6"/>
      <c r="AAH436" s="6"/>
      <c r="AAI436" s="6"/>
      <c r="AAJ436" s="6"/>
      <c r="AAK436" s="6"/>
      <c r="AAL436" s="6"/>
      <c r="AAM436" s="6"/>
      <c r="AAN436" s="6"/>
      <c r="AAO436" s="6"/>
      <c r="AAP436" s="6"/>
      <c r="AAQ436" s="6"/>
      <c r="AAR436" s="6"/>
      <c r="AAS436" s="6"/>
      <c r="AAT436" s="6"/>
      <c r="AAU436" s="6"/>
      <c r="AAV436" s="6"/>
      <c r="AAW436" s="6"/>
      <c r="AAX436" s="6"/>
      <c r="AAY436" s="6"/>
      <c r="AAZ436" s="6"/>
      <c r="ABA436" s="6"/>
      <c r="ABB436" s="6"/>
      <c r="ABC436" s="6"/>
      <c r="ABD436" s="6"/>
      <c r="ABE436" s="6"/>
      <c r="ABF436" s="6"/>
      <c r="ABG436" s="6"/>
      <c r="ABH436" s="6"/>
      <c r="ABI436" s="6"/>
      <c r="ABJ436" s="6"/>
      <c r="ABK436" s="6"/>
      <c r="ABL436" s="6"/>
      <c r="ABM436" s="6"/>
      <c r="ABN436" s="6"/>
      <c r="ABO436" s="6"/>
      <c r="ABP436" s="6"/>
      <c r="ABQ436" s="6"/>
      <c r="ABR436" s="6"/>
      <c r="ABS436" s="6"/>
      <c r="ABT436" s="6"/>
      <c r="ABU436" s="6"/>
      <c r="ABV436" s="6"/>
      <c r="ABW436" s="6"/>
      <c r="ABX436" s="6"/>
      <c r="ABY436" s="6"/>
      <c r="ABZ436" s="6"/>
      <c r="ACA436" s="6"/>
      <c r="ACB436" s="6"/>
      <c r="ACC436" s="6"/>
      <c r="ACD436" s="6"/>
      <c r="ACE436" s="6"/>
      <c r="ACF436" s="6"/>
      <c r="ACG436" s="6"/>
      <c r="ACH436" s="6"/>
      <c r="ACI436" s="6"/>
      <c r="ACJ436" s="6"/>
      <c r="ACK436" s="6"/>
      <c r="ACL436" s="6"/>
      <c r="ACM436" s="6"/>
      <c r="ACN436" s="6"/>
      <c r="ACO436" s="6"/>
      <c r="ACP436" s="6"/>
      <c r="ACQ436" s="6"/>
      <c r="ACR436" s="6"/>
      <c r="ACS436" s="6"/>
      <c r="ACT436" s="6"/>
      <c r="ACU436" s="6"/>
      <c r="ACV436" s="6"/>
      <c r="ACW436" s="6"/>
      <c r="ACX436" s="6"/>
      <c r="ACY436" s="6"/>
      <c r="ACZ436" s="6"/>
      <c r="ADA436" s="6"/>
      <c r="ADB436" s="6"/>
      <c r="ADC436" s="6"/>
      <c r="ADD436" s="6"/>
      <c r="ADE436" s="6"/>
      <c r="ADF436" s="6"/>
      <c r="ADG436" s="6"/>
      <c r="ADH436" s="6"/>
      <c r="ADI436" s="6"/>
      <c r="ADJ436" s="6"/>
      <c r="ADK436" s="6"/>
      <c r="ADL436" s="6"/>
      <c r="ADM436" s="6"/>
      <c r="ADN436" s="6"/>
      <c r="ADO436" s="6"/>
      <c r="ADP436" s="6"/>
      <c r="ADQ436" s="6"/>
      <c r="ADR436" s="6"/>
      <c r="ADS436" s="6"/>
      <c r="ADT436" s="6"/>
      <c r="ADU436" s="6"/>
      <c r="ADV436" s="6"/>
      <c r="ADW436" s="6"/>
      <c r="ADX436" s="6"/>
      <c r="ADY436" s="6"/>
      <c r="ADZ436" s="6"/>
      <c r="AEA436" s="6"/>
      <c r="AEB436" s="6"/>
      <c r="AEC436" s="6"/>
      <c r="AED436" s="6"/>
      <c r="AEE436" s="6"/>
      <c r="AEF436" s="6"/>
      <c r="AEG436" s="6"/>
      <c r="AEH436" s="6"/>
      <c r="AEI436" s="6"/>
      <c r="AEJ436" s="6"/>
      <c r="AEK436" s="6"/>
      <c r="AEL436" s="6"/>
      <c r="AEM436" s="6"/>
      <c r="AEN436" s="6"/>
      <c r="AEO436" s="6"/>
      <c r="AEP436" s="6"/>
      <c r="AEQ436" s="6"/>
      <c r="AER436" s="6"/>
      <c r="AES436" s="6"/>
      <c r="AET436" s="6"/>
      <c r="AEU436" s="6"/>
      <c r="AEV436" s="6"/>
      <c r="AEW436" s="6"/>
      <c r="AEX436" s="6"/>
      <c r="AEY436" s="6"/>
      <c r="AEZ436" s="6"/>
      <c r="AFA436" s="6"/>
      <c r="AFB436" s="6"/>
      <c r="AFC436" s="6"/>
      <c r="AFD436" s="6"/>
      <c r="AFE436" s="6"/>
      <c r="AFF436" s="6"/>
      <c r="AFG436" s="6"/>
      <c r="AFH436" s="6"/>
      <c r="AFI436" s="6"/>
      <c r="AFJ436" s="6"/>
      <c r="AFK436" s="6"/>
      <c r="AFL436" s="6"/>
      <c r="AFM436" s="6"/>
      <c r="AFN436" s="6"/>
      <c r="AFO436" s="6"/>
      <c r="AFP436" s="6"/>
      <c r="AFQ436" s="6"/>
      <c r="AFR436" s="6"/>
      <c r="AFS436" s="6"/>
      <c r="AFT436" s="6"/>
      <c r="AFU436" s="6"/>
      <c r="AFV436" s="6"/>
      <c r="AFW436" s="6"/>
      <c r="AFX436" s="6"/>
      <c r="AFY436" s="6"/>
      <c r="AFZ436" s="6"/>
      <c r="AGA436" s="6"/>
      <c r="AGB436" s="6"/>
      <c r="AGC436" s="6"/>
      <c r="AGD436" s="6"/>
      <c r="AGE436" s="6"/>
      <c r="AGF436" s="6"/>
      <c r="AGG436" s="6"/>
      <c r="AGH436" s="6"/>
      <c r="AGI436" s="6"/>
      <c r="AGJ436" s="6"/>
      <c r="AGK436" s="6"/>
      <c r="AGL436" s="6"/>
      <c r="AGM436" s="6"/>
      <c r="AGN436" s="6"/>
      <c r="AGO436" s="6"/>
      <c r="AGP436" s="6"/>
      <c r="AGQ436" s="6"/>
      <c r="AGR436" s="6"/>
      <c r="AGS436" s="6"/>
      <c r="AGT436" s="6"/>
      <c r="AGU436" s="6"/>
      <c r="AGV436" s="6"/>
      <c r="AGW436" s="6"/>
      <c r="AGX436" s="6"/>
      <c r="AGY436" s="6"/>
      <c r="AGZ436" s="6"/>
      <c r="AHA436" s="6"/>
      <c r="AHB436" s="6"/>
      <c r="AHC436" s="6"/>
      <c r="AHD436" s="6"/>
      <c r="AHE436" s="6"/>
      <c r="AHF436" s="6"/>
      <c r="AHG436" s="6"/>
      <c r="AHH436" s="6"/>
      <c r="AHI436" s="6"/>
      <c r="AHJ436" s="6"/>
      <c r="AHK436" s="6"/>
      <c r="AHL436" s="6"/>
      <c r="AHM436" s="6"/>
      <c r="AHN436" s="6"/>
      <c r="AHO436" s="6"/>
      <c r="AHP436" s="6"/>
      <c r="AHQ436" s="6"/>
      <c r="AHR436" s="6"/>
      <c r="AHS436" s="6"/>
      <c r="AHT436" s="6"/>
      <c r="AHU436" s="6"/>
      <c r="AHV436" s="6"/>
      <c r="AHW436" s="6"/>
      <c r="AHX436" s="6"/>
      <c r="AHY436" s="6"/>
      <c r="AHZ436" s="6"/>
      <c r="AIA436" s="6"/>
      <c r="AIB436" s="6"/>
      <c r="AIC436" s="6"/>
      <c r="AID436" s="6"/>
      <c r="AIE436" s="6"/>
      <c r="AIF436" s="6"/>
      <c r="AIG436" s="6"/>
      <c r="AIH436" s="6"/>
      <c r="AII436" s="6"/>
      <c r="AIJ436" s="6"/>
      <c r="AIK436" s="6"/>
      <c r="AIL436" s="6"/>
      <c r="AIM436" s="6"/>
      <c r="AIN436" s="6"/>
      <c r="AIO436" s="6"/>
      <c r="AIP436" s="6"/>
      <c r="AIQ436" s="6"/>
      <c r="AIR436" s="6"/>
      <c r="AIS436" s="6"/>
      <c r="AIT436" s="6"/>
      <c r="AIU436" s="6"/>
      <c r="AIV436" s="6"/>
      <c r="AIW436" s="6"/>
      <c r="AIX436" s="6"/>
      <c r="AIY436" s="6"/>
      <c r="AIZ436" s="6"/>
      <c r="AJA436" s="6"/>
      <c r="AJB436" s="6"/>
      <c r="AJC436" s="6"/>
      <c r="AJD436" s="6"/>
      <c r="AJE436" s="6"/>
      <c r="AJF436" s="6"/>
      <c r="AJG436" s="6"/>
      <c r="AJH436" s="6"/>
      <c r="AJI436" s="6"/>
      <c r="AJJ436" s="6"/>
      <c r="AJK436" s="6"/>
      <c r="AJL436" s="6"/>
      <c r="AJM436" s="6"/>
      <c r="AJN436" s="6"/>
      <c r="AJO436" s="6"/>
      <c r="AJP436" s="6"/>
      <c r="AJQ436" s="6"/>
      <c r="AJR436" s="6"/>
      <c r="AJS436" s="6"/>
      <c r="AJT436" s="6"/>
      <c r="AJU436" s="6"/>
      <c r="AJV436" s="6"/>
      <c r="AJW436" s="6"/>
      <c r="AJX436" s="6"/>
      <c r="AJY436" s="6"/>
      <c r="AJZ436" s="6"/>
      <c r="AKA436" s="6"/>
      <c r="AKB436" s="6"/>
      <c r="AKC436" s="6"/>
      <c r="AKD436" s="6"/>
      <c r="AKE436" s="6"/>
      <c r="AKF436" s="6"/>
      <c r="AKG436" s="6"/>
      <c r="AKH436" s="6"/>
      <c r="AKI436" s="6"/>
      <c r="AKJ436" s="6"/>
      <c r="AKK436" s="6"/>
      <c r="AKL436" s="6"/>
      <c r="AKM436" s="6"/>
      <c r="AKN436" s="6"/>
      <c r="AKO436" s="6"/>
      <c r="AKP436" s="6"/>
      <c r="AKQ436" s="6"/>
      <c r="AKR436" s="6"/>
      <c r="AKS436" s="6"/>
      <c r="AKT436" s="6"/>
      <c r="AKU436" s="6"/>
      <c r="AKV436" s="6"/>
      <c r="AKW436" s="6"/>
      <c r="AKX436" s="6"/>
      <c r="AKY436" s="6"/>
      <c r="AKZ436" s="6"/>
      <c r="ALA436" s="6"/>
      <c r="ALB436" s="6"/>
      <c r="ALC436" s="6"/>
      <c r="ALD436" s="6"/>
      <c r="ALE436" s="6"/>
      <c r="ALF436" s="6"/>
      <c r="ALG436" s="6"/>
      <c r="ALH436" s="6"/>
      <c r="ALI436" s="6"/>
      <c r="ALJ436" s="6"/>
      <c r="ALK436" s="6"/>
      <c r="ALL436" s="6"/>
      <c r="ALM436" s="6"/>
      <c r="ALN436" s="6"/>
      <c r="ALO436" s="6"/>
      <c r="ALP436" s="6"/>
      <c r="ALQ436" s="6"/>
      <c r="ALR436" s="6"/>
      <c r="ALS436" s="6"/>
      <c r="ALT436" s="6"/>
      <c r="ALU436" s="6"/>
      <c r="ALV436" s="6"/>
      <c r="ALW436" s="6"/>
      <c r="ALX436" s="6"/>
      <c r="ALY436" s="6"/>
      <c r="ALZ436" s="6"/>
      <c r="AMA436" s="6"/>
      <c r="AMB436" s="6"/>
      <c r="AMC436" s="6"/>
      <c r="AMD436" s="6"/>
      <c r="AME436" s="6"/>
      <c r="AMF436" s="6"/>
      <c r="AMG436" s="6"/>
      <c r="AMH436" s="6"/>
      <c r="AMI436" s="6"/>
      <c r="AMJ436" s="6"/>
      <c r="AMK436" s="6"/>
      <c r="AML436" s="6"/>
      <c r="AMM436" s="6"/>
      <c r="AMN436" s="6"/>
      <c r="AMO436" s="6"/>
      <c r="AMP436" s="6"/>
    </row>
    <row r="437" spans="1:1030" x14ac:dyDescent="0.2">
      <c r="A437" s="3" t="str">
        <f t="shared" si="4194"/>
        <v>ta2r_human_6IIU</v>
      </c>
      <c r="B437" s="2" t="s">
        <v>469</v>
      </c>
      <c r="C437" s="3" t="s">
        <v>1542</v>
      </c>
      <c r="D437" s="3" t="str">
        <f>IFERROR(MID(VLOOKUP($B437,Seqs!$A:$B,2,0),E437,1),"")</f>
        <v>S</v>
      </c>
      <c r="E437" s="3">
        <v>27</v>
      </c>
      <c r="F437" s="3" t="str">
        <f>IFERROR(MID(VLOOKUP($B437,Seqs!$A:$B,2,0),G437,1),"")</f>
        <v>A</v>
      </c>
      <c r="G437" s="3">
        <v>52</v>
      </c>
      <c r="H437" s="3" t="str">
        <f>IFERROR(MID(VLOOKUP($B437,Seqs!$A:$B,2,0),I437,1),"")</f>
        <v/>
      </c>
      <c r="I437" s="23" t="s">
        <v>23</v>
      </c>
      <c r="J437" s="3" t="str">
        <f>IFERROR(MID(VLOOKUP($B437,Seqs!$A:$B,2,0),K437,1),"")</f>
        <v/>
      </c>
      <c r="K437" s="23" t="s">
        <v>23</v>
      </c>
      <c r="L437" s="3" t="str">
        <f>IFERROR(MID(VLOOKUP($B437,Seqs!$A:$B,2,0),M437,1),"")</f>
        <v>S</v>
      </c>
      <c r="M437" s="3">
        <v>61</v>
      </c>
      <c r="N437" s="3" t="str">
        <f>IFERROR(MID(VLOOKUP($B437,Seqs!$A:$B,2,0),O437,1),"")</f>
        <v>A</v>
      </c>
      <c r="O437" s="3">
        <v>91</v>
      </c>
      <c r="P437" s="3" t="str">
        <f>IFERROR(MID(VLOOKUP($B437,Seqs!$A:$B,2,0),Q437,1),"")</f>
        <v>E</v>
      </c>
      <c r="Q437" s="3">
        <v>94</v>
      </c>
      <c r="R437" s="3" t="str">
        <f>IFERROR(MID(VLOOKUP($B437,Seqs!$A:$B,2,0),S437,1),"")</f>
        <v>V</v>
      </c>
      <c r="S437" s="3">
        <v>98</v>
      </c>
      <c r="T437" s="3" t="str">
        <f>IFERROR(MID(VLOOKUP($B437,Seqs!$A:$B,2,0),U437,1),"")</f>
        <v>C</v>
      </c>
      <c r="U437" s="3">
        <v>102</v>
      </c>
      <c r="V437" s="3" t="str">
        <f>IFERROR(MID(VLOOKUP($B437,Seqs!$A:$B,2,0),W437,1),"")</f>
        <v>R</v>
      </c>
      <c r="W437" s="3">
        <v>136</v>
      </c>
      <c r="X437" s="3" t="str">
        <f>IFERROR(MID(VLOOKUP($B437,Seqs!$A:$B,2,0),Y437,1),"")</f>
        <v/>
      </c>
      <c r="Y437" s="3" t="s">
        <v>23</v>
      </c>
      <c r="Z437" s="3" t="str">
        <f>IFERROR(MID(VLOOKUP($B437,Seqs!$A:$B,2,0),AA437,1),"")</f>
        <v/>
      </c>
      <c r="AA437" s="3" t="s">
        <v>23</v>
      </c>
      <c r="AB437" s="3" t="str">
        <f>IFERROR(MID(VLOOKUP($B437,Seqs!$A:$B,2,0),AC437,1),"")</f>
        <v>A</v>
      </c>
      <c r="AC437" s="3">
        <v>142</v>
      </c>
      <c r="AD437" s="3" t="str">
        <f>IFERROR(MID(VLOOKUP($B437,Seqs!$A:$B,2,0),AE437,1),"")</f>
        <v>L</v>
      </c>
      <c r="AE437" s="3">
        <v>169</v>
      </c>
      <c r="AF437" s="3" t="str">
        <f>IFERROR(MID(VLOOKUP($B437,Seqs!$A:$B,2,0),AG437,1),"")</f>
        <v>C</v>
      </c>
      <c r="AG437" s="3">
        <v>183</v>
      </c>
      <c r="AH437" s="3" t="str">
        <f>IFERROR(MID(VLOOKUP($B437,Seqs!$A:$B,2,0),AI437,1),"")</f>
        <v>L</v>
      </c>
      <c r="AI437" s="3">
        <v>185</v>
      </c>
      <c r="AJ437" s="3" t="str">
        <f>IFERROR(MID(VLOOKUP($B437,Seqs!$A:$B,2,0),AK437,1),"")</f>
        <v>E</v>
      </c>
      <c r="AK437" s="3">
        <v>190</v>
      </c>
      <c r="AL437" s="3" t="str">
        <f>IFERROR(MID(VLOOKUP($B437,Seqs!$A:$B,2,0),AM437,1),"")</f>
        <v>Y</v>
      </c>
      <c r="AM437" s="3">
        <v>226</v>
      </c>
      <c r="AN437" s="3" t="str">
        <f>IFERROR(MID(VLOOKUP($B437,Seqs!$A:$B,2,0),AO437,1),"")</f>
        <v>R</v>
      </c>
      <c r="AO437" s="3">
        <v>237</v>
      </c>
      <c r="AP437" s="3" t="str">
        <f>IFERROR(MID(VLOOKUP($B437,Seqs!$A:$B,2,0),AQ437,1),"")</f>
        <v>R</v>
      </c>
      <c r="AQ437" s="3">
        <v>271</v>
      </c>
      <c r="AR437" s="3" t="str">
        <f>IFERROR(MID(VLOOKUP($B437,Seqs!$A:$B,2,0),AS437,1),"")</f>
        <v>S</v>
      </c>
      <c r="AS437" s="3">
        <v>283</v>
      </c>
      <c r="AT437" s="3" t="str">
        <f>IFERROR(MID(VLOOKUP($B437,Seqs!$A:$B,2,0),AU437,1),"")</f>
        <v>F</v>
      </c>
      <c r="AU437" s="3">
        <v>311</v>
      </c>
      <c r="AV437" s="3" t="str">
        <f>IFERROR(MID(VLOOKUP($B437,Seqs!$A:$B,2,0),AW437,1),"")</f>
        <v>R</v>
      </c>
      <c r="AW437" s="3">
        <v>312</v>
      </c>
      <c r="AX437" s="3" t="str">
        <f>IFERROR(MID(VLOOKUP($B437,Seqs!$A:$B,2,0),AY437,1),"")</f>
        <v>Q</v>
      </c>
      <c r="AY437" s="3">
        <v>320</v>
      </c>
      <c r="AZ437" s="77" t="str">
        <f>VLOOKUP(B437,Classification!A:D,2,0)</f>
        <v>A</v>
      </c>
      <c r="BA437" s="94" t="str">
        <f>VLOOKUP(B437,Classification!A:D,4,0)</f>
        <v>Prostanoid</v>
      </c>
      <c r="BB437" s="27" t="b">
        <f t="shared" si="4195"/>
        <v>1</v>
      </c>
      <c r="BC437" s="23">
        <f t="shared" si="4196"/>
        <v>240</v>
      </c>
      <c r="BD437" s="4" t="s">
        <v>23</v>
      </c>
      <c r="BE437" s="3" t="s">
        <v>1368</v>
      </c>
      <c r="BF437" s="118">
        <v>2.5</v>
      </c>
      <c r="BG437" s="49" t="s">
        <v>1</v>
      </c>
      <c r="BH437" s="49" t="s">
        <v>1</v>
      </c>
      <c r="BI437" s="1"/>
      <c r="BJ437" s="70" t="s">
        <v>1281</v>
      </c>
      <c r="BK437" s="57" t="s">
        <v>1281</v>
      </c>
      <c r="BL437" s="57" t="s">
        <v>1281</v>
      </c>
      <c r="BM437" s="57" t="s">
        <v>1281</v>
      </c>
      <c r="BN437" s="57" t="s">
        <v>1281</v>
      </c>
      <c r="BO437" s="57" t="s">
        <v>1281</v>
      </c>
      <c r="BP437" s="57" t="s">
        <v>1281</v>
      </c>
      <c r="BQ437" s="57" t="s">
        <v>1281</v>
      </c>
      <c r="BR437" s="57" t="s">
        <v>1281</v>
      </c>
      <c r="BS437" s="57" t="s">
        <v>1281</v>
      </c>
      <c r="BT437" s="57" t="s">
        <v>1281</v>
      </c>
      <c r="BU437" s="57" t="s">
        <v>1281</v>
      </c>
      <c r="BV437" s="70">
        <f t="shared" si="4197"/>
        <v>27</v>
      </c>
      <c r="BW437" s="71" t="str">
        <f t="shared" si="4198"/>
        <v>-</v>
      </c>
      <c r="BX437" s="72">
        <f t="shared" si="4199"/>
        <v>61</v>
      </c>
      <c r="BY437" s="71">
        <f t="shared" si="4200"/>
        <v>94</v>
      </c>
      <c r="BZ437" s="72">
        <f t="shared" si="4201"/>
        <v>102</v>
      </c>
      <c r="CA437" s="71" t="str">
        <f t="shared" si="4202"/>
        <v>-</v>
      </c>
      <c r="CB437" s="72">
        <f t="shared" si="4203"/>
        <v>142</v>
      </c>
      <c r="CC437" s="71">
        <f t="shared" si="4204"/>
        <v>183</v>
      </c>
      <c r="CD437" s="72">
        <f t="shared" si="4205"/>
        <v>190</v>
      </c>
      <c r="CE437" s="71">
        <f t="shared" si="4206"/>
        <v>237</v>
      </c>
      <c r="CF437" s="72">
        <f t="shared" si="4207"/>
        <v>283</v>
      </c>
      <c r="CG437" s="71">
        <f t="shared" si="4208"/>
        <v>312</v>
      </c>
      <c r="CH437" s="70">
        <f t="shared" si="4209"/>
        <v>52</v>
      </c>
      <c r="CI437" s="71" t="str">
        <f t="shared" si="4210"/>
        <v>-</v>
      </c>
      <c r="CJ437" s="72">
        <f t="shared" si="4211"/>
        <v>91</v>
      </c>
      <c r="CK437" s="72">
        <f t="shared" si="4212"/>
        <v>98</v>
      </c>
      <c r="CL437" s="72">
        <f t="shared" si="4213"/>
        <v>136</v>
      </c>
      <c r="CM437" s="72" t="str">
        <f t="shared" si="4214"/>
        <v>-</v>
      </c>
      <c r="CN437" s="72">
        <f t="shared" si="4215"/>
        <v>169</v>
      </c>
      <c r="CO437" s="72">
        <f t="shared" si="4216"/>
        <v>185</v>
      </c>
      <c r="CP437" s="72">
        <f t="shared" si="4217"/>
        <v>226</v>
      </c>
      <c r="CQ437" s="72">
        <f t="shared" si="4218"/>
        <v>271</v>
      </c>
      <c r="CR437" s="72">
        <f t="shared" si="4219"/>
        <v>311</v>
      </c>
      <c r="CS437" s="72">
        <f t="shared" si="4220"/>
        <v>320</v>
      </c>
      <c r="CT437" s="23" t="e">
        <f t="shared" si="4221"/>
        <v>#VALUE!</v>
      </c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Q437" s="6"/>
      <c r="KR437" s="6"/>
      <c r="KS437" s="6"/>
      <c r="KT437" s="6"/>
      <c r="KU437" s="6"/>
      <c r="KV437" s="6"/>
      <c r="KW437" s="6"/>
      <c r="KX437" s="6"/>
      <c r="KY437" s="6"/>
      <c r="KZ437" s="6"/>
      <c r="LA437" s="6"/>
      <c r="LB437" s="6"/>
      <c r="LC437" s="6"/>
      <c r="LD437" s="6"/>
      <c r="LE437" s="6"/>
      <c r="LF437" s="6"/>
      <c r="LG437" s="6"/>
      <c r="LH437" s="6"/>
      <c r="LI437" s="6"/>
      <c r="LJ437" s="6"/>
      <c r="LK437" s="6"/>
      <c r="LL437" s="6"/>
      <c r="LM437" s="6"/>
      <c r="LN437" s="6"/>
      <c r="LO437" s="6"/>
      <c r="LP437" s="6"/>
      <c r="LQ437" s="6"/>
      <c r="LR437" s="6"/>
      <c r="LS437" s="6"/>
      <c r="LT437" s="6"/>
      <c r="LU437" s="6"/>
      <c r="LV437" s="6"/>
      <c r="LW437" s="6"/>
      <c r="LX437" s="6"/>
      <c r="LY437" s="6"/>
      <c r="LZ437" s="6"/>
      <c r="MA437" s="6"/>
      <c r="MB437" s="6"/>
      <c r="MC437" s="6"/>
      <c r="MD437" s="6"/>
      <c r="ME437" s="6"/>
      <c r="MF437" s="6"/>
      <c r="MG437" s="6"/>
      <c r="MH437" s="6"/>
      <c r="MI437" s="6"/>
      <c r="MJ437" s="6"/>
      <c r="MK437" s="6"/>
      <c r="ML437" s="6"/>
      <c r="MM437" s="6"/>
      <c r="MN437" s="6"/>
      <c r="MO437" s="6"/>
      <c r="MP437" s="6"/>
      <c r="MQ437" s="6"/>
      <c r="MR437" s="6"/>
      <c r="MS437" s="6"/>
      <c r="MT437" s="6"/>
      <c r="MU437" s="6"/>
      <c r="MV437" s="6"/>
      <c r="MW437" s="6"/>
      <c r="MX437" s="6"/>
      <c r="MY437" s="6"/>
      <c r="MZ437" s="6"/>
      <c r="NA437" s="6"/>
      <c r="NB437" s="6"/>
      <c r="NC437" s="6"/>
      <c r="ND437" s="6"/>
      <c r="NE437" s="6"/>
      <c r="NF437" s="6"/>
      <c r="NG437" s="6"/>
      <c r="NH437" s="6"/>
      <c r="NI437" s="6"/>
      <c r="NJ437" s="6"/>
      <c r="NK437" s="6"/>
      <c r="NL437" s="6"/>
      <c r="NM437" s="6"/>
      <c r="NN437" s="6"/>
      <c r="NO437" s="6"/>
      <c r="NP437" s="6"/>
      <c r="NQ437" s="6"/>
      <c r="NR437" s="6"/>
      <c r="NS437" s="6"/>
      <c r="NT437" s="6"/>
      <c r="NU437" s="6"/>
      <c r="NV437" s="6"/>
      <c r="NW437" s="6"/>
      <c r="NX437" s="6"/>
      <c r="NY437" s="6"/>
      <c r="NZ437" s="6"/>
      <c r="OA437" s="6"/>
      <c r="OB437" s="6"/>
      <c r="OC437" s="6"/>
      <c r="OD437" s="6"/>
      <c r="OE437" s="6"/>
      <c r="OF437" s="6"/>
      <c r="OG437" s="6"/>
      <c r="OH437" s="6"/>
      <c r="OI437" s="6"/>
      <c r="OJ437" s="6"/>
      <c r="OK437" s="6"/>
      <c r="OL437" s="6"/>
      <c r="OM437" s="6"/>
      <c r="ON437" s="6"/>
      <c r="OO437" s="6"/>
      <c r="OP437" s="6"/>
      <c r="OQ437" s="6"/>
      <c r="OR437" s="6"/>
      <c r="OS437" s="6"/>
      <c r="OT437" s="6"/>
      <c r="OU437" s="6"/>
      <c r="OV437" s="6"/>
      <c r="OW437" s="6"/>
      <c r="OX437" s="6"/>
      <c r="OY437" s="6"/>
      <c r="OZ437" s="6"/>
      <c r="PA437" s="6"/>
      <c r="PB437" s="6"/>
      <c r="PC437" s="6"/>
      <c r="PD437" s="6"/>
      <c r="PE437" s="6"/>
      <c r="PF437" s="6"/>
      <c r="PG437" s="6"/>
      <c r="PH437" s="6"/>
      <c r="PI437" s="6"/>
      <c r="PJ437" s="6"/>
      <c r="PK437" s="6"/>
      <c r="PL437" s="6"/>
      <c r="PM437" s="6"/>
      <c r="PN437" s="6"/>
      <c r="PO437" s="6"/>
      <c r="PP437" s="6"/>
      <c r="PQ437" s="6"/>
      <c r="PR437" s="6"/>
      <c r="PS437" s="6"/>
      <c r="PT437" s="6"/>
      <c r="PU437" s="6"/>
      <c r="PV437" s="6"/>
      <c r="PW437" s="6"/>
      <c r="PX437" s="6"/>
      <c r="PY437" s="6"/>
      <c r="PZ437" s="6"/>
      <c r="QA437" s="6"/>
      <c r="QB437" s="6"/>
      <c r="QC437" s="6"/>
      <c r="QD437" s="6"/>
      <c r="QE437" s="6"/>
      <c r="QF437" s="6"/>
      <c r="QG437" s="6"/>
      <c r="QH437" s="6"/>
      <c r="QI437" s="6"/>
      <c r="QJ437" s="6"/>
      <c r="QK437" s="6"/>
      <c r="QL437" s="6"/>
      <c r="QM437" s="6"/>
      <c r="QN437" s="6"/>
      <c r="QO437" s="6"/>
      <c r="QP437" s="6"/>
      <c r="QQ437" s="6"/>
      <c r="QR437" s="6"/>
      <c r="QS437" s="6"/>
      <c r="QT437" s="6"/>
      <c r="QU437" s="6"/>
      <c r="QV437" s="6"/>
      <c r="QW437" s="6"/>
      <c r="QX437" s="6"/>
      <c r="QY437" s="6"/>
      <c r="QZ437" s="6"/>
      <c r="RA437" s="6"/>
      <c r="RB437" s="6"/>
      <c r="RC437" s="6"/>
      <c r="RD437" s="6"/>
      <c r="RE437" s="6"/>
      <c r="RF437" s="6"/>
      <c r="RG437" s="6"/>
      <c r="RH437" s="6"/>
      <c r="RI437" s="6"/>
      <c r="RJ437" s="6"/>
      <c r="RK437" s="6"/>
      <c r="RL437" s="6"/>
      <c r="RM437" s="6"/>
      <c r="RN437" s="6"/>
      <c r="RO437" s="6"/>
      <c r="RP437" s="6"/>
      <c r="RQ437" s="6"/>
      <c r="RR437" s="6"/>
      <c r="RS437" s="6"/>
      <c r="RT437" s="6"/>
      <c r="RU437" s="6"/>
      <c r="RV437" s="6"/>
      <c r="RW437" s="6"/>
      <c r="RX437" s="6"/>
      <c r="RY437" s="6"/>
      <c r="RZ437" s="6"/>
      <c r="SA437" s="6"/>
      <c r="SB437" s="6"/>
      <c r="SC437" s="6"/>
      <c r="SD437" s="6"/>
      <c r="SE437" s="6"/>
      <c r="SF437" s="6"/>
      <c r="SG437" s="6"/>
      <c r="SH437" s="6"/>
      <c r="SI437" s="6"/>
      <c r="SJ437" s="6"/>
      <c r="SK437" s="6"/>
      <c r="SL437" s="6"/>
      <c r="SM437" s="6"/>
      <c r="SN437" s="6"/>
      <c r="SO437" s="6"/>
      <c r="SP437" s="6"/>
      <c r="SQ437" s="6"/>
      <c r="SR437" s="6"/>
      <c r="SS437" s="6"/>
      <c r="ST437" s="6"/>
      <c r="SU437" s="6"/>
      <c r="SV437" s="6"/>
      <c r="SW437" s="6"/>
      <c r="SX437" s="6"/>
      <c r="SY437" s="6"/>
      <c r="SZ437" s="6"/>
      <c r="TA437" s="6"/>
      <c r="TB437" s="6"/>
      <c r="TC437" s="6"/>
      <c r="TD437" s="6"/>
      <c r="TE437" s="6"/>
      <c r="TF437" s="6"/>
      <c r="TG437" s="6"/>
      <c r="TH437" s="6"/>
      <c r="TI437" s="6"/>
      <c r="TJ437" s="6"/>
      <c r="TK437" s="6"/>
      <c r="TL437" s="6"/>
      <c r="TM437" s="6"/>
      <c r="TN437" s="6"/>
      <c r="TO437" s="6"/>
      <c r="TP437" s="6"/>
      <c r="TQ437" s="6"/>
      <c r="TR437" s="6"/>
      <c r="TS437" s="6"/>
      <c r="TT437" s="6"/>
      <c r="TU437" s="6"/>
      <c r="TV437" s="6"/>
      <c r="TW437" s="6"/>
      <c r="TX437" s="6"/>
      <c r="TY437" s="6"/>
      <c r="TZ437" s="6"/>
      <c r="UA437" s="6"/>
      <c r="UB437" s="6"/>
      <c r="UC437" s="6"/>
      <c r="UD437" s="6"/>
      <c r="UE437" s="6"/>
      <c r="UF437" s="6"/>
      <c r="UG437" s="6"/>
      <c r="UH437" s="6"/>
      <c r="UI437" s="6"/>
      <c r="UJ437" s="6"/>
      <c r="UK437" s="6"/>
      <c r="UL437" s="6"/>
      <c r="UM437" s="6"/>
      <c r="UN437" s="6"/>
      <c r="UO437" s="6"/>
      <c r="UP437" s="6"/>
      <c r="UQ437" s="6"/>
      <c r="UR437" s="6"/>
      <c r="US437" s="6"/>
      <c r="UT437" s="6"/>
      <c r="UU437" s="6"/>
      <c r="UV437" s="6"/>
      <c r="UW437" s="6"/>
      <c r="UX437" s="6"/>
      <c r="UY437" s="6"/>
      <c r="UZ437" s="6"/>
      <c r="VA437" s="6"/>
      <c r="VB437" s="6"/>
      <c r="VC437" s="6"/>
      <c r="VD437" s="6"/>
      <c r="VE437" s="6"/>
      <c r="VF437" s="6"/>
      <c r="VG437" s="6"/>
      <c r="VH437" s="6"/>
      <c r="VI437" s="6"/>
      <c r="VJ437" s="6"/>
      <c r="VK437" s="6"/>
      <c r="VL437" s="6"/>
      <c r="VM437" s="6"/>
      <c r="VN437" s="6"/>
      <c r="VO437" s="6"/>
      <c r="VP437" s="6"/>
      <c r="VQ437" s="6"/>
      <c r="VR437" s="6"/>
      <c r="VS437" s="6"/>
      <c r="VT437" s="6"/>
      <c r="VU437" s="6"/>
      <c r="VV437" s="6"/>
      <c r="VW437" s="6"/>
      <c r="VX437" s="6"/>
      <c r="VY437" s="6"/>
      <c r="VZ437" s="6"/>
      <c r="WA437" s="6"/>
      <c r="WB437" s="6"/>
      <c r="WC437" s="6"/>
      <c r="WD437" s="6"/>
      <c r="WE437" s="6"/>
      <c r="WF437" s="6"/>
      <c r="WG437" s="6"/>
      <c r="WH437" s="6"/>
      <c r="WI437" s="6"/>
      <c r="WJ437" s="6"/>
      <c r="WK437" s="6"/>
      <c r="WL437" s="6"/>
      <c r="WM437" s="6"/>
      <c r="WN437" s="6"/>
      <c r="WO437" s="6"/>
      <c r="WP437" s="6"/>
      <c r="WQ437" s="6"/>
      <c r="WR437" s="6"/>
      <c r="WS437" s="6"/>
      <c r="WT437" s="6"/>
      <c r="WU437" s="6"/>
      <c r="WV437" s="6"/>
      <c r="WW437" s="6"/>
      <c r="WX437" s="6"/>
      <c r="WY437" s="6"/>
      <c r="WZ437" s="6"/>
      <c r="XA437" s="6"/>
      <c r="XB437" s="6"/>
      <c r="XC437" s="6"/>
      <c r="XD437" s="6"/>
      <c r="XE437" s="6"/>
      <c r="XF437" s="6"/>
      <c r="XG437" s="6"/>
      <c r="XH437" s="6"/>
      <c r="XI437" s="6"/>
      <c r="XJ437" s="6"/>
      <c r="XK437" s="6"/>
      <c r="XL437" s="6"/>
      <c r="XM437" s="6"/>
      <c r="XN437" s="6"/>
      <c r="XO437" s="6"/>
      <c r="XP437" s="6"/>
      <c r="XQ437" s="6"/>
      <c r="XR437" s="6"/>
      <c r="XS437" s="6"/>
      <c r="XT437" s="6"/>
      <c r="XU437" s="6"/>
      <c r="XV437" s="6"/>
      <c r="XW437" s="6"/>
      <c r="XX437" s="6"/>
      <c r="XY437" s="6"/>
      <c r="XZ437" s="6"/>
      <c r="YA437" s="6"/>
      <c r="YB437" s="6"/>
      <c r="YC437" s="6"/>
      <c r="YD437" s="6"/>
      <c r="YE437" s="6"/>
      <c r="YF437" s="6"/>
      <c r="YG437" s="6"/>
      <c r="YH437" s="6"/>
      <c r="YI437" s="6"/>
      <c r="YJ437" s="6"/>
      <c r="YK437" s="6"/>
      <c r="YL437" s="6"/>
      <c r="YM437" s="6"/>
      <c r="YN437" s="6"/>
      <c r="YO437" s="6"/>
      <c r="YP437" s="6"/>
      <c r="YQ437" s="6"/>
      <c r="YR437" s="6"/>
      <c r="YS437" s="6"/>
      <c r="YT437" s="6"/>
      <c r="YU437" s="6"/>
      <c r="YV437" s="6"/>
      <c r="YW437" s="6"/>
      <c r="YX437" s="6"/>
      <c r="YY437" s="6"/>
      <c r="YZ437" s="6"/>
      <c r="ZA437" s="6"/>
      <c r="ZB437" s="6"/>
      <c r="ZC437" s="6"/>
      <c r="ZD437" s="6"/>
      <c r="ZE437" s="6"/>
      <c r="ZF437" s="6"/>
      <c r="ZG437" s="6"/>
      <c r="ZH437" s="6"/>
      <c r="ZI437" s="6"/>
      <c r="ZJ437" s="6"/>
      <c r="ZK437" s="6"/>
      <c r="ZL437" s="6"/>
      <c r="ZM437" s="6"/>
      <c r="ZN437" s="6"/>
      <c r="ZO437" s="6"/>
      <c r="ZP437" s="6"/>
      <c r="ZQ437" s="6"/>
      <c r="ZR437" s="6"/>
      <c r="ZS437" s="6"/>
      <c r="ZT437" s="6"/>
      <c r="ZU437" s="6"/>
      <c r="ZV437" s="6"/>
      <c r="ZW437" s="6"/>
      <c r="ZX437" s="6"/>
      <c r="ZY437" s="6"/>
      <c r="ZZ437" s="6"/>
      <c r="AAA437" s="6"/>
      <c r="AAB437" s="6"/>
      <c r="AAC437" s="6"/>
      <c r="AAD437" s="6"/>
      <c r="AAE437" s="6"/>
      <c r="AAF437" s="6"/>
      <c r="AAG437" s="6"/>
      <c r="AAH437" s="6"/>
      <c r="AAI437" s="6"/>
      <c r="AAJ437" s="6"/>
      <c r="AAK437" s="6"/>
      <c r="AAL437" s="6"/>
      <c r="AAM437" s="6"/>
      <c r="AAN437" s="6"/>
      <c r="AAO437" s="6"/>
      <c r="AAP437" s="6"/>
      <c r="AAQ437" s="6"/>
      <c r="AAR437" s="6"/>
      <c r="AAS437" s="6"/>
      <c r="AAT437" s="6"/>
      <c r="AAU437" s="6"/>
      <c r="AAV437" s="6"/>
      <c r="AAW437" s="6"/>
      <c r="AAX437" s="6"/>
      <c r="AAY437" s="6"/>
      <c r="AAZ437" s="6"/>
      <c r="ABA437" s="6"/>
      <c r="ABB437" s="6"/>
      <c r="ABC437" s="6"/>
      <c r="ABD437" s="6"/>
      <c r="ABE437" s="6"/>
      <c r="ABF437" s="6"/>
      <c r="ABG437" s="6"/>
      <c r="ABH437" s="6"/>
      <c r="ABI437" s="6"/>
      <c r="ABJ437" s="6"/>
      <c r="ABK437" s="6"/>
      <c r="ABL437" s="6"/>
      <c r="ABM437" s="6"/>
      <c r="ABN437" s="6"/>
      <c r="ABO437" s="6"/>
      <c r="ABP437" s="6"/>
      <c r="ABQ437" s="6"/>
      <c r="ABR437" s="6"/>
      <c r="ABS437" s="6"/>
      <c r="ABT437" s="6"/>
      <c r="ABU437" s="6"/>
      <c r="ABV437" s="6"/>
      <c r="ABW437" s="6"/>
      <c r="ABX437" s="6"/>
      <c r="ABY437" s="6"/>
      <c r="ABZ437" s="6"/>
      <c r="ACA437" s="6"/>
      <c r="ACB437" s="6"/>
      <c r="ACC437" s="6"/>
      <c r="ACD437" s="6"/>
      <c r="ACE437" s="6"/>
      <c r="ACF437" s="6"/>
      <c r="ACG437" s="6"/>
      <c r="ACH437" s="6"/>
      <c r="ACI437" s="6"/>
      <c r="ACJ437" s="6"/>
      <c r="ACK437" s="6"/>
      <c r="ACL437" s="6"/>
      <c r="ACM437" s="6"/>
      <c r="ACN437" s="6"/>
      <c r="ACO437" s="6"/>
      <c r="ACP437" s="6"/>
      <c r="ACQ437" s="6"/>
      <c r="ACR437" s="6"/>
      <c r="ACS437" s="6"/>
      <c r="ACT437" s="6"/>
      <c r="ACU437" s="6"/>
      <c r="ACV437" s="6"/>
      <c r="ACW437" s="6"/>
      <c r="ACX437" s="6"/>
      <c r="ACY437" s="6"/>
      <c r="ACZ437" s="6"/>
      <c r="ADA437" s="6"/>
      <c r="ADB437" s="6"/>
      <c r="ADC437" s="6"/>
      <c r="ADD437" s="6"/>
      <c r="ADE437" s="6"/>
      <c r="ADF437" s="6"/>
      <c r="ADG437" s="6"/>
      <c r="ADH437" s="6"/>
      <c r="ADI437" s="6"/>
      <c r="ADJ437" s="6"/>
      <c r="ADK437" s="6"/>
      <c r="ADL437" s="6"/>
      <c r="ADM437" s="6"/>
      <c r="ADN437" s="6"/>
      <c r="ADO437" s="6"/>
      <c r="ADP437" s="6"/>
      <c r="ADQ437" s="6"/>
      <c r="ADR437" s="6"/>
      <c r="ADS437" s="6"/>
      <c r="ADT437" s="6"/>
      <c r="ADU437" s="6"/>
      <c r="ADV437" s="6"/>
      <c r="ADW437" s="6"/>
      <c r="ADX437" s="6"/>
      <c r="ADY437" s="6"/>
      <c r="ADZ437" s="6"/>
      <c r="AEA437" s="6"/>
      <c r="AEB437" s="6"/>
      <c r="AEC437" s="6"/>
      <c r="AED437" s="6"/>
      <c r="AEE437" s="6"/>
      <c r="AEF437" s="6"/>
      <c r="AEG437" s="6"/>
      <c r="AEH437" s="6"/>
      <c r="AEI437" s="6"/>
      <c r="AEJ437" s="6"/>
      <c r="AEK437" s="6"/>
      <c r="AEL437" s="6"/>
      <c r="AEM437" s="6"/>
      <c r="AEN437" s="6"/>
      <c r="AEO437" s="6"/>
      <c r="AEP437" s="6"/>
      <c r="AEQ437" s="6"/>
      <c r="AER437" s="6"/>
      <c r="AES437" s="6"/>
      <c r="AET437" s="6"/>
      <c r="AEU437" s="6"/>
      <c r="AEV437" s="6"/>
      <c r="AEW437" s="6"/>
      <c r="AEX437" s="6"/>
      <c r="AEY437" s="6"/>
      <c r="AEZ437" s="6"/>
      <c r="AFA437" s="6"/>
      <c r="AFB437" s="6"/>
      <c r="AFC437" s="6"/>
      <c r="AFD437" s="6"/>
      <c r="AFE437" s="6"/>
      <c r="AFF437" s="6"/>
      <c r="AFG437" s="6"/>
      <c r="AFH437" s="6"/>
      <c r="AFI437" s="6"/>
      <c r="AFJ437" s="6"/>
      <c r="AFK437" s="6"/>
      <c r="AFL437" s="6"/>
      <c r="AFM437" s="6"/>
      <c r="AFN437" s="6"/>
      <c r="AFO437" s="6"/>
      <c r="AFP437" s="6"/>
      <c r="AFQ437" s="6"/>
      <c r="AFR437" s="6"/>
      <c r="AFS437" s="6"/>
      <c r="AFT437" s="6"/>
      <c r="AFU437" s="6"/>
      <c r="AFV437" s="6"/>
      <c r="AFW437" s="6"/>
      <c r="AFX437" s="6"/>
      <c r="AFY437" s="6"/>
      <c r="AFZ437" s="6"/>
      <c r="AGA437" s="6"/>
      <c r="AGB437" s="6"/>
      <c r="AGC437" s="6"/>
      <c r="AGD437" s="6"/>
      <c r="AGE437" s="6"/>
      <c r="AGF437" s="6"/>
      <c r="AGG437" s="6"/>
      <c r="AGH437" s="6"/>
      <c r="AGI437" s="6"/>
      <c r="AGJ437" s="6"/>
      <c r="AGK437" s="6"/>
      <c r="AGL437" s="6"/>
      <c r="AGM437" s="6"/>
      <c r="AGN437" s="6"/>
      <c r="AGO437" s="6"/>
      <c r="AGP437" s="6"/>
      <c r="AGQ437" s="6"/>
      <c r="AGR437" s="6"/>
      <c r="AGS437" s="6"/>
      <c r="AGT437" s="6"/>
      <c r="AGU437" s="6"/>
      <c r="AGV437" s="6"/>
      <c r="AGW437" s="6"/>
      <c r="AGX437" s="6"/>
      <c r="AGY437" s="6"/>
      <c r="AGZ437" s="6"/>
      <c r="AHA437" s="6"/>
      <c r="AHB437" s="6"/>
      <c r="AHC437" s="6"/>
      <c r="AHD437" s="6"/>
      <c r="AHE437" s="6"/>
      <c r="AHF437" s="6"/>
      <c r="AHG437" s="6"/>
      <c r="AHH437" s="6"/>
      <c r="AHI437" s="6"/>
      <c r="AHJ437" s="6"/>
      <c r="AHK437" s="6"/>
      <c r="AHL437" s="6"/>
      <c r="AHM437" s="6"/>
      <c r="AHN437" s="6"/>
      <c r="AHO437" s="6"/>
      <c r="AHP437" s="6"/>
      <c r="AHQ437" s="6"/>
      <c r="AHR437" s="6"/>
      <c r="AHS437" s="6"/>
      <c r="AHT437" s="6"/>
      <c r="AHU437" s="6"/>
      <c r="AHV437" s="6"/>
      <c r="AHW437" s="6"/>
      <c r="AHX437" s="6"/>
      <c r="AHY437" s="6"/>
      <c r="AHZ437" s="6"/>
      <c r="AIA437" s="6"/>
      <c r="AIB437" s="6"/>
      <c r="AIC437" s="6"/>
      <c r="AID437" s="6"/>
      <c r="AIE437" s="6"/>
      <c r="AIF437" s="6"/>
      <c r="AIG437" s="6"/>
      <c r="AIH437" s="6"/>
      <c r="AII437" s="6"/>
      <c r="AIJ437" s="6"/>
      <c r="AIK437" s="6"/>
      <c r="AIL437" s="6"/>
      <c r="AIM437" s="6"/>
      <c r="AIN437" s="6"/>
      <c r="AIO437" s="6"/>
      <c r="AIP437" s="6"/>
      <c r="AIQ437" s="6"/>
      <c r="AIR437" s="6"/>
      <c r="AIS437" s="6"/>
      <c r="AIT437" s="6"/>
      <c r="AIU437" s="6"/>
      <c r="AIV437" s="6"/>
      <c r="AIW437" s="6"/>
      <c r="AIX437" s="6"/>
      <c r="AIY437" s="6"/>
      <c r="AIZ437" s="6"/>
      <c r="AJA437" s="6"/>
      <c r="AJB437" s="6"/>
      <c r="AJC437" s="6"/>
      <c r="AJD437" s="6"/>
      <c r="AJE437" s="6"/>
      <c r="AJF437" s="6"/>
      <c r="AJG437" s="6"/>
      <c r="AJH437" s="6"/>
      <c r="AJI437" s="6"/>
      <c r="AJJ437" s="6"/>
      <c r="AJK437" s="6"/>
      <c r="AJL437" s="6"/>
      <c r="AJM437" s="6"/>
      <c r="AJN437" s="6"/>
      <c r="AJO437" s="6"/>
      <c r="AJP437" s="6"/>
      <c r="AJQ437" s="6"/>
      <c r="AJR437" s="6"/>
      <c r="AJS437" s="6"/>
      <c r="AJT437" s="6"/>
      <c r="AJU437" s="6"/>
      <c r="AJV437" s="6"/>
      <c r="AJW437" s="6"/>
      <c r="AJX437" s="6"/>
      <c r="AJY437" s="6"/>
      <c r="AJZ437" s="6"/>
      <c r="AKA437" s="6"/>
      <c r="AKB437" s="6"/>
      <c r="AKC437" s="6"/>
      <c r="AKD437" s="6"/>
      <c r="AKE437" s="6"/>
      <c r="AKF437" s="6"/>
      <c r="AKG437" s="6"/>
      <c r="AKH437" s="6"/>
      <c r="AKI437" s="6"/>
      <c r="AKJ437" s="6"/>
      <c r="AKK437" s="6"/>
      <c r="AKL437" s="6"/>
      <c r="AKM437" s="6"/>
      <c r="AKN437" s="6"/>
      <c r="AKO437" s="6"/>
      <c r="AKP437" s="6"/>
      <c r="AKQ437" s="6"/>
      <c r="AKR437" s="6"/>
      <c r="AKS437" s="6"/>
      <c r="AKT437" s="6"/>
      <c r="AKU437" s="6"/>
      <c r="AKV437" s="6"/>
      <c r="AKW437" s="6"/>
      <c r="AKX437" s="6"/>
      <c r="AKY437" s="6"/>
      <c r="AKZ437" s="6"/>
      <c r="ALA437" s="6"/>
      <c r="ALB437" s="6"/>
      <c r="ALC437" s="6"/>
      <c r="ALD437" s="6"/>
      <c r="ALE437" s="6"/>
      <c r="ALF437" s="6"/>
      <c r="ALG437" s="6"/>
      <c r="ALH437" s="6"/>
      <c r="ALI437" s="6"/>
      <c r="ALJ437" s="6"/>
      <c r="ALK437" s="6"/>
      <c r="ALL437" s="6"/>
      <c r="ALM437" s="6"/>
      <c r="ALN437" s="6"/>
      <c r="ALO437" s="6"/>
      <c r="ALP437" s="6"/>
      <c r="ALQ437" s="6"/>
      <c r="ALR437" s="6"/>
      <c r="ALS437" s="6"/>
      <c r="ALT437" s="6"/>
      <c r="ALU437" s="6"/>
      <c r="ALV437" s="6"/>
      <c r="ALW437" s="6"/>
      <c r="ALX437" s="6"/>
      <c r="ALY437" s="6"/>
      <c r="ALZ437" s="6"/>
      <c r="AMA437" s="6"/>
      <c r="AMB437" s="6"/>
      <c r="AMC437" s="6"/>
      <c r="AMD437" s="6"/>
      <c r="AME437" s="6"/>
      <c r="AMF437" s="6"/>
      <c r="AMG437" s="6"/>
      <c r="AMH437" s="6"/>
      <c r="AMI437" s="6"/>
      <c r="AMJ437" s="6"/>
      <c r="AMK437" s="6"/>
      <c r="AML437" s="6"/>
      <c r="AMM437" s="6"/>
      <c r="AMN437" s="6"/>
      <c r="AMO437" s="6"/>
      <c r="AMP437" s="6"/>
    </row>
    <row r="438" spans="1:1030" x14ac:dyDescent="0.2">
      <c r="A438" s="3" t="str">
        <f t="shared" ref="A438" si="4222">CONCATENATE(B438,"_",C438)</f>
        <v>ta2r_human_6IIV</v>
      </c>
      <c r="B438" s="2" t="s">
        <v>469</v>
      </c>
      <c r="C438" s="3" t="s">
        <v>1543</v>
      </c>
      <c r="D438" s="3" t="str">
        <f>IFERROR(MID(VLOOKUP($B438,Seqs!$A:$B,2,0),E438,1),"")</f>
        <v>S</v>
      </c>
      <c r="E438" s="3">
        <v>27</v>
      </c>
      <c r="F438" s="3" t="str">
        <f>IFERROR(MID(VLOOKUP($B438,Seqs!$A:$B,2,0),G438,1),"")</f>
        <v>R</v>
      </c>
      <c r="G438" s="3">
        <v>53</v>
      </c>
      <c r="H438" s="3" t="str">
        <f>IFERROR(MID(VLOOKUP($B438,Seqs!$A:$B,2,0),I438,1),"")</f>
        <v/>
      </c>
      <c r="I438" s="23" t="s">
        <v>23</v>
      </c>
      <c r="J438" s="3" t="str">
        <f>IFERROR(MID(VLOOKUP($B438,Seqs!$A:$B,2,0),K438,1),"")</f>
        <v/>
      </c>
      <c r="K438" s="23" t="s">
        <v>23</v>
      </c>
      <c r="L438" s="3" t="str">
        <f>IFERROR(MID(VLOOKUP($B438,Seqs!$A:$B,2,0),M438,1),"")</f>
        <v>S</v>
      </c>
      <c r="M438" s="3">
        <v>61</v>
      </c>
      <c r="N438" s="3" t="str">
        <f>IFERROR(MID(VLOOKUP($B438,Seqs!$A:$B,2,0),O438,1),"")</f>
        <v>A</v>
      </c>
      <c r="O438" s="3">
        <v>91</v>
      </c>
      <c r="P438" s="3" t="str">
        <f>IFERROR(MID(VLOOKUP($B438,Seqs!$A:$B,2,0),Q438,1),"")</f>
        <v>E</v>
      </c>
      <c r="Q438" s="3">
        <v>94</v>
      </c>
      <c r="R438" s="3" t="str">
        <f>IFERROR(MID(VLOOKUP($B438,Seqs!$A:$B,2,0),S438,1),"")</f>
        <v>V</v>
      </c>
      <c r="S438" s="3">
        <v>98</v>
      </c>
      <c r="T438" s="3" t="str">
        <f>IFERROR(MID(VLOOKUP($B438,Seqs!$A:$B,2,0),U438,1),"")</f>
        <v>C</v>
      </c>
      <c r="U438" s="3">
        <v>102</v>
      </c>
      <c r="V438" s="3" t="str">
        <f>IFERROR(MID(VLOOKUP($B438,Seqs!$A:$B,2,0),W438,1),"")</f>
        <v>R</v>
      </c>
      <c r="W438" s="3">
        <v>136</v>
      </c>
      <c r="X438" s="3" t="str">
        <f>IFERROR(MID(VLOOKUP($B438,Seqs!$A:$B,2,0),Y438,1),"")</f>
        <v/>
      </c>
      <c r="Y438" s="3" t="s">
        <v>23</v>
      </c>
      <c r="Z438" s="3" t="str">
        <f>IFERROR(MID(VLOOKUP($B438,Seqs!$A:$B,2,0),AA438,1),"")</f>
        <v/>
      </c>
      <c r="AA438" s="3" t="s">
        <v>23</v>
      </c>
      <c r="AB438" s="3" t="str">
        <f>IFERROR(MID(VLOOKUP($B438,Seqs!$A:$B,2,0),AC438,1),"")</f>
        <v>P</v>
      </c>
      <c r="AC438" s="3">
        <v>141</v>
      </c>
      <c r="AD438" s="3" t="str">
        <f>IFERROR(MID(VLOOKUP($B438,Seqs!$A:$B,2,0),AE438,1),"")</f>
        <v>G</v>
      </c>
      <c r="AE438" s="3">
        <v>170</v>
      </c>
      <c r="AF438" s="3" t="str">
        <f>IFERROR(MID(VLOOKUP($B438,Seqs!$A:$B,2,0),AG438,1),"")</f>
        <v>C</v>
      </c>
      <c r="AG438" s="3">
        <v>183</v>
      </c>
      <c r="AH438" s="3" t="str">
        <f>IFERROR(MID(VLOOKUP($B438,Seqs!$A:$B,2,0),AI438,1),"")</f>
        <v>L</v>
      </c>
      <c r="AI438" s="3">
        <v>185</v>
      </c>
      <c r="AJ438" s="3" t="str">
        <f>IFERROR(MID(VLOOKUP($B438,Seqs!$A:$B,2,0),AK438,1),"")</f>
        <v>E</v>
      </c>
      <c r="AK438" s="3">
        <v>190</v>
      </c>
      <c r="AL438" s="3" t="str">
        <f>IFERROR(MID(VLOOKUP($B438,Seqs!$A:$B,2,0),AM438,1),"")</f>
        <v>Y</v>
      </c>
      <c r="AM438" s="3">
        <v>226</v>
      </c>
      <c r="AN438" s="3" t="str">
        <f>IFERROR(MID(VLOOKUP($B438,Seqs!$A:$B,2,0),AO438,1),"")</f>
        <v>R</v>
      </c>
      <c r="AO438" s="3">
        <v>237</v>
      </c>
      <c r="AP438" s="3" t="str">
        <f>IFERROR(MID(VLOOKUP($B438,Seqs!$A:$B,2,0),AQ438,1),"")</f>
        <v>R</v>
      </c>
      <c r="AQ438" s="3">
        <v>271</v>
      </c>
      <c r="AR438" s="3" t="str">
        <f>IFERROR(MID(VLOOKUP($B438,Seqs!$A:$B,2,0),AS438,1),"")</f>
        <v>S</v>
      </c>
      <c r="AS438" s="3">
        <v>283</v>
      </c>
      <c r="AT438" s="3" t="str">
        <f>IFERROR(MID(VLOOKUP($B438,Seqs!$A:$B,2,0),AU438,1),"")</f>
        <v>F</v>
      </c>
      <c r="AU438" s="3">
        <v>311</v>
      </c>
      <c r="AV438" s="3" t="str">
        <f>IFERROR(MID(VLOOKUP($B438,Seqs!$A:$B,2,0),AW438,1),"")</f>
        <v>R</v>
      </c>
      <c r="AW438" s="3">
        <v>312</v>
      </c>
      <c r="AX438" s="3" t="str">
        <f>IFERROR(MID(VLOOKUP($B438,Seqs!$A:$B,2,0),AY438,1),"")</f>
        <v>L</v>
      </c>
      <c r="AY438" s="3">
        <v>319</v>
      </c>
      <c r="AZ438" s="77" t="str">
        <f>VLOOKUP(B438,Classification!A:D,2,0)</f>
        <v>A</v>
      </c>
      <c r="BA438" s="94" t="str">
        <f>VLOOKUP(B438,Classification!A:D,4,0)</f>
        <v>Prostanoid</v>
      </c>
      <c r="BB438" s="27" t="b">
        <f t="shared" ref="BB438" si="4223">AND(E438&lt;G438,OR(G438&lt;I438,I438="-"),OR(I438&lt;K438,I438="-"),OR(K438&lt;M438,K438="-"),M438&lt;O438,OR(O438&lt;Q438,Q438="-"),OR(Q438&lt;S438,Q438="-"),OR(S438&lt;U438,S438="-"),U438&lt;W438,OR(W438&lt;Y438,Y438="-"),OR(Y438&lt;AA438,Y438="-"),OR(AA438&lt;AC438,AA438="-"),AC438&lt;AE438,OR(AE438&lt;AG438,AG438="-"),OR(AG438&lt;AI438,AG438="-"),OR(AI438&lt;AK438,AI438="-"),AK438&lt;AM438,AM438&lt;AO438,AO438&lt;AQ438,AQ438&lt;AS438,AS438&lt;AU438,OR(AU438&lt;AW438,AW438="-"),OR(AW438&lt;AY438,AW438="-"))</f>
        <v>1</v>
      </c>
      <c r="BC438" s="23">
        <f t="shared" ref="BC438" si="4224">_xlfn.AGGREGATE(9,6,CH438:CS438)-_xlfn.AGGREGATE(9,6,BV438:CG438)+12</f>
        <v>242</v>
      </c>
      <c r="BD438" s="4" t="s">
        <v>1370</v>
      </c>
      <c r="BE438" s="3" t="s">
        <v>1368</v>
      </c>
      <c r="BF438" s="118">
        <v>3</v>
      </c>
      <c r="BG438" s="49" t="s">
        <v>1</v>
      </c>
      <c r="BH438" s="49" t="s">
        <v>1</v>
      </c>
      <c r="BI438" s="1"/>
      <c r="BJ438" s="70" t="s">
        <v>1281</v>
      </c>
      <c r="BK438" s="57" t="s">
        <v>1281</v>
      </c>
      <c r="BL438" s="57" t="s">
        <v>1281</v>
      </c>
      <c r="BM438" s="57" t="s">
        <v>1281</v>
      </c>
      <c r="BN438" s="57" t="s">
        <v>1281</v>
      </c>
      <c r="BO438" s="57" t="s">
        <v>1281</v>
      </c>
      <c r="BP438" s="57" t="s">
        <v>1281</v>
      </c>
      <c r="BQ438" s="57" t="s">
        <v>1281</v>
      </c>
      <c r="BR438" s="57" t="s">
        <v>1281</v>
      </c>
      <c r="BS438" s="57" t="s">
        <v>1281</v>
      </c>
      <c r="BT438" s="57" t="s">
        <v>1281</v>
      </c>
      <c r="BU438" s="57" t="s">
        <v>1281</v>
      </c>
      <c r="BV438" s="70">
        <f t="shared" ref="BV438" si="4225">E438</f>
        <v>27</v>
      </c>
      <c r="BW438" s="71" t="str">
        <f t="shared" ref="BW438" si="4226">I438</f>
        <v>-</v>
      </c>
      <c r="BX438" s="72">
        <f t="shared" ref="BX438" si="4227">M438</f>
        <v>61</v>
      </c>
      <c r="BY438" s="71">
        <f t="shared" ref="BY438" si="4228">Q438</f>
        <v>94</v>
      </c>
      <c r="BZ438" s="72">
        <f t="shared" ref="BZ438" si="4229">U438</f>
        <v>102</v>
      </c>
      <c r="CA438" s="71" t="str">
        <f t="shared" ref="CA438" si="4230">Y438</f>
        <v>-</v>
      </c>
      <c r="CB438" s="72">
        <f t="shared" ref="CB438" si="4231">AC438</f>
        <v>141</v>
      </c>
      <c r="CC438" s="71">
        <f t="shared" ref="CC438" si="4232">AG438</f>
        <v>183</v>
      </c>
      <c r="CD438" s="72">
        <f t="shared" ref="CD438" si="4233">AK438</f>
        <v>190</v>
      </c>
      <c r="CE438" s="71">
        <f t="shared" ref="CE438" si="4234">AO438</f>
        <v>237</v>
      </c>
      <c r="CF438" s="72">
        <f t="shared" ref="CF438" si="4235">AS438</f>
        <v>283</v>
      </c>
      <c r="CG438" s="71">
        <f t="shared" ref="CG438" si="4236">AW438</f>
        <v>312</v>
      </c>
      <c r="CH438" s="70">
        <f t="shared" ref="CH438" si="4237">G438</f>
        <v>53</v>
      </c>
      <c r="CI438" s="71" t="str">
        <f t="shared" ref="CI438" si="4238">K438</f>
        <v>-</v>
      </c>
      <c r="CJ438" s="72">
        <f t="shared" ref="CJ438" si="4239">O438</f>
        <v>91</v>
      </c>
      <c r="CK438" s="72">
        <f t="shared" ref="CK438" si="4240">S438</f>
        <v>98</v>
      </c>
      <c r="CL438" s="72">
        <f t="shared" ref="CL438" si="4241">W438</f>
        <v>136</v>
      </c>
      <c r="CM438" s="72" t="str">
        <f t="shared" ref="CM438" si="4242">AA438</f>
        <v>-</v>
      </c>
      <c r="CN438" s="72">
        <f t="shared" ref="CN438" si="4243">AE438</f>
        <v>170</v>
      </c>
      <c r="CO438" s="72">
        <f t="shared" ref="CO438" si="4244">AI438</f>
        <v>185</v>
      </c>
      <c r="CP438" s="72">
        <f t="shared" ref="CP438" si="4245">AM438</f>
        <v>226</v>
      </c>
      <c r="CQ438" s="72">
        <f t="shared" ref="CQ438" si="4246">AQ438</f>
        <v>271</v>
      </c>
      <c r="CR438" s="72">
        <f t="shared" ref="CR438" si="4247">AU438</f>
        <v>311</v>
      </c>
      <c r="CS438" s="72">
        <f t="shared" ref="CS438" si="4248">AY438</f>
        <v>319</v>
      </c>
      <c r="CT438" s="23" t="e">
        <f t="shared" ref="CT438" si="4249">M438-K438</f>
        <v>#VALUE!</v>
      </c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Q438" s="6"/>
      <c r="KR438" s="6"/>
      <c r="KS438" s="6"/>
      <c r="KT438" s="6"/>
      <c r="KU438" s="6"/>
      <c r="KV438" s="6"/>
      <c r="KW438" s="6"/>
      <c r="KX438" s="6"/>
      <c r="KY438" s="6"/>
      <c r="KZ438" s="6"/>
      <c r="LA438" s="6"/>
      <c r="LB438" s="6"/>
      <c r="LC438" s="6"/>
      <c r="LD438" s="6"/>
      <c r="LE438" s="6"/>
      <c r="LF438" s="6"/>
      <c r="LG438" s="6"/>
      <c r="LH438" s="6"/>
      <c r="LI438" s="6"/>
      <c r="LJ438" s="6"/>
      <c r="LK438" s="6"/>
      <c r="LL438" s="6"/>
      <c r="LM438" s="6"/>
      <c r="LN438" s="6"/>
      <c r="LO438" s="6"/>
      <c r="LP438" s="6"/>
      <c r="LQ438" s="6"/>
      <c r="LR438" s="6"/>
      <c r="LS438" s="6"/>
      <c r="LT438" s="6"/>
      <c r="LU438" s="6"/>
      <c r="LV438" s="6"/>
      <c r="LW438" s="6"/>
      <c r="LX438" s="6"/>
      <c r="LY438" s="6"/>
      <c r="LZ438" s="6"/>
      <c r="MA438" s="6"/>
      <c r="MB438" s="6"/>
      <c r="MC438" s="6"/>
      <c r="MD438" s="6"/>
      <c r="ME438" s="6"/>
      <c r="MF438" s="6"/>
      <c r="MG438" s="6"/>
      <c r="MH438" s="6"/>
      <c r="MI438" s="6"/>
      <c r="MJ438" s="6"/>
      <c r="MK438" s="6"/>
      <c r="ML438" s="6"/>
      <c r="MM438" s="6"/>
      <c r="MN438" s="6"/>
      <c r="MO438" s="6"/>
      <c r="MP438" s="6"/>
      <c r="MQ438" s="6"/>
      <c r="MR438" s="6"/>
      <c r="MS438" s="6"/>
      <c r="MT438" s="6"/>
      <c r="MU438" s="6"/>
      <c r="MV438" s="6"/>
      <c r="MW438" s="6"/>
      <c r="MX438" s="6"/>
      <c r="MY438" s="6"/>
      <c r="MZ438" s="6"/>
      <c r="NA438" s="6"/>
      <c r="NB438" s="6"/>
      <c r="NC438" s="6"/>
      <c r="ND438" s="6"/>
      <c r="NE438" s="6"/>
      <c r="NF438" s="6"/>
      <c r="NG438" s="6"/>
      <c r="NH438" s="6"/>
      <c r="NI438" s="6"/>
      <c r="NJ438" s="6"/>
      <c r="NK438" s="6"/>
      <c r="NL438" s="6"/>
      <c r="NM438" s="6"/>
      <c r="NN438" s="6"/>
      <c r="NO438" s="6"/>
      <c r="NP438" s="6"/>
      <c r="NQ438" s="6"/>
      <c r="NR438" s="6"/>
      <c r="NS438" s="6"/>
      <c r="NT438" s="6"/>
      <c r="NU438" s="6"/>
      <c r="NV438" s="6"/>
      <c r="NW438" s="6"/>
      <c r="NX438" s="6"/>
      <c r="NY438" s="6"/>
      <c r="NZ438" s="6"/>
      <c r="OA438" s="6"/>
      <c r="OB438" s="6"/>
      <c r="OC438" s="6"/>
      <c r="OD438" s="6"/>
      <c r="OE438" s="6"/>
      <c r="OF438" s="6"/>
      <c r="OG438" s="6"/>
      <c r="OH438" s="6"/>
      <c r="OI438" s="6"/>
      <c r="OJ438" s="6"/>
      <c r="OK438" s="6"/>
      <c r="OL438" s="6"/>
      <c r="OM438" s="6"/>
      <c r="ON438" s="6"/>
      <c r="OO438" s="6"/>
      <c r="OP438" s="6"/>
      <c r="OQ438" s="6"/>
      <c r="OR438" s="6"/>
      <c r="OS438" s="6"/>
      <c r="OT438" s="6"/>
      <c r="OU438" s="6"/>
      <c r="OV438" s="6"/>
      <c r="OW438" s="6"/>
      <c r="OX438" s="6"/>
      <c r="OY438" s="6"/>
      <c r="OZ438" s="6"/>
      <c r="PA438" s="6"/>
      <c r="PB438" s="6"/>
      <c r="PC438" s="6"/>
      <c r="PD438" s="6"/>
      <c r="PE438" s="6"/>
      <c r="PF438" s="6"/>
      <c r="PG438" s="6"/>
      <c r="PH438" s="6"/>
      <c r="PI438" s="6"/>
      <c r="PJ438" s="6"/>
      <c r="PK438" s="6"/>
      <c r="PL438" s="6"/>
      <c r="PM438" s="6"/>
      <c r="PN438" s="6"/>
      <c r="PO438" s="6"/>
      <c r="PP438" s="6"/>
      <c r="PQ438" s="6"/>
      <c r="PR438" s="6"/>
      <c r="PS438" s="6"/>
      <c r="PT438" s="6"/>
      <c r="PU438" s="6"/>
      <c r="PV438" s="6"/>
      <c r="PW438" s="6"/>
      <c r="PX438" s="6"/>
      <c r="PY438" s="6"/>
      <c r="PZ438" s="6"/>
      <c r="QA438" s="6"/>
      <c r="QB438" s="6"/>
      <c r="QC438" s="6"/>
      <c r="QD438" s="6"/>
      <c r="QE438" s="6"/>
      <c r="QF438" s="6"/>
      <c r="QG438" s="6"/>
      <c r="QH438" s="6"/>
      <c r="QI438" s="6"/>
      <c r="QJ438" s="6"/>
      <c r="QK438" s="6"/>
      <c r="QL438" s="6"/>
      <c r="QM438" s="6"/>
      <c r="QN438" s="6"/>
      <c r="QO438" s="6"/>
      <c r="QP438" s="6"/>
      <c r="QQ438" s="6"/>
      <c r="QR438" s="6"/>
      <c r="QS438" s="6"/>
      <c r="QT438" s="6"/>
      <c r="QU438" s="6"/>
      <c r="QV438" s="6"/>
      <c r="QW438" s="6"/>
      <c r="QX438" s="6"/>
      <c r="QY438" s="6"/>
      <c r="QZ438" s="6"/>
      <c r="RA438" s="6"/>
      <c r="RB438" s="6"/>
      <c r="RC438" s="6"/>
      <c r="RD438" s="6"/>
      <c r="RE438" s="6"/>
      <c r="RF438" s="6"/>
      <c r="RG438" s="6"/>
      <c r="RH438" s="6"/>
      <c r="RI438" s="6"/>
      <c r="RJ438" s="6"/>
      <c r="RK438" s="6"/>
      <c r="RL438" s="6"/>
      <c r="RM438" s="6"/>
      <c r="RN438" s="6"/>
      <c r="RO438" s="6"/>
      <c r="RP438" s="6"/>
      <c r="RQ438" s="6"/>
      <c r="RR438" s="6"/>
      <c r="RS438" s="6"/>
      <c r="RT438" s="6"/>
      <c r="RU438" s="6"/>
      <c r="RV438" s="6"/>
      <c r="RW438" s="6"/>
      <c r="RX438" s="6"/>
      <c r="RY438" s="6"/>
      <c r="RZ438" s="6"/>
      <c r="SA438" s="6"/>
      <c r="SB438" s="6"/>
      <c r="SC438" s="6"/>
      <c r="SD438" s="6"/>
      <c r="SE438" s="6"/>
      <c r="SF438" s="6"/>
      <c r="SG438" s="6"/>
      <c r="SH438" s="6"/>
      <c r="SI438" s="6"/>
      <c r="SJ438" s="6"/>
      <c r="SK438" s="6"/>
      <c r="SL438" s="6"/>
      <c r="SM438" s="6"/>
      <c r="SN438" s="6"/>
      <c r="SO438" s="6"/>
      <c r="SP438" s="6"/>
      <c r="SQ438" s="6"/>
      <c r="SR438" s="6"/>
      <c r="SS438" s="6"/>
      <c r="ST438" s="6"/>
      <c r="SU438" s="6"/>
      <c r="SV438" s="6"/>
      <c r="SW438" s="6"/>
      <c r="SX438" s="6"/>
      <c r="SY438" s="6"/>
      <c r="SZ438" s="6"/>
      <c r="TA438" s="6"/>
      <c r="TB438" s="6"/>
      <c r="TC438" s="6"/>
      <c r="TD438" s="6"/>
      <c r="TE438" s="6"/>
      <c r="TF438" s="6"/>
      <c r="TG438" s="6"/>
      <c r="TH438" s="6"/>
      <c r="TI438" s="6"/>
      <c r="TJ438" s="6"/>
      <c r="TK438" s="6"/>
      <c r="TL438" s="6"/>
      <c r="TM438" s="6"/>
      <c r="TN438" s="6"/>
      <c r="TO438" s="6"/>
      <c r="TP438" s="6"/>
      <c r="TQ438" s="6"/>
      <c r="TR438" s="6"/>
      <c r="TS438" s="6"/>
      <c r="TT438" s="6"/>
      <c r="TU438" s="6"/>
      <c r="TV438" s="6"/>
      <c r="TW438" s="6"/>
      <c r="TX438" s="6"/>
      <c r="TY438" s="6"/>
      <c r="TZ438" s="6"/>
      <c r="UA438" s="6"/>
      <c r="UB438" s="6"/>
      <c r="UC438" s="6"/>
      <c r="UD438" s="6"/>
      <c r="UE438" s="6"/>
      <c r="UF438" s="6"/>
      <c r="UG438" s="6"/>
      <c r="UH438" s="6"/>
      <c r="UI438" s="6"/>
      <c r="UJ438" s="6"/>
      <c r="UK438" s="6"/>
      <c r="UL438" s="6"/>
      <c r="UM438" s="6"/>
      <c r="UN438" s="6"/>
      <c r="UO438" s="6"/>
      <c r="UP438" s="6"/>
      <c r="UQ438" s="6"/>
      <c r="UR438" s="6"/>
      <c r="US438" s="6"/>
      <c r="UT438" s="6"/>
      <c r="UU438" s="6"/>
      <c r="UV438" s="6"/>
      <c r="UW438" s="6"/>
      <c r="UX438" s="6"/>
      <c r="UY438" s="6"/>
      <c r="UZ438" s="6"/>
      <c r="VA438" s="6"/>
      <c r="VB438" s="6"/>
      <c r="VC438" s="6"/>
      <c r="VD438" s="6"/>
      <c r="VE438" s="6"/>
      <c r="VF438" s="6"/>
      <c r="VG438" s="6"/>
      <c r="VH438" s="6"/>
      <c r="VI438" s="6"/>
      <c r="VJ438" s="6"/>
      <c r="VK438" s="6"/>
      <c r="VL438" s="6"/>
      <c r="VM438" s="6"/>
      <c r="VN438" s="6"/>
      <c r="VO438" s="6"/>
      <c r="VP438" s="6"/>
      <c r="VQ438" s="6"/>
      <c r="VR438" s="6"/>
      <c r="VS438" s="6"/>
      <c r="VT438" s="6"/>
      <c r="VU438" s="6"/>
      <c r="VV438" s="6"/>
      <c r="VW438" s="6"/>
      <c r="VX438" s="6"/>
      <c r="VY438" s="6"/>
      <c r="VZ438" s="6"/>
      <c r="WA438" s="6"/>
      <c r="WB438" s="6"/>
      <c r="WC438" s="6"/>
      <c r="WD438" s="6"/>
      <c r="WE438" s="6"/>
      <c r="WF438" s="6"/>
      <c r="WG438" s="6"/>
      <c r="WH438" s="6"/>
      <c r="WI438" s="6"/>
      <c r="WJ438" s="6"/>
      <c r="WK438" s="6"/>
      <c r="WL438" s="6"/>
      <c r="WM438" s="6"/>
      <c r="WN438" s="6"/>
      <c r="WO438" s="6"/>
      <c r="WP438" s="6"/>
      <c r="WQ438" s="6"/>
      <c r="WR438" s="6"/>
      <c r="WS438" s="6"/>
      <c r="WT438" s="6"/>
      <c r="WU438" s="6"/>
      <c r="WV438" s="6"/>
      <c r="WW438" s="6"/>
      <c r="WX438" s="6"/>
      <c r="WY438" s="6"/>
      <c r="WZ438" s="6"/>
      <c r="XA438" s="6"/>
      <c r="XB438" s="6"/>
      <c r="XC438" s="6"/>
      <c r="XD438" s="6"/>
      <c r="XE438" s="6"/>
      <c r="XF438" s="6"/>
      <c r="XG438" s="6"/>
      <c r="XH438" s="6"/>
      <c r="XI438" s="6"/>
      <c r="XJ438" s="6"/>
      <c r="XK438" s="6"/>
      <c r="XL438" s="6"/>
      <c r="XM438" s="6"/>
      <c r="XN438" s="6"/>
      <c r="XO438" s="6"/>
      <c r="XP438" s="6"/>
      <c r="XQ438" s="6"/>
      <c r="XR438" s="6"/>
      <c r="XS438" s="6"/>
      <c r="XT438" s="6"/>
      <c r="XU438" s="6"/>
      <c r="XV438" s="6"/>
      <c r="XW438" s="6"/>
      <c r="XX438" s="6"/>
      <c r="XY438" s="6"/>
      <c r="XZ438" s="6"/>
      <c r="YA438" s="6"/>
      <c r="YB438" s="6"/>
      <c r="YC438" s="6"/>
      <c r="YD438" s="6"/>
      <c r="YE438" s="6"/>
      <c r="YF438" s="6"/>
      <c r="YG438" s="6"/>
      <c r="YH438" s="6"/>
      <c r="YI438" s="6"/>
      <c r="YJ438" s="6"/>
      <c r="YK438" s="6"/>
      <c r="YL438" s="6"/>
      <c r="YM438" s="6"/>
      <c r="YN438" s="6"/>
      <c r="YO438" s="6"/>
      <c r="YP438" s="6"/>
      <c r="YQ438" s="6"/>
      <c r="YR438" s="6"/>
      <c r="YS438" s="6"/>
      <c r="YT438" s="6"/>
      <c r="YU438" s="6"/>
      <c r="YV438" s="6"/>
      <c r="YW438" s="6"/>
      <c r="YX438" s="6"/>
      <c r="YY438" s="6"/>
      <c r="YZ438" s="6"/>
      <c r="ZA438" s="6"/>
      <c r="ZB438" s="6"/>
      <c r="ZC438" s="6"/>
      <c r="ZD438" s="6"/>
      <c r="ZE438" s="6"/>
      <c r="ZF438" s="6"/>
      <c r="ZG438" s="6"/>
      <c r="ZH438" s="6"/>
      <c r="ZI438" s="6"/>
      <c r="ZJ438" s="6"/>
      <c r="ZK438" s="6"/>
      <c r="ZL438" s="6"/>
      <c r="ZM438" s="6"/>
      <c r="ZN438" s="6"/>
      <c r="ZO438" s="6"/>
      <c r="ZP438" s="6"/>
      <c r="ZQ438" s="6"/>
      <c r="ZR438" s="6"/>
      <c r="ZS438" s="6"/>
      <c r="ZT438" s="6"/>
      <c r="ZU438" s="6"/>
      <c r="ZV438" s="6"/>
      <c r="ZW438" s="6"/>
      <c r="ZX438" s="6"/>
      <c r="ZY438" s="6"/>
      <c r="ZZ438" s="6"/>
      <c r="AAA438" s="6"/>
      <c r="AAB438" s="6"/>
      <c r="AAC438" s="6"/>
      <c r="AAD438" s="6"/>
      <c r="AAE438" s="6"/>
      <c r="AAF438" s="6"/>
      <c r="AAG438" s="6"/>
      <c r="AAH438" s="6"/>
      <c r="AAI438" s="6"/>
      <c r="AAJ438" s="6"/>
      <c r="AAK438" s="6"/>
      <c r="AAL438" s="6"/>
      <c r="AAM438" s="6"/>
      <c r="AAN438" s="6"/>
      <c r="AAO438" s="6"/>
      <c r="AAP438" s="6"/>
      <c r="AAQ438" s="6"/>
      <c r="AAR438" s="6"/>
      <c r="AAS438" s="6"/>
      <c r="AAT438" s="6"/>
      <c r="AAU438" s="6"/>
      <c r="AAV438" s="6"/>
      <c r="AAW438" s="6"/>
      <c r="AAX438" s="6"/>
      <c r="AAY438" s="6"/>
      <c r="AAZ438" s="6"/>
      <c r="ABA438" s="6"/>
      <c r="ABB438" s="6"/>
      <c r="ABC438" s="6"/>
      <c r="ABD438" s="6"/>
      <c r="ABE438" s="6"/>
      <c r="ABF438" s="6"/>
      <c r="ABG438" s="6"/>
      <c r="ABH438" s="6"/>
      <c r="ABI438" s="6"/>
      <c r="ABJ438" s="6"/>
      <c r="ABK438" s="6"/>
      <c r="ABL438" s="6"/>
      <c r="ABM438" s="6"/>
      <c r="ABN438" s="6"/>
      <c r="ABO438" s="6"/>
      <c r="ABP438" s="6"/>
      <c r="ABQ438" s="6"/>
      <c r="ABR438" s="6"/>
      <c r="ABS438" s="6"/>
      <c r="ABT438" s="6"/>
      <c r="ABU438" s="6"/>
      <c r="ABV438" s="6"/>
      <c r="ABW438" s="6"/>
      <c r="ABX438" s="6"/>
      <c r="ABY438" s="6"/>
      <c r="ABZ438" s="6"/>
      <c r="ACA438" s="6"/>
      <c r="ACB438" s="6"/>
      <c r="ACC438" s="6"/>
      <c r="ACD438" s="6"/>
      <c r="ACE438" s="6"/>
      <c r="ACF438" s="6"/>
      <c r="ACG438" s="6"/>
      <c r="ACH438" s="6"/>
      <c r="ACI438" s="6"/>
      <c r="ACJ438" s="6"/>
      <c r="ACK438" s="6"/>
      <c r="ACL438" s="6"/>
      <c r="ACM438" s="6"/>
      <c r="ACN438" s="6"/>
      <c r="ACO438" s="6"/>
      <c r="ACP438" s="6"/>
      <c r="ACQ438" s="6"/>
      <c r="ACR438" s="6"/>
      <c r="ACS438" s="6"/>
      <c r="ACT438" s="6"/>
      <c r="ACU438" s="6"/>
      <c r="ACV438" s="6"/>
      <c r="ACW438" s="6"/>
      <c r="ACX438" s="6"/>
      <c r="ACY438" s="6"/>
      <c r="ACZ438" s="6"/>
      <c r="ADA438" s="6"/>
      <c r="ADB438" s="6"/>
      <c r="ADC438" s="6"/>
      <c r="ADD438" s="6"/>
      <c r="ADE438" s="6"/>
      <c r="ADF438" s="6"/>
      <c r="ADG438" s="6"/>
      <c r="ADH438" s="6"/>
      <c r="ADI438" s="6"/>
      <c r="ADJ438" s="6"/>
      <c r="ADK438" s="6"/>
      <c r="ADL438" s="6"/>
      <c r="ADM438" s="6"/>
      <c r="ADN438" s="6"/>
      <c r="ADO438" s="6"/>
      <c r="ADP438" s="6"/>
      <c r="ADQ438" s="6"/>
      <c r="ADR438" s="6"/>
      <c r="ADS438" s="6"/>
      <c r="ADT438" s="6"/>
      <c r="ADU438" s="6"/>
      <c r="ADV438" s="6"/>
      <c r="ADW438" s="6"/>
      <c r="ADX438" s="6"/>
      <c r="ADY438" s="6"/>
      <c r="ADZ438" s="6"/>
      <c r="AEA438" s="6"/>
      <c r="AEB438" s="6"/>
      <c r="AEC438" s="6"/>
      <c r="AED438" s="6"/>
      <c r="AEE438" s="6"/>
      <c r="AEF438" s="6"/>
      <c r="AEG438" s="6"/>
      <c r="AEH438" s="6"/>
      <c r="AEI438" s="6"/>
      <c r="AEJ438" s="6"/>
      <c r="AEK438" s="6"/>
      <c r="AEL438" s="6"/>
      <c r="AEM438" s="6"/>
      <c r="AEN438" s="6"/>
      <c r="AEO438" s="6"/>
      <c r="AEP438" s="6"/>
      <c r="AEQ438" s="6"/>
      <c r="AER438" s="6"/>
      <c r="AES438" s="6"/>
      <c r="AET438" s="6"/>
      <c r="AEU438" s="6"/>
      <c r="AEV438" s="6"/>
      <c r="AEW438" s="6"/>
      <c r="AEX438" s="6"/>
      <c r="AEY438" s="6"/>
      <c r="AEZ438" s="6"/>
      <c r="AFA438" s="6"/>
      <c r="AFB438" s="6"/>
      <c r="AFC438" s="6"/>
      <c r="AFD438" s="6"/>
      <c r="AFE438" s="6"/>
      <c r="AFF438" s="6"/>
      <c r="AFG438" s="6"/>
      <c r="AFH438" s="6"/>
      <c r="AFI438" s="6"/>
      <c r="AFJ438" s="6"/>
      <c r="AFK438" s="6"/>
      <c r="AFL438" s="6"/>
      <c r="AFM438" s="6"/>
      <c r="AFN438" s="6"/>
      <c r="AFO438" s="6"/>
      <c r="AFP438" s="6"/>
      <c r="AFQ438" s="6"/>
      <c r="AFR438" s="6"/>
      <c r="AFS438" s="6"/>
      <c r="AFT438" s="6"/>
      <c r="AFU438" s="6"/>
      <c r="AFV438" s="6"/>
      <c r="AFW438" s="6"/>
      <c r="AFX438" s="6"/>
      <c r="AFY438" s="6"/>
      <c r="AFZ438" s="6"/>
      <c r="AGA438" s="6"/>
      <c r="AGB438" s="6"/>
      <c r="AGC438" s="6"/>
      <c r="AGD438" s="6"/>
      <c r="AGE438" s="6"/>
      <c r="AGF438" s="6"/>
      <c r="AGG438" s="6"/>
      <c r="AGH438" s="6"/>
      <c r="AGI438" s="6"/>
      <c r="AGJ438" s="6"/>
      <c r="AGK438" s="6"/>
      <c r="AGL438" s="6"/>
      <c r="AGM438" s="6"/>
      <c r="AGN438" s="6"/>
      <c r="AGO438" s="6"/>
      <c r="AGP438" s="6"/>
      <c r="AGQ438" s="6"/>
      <c r="AGR438" s="6"/>
      <c r="AGS438" s="6"/>
      <c r="AGT438" s="6"/>
      <c r="AGU438" s="6"/>
      <c r="AGV438" s="6"/>
      <c r="AGW438" s="6"/>
      <c r="AGX438" s="6"/>
      <c r="AGY438" s="6"/>
      <c r="AGZ438" s="6"/>
      <c r="AHA438" s="6"/>
      <c r="AHB438" s="6"/>
      <c r="AHC438" s="6"/>
      <c r="AHD438" s="6"/>
      <c r="AHE438" s="6"/>
      <c r="AHF438" s="6"/>
      <c r="AHG438" s="6"/>
      <c r="AHH438" s="6"/>
      <c r="AHI438" s="6"/>
      <c r="AHJ438" s="6"/>
      <c r="AHK438" s="6"/>
      <c r="AHL438" s="6"/>
      <c r="AHM438" s="6"/>
      <c r="AHN438" s="6"/>
      <c r="AHO438" s="6"/>
      <c r="AHP438" s="6"/>
      <c r="AHQ438" s="6"/>
      <c r="AHR438" s="6"/>
      <c r="AHS438" s="6"/>
      <c r="AHT438" s="6"/>
      <c r="AHU438" s="6"/>
      <c r="AHV438" s="6"/>
      <c r="AHW438" s="6"/>
      <c r="AHX438" s="6"/>
      <c r="AHY438" s="6"/>
      <c r="AHZ438" s="6"/>
      <c r="AIA438" s="6"/>
      <c r="AIB438" s="6"/>
      <c r="AIC438" s="6"/>
      <c r="AID438" s="6"/>
      <c r="AIE438" s="6"/>
      <c r="AIF438" s="6"/>
      <c r="AIG438" s="6"/>
      <c r="AIH438" s="6"/>
      <c r="AII438" s="6"/>
      <c r="AIJ438" s="6"/>
      <c r="AIK438" s="6"/>
      <c r="AIL438" s="6"/>
      <c r="AIM438" s="6"/>
      <c r="AIN438" s="6"/>
      <c r="AIO438" s="6"/>
      <c r="AIP438" s="6"/>
      <c r="AIQ438" s="6"/>
      <c r="AIR438" s="6"/>
      <c r="AIS438" s="6"/>
      <c r="AIT438" s="6"/>
      <c r="AIU438" s="6"/>
      <c r="AIV438" s="6"/>
      <c r="AIW438" s="6"/>
      <c r="AIX438" s="6"/>
      <c r="AIY438" s="6"/>
      <c r="AIZ438" s="6"/>
      <c r="AJA438" s="6"/>
      <c r="AJB438" s="6"/>
      <c r="AJC438" s="6"/>
      <c r="AJD438" s="6"/>
      <c r="AJE438" s="6"/>
      <c r="AJF438" s="6"/>
      <c r="AJG438" s="6"/>
      <c r="AJH438" s="6"/>
      <c r="AJI438" s="6"/>
      <c r="AJJ438" s="6"/>
      <c r="AJK438" s="6"/>
      <c r="AJL438" s="6"/>
      <c r="AJM438" s="6"/>
      <c r="AJN438" s="6"/>
      <c r="AJO438" s="6"/>
      <c r="AJP438" s="6"/>
      <c r="AJQ438" s="6"/>
      <c r="AJR438" s="6"/>
      <c r="AJS438" s="6"/>
      <c r="AJT438" s="6"/>
      <c r="AJU438" s="6"/>
      <c r="AJV438" s="6"/>
      <c r="AJW438" s="6"/>
      <c r="AJX438" s="6"/>
      <c r="AJY438" s="6"/>
      <c r="AJZ438" s="6"/>
      <c r="AKA438" s="6"/>
      <c r="AKB438" s="6"/>
      <c r="AKC438" s="6"/>
      <c r="AKD438" s="6"/>
      <c r="AKE438" s="6"/>
      <c r="AKF438" s="6"/>
      <c r="AKG438" s="6"/>
      <c r="AKH438" s="6"/>
      <c r="AKI438" s="6"/>
      <c r="AKJ438" s="6"/>
      <c r="AKK438" s="6"/>
      <c r="AKL438" s="6"/>
      <c r="AKM438" s="6"/>
      <c r="AKN438" s="6"/>
      <c r="AKO438" s="6"/>
      <c r="AKP438" s="6"/>
      <c r="AKQ438" s="6"/>
      <c r="AKR438" s="6"/>
      <c r="AKS438" s="6"/>
      <c r="AKT438" s="6"/>
      <c r="AKU438" s="6"/>
      <c r="AKV438" s="6"/>
      <c r="AKW438" s="6"/>
      <c r="AKX438" s="6"/>
      <c r="AKY438" s="6"/>
      <c r="AKZ438" s="6"/>
      <c r="ALA438" s="6"/>
      <c r="ALB438" s="6"/>
      <c r="ALC438" s="6"/>
      <c r="ALD438" s="6"/>
      <c r="ALE438" s="6"/>
      <c r="ALF438" s="6"/>
      <c r="ALG438" s="6"/>
      <c r="ALH438" s="6"/>
      <c r="ALI438" s="6"/>
      <c r="ALJ438" s="6"/>
      <c r="ALK438" s="6"/>
      <c r="ALL438" s="6"/>
      <c r="ALM438" s="6"/>
      <c r="ALN438" s="6"/>
      <c r="ALO438" s="6"/>
      <c r="ALP438" s="6"/>
      <c r="ALQ438" s="6"/>
      <c r="ALR438" s="6"/>
      <c r="ALS438" s="6"/>
      <c r="ALT438" s="6"/>
      <c r="ALU438" s="6"/>
      <c r="ALV438" s="6"/>
      <c r="ALW438" s="6"/>
      <c r="ALX438" s="6"/>
      <c r="ALY438" s="6"/>
      <c r="ALZ438" s="6"/>
      <c r="AMA438" s="6"/>
      <c r="AMB438" s="6"/>
      <c r="AMC438" s="6"/>
      <c r="AMD438" s="6"/>
      <c r="AME438" s="6"/>
      <c r="AMF438" s="6"/>
      <c r="AMG438" s="6"/>
      <c r="AMH438" s="6"/>
      <c r="AMI438" s="6"/>
      <c r="AMJ438" s="6"/>
      <c r="AMK438" s="6"/>
      <c r="AML438" s="6"/>
      <c r="AMM438" s="6"/>
      <c r="AMN438" s="6"/>
      <c r="AMO438" s="6"/>
      <c r="AMP438" s="6"/>
    </row>
    <row r="439" spans="1:1030" x14ac:dyDescent="0.2">
      <c r="A439" s="3" t="str">
        <f t="shared" si="4193"/>
        <v>calcr_human__wt</v>
      </c>
      <c r="B439" s="2" t="s">
        <v>400</v>
      </c>
      <c r="C439" s="3" t="s">
        <v>100</v>
      </c>
      <c r="D439" s="3" t="str">
        <f>IFERROR(MID(VLOOKUP($B439,Seqs!$A:$B,2,0),E439,1),"")</f>
        <v>T</v>
      </c>
      <c r="E439" s="3">
        <v>132</v>
      </c>
      <c r="F439" s="3" t="str">
        <f>IFERROR(MID(VLOOKUP($B439,Seqs!$A:$B,2,0),G439,1),"")</f>
        <v>F</v>
      </c>
      <c r="G439" s="3">
        <v>173</v>
      </c>
      <c r="H439" s="3" t="str">
        <f>IFERROR(MID(VLOOKUP($B439,Seqs!$A:$B,2,0),I439,1),"")</f>
        <v>R</v>
      </c>
      <c r="I439" s="23">
        <v>174</v>
      </c>
      <c r="J439" s="3" t="str">
        <f>IFERROR(MID(VLOOKUP($B439,Seqs!$A:$B,2,0),K439,1),"")</f>
        <v>G</v>
      </c>
      <c r="K439" s="23">
        <v>177</v>
      </c>
      <c r="L439" s="3" t="str">
        <f>IFERROR(MID(VLOOKUP($B439,Seqs!$A:$B,2,0),M439,1),"")</f>
        <v>C</v>
      </c>
      <c r="M439" s="3">
        <v>178</v>
      </c>
      <c r="N439" s="3" t="str">
        <f>IFERROR(MID(VLOOKUP($B439,Seqs!$A:$B,2,0),O439,1),"")</f>
        <v>V</v>
      </c>
      <c r="O439" s="3">
        <v>205</v>
      </c>
      <c r="P439" s="3" t="str">
        <f>IFERROR(MID(VLOOKUP($B439,Seqs!$A:$B,2,0),Q439,1),"")</f>
        <v/>
      </c>
      <c r="Q439" s="3" t="s">
        <v>23</v>
      </c>
      <c r="R439" s="3" t="str">
        <f>IFERROR(MID(VLOOKUP($B439,Seqs!$A:$B,2,0),S439,1),"")</f>
        <v/>
      </c>
      <c r="S439" s="3" t="s">
        <v>23</v>
      </c>
      <c r="T439" s="3" t="str">
        <f>IFERROR(MID(VLOOKUP($B439,Seqs!$A:$B,2,0),U439,1),"")</f>
        <v>V</v>
      </c>
      <c r="U439" s="105">
        <v>217</v>
      </c>
      <c r="V439" s="3" t="str">
        <f>IFERROR(MID(VLOOKUP($B439,Seqs!$A:$B,2,0),W439,1),"")</f>
        <v>V</v>
      </c>
      <c r="W439" s="3">
        <v>250</v>
      </c>
      <c r="X439" s="3" t="str">
        <f>IFERROR(MID(VLOOKUP($B439,Seqs!$A:$B,2,0),Y439,1),"")</f>
        <v/>
      </c>
      <c r="Y439" s="3" t="s">
        <v>23</v>
      </c>
      <c r="Z439" s="3" t="str">
        <f>IFERROR(MID(VLOOKUP($B439,Seqs!$A:$B,2,0),AA439,1),"")</f>
        <v/>
      </c>
      <c r="AA439" s="3" t="s">
        <v>23</v>
      </c>
      <c r="AB439" s="3" t="str">
        <f>IFERROR(MID(VLOOKUP($B439,Seqs!$A:$B,2,0),AC439,1),"")</f>
        <v>R</v>
      </c>
      <c r="AC439" s="3">
        <v>258</v>
      </c>
      <c r="AD439" s="3" t="str">
        <f>IFERROR(MID(VLOOKUP($B439,Seqs!$A:$B,2,0),AE439,1),"")</f>
        <v>F</v>
      </c>
      <c r="AE439" s="3">
        <v>285</v>
      </c>
      <c r="AF439" s="3" t="str">
        <f>IFERROR(MID(VLOOKUP($B439,Seqs!$A:$B,2,0),AG439,1),"")</f>
        <v>C</v>
      </c>
      <c r="AG439" s="3">
        <v>289</v>
      </c>
      <c r="AH439" s="3" t="str">
        <f>IFERROR(MID(VLOOKUP($B439,Seqs!$A:$B,2,0),AI439,1),"")</f>
        <v>L</v>
      </c>
      <c r="AI439" s="3">
        <v>291</v>
      </c>
      <c r="AJ439" s="3" t="str">
        <f>IFERROR(MID(VLOOKUP($B439,Seqs!$A:$B,2,0),AK439,1),"")</f>
        <v>L</v>
      </c>
      <c r="AK439" s="3">
        <v>298</v>
      </c>
      <c r="AL439" s="3" t="str">
        <f>IFERROR(MID(VLOOKUP($B439,Seqs!$A:$B,2,0),AM439,1),"")</f>
        <v>R</v>
      </c>
      <c r="AM439" s="3">
        <v>328</v>
      </c>
      <c r="AN439" s="3" t="str">
        <f>IFERROR(MID(VLOOKUP($B439,Seqs!$A:$B,2,0),AO439,1),"")</f>
        <v>Y</v>
      </c>
      <c r="AO439" s="3">
        <v>338</v>
      </c>
      <c r="AP439" s="3" t="str">
        <f>IFERROR(MID(VLOOKUP($B439,Seqs!$A:$B,2,0),AQ439,1),"")</f>
        <v>W</v>
      </c>
      <c r="AQ439" s="3">
        <v>361</v>
      </c>
      <c r="AR439" s="3" t="str">
        <f>IFERROR(MID(VLOOKUP($B439,Seqs!$A:$B,2,0),AS439,1),"")</f>
        <v>K</v>
      </c>
      <c r="AS439" s="3">
        <v>366</v>
      </c>
      <c r="AT439" s="3" t="str">
        <f>IFERROR(MID(VLOOKUP($B439,Seqs!$A:$B,2,0),AU439,1),"")</f>
        <v>C</v>
      </c>
      <c r="AU439" s="3">
        <v>394</v>
      </c>
      <c r="AV439" s="3" t="str">
        <f>IFERROR(MID(VLOOKUP($B439,Seqs!$A:$B,2,0),AW439,1),"")</f>
        <v>N</v>
      </c>
      <c r="AW439" s="3">
        <v>395</v>
      </c>
      <c r="AX439" s="3" t="str">
        <f>IFERROR(MID(VLOOKUP($B439,Seqs!$A:$B,2,0),AY439,1),"")</f>
        <v>R</v>
      </c>
      <c r="AY439" s="3">
        <v>420</v>
      </c>
      <c r="AZ439" s="77" t="str">
        <f>VLOOKUP(B439,Classification!A:D,2,0)</f>
        <v>B1</v>
      </c>
      <c r="BA439" s="94" t="str">
        <f>VLOOKUP(B439,Classification!A:D,4,0)</f>
        <v>Calcitonin</v>
      </c>
      <c r="BB439" s="27" t="b">
        <f t="shared" si="4166"/>
        <v>1</v>
      </c>
      <c r="BC439" s="23">
        <f t="shared" si="4167"/>
        <v>251</v>
      </c>
      <c r="BD439" s="4" t="s">
        <v>23</v>
      </c>
      <c r="BE439" s="3" t="s">
        <v>23</v>
      </c>
      <c r="BF439" s="118" t="s">
        <v>23</v>
      </c>
      <c r="BG439" s="49" t="s">
        <v>1371</v>
      </c>
      <c r="BH439" s="49" t="s">
        <v>1371</v>
      </c>
      <c r="BI439" s="1"/>
      <c r="BJ439" s="70" t="s">
        <v>1281</v>
      </c>
      <c r="BK439" s="57" t="s">
        <v>1281</v>
      </c>
      <c r="BL439" s="57" t="s">
        <v>1281</v>
      </c>
      <c r="BM439" s="57" t="s">
        <v>1281</v>
      </c>
      <c r="BN439" s="57" t="s">
        <v>1281</v>
      </c>
      <c r="BO439" s="57" t="s">
        <v>1281</v>
      </c>
      <c r="BP439" s="57" t="s">
        <v>1281</v>
      </c>
      <c r="BQ439" s="57" t="s">
        <v>1281</v>
      </c>
      <c r="BR439" s="57" t="s">
        <v>1281</v>
      </c>
      <c r="BS439" s="57" t="s">
        <v>1281</v>
      </c>
      <c r="BT439" s="57" t="s">
        <v>1281</v>
      </c>
      <c r="BU439" s="57" t="s">
        <v>1281</v>
      </c>
      <c r="BV439" s="70">
        <f t="shared" si="4168"/>
        <v>132</v>
      </c>
      <c r="BW439" s="71">
        <f t="shared" si="4169"/>
        <v>174</v>
      </c>
      <c r="BX439" s="72">
        <f t="shared" si="4170"/>
        <v>178</v>
      </c>
      <c r="BY439" s="71" t="str">
        <f t="shared" si="4171"/>
        <v>-</v>
      </c>
      <c r="BZ439" s="72">
        <f t="shared" si="4172"/>
        <v>217</v>
      </c>
      <c r="CA439" s="71" t="str">
        <f t="shared" si="4173"/>
        <v>-</v>
      </c>
      <c r="CB439" s="72">
        <f t="shared" si="4174"/>
        <v>258</v>
      </c>
      <c r="CC439" s="71">
        <f t="shared" si="4175"/>
        <v>289</v>
      </c>
      <c r="CD439" s="72">
        <f t="shared" si="4176"/>
        <v>298</v>
      </c>
      <c r="CE439" s="71">
        <f t="shared" si="4177"/>
        <v>338</v>
      </c>
      <c r="CF439" s="72">
        <f t="shared" si="4178"/>
        <v>366</v>
      </c>
      <c r="CG439" s="71">
        <f t="shared" si="4179"/>
        <v>395</v>
      </c>
      <c r="CH439" s="70">
        <f t="shared" si="4180"/>
        <v>173</v>
      </c>
      <c r="CI439" s="71">
        <f t="shared" si="4181"/>
        <v>177</v>
      </c>
      <c r="CJ439" s="72">
        <f t="shared" si="4182"/>
        <v>205</v>
      </c>
      <c r="CK439" s="72" t="str">
        <f t="shared" si="4183"/>
        <v>-</v>
      </c>
      <c r="CL439" s="72">
        <f t="shared" si="4184"/>
        <v>250</v>
      </c>
      <c r="CM439" s="72" t="str">
        <f t="shared" si="4185"/>
        <v>-</v>
      </c>
      <c r="CN439" s="72">
        <f t="shared" si="4186"/>
        <v>285</v>
      </c>
      <c r="CO439" s="72">
        <f t="shared" si="4187"/>
        <v>291</v>
      </c>
      <c r="CP439" s="72">
        <f t="shared" si="4188"/>
        <v>328</v>
      </c>
      <c r="CQ439" s="72">
        <f t="shared" si="4189"/>
        <v>361</v>
      </c>
      <c r="CR439" s="72">
        <f t="shared" si="4190"/>
        <v>394</v>
      </c>
      <c r="CS439" s="72">
        <f t="shared" si="4191"/>
        <v>420</v>
      </c>
      <c r="CT439" s="23">
        <f t="shared" si="4192"/>
        <v>1</v>
      </c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6"/>
      <c r="KG439" s="6"/>
      <c r="KH439" s="6"/>
      <c r="KI439" s="6"/>
      <c r="KJ439" s="6"/>
      <c r="KK439" s="6"/>
      <c r="KL439" s="6"/>
      <c r="KM439" s="6"/>
      <c r="KN439" s="6"/>
      <c r="KO439" s="6"/>
      <c r="KP439" s="6"/>
      <c r="KQ439" s="6"/>
      <c r="KR439" s="6"/>
      <c r="KS439" s="6"/>
      <c r="KT439" s="6"/>
      <c r="KU439" s="6"/>
      <c r="KV439" s="6"/>
      <c r="KW439" s="6"/>
      <c r="KX439" s="6"/>
      <c r="KY439" s="6"/>
      <c r="KZ439" s="6"/>
      <c r="LA439" s="6"/>
      <c r="LB439" s="6"/>
      <c r="LC439" s="6"/>
      <c r="LD439" s="6"/>
      <c r="LE439" s="6"/>
      <c r="LF439" s="6"/>
      <c r="LG439" s="6"/>
      <c r="LH439" s="6"/>
      <c r="LI439" s="6"/>
      <c r="LJ439" s="6"/>
      <c r="LK439" s="6"/>
      <c r="LL439" s="6"/>
      <c r="LM439" s="6"/>
      <c r="LN439" s="6"/>
      <c r="LO439" s="6"/>
      <c r="LP439" s="6"/>
      <c r="LQ439" s="6"/>
      <c r="LR439" s="6"/>
      <c r="LS439" s="6"/>
      <c r="LT439" s="6"/>
      <c r="LU439" s="6"/>
      <c r="LV439" s="6"/>
      <c r="LW439" s="6"/>
      <c r="LX439" s="6"/>
      <c r="LY439" s="6"/>
      <c r="LZ439" s="6"/>
      <c r="MA439" s="6"/>
      <c r="MB439" s="6"/>
      <c r="MC439" s="6"/>
      <c r="MD439" s="6"/>
      <c r="ME439" s="6"/>
      <c r="MF439" s="6"/>
      <c r="MG439" s="6"/>
      <c r="MH439" s="6"/>
      <c r="MI439" s="6"/>
      <c r="MJ439" s="6"/>
      <c r="MK439" s="6"/>
      <c r="ML439" s="6"/>
      <c r="MM439" s="6"/>
      <c r="MN439" s="6"/>
      <c r="MO439" s="6"/>
      <c r="MP439" s="6"/>
      <c r="MQ439" s="6"/>
      <c r="MR439" s="6"/>
      <c r="MS439" s="6"/>
      <c r="MT439" s="6"/>
      <c r="MU439" s="6"/>
      <c r="MV439" s="6"/>
      <c r="MW439" s="6"/>
      <c r="MX439" s="6"/>
      <c r="MY439" s="6"/>
      <c r="MZ439" s="6"/>
      <c r="NA439" s="6"/>
      <c r="NB439" s="6"/>
      <c r="NC439" s="6"/>
      <c r="ND439" s="6"/>
      <c r="NE439" s="6"/>
      <c r="NF439" s="6"/>
      <c r="NG439" s="6"/>
      <c r="NH439" s="6"/>
      <c r="NI439" s="6"/>
      <c r="NJ439" s="6"/>
      <c r="NK439" s="6"/>
      <c r="NL439" s="6"/>
      <c r="NM439" s="6"/>
      <c r="NN439" s="6"/>
      <c r="NO439" s="6"/>
      <c r="NP439" s="6"/>
      <c r="NQ439" s="6"/>
      <c r="NR439" s="6"/>
      <c r="NS439" s="6"/>
      <c r="NT439" s="6"/>
      <c r="NU439" s="6"/>
      <c r="NV439" s="6"/>
      <c r="NW439" s="6"/>
      <c r="NX439" s="6"/>
      <c r="NY439" s="6"/>
      <c r="NZ439" s="6"/>
      <c r="OA439" s="6"/>
      <c r="OB439" s="6"/>
      <c r="OC439" s="6"/>
      <c r="OD439" s="6"/>
      <c r="OE439" s="6"/>
      <c r="OF439" s="6"/>
      <c r="OG439" s="6"/>
      <c r="OH439" s="6"/>
      <c r="OI439" s="6"/>
      <c r="OJ439" s="6"/>
      <c r="OK439" s="6"/>
      <c r="OL439" s="6"/>
      <c r="OM439" s="6"/>
      <c r="ON439" s="6"/>
      <c r="OO439" s="6"/>
      <c r="OP439" s="6"/>
      <c r="OQ439" s="6"/>
      <c r="OR439" s="6"/>
      <c r="OS439" s="6"/>
      <c r="OT439" s="6"/>
      <c r="OU439" s="6"/>
      <c r="OV439" s="6"/>
      <c r="OW439" s="6"/>
      <c r="OX439" s="6"/>
      <c r="OY439" s="6"/>
      <c r="OZ439" s="6"/>
      <c r="PA439" s="6"/>
      <c r="PB439" s="6"/>
      <c r="PC439" s="6"/>
      <c r="PD439" s="6"/>
      <c r="PE439" s="6"/>
      <c r="PF439" s="6"/>
      <c r="PG439" s="6"/>
      <c r="PH439" s="6"/>
      <c r="PI439" s="6"/>
      <c r="PJ439" s="6"/>
      <c r="PK439" s="6"/>
      <c r="PL439" s="6"/>
      <c r="PM439" s="6"/>
      <c r="PN439" s="6"/>
      <c r="PO439" s="6"/>
      <c r="PP439" s="6"/>
      <c r="PQ439" s="6"/>
      <c r="PR439" s="6"/>
      <c r="PS439" s="6"/>
      <c r="PT439" s="6"/>
      <c r="PU439" s="6"/>
      <c r="PV439" s="6"/>
      <c r="PW439" s="6"/>
      <c r="PX439" s="6"/>
      <c r="PY439" s="6"/>
      <c r="PZ439" s="6"/>
      <c r="QA439" s="6"/>
      <c r="QB439" s="6"/>
      <c r="QC439" s="6"/>
      <c r="QD439" s="6"/>
      <c r="QE439" s="6"/>
      <c r="QF439" s="6"/>
      <c r="QG439" s="6"/>
      <c r="QH439" s="6"/>
      <c r="QI439" s="6"/>
      <c r="QJ439" s="6"/>
      <c r="QK439" s="6"/>
      <c r="QL439" s="6"/>
      <c r="QM439" s="6"/>
      <c r="QN439" s="6"/>
      <c r="QO439" s="6"/>
      <c r="QP439" s="6"/>
      <c r="QQ439" s="6"/>
      <c r="QR439" s="6"/>
      <c r="QS439" s="6"/>
      <c r="QT439" s="6"/>
      <c r="QU439" s="6"/>
      <c r="QV439" s="6"/>
      <c r="QW439" s="6"/>
      <c r="QX439" s="6"/>
      <c r="QY439" s="6"/>
      <c r="QZ439" s="6"/>
      <c r="RA439" s="6"/>
      <c r="RB439" s="6"/>
      <c r="RC439" s="6"/>
      <c r="RD439" s="6"/>
      <c r="RE439" s="6"/>
      <c r="RF439" s="6"/>
      <c r="RG439" s="6"/>
      <c r="RH439" s="6"/>
      <c r="RI439" s="6"/>
      <c r="RJ439" s="6"/>
      <c r="RK439" s="6"/>
      <c r="RL439" s="6"/>
      <c r="RM439" s="6"/>
      <c r="RN439" s="6"/>
      <c r="RO439" s="6"/>
      <c r="RP439" s="6"/>
      <c r="RQ439" s="6"/>
      <c r="RR439" s="6"/>
      <c r="RS439" s="6"/>
      <c r="RT439" s="6"/>
      <c r="RU439" s="6"/>
      <c r="RV439" s="6"/>
      <c r="RW439" s="6"/>
      <c r="RX439" s="6"/>
      <c r="RY439" s="6"/>
      <c r="RZ439" s="6"/>
      <c r="SA439" s="6"/>
      <c r="SB439" s="6"/>
      <c r="SC439" s="6"/>
      <c r="SD439" s="6"/>
      <c r="SE439" s="6"/>
      <c r="SF439" s="6"/>
      <c r="SG439" s="6"/>
      <c r="SH439" s="6"/>
      <c r="SI439" s="6"/>
      <c r="SJ439" s="6"/>
      <c r="SK439" s="6"/>
      <c r="SL439" s="6"/>
      <c r="SM439" s="6"/>
      <c r="SN439" s="6"/>
      <c r="SO439" s="6"/>
      <c r="SP439" s="6"/>
      <c r="SQ439" s="6"/>
      <c r="SR439" s="6"/>
      <c r="SS439" s="6"/>
      <c r="ST439" s="6"/>
      <c r="SU439" s="6"/>
      <c r="SV439" s="6"/>
      <c r="SW439" s="6"/>
      <c r="SX439" s="6"/>
      <c r="SY439" s="6"/>
      <c r="SZ439" s="6"/>
      <c r="TA439" s="6"/>
      <c r="TB439" s="6"/>
      <c r="TC439" s="6"/>
      <c r="TD439" s="6"/>
      <c r="TE439" s="6"/>
      <c r="TF439" s="6"/>
      <c r="TG439" s="6"/>
      <c r="TH439" s="6"/>
      <c r="TI439" s="6"/>
      <c r="TJ439" s="6"/>
      <c r="TK439" s="6"/>
      <c r="TL439" s="6"/>
      <c r="TM439" s="6"/>
      <c r="TN439" s="6"/>
      <c r="TO439" s="6"/>
      <c r="TP439" s="6"/>
      <c r="TQ439" s="6"/>
      <c r="TR439" s="6"/>
      <c r="TS439" s="6"/>
      <c r="TT439" s="6"/>
      <c r="TU439" s="6"/>
      <c r="TV439" s="6"/>
      <c r="TW439" s="6"/>
      <c r="TX439" s="6"/>
      <c r="TY439" s="6"/>
      <c r="TZ439" s="6"/>
      <c r="UA439" s="6"/>
      <c r="UB439" s="6"/>
      <c r="UC439" s="6"/>
      <c r="UD439" s="6"/>
      <c r="UE439" s="6"/>
      <c r="UF439" s="6"/>
      <c r="UG439" s="6"/>
      <c r="UH439" s="6"/>
      <c r="UI439" s="6"/>
      <c r="UJ439" s="6"/>
      <c r="UK439" s="6"/>
      <c r="UL439" s="6"/>
      <c r="UM439" s="6"/>
      <c r="UN439" s="6"/>
      <c r="UO439" s="6"/>
      <c r="UP439" s="6"/>
      <c r="UQ439" s="6"/>
      <c r="UR439" s="6"/>
      <c r="US439" s="6"/>
      <c r="UT439" s="6"/>
      <c r="UU439" s="6"/>
      <c r="UV439" s="6"/>
      <c r="UW439" s="6"/>
      <c r="UX439" s="6"/>
      <c r="UY439" s="6"/>
      <c r="UZ439" s="6"/>
      <c r="VA439" s="6"/>
      <c r="VB439" s="6"/>
      <c r="VC439" s="6"/>
      <c r="VD439" s="6"/>
      <c r="VE439" s="6"/>
      <c r="VF439" s="6"/>
      <c r="VG439" s="6"/>
      <c r="VH439" s="6"/>
      <c r="VI439" s="6"/>
      <c r="VJ439" s="6"/>
      <c r="VK439" s="6"/>
      <c r="VL439" s="6"/>
      <c r="VM439" s="6"/>
      <c r="VN439" s="6"/>
      <c r="VO439" s="6"/>
      <c r="VP439" s="6"/>
      <c r="VQ439" s="6"/>
      <c r="VR439" s="6"/>
      <c r="VS439" s="6"/>
      <c r="VT439" s="6"/>
      <c r="VU439" s="6"/>
      <c r="VV439" s="6"/>
      <c r="VW439" s="6"/>
      <c r="VX439" s="6"/>
      <c r="VY439" s="6"/>
      <c r="VZ439" s="6"/>
      <c r="WA439" s="6"/>
      <c r="WB439" s="6"/>
      <c r="WC439" s="6"/>
      <c r="WD439" s="6"/>
      <c r="WE439" s="6"/>
      <c r="WF439" s="6"/>
      <c r="WG439" s="6"/>
      <c r="WH439" s="6"/>
      <c r="WI439" s="6"/>
      <c r="WJ439" s="6"/>
      <c r="WK439" s="6"/>
      <c r="WL439" s="6"/>
      <c r="WM439" s="6"/>
      <c r="WN439" s="6"/>
      <c r="WO439" s="6"/>
      <c r="WP439" s="6"/>
      <c r="WQ439" s="6"/>
      <c r="WR439" s="6"/>
      <c r="WS439" s="6"/>
      <c r="WT439" s="6"/>
      <c r="WU439" s="6"/>
      <c r="WV439" s="6"/>
      <c r="WW439" s="6"/>
      <c r="WX439" s="6"/>
      <c r="WY439" s="6"/>
      <c r="WZ439" s="6"/>
      <c r="XA439" s="6"/>
      <c r="XB439" s="6"/>
      <c r="XC439" s="6"/>
      <c r="XD439" s="6"/>
      <c r="XE439" s="6"/>
      <c r="XF439" s="6"/>
      <c r="XG439" s="6"/>
      <c r="XH439" s="6"/>
      <c r="XI439" s="6"/>
      <c r="XJ439" s="6"/>
      <c r="XK439" s="6"/>
      <c r="XL439" s="6"/>
      <c r="XM439" s="6"/>
      <c r="XN439" s="6"/>
      <c r="XO439" s="6"/>
      <c r="XP439" s="6"/>
      <c r="XQ439" s="6"/>
      <c r="XR439" s="6"/>
      <c r="XS439" s="6"/>
      <c r="XT439" s="6"/>
      <c r="XU439" s="6"/>
      <c r="XV439" s="6"/>
      <c r="XW439" s="6"/>
      <c r="XX439" s="6"/>
      <c r="XY439" s="6"/>
      <c r="XZ439" s="6"/>
      <c r="YA439" s="6"/>
      <c r="YB439" s="6"/>
      <c r="YC439" s="6"/>
      <c r="YD439" s="6"/>
      <c r="YE439" s="6"/>
      <c r="YF439" s="6"/>
      <c r="YG439" s="6"/>
      <c r="YH439" s="6"/>
      <c r="YI439" s="6"/>
      <c r="YJ439" s="6"/>
      <c r="YK439" s="6"/>
      <c r="YL439" s="6"/>
      <c r="YM439" s="6"/>
      <c r="YN439" s="6"/>
      <c r="YO439" s="6"/>
      <c r="YP439" s="6"/>
      <c r="YQ439" s="6"/>
      <c r="YR439" s="6"/>
      <c r="YS439" s="6"/>
      <c r="YT439" s="6"/>
      <c r="YU439" s="6"/>
      <c r="YV439" s="6"/>
      <c r="YW439" s="6"/>
      <c r="YX439" s="6"/>
      <c r="YY439" s="6"/>
      <c r="YZ439" s="6"/>
      <c r="ZA439" s="6"/>
      <c r="ZB439" s="6"/>
      <c r="ZC439" s="6"/>
      <c r="ZD439" s="6"/>
      <c r="ZE439" s="6"/>
      <c r="ZF439" s="6"/>
      <c r="ZG439" s="6"/>
      <c r="ZH439" s="6"/>
      <c r="ZI439" s="6"/>
      <c r="ZJ439" s="6"/>
      <c r="ZK439" s="6"/>
      <c r="ZL439" s="6"/>
      <c r="ZM439" s="6"/>
      <c r="ZN439" s="6"/>
      <c r="ZO439" s="6"/>
      <c r="ZP439" s="6"/>
      <c r="ZQ439" s="6"/>
      <c r="ZR439" s="6"/>
      <c r="ZS439" s="6"/>
      <c r="ZT439" s="6"/>
      <c r="ZU439" s="6"/>
      <c r="ZV439" s="6"/>
      <c r="ZW439" s="6"/>
      <c r="ZX439" s="6"/>
      <c r="ZY439" s="6"/>
      <c r="ZZ439" s="6"/>
      <c r="AAA439" s="6"/>
      <c r="AAB439" s="6"/>
      <c r="AAC439" s="6"/>
      <c r="AAD439" s="6"/>
      <c r="AAE439" s="6"/>
      <c r="AAF439" s="6"/>
      <c r="AAG439" s="6"/>
      <c r="AAH439" s="6"/>
      <c r="AAI439" s="6"/>
      <c r="AAJ439" s="6"/>
      <c r="AAK439" s="6"/>
      <c r="AAL439" s="6"/>
      <c r="AAM439" s="6"/>
      <c r="AAN439" s="6"/>
      <c r="AAO439" s="6"/>
      <c r="AAP439" s="6"/>
      <c r="AAQ439" s="6"/>
      <c r="AAR439" s="6"/>
      <c r="AAS439" s="6"/>
      <c r="AAT439" s="6"/>
      <c r="AAU439" s="6"/>
      <c r="AAV439" s="6"/>
      <c r="AAW439" s="6"/>
      <c r="AAX439" s="6"/>
      <c r="AAY439" s="6"/>
      <c r="AAZ439" s="6"/>
      <c r="ABA439" s="6"/>
      <c r="ABB439" s="6"/>
      <c r="ABC439" s="6"/>
      <c r="ABD439" s="6"/>
      <c r="ABE439" s="6"/>
      <c r="ABF439" s="6"/>
      <c r="ABG439" s="6"/>
      <c r="ABH439" s="6"/>
      <c r="ABI439" s="6"/>
      <c r="ABJ439" s="6"/>
      <c r="ABK439" s="6"/>
      <c r="ABL439" s="6"/>
      <c r="ABM439" s="6"/>
      <c r="ABN439" s="6"/>
      <c r="ABO439" s="6"/>
      <c r="ABP439" s="6"/>
      <c r="ABQ439" s="6"/>
      <c r="ABR439" s="6"/>
      <c r="ABS439" s="6"/>
      <c r="ABT439" s="6"/>
      <c r="ABU439" s="6"/>
      <c r="ABV439" s="6"/>
      <c r="ABW439" s="6"/>
      <c r="ABX439" s="6"/>
      <c r="ABY439" s="6"/>
      <c r="ABZ439" s="6"/>
      <c r="ACA439" s="6"/>
      <c r="ACB439" s="6"/>
      <c r="ACC439" s="6"/>
      <c r="ACD439" s="6"/>
      <c r="ACE439" s="6"/>
      <c r="ACF439" s="6"/>
      <c r="ACG439" s="6"/>
      <c r="ACH439" s="6"/>
      <c r="ACI439" s="6"/>
      <c r="ACJ439" s="6"/>
      <c r="ACK439" s="6"/>
      <c r="ACL439" s="6"/>
      <c r="ACM439" s="6"/>
      <c r="ACN439" s="6"/>
      <c r="ACO439" s="6"/>
      <c r="ACP439" s="6"/>
      <c r="ACQ439" s="6"/>
      <c r="ACR439" s="6"/>
      <c r="ACS439" s="6"/>
      <c r="ACT439" s="6"/>
      <c r="ACU439" s="6"/>
      <c r="ACV439" s="6"/>
      <c r="ACW439" s="6"/>
      <c r="ACX439" s="6"/>
      <c r="ACY439" s="6"/>
      <c r="ACZ439" s="6"/>
      <c r="ADA439" s="6"/>
      <c r="ADB439" s="6"/>
      <c r="ADC439" s="6"/>
      <c r="ADD439" s="6"/>
      <c r="ADE439" s="6"/>
      <c r="ADF439" s="6"/>
      <c r="ADG439" s="6"/>
      <c r="ADH439" s="6"/>
      <c r="ADI439" s="6"/>
      <c r="ADJ439" s="6"/>
      <c r="ADK439" s="6"/>
      <c r="ADL439" s="6"/>
      <c r="ADM439" s="6"/>
      <c r="ADN439" s="6"/>
      <c r="ADO439" s="6"/>
      <c r="ADP439" s="6"/>
      <c r="ADQ439" s="6"/>
      <c r="ADR439" s="6"/>
      <c r="ADS439" s="6"/>
      <c r="ADT439" s="6"/>
      <c r="ADU439" s="6"/>
      <c r="ADV439" s="6"/>
      <c r="ADW439" s="6"/>
      <c r="ADX439" s="6"/>
      <c r="ADY439" s="6"/>
      <c r="ADZ439" s="6"/>
      <c r="AEA439" s="6"/>
      <c r="AEB439" s="6"/>
      <c r="AEC439" s="6"/>
      <c r="AED439" s="6"/>
      <c r="AEE439" s="6"/>
      <c r="AEF439" s="6"/>
      <c r="AEG439" s="6"/>
      <c r="AEH439" s="6"/>
      <c r="AEI439" s="6"/>
      <c r="AEJ439" s="6"/>
      <c r="AEK439" s="6"/>
      <c r="AEL439" s="6"/>
      <c r="AEM439" s="6"/>
      <c r="AEN439" s="6"/>
      <c r="AEO439" s="6"/>
      <c r="AEP439" s="6"/>
      <c r="AEQ439" s="6"/>
      <c r="AER439" s="6"/>
      <c r="AES439" s="6"/>
      <c r="AET439" s="6"/>
      <c r="AEU439" s="6"/>
      <c r="AEV439" s="6"/>
      <c r="AEW439" s="6"/>
      <c r="AEX439" s="6"/>
      <c r="AEY439" s="6"/>
      <c r="AEZ439" s="6"/>
      <c r="AFA439" s="6"/>
      <c r="AFB439" s="6"/>
      <c r="AFC439" s="6"/>
      <c r="AFD439" s="6"/>
      <c r="AFE439" s="6"/>
      <c r="AFF439" s="6"/>
      <c r="AFG439" s="6"/>
      <c r="AFH439" s="6"/>
      <c r="AFI439" s="6"/>
      <c r="AFJ439" s="6"/>
      <c r="AFK439" s="6"/>
      <c r="AFL439" s="6"/>
      <c r="AFM439" s="6"/>
      <c r="AFN439" s="6"/>
      <c r="AFO439" s="6"/>
      <c r="AFP439" s="6"/>
      <c r="AFQ439" s="6"/>
      <c r="AFR439" s="6"/>
      <c r="AFS439" s="6"/>
      <c r="AFT439" s="6"/>
      <c r="AFU439" s="6"/>
      <c r="AFV439" s="6"/>
      <c r="AFW439" s="6"/>
      <c r="AFX439" s="6"/>
      <c r="AFY439" s="6"/>
      <c r="AFZ439" s="6"/>
      <c r="AGA439" s="6"/>
      <c r="AGB439" s="6"/>
      <c r="AGC439" s="6"/>
      <c r="AGD439" s="6"/>
      <c r="AGE439" s="6"/>
      <c r="AGF439" s="6"/>
      <c r="AGG439" s="6"/>
      <c r="AGH439" s="6"/>
      <c r="AGI439" s="6"/>
      <c r="AGJ439" s="6"/>
      <c r="AGK439" s="6"/>
      <c r="AGL439" s="6"/>
      <c r="AGM439" s="6"/>
      <c r="AGN439" s="6"/>
      <c r="AGO439" s="6"/>
      <c r="AGP439" s="6"/>
      <c r="AGQ439" s="6"/>
      <c r="AGR439" s="6"/>
      <c r="AGS439" s="6"/>
      <c r="AGT439" s="6"/>
      <c r="AGU439" s="6"/>
      <c r="AGV439" s="6"/>
      <c r="AGW439" s="6"/>
      <c r="AGX439" s="6"/>
      <c r="AGY439" s="6"/>
      <c r="AGZ439" s="6"/>
      <c r="AHA439" s="6"/>
      <c r="AHB439" s="6"/>
      <c r="AHC439" s="6"/>
      <c r="AHD439" s="6"/>
      <c r="AHE439" s="6"/>
      <c r="AHF439" s="6"/>
      <c r="AHG439" s="6"/>
      <c r="AHH439" s="6"/>
      <c r="AHI439" s="6"/>
      <c r="AHJ439" s="6"/>
      <c r="AHK439" s="6"/>
      <c r="AHL439" s="6"/>
      <c r="AHM439" s="6"/>
      <c r="AHN439" s="6"/>
      <c r="AHO439" s="6"/>
      <c r="AHP439" s="6"/>
      <c r="AHQ439" s="6"/>
      <c r="AHR439" s="6"/>
      <c r="AHS439" s="6"/>
      <c r="AHT439" s="6"/>
      <c r="AHU439" s="6"/>
      <c r="AHV439" s="6"/>
      <c r="AHW439" s="6"/>
      <c r="AHX439" s="6"/>
      <c r="AHY439" s="6"/>
      <c r="AHZ439" s="6"/>
      <c r="AIA439" s="6"/>
      <c r="AIB439" s="6"/>
      <c r="AIC439" s="6"/>
      <c r="AID439" s="6"/>
      <c r="AIE439" s="6"/>
      <c r="AIF439" s="6"/>
      <c r="AIG439" s="6"/>
      <c r="AIH439" s="6"/>
      <c r="AII439" s="6"/>
      <c r="AIJ439" s="6"/>
      <c r="AIK439" s="6"/>
      <c r="AIL439" s="6"/>
      <c r="AIM439" s="6"/>
      <c r="AIN439" s="6"/>
      <c r="AIO439" s="6"/>
      <c r="AIP439" s="6"/>
      <c r="AIQ439" s="6"/>
      <c r="AIR439" s="6"/>
      <c r="AIS439" s="6"/>
      <c r="AIT439" s="6"/>
      <c r="AIU439" s="6"/>
      <c r="AIV439" s="6"/>
      <c r="AIW439" s="6"/>
      <c r="AIX439" s="6"/>
      <c r="AIY439" s="6"/>
      <c r="AIZ439" s="6"/>
      <c r="AJA439" s="6"/>
      <c r="AJB439" s="6"/>
      <c r="AJC439" s="6"/>
      <c r="AJD439" s="6"/>
      <c r="AJE439" s="6"/>
      <c r="AJF439" s="6"/>
      <c r="AJG439" s="6"/>
      <c r="AJH439" s="6"/>
      <c r="AJI439" s="6"/>
      <c r="AJJ439" s="6"/>
      <c r="AJK439" s="6"/>
      <c r="AJL439" s="6"/>
      <c r="AJM439" s="6"/>
      <c r="AJN439" s="6"/>
      <c r="AJO439" s="6"/>
      <c r="AJP439" s="6"/>
      <c r="AJQ439" s="6"/>
      <c r="AJR439" s="6"/>
      <c r="AJS439" s="6"/>
      <c r="AJT439" s="6"/>
      <c r="AJU439" s="6"/>
      <c r="AJV439" s="6"/>
      <c r="AJW439" s="6"/>
      <c r="AJX439" s="6"/>
      <c r="AJY439" s="6"/>
      <c r="AJZ439" s="6"/>
      <c r="AKA439" s="6"/>
      <c r="AKB439" s="6"/>
      <c r="AKC439" s="6"/>
      <c r="AKD439" s="6"/>
      <c r="AKE439" s="6"/>
      <c r="AKF439" s="6"/>
      <c r="AKG439" s="6"/>
      <c r="AKH439" s="6"/>
      <c r="AKI439" s="6"/>
      <c r="AKJ439" s="6"/>
      <c r="AKK439" s="6"/>
      <c r="AKL439" s="6"/>
      <c r="AKM439" s="6"/>
      <c r="AKN439" s="6"/>
      <c r="AKO439" s="6"/>
      <c r="AKP439" s="6"/>
      <c r="AKQ439" s="6"/>
      <c r="AKR439" s="6"/>
      <c r="AKS439" s="6"/>
      <c r="AKT439" s="6"/>
      <c r="AKU439" s="6"/>
      <c r="AKV439" s="6"/>
      <c r="AKW439" s="6"/>
      <c r="AKX439" s="6"/>
      <c r="AKY439" s="6"/>
      <c r="AKZ439" s="6"/>
      <c r="ALA439" s="6"/>
      <c r="ALB439" s="6"/>
      <c r="ALC439" s="6"/>
      <c r="ALD439" s="6"/>
      <c r="ALE439" s="6"/>
      <c r="ALF439" s="6"/>
      <c r="ALG439" s="6"/>
      <c r="ALH439" s="6"/>
      <c r="ALI439" s="6"/>
      <c r="ALJ439" s="6"/>
      <c r="ALK439" s="6"/>
      <c r="ALL439" s="6"/>
      <c r="ALM439" s="6"/>
      <c r="ALN439" s="6"/>
      <c r="ALO439" s="6"/>
      <c r="ALP439" s="6"/>
      <c r="ALQ439" s="6"/>
      <c r="ALR439" s="6"/>
      <c r="ALS439" s="6"/>
      <c r="ALT439" s="6"/>
      <c r="ALU439" s="6"/>
      <c r="ALV439" s="6"/>
      <c r="ALW439" s="6"/>
      <c r="ALX439" s="6"/>
      <c r="ALY439" s="6"/>
      <c r="ALZ439" s="6"/>
      <c r="AMA439" s="6"/>
      <c r="AMB439" s="6"/>
      <c r="AMC439" s="6"/>
      <c r="AMD439" s="6"/>
      <c r="AME439" s="6"/>
      <c r="AMF439" s="6"/>
      <c r="AMG439" s="6"/>
      <c r="AMH439" s="6"/>
      <c r="AMI439" s="6"/>
      <c r="AMJ439" s="6"/>
      <c r="AMK439" s="6"/>
      <c r="AML439" s="6"/>
      <c r="AMM439" s="6"/>
      <c r="AMN439" s="6"/>
      <c r="AMO439" s="6"/>
      <c r="AMP439" s="6"/>
    </row>
    <row r="440" spans="1:1030" x14ac:dyDescent="0.2">
      <c r="A440" s="3" t="str">
        <f t="shared" si="4193"/>
        <v>calcr_human_5UZ7</v>
      </c>
      <c r="B440" s="2" t="s">
        <v>400</v>
      </c>
      <c r="C440" s="3" t="s">
        <v>1395</v>
      </c>
      <c r="D440" s="3" t="str">
        <f>IFERROR(MID(VLOOKUP($B440,Seqs!$A:$B,2,0),E440,1),"")</f>
        <v>A</v>
      </c>
      <c r="E440" s="3">
        <v>136</v>
      </c>
      <c r="F440" s="3" t="str">
        <f>IFERROR(MID(VLOOKUP($B440,Seqs!$A:$B,2,0),G440,1),"")</f>
        <v>F</v>
      </c>
      <c r="G440" s="3">
        <v>173</v>
      </c>
      <c r="H440" s="3" t="str">
        <f>IFERROR(MID(VLOOKUP($B440,Seqs!$A:$B,2,0),I440,1),"")</f>
        <v>R</v>
      </c>
      <c r="I440" s="23">
        <v>174</v>
      </c>
      <c r="J440" s="3" t="str">
        <f>IFERROR(MID(VLOOKUP($B440,Seqs!$A:$B,2,0),K440,1),"")</f>
        <v>G</v>
      </c>
      <c r="K440" s="23">
        <v>177</v>
      </c>
      <c r="L440" s="3" t="str">
        <f>IFERROR(MID(VLOOKUP($B440,Seqs!$A:$B,2,0),M440,1),"")</f>
        <v>C</v>
      </c>
      <c r="M440" s="3">
        <v>178</v>
      </c>
      <c r="N440" s="3" t="str">
        <f>IFERROR(MID(VLOOKUP($B440,Seqs!$A:$B,2,0),O440,1),"")</f>
        <v>V</v>
      </c>
      <c r="O440" s="3">
        <v>205</v>
      </c>
      <c r="P440" s="3" t="str">
        <f>IFERROR(MID(VLOOKUP($B440,Seqs!$A:$B,2,0),Q440,1),"")</f>
        <v/>
      </c>
      <c r="Q440" s="3" t="s">
        <v>23</v>
      </c>
      <c r="R440" s="3" t="str">
        <f>IFERROR(MID(VLOOKUP($B440,Seqs!$A:$B,2,0),S440,1),"")</f>
        <v/>
      </c>
      <c r="S440" s="3" t="s">
        <v>23</v>
      </c>
      <c r="T440" s="3" t="str">
        <f>IFERROR(MID(VLOOKUP($B440,Seqs!$A:$B,2,0),U440,1),"")</f>
        <v>D</v>
      </c>
      <c r="U440" s="3">
        <v>215</v>
      </c>
      <c r="V440" s="3" t="str">
        <f>IFERROR(MID(VLOOKUP($B440,Seqs!$A:$B,2,0),W440,1),"")</f>
        <v>V</v>
      </c>
      <c r="W440" s="3">
        <v>250</v>
      </c>
      <c r="X440" s="3" t="str">
        <f>IFERROR(MID(VLOOKUP($B440,Seqs!$A:$B,2,0),Y440,1),"")</f>
        <v/>
      </c>
      <c r="Y440" s="3" t="s">
        <v>23</v>
      </c>
      <c r="Z440" s="3" t="str">
        <f>IFERROR(MID(VLOOKUP($B440,Seqs!$A:$B,2,0),AA440,1),"")</f>
        <v/>
      </c>
      <c r="AA440" s="3" t="s">
        <v>23</v>
      </c>
      <c r="AB440" s="3" t="str">
        <f>IFERROR(MID(VLOOKUP($B440,Seqs!$A:$B,2,0),AC440,1),"")</f>
        <v>R</v>
      </c>
      <c r="AC440" s="3">
        <v>258</v>
      </c>
      <c r="AD440" s="3" t="str">
        <f>IFERROR(MID(VLOOKUP($B440,Seqs!$A:$B,2,0),AE440,1),"")</f>
        <v>F</v>
      </c>
      <c r="AE440" s="3">
        <v>285</v>
      </c>
      <c r="AF440" s="3" t="str">
        <f>IFERROR(MID(VLOOKUP($B440,Seqs!$A:$B,2,0),AG440,1),"")</f>
        <v>C</v>
      </c>
      <c r="AG440" s="3">
        <v>289</v>
      </c>
      <c r="AH440" s="3" t="str">
        <f>IFERROR(MID(VLOOKUP($B440,Seqs!$A:$B,2,0),AI440,1),"")</f>
        <v>L</v>
      </c>
      <c r="AI440" s="3">
        <v>291</v>
      </c>
      <c r="AJ440" s="3" t="str">
        <f>IFERROR(MID(VLOOKUP($B440,Seqs!$A:$B,2,0),AK440,1),"")</f>
        <v>L</v>
      </c>
      <c r="AK440" s="3">
        <v>298</v>
      </c>
      <c r="AL440" s="3" t="str">
        <f>IFERROR(MID(VLOOKUP($B440,Seqs!$A:$B,2,0),AM440,1),"")</f>
        <v>R</v>
      </c>
      <c r="AM440" s="3">
        <v>328</v>
      </c>
      <c r="AN440" s="3" t="str">
        <f>IFERROR(MID(VLOOKUP($B440,Seqs!$A:$B,2,0),AO440,1),"")</f>
        <v>L</v>
      </c>
      <c r="AO440" s="3">
        <v>352</v>
      </c>
      <c r="AP440" s="3" t="str">
        <f>IFERROR(MID(VLOOKUP($B440,Seqs!$A:$B,2,0),AQ440,1),"")</f>
        <v>P</v>
      </c>
      <c r="AQ440" s="3">
        <v>360</v>
      </c>
      <c r="AR440" s="3" t="str">
        <f>IFERROR(MID(VLOOKUP($B440,Seqs!$A:$B,2,0),AS440,1),"")</f>
        <v>K</v>
      </c>
      <c r="AS440" s="3">
        <v>366</v>
      </c>
      <c r="AT440" s="3" t="str">
        <f>IFERROR(MID(VLOOKUP($B440,Seqs!$A:$B,2,0),AU440,1),"")</f>
        <v>C</v>
      </c>
      <c r="AU440" s="3">
        <v>394</v>
      </c>
      <c r="AV440" s="3" t="str">
        <f>IFERROR(MID(VLOOKUP($B440,Seqs!$A:$B,2,0),AW440,1),"")</f>
        <v>N</v>
      </c>
      <c r="AW440" s="3">
        <v>395</v>
      </c>
      <c r="AX440" s="3" t="str">
        <f>IFERROR(MID(VLOOKUP($B440,Seqs!$A:$B,2,0),AY440,1),"")</f>
        <v>G</v>
      </c>
      <c r="AY440" s="3">
        <v>418</v>
      </c>
      <c r="AZ440" s="77" t="str">
        <f>VLOOKUP(B440,Classification!A:D,2,0)</f>
        <v>B1</v>
      </c>
      <c r="BA440" s="94" t="str">
        <f>VLOOKUP(B440,Classification!A:D,4,0)</f>
        <v>Calcitonin</v>
      </c>
      <c r="BB440" s="27" t="b">
        <f t="shared" si="4166"/>
        <v>1</v>
      </c>
      <c r="BC440" s="23">
        <f t="shared" si="4167"/>
        <v>232</v>
      </c>
      <c r="BD440" s="4" t="s">
        <v>23</v>
      </c>
      <c r="BE440" s="3" t="s">
        <v>1285</v>
      </c>
      <c r="BF440" s="118">
        <v>4.0999999999999996</v>
      </c>
      <c r="BG440" s="49" t="s">
        <v>1371</v>
      </c>
      <c r="BH440" s="49" t="s">
        <v>1371</v>
      </c>
      <c r="BI440" s="1"/>
      <c r="BJ440" s="70" t="s">
        <v>1281</v>
      </c>
      <c r="BK440" s="57" t="s">
        <v>1281</v>
      </c>
      <c r="BL440" s="57" t="s">
        <v>1281</v>
      </c>
      <c r="BM440" s="57" t="s">
        <v>1281</v>
      </c>
      <c r="BN440" s="57" t="s">
        <v>1281</v>
      </c>
      <c r="BO440" s="57" t="s">
        <v>1281</v>
      </c>
      <c r="BP440" s="57" t="s">
        <v>1281</v>
      </c>
      <c r="BQ440" s="57" t="s">
        <v>1281</v>
      </c>
      <c r="BR440" s="57" t="s">
        <v>1281</v>
      </c>
      <c r="BS440" s="57" t="s">
        <v>1281</v>
      </c>
      <c r="BT440" s="57" t="s">
        <v>1281</v>
      </c>
      <c r="BU440" s="57" t="s">
        <v>1281</v>
      </c>
      <c r="BV440" s="70">
        <f t="shared" si="4168"/>
        <v>136</v>
      </c>
      <c r="BW440" s="71">
        <f t="shared" si="4169"/>
        <v>174</v>
      </c>
      <c r="BX440" s="72">
        <f t="shared" si="4170"/>
        <v>178</v>
      </c>
      <c r="BY440" s="71" t="str">
        <f t="shared" si="4171"/>
        <v>-</v>
      </c>
      <c r="BZ440" s="72">
        <f t="shared" si="4172"/>
        <v>215</v>
      </c>
      <c r="CA440" s="71" t="str">
        <f t="shared" si="4173"/>
        <v>-</v>
      </c>
      <c r="CB440" s="72">
        <f t="shared" si="4174"/>
        <v>258</v>
      </c>
      <c r="CC440" s="71">
        <f t="shared" si="4175"/>
        <v>289</v>
      </c>
      <c r="CD440" s="72">
        <f t="shared" si="4176"/>
        <v>298</v>
      </c>
      <c r="CE440" s="71">
        <f t="shared" si="4177"/>
        <v>352</v>
      </c>
      <c r="CF440" s="72">
        <f t="shared" si="4178"/>
        <v>366</v>
      </c>
      <c r="CG440" s="71">
        <f t="shared" si="4179"/>
        <v>395</v>
      </c>
      <c r="CH440" s="70">
        <f t="shared" si="4180"/>
        <v>173</v>
      </c>
      <c r="CI440" s="71">
        <f t="shared" si="4181"/>
        <v>177</v>
      </c>
      <c r="CJ440" s="72">
        <f t="shared" si="4182"/>
        <v>205</v>
      </c>
      <c r="CK440" s="72" t="str">
        <f t="shared" si="4183"/>
        <v>-</v>
      </c>
      <c r="CL440" s="72">
        <f t="shared" si="4184"/>
        <v>250</v>
      </c>
      <c r="CM440" s="72" t="str">
        <f t="shared" si="4185"/>
        <v>-</v>
      </c>
      <c r="CN440" s="72">
        <f t="shared" si="4186"/>
        <v>285</v>
      </c>
      <c r="CO440" s="72">
        <f t="shared" si="4187"/>
        <v>291</v>
      </c>
      <c r="CP440" s="72">
        <f t="shared" si="4188"/>
        <v>328</v>
      </c>
      <c r="CQ440" s="72">
        <f t="shared" si="4189"/>
        <v>360</v>
      </c>
      <c r="CR440" s="72">
        <f t="shared" si="4190"/>
        <v>394</v>
      </c>
      <c r="CS440" s="72">
        <f t="shared" si="4191"/>
        <v>418</v>
      </c>
      <c r="CT440" s="23">
        <f t="shared" si="4192"/>
        <v>1</v>
      </c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Q440" s="6"/>
      <c r="KR440" s="6"/>
      <c r="KS440" s="6"/>
      <c r="KT440" s="6"/>
      <c r="KU440" s="6"/>
      <c r="KV440" s="6"/>
      <c r="KW440" s="6"/>
      <c r="KX440" s="6"/>
      <c r="KY440" s="6"/>
      <c r="KZ440" s="6"/>
      <c r="LA440" s="6"/>
      <c r="LB440" s="6"/>
      <c r="LC440" s="6"/>
      <c r="LD440" s="6"/>
      <c r="LE440" s="6"/>
      <c r="LF440" s="6"/>
      <c r="LG440" s="6"/>
      <c r="LH440" s="6"/>
      <c r="LI440" s="6"/>
      <c r="LJ440" s="6"/>
      <c r="LK440" s="6"/>
      <c r="LL440" s="6"/>
      <c r="LM440" s="6"/>
      <c r="LN440" s="6"/>
      <c r="LO440" s="6"/>
      <c r="LP440" s="6"/>
      <c r="LQ440" s="6"/>
      <c r="LR440" s="6"/>
      <c r="LS440" s="6"/>
      <c r="LT440" s="6"/>
      <c r="LU440" s="6"/>
      <c r="LV440" s="6"/>
      <c r="LW440" s="6"/>
      <c r="LX440" s="6"/>
      <c r="LY440" s="6"/>
      <c r="LZ440" s="6"/>
      <c r="MA440" s="6"/>
      <c r="MB440" s="6"/>
      <c r="MC440" s="6"/>
      <c r="MD440" s="6"/>
      <c r="ME440" s="6"/>
      <c r="MF440" s="6"/>
      <c r="MG440" s="6"/>
      <c r="MH440" s="6"/>
      <c r="MI440" s="6"/>
      <c r="MJ440" s="6"/>
      <c r="MK440" s="6"/>
      <c r="ML440" s="6"/>
      <c r="MM440" s="6"/>
      <c r="MN440" s="6"/>
      <c r="MO440" s="6"/>
      <c r="MP440" s="6"/>
      <c r="MQ440" s="6"/>
      <c r="MR440" s="6"/>
      <c r="MS440" s="6"/>
      <c r="MT440" s="6"/>
      <c r="MU440" s="6"/>
      <c r="MV440" s="6"/>
      <c r="MW440" s="6"/>
      <c r="MX440" s="6"/>
      <c r="MY440" s="6"/>
      <c r="MZ440" s="6"/>
      <c r="NA440" s="6"/>
      <c r="NB440" s="6"/>
      <c r="NC440" s="6"/>
      <c r="ND440" s="6"/>
      <c r="NE440" s="6"/>
      <c r="NF440" s="6"/>
      <c r="NG440" s="6"/>
      <c r="NH440" s="6"/>
      <c r="NI440" s="6"/>
      <c r="NJ440" s="6"/>
      <c r="NK440" s="6"/>
      <c r="NL440" s="6"/>
      <c r="NM440" s="6"/>
      <c r="NN440" s="6"/>
      <c r="NO440" s="6"/>
      <c r="NP440" s="6"/>
      <c r="NQ440" s="6"/>
      <c r="NR440" s="6"/>
      <c r="NS440" s="6"/>
      <c r="NT440" s="6"/>
      <c r="NU440" s="6"/>
      <c r="NV440" s="6"/>
      <c r="NW440" s="6"/>
      <c r="NX440" s="6"/>
      <c r="NY440" s="6"/>
      <c r="NZ440" s="6"/>
      <c r="OA440" s="6"/>
      <c r="OB440" s="6"/>
      <c r="OC440" s="6"/>
      <c r="OD440" s="6"/>
      <c r="OE440" s="6"/>
      <c r="OF440" s="6"/>
      <c r="OG440" s="6"/>
      <c r="OH440" s="6"/>
      <c r="OI440" s="6"/>
      <c r="OJ440" s="6"/>
      <c r="OK440" s="6"/>
      <c r="OL440" s="6"/>
      <c r="OM440" s="6"/>
      <c r="ON440" s="6"/>
      <c r="OO440" s="6"/>
      <c r="OP440" s="6"/>
      <c r="OQ440" s="6"/>
      <c r="OR440" s="6"/>
      <c r="OS440" s="6"/>
      <c r="OT440" s="6"/>
      <c r="OU440" s="6"/>
      <c r="OV440" s="6"/>
      <c r="OW440" s="6"/>
      <c r="OX440" s="6"/>
      <c r="OY440" s="6"/>
      <c r="OZ440" s="6"/>
      <c r="PA440" s="6"/>
      <c r="PB440" s="6"/>
      <c r="PC440" s="6"/>
      <c r="PD440" s="6"/>
      <c r="PE440" s="6"/>
      <c r="PF440" s="6"/>
      <c r="PG440" s="6"/>
      <c r="PH440" s="6"/>
      <c r="PI440" s="6"/>
      <c r="PJ440" s="6"/>
      <c r="PK440" s="6"/>
      <c r="PL440" s="6"/>
      <c r="PM440" s="6"/>
      <c r="PN440" s="6"/>
      <c r="PO440" s="6"/>
      <c r="PP440" s="6"/>
      <c r="PQ440" s="6"/>
      <c r="PR440" s="6"/>
      <c r="PS440" s="6"/>
      <c r="PT440" s="6"/>
      <c r="PU440" s="6"/>
      <c r="PV440" s="6"/>
      <c r="PW440" s="6"/>
      <c r="PX440" s="6"/>
      <c r="PY440" s="6"/>
      <c r="PZ440" s="6"/>
      <c r="QA440" s="6"/>
      <c r="QB440" s="6"/>
      <c r="QC440" s="6"/>
      <c r="QD440" s="6"/>
      <c r="QE440" s="6"/>
      <c r="QF440" s="6"/>
      <c r="QG440" s="6"/>
      <c r="QH440" s="6"/>
      <c r="QI440" s="6"/>
      <c r="QJ440" s="6"/>
      <c r="QK440" s="6"/>
      <c r="QL440" s="6"/>
      <c r="QM440" s="6"/>
      <c r="QN440" s="6"/>
      <c r="QO440" s="6"/>
      <c r="QP440" s="6"/>
      <c r="QQ440" s="6"/>
      <c r="QR440" s="6"/>
      <c r="QS440" s="6"/>
      <c r="QT440" s="6"/>
      <c r="QU440" s="6"/>
      <c r="QV440" s="6"/>
      <c r="QW440" s="6"/>
      <c r="QX440" s="6"/>
      <c r="QY440" s="6"/>
      <c r="QZ440" s="6"/>
      <c r="RA440" s="6"/>
      <c r="RB440" s="6"/>
      <c r="RC440" s="6"/>
      <c r="RD440" s="6"/>
      <c r="RE440" s="6"/>
      <c r="RF440" s="6"/>
      <c r="RG440" s="6"/>
      <c r="RH440" s="6"/>
      <c r="RI440" s="6"/>
      <c r="RJ440" s="6"/>
      <c r="RK440" s="6"/>
      <c r="RL440" s="6"/>
      <c r="RM440" s="6"/>
      <c r="RN440" s="6"/>
      <c r="RO440" s="6"/>
      <c r="RP440" s="6"/>
      <c r="RQ440" s="6"/>
      <c r="RR440" s="6"/>
      <c r="RS440" s="6"/>
      <c r="RT440" s="6"/>
      <c r="RU440" s="6"/>
      <c r="RV440" s="6"/>
      <c r="RW440" s="6"/>
      <c r="RX440" s="6"/>
      <c r="RY440" s="6"/>
      <c r="RZ440" s="6"/>
      <c r="SA440" s="6"/>
      <c r="SB440" s="6"/>
      <c r="SC440" s="6"/>
      <c r="SD440" s="6"/>
      <c r="SE440" s="6"/>
      <c r="SF440" s="6"/>
      <c r="SG440" s="6"/>
      <c r="SH440" s="6"/>
      <c r="SI440" s="6"/>
      <c r="SJ440" s="6"/>
      <c r="SK440" s="6"/>
      <c r="SL440" s="6"/>
      <c r="SM440" s="6"/>
      <c r="SN440" s="6"/>
      <c r="SO440" s="6"/>
      <c r="SP440" s="6"/>
      <c r="SQ440" s="6"/>
      <c r="SR440" s="6"/>
      <c r="SS440" s="6"/>
      <c r="ST440" s="6"/>
      <c r="SU440" s="6"/>
      <c r="SV440" s="6"/>
      <c r="SW440" s="6"/>
      <c r="SX440" s="6"/>
      <c r="SY440" s="6"/>
      <c r="SZ440" s="6"/>
      <c r="TA440" s="6"/>
      <c r="TB440" s="6"/>
      <c r="TC440" s="6"/>
      <c r="TD440" s="6"/>
      <c r="TE440" s="6"/>
      <c r="TF440" s="6"/>
      <c r="TG440" s="6"/>
      <c r="TH440" s="6"/>
      <c r="TI440" s="6"/>
      <c r="TJ440" s="6"/>
      <c r="TK440" s="6"/>
      <c r="TL440" s="6"/>
      <c r="TM440" s="6"/>
      <c r="TN440" s="6"/>
      <c r="TO440" s="6"/>
      <c r="TP440" s="6"/>
      <c r="TQ440" s="6"/>
      <c r="TR440" s="6"/>
      <c r="TS440" s="6"/>
      <c r="TT440" s="6"/>
      <c r="TU440" s="6"/>
      <c r="TV440" s="6"/>
      <c r="TW440" s="6"/>
      <c r="TX440" s="6"/>
      <c r="TY440" s="6"/>
      <c r="TZ440" s="6"/>
      <c r="UA440" s="6"/>
      <c r="UB440" s="6"/>
      <c r="UC440" s="6"/>
      <c r="UD440" s="6"/>
      <c r="UE440" s="6"/>
      <c r="UF440" s="6"/>
      <c r="UG440" s="6"/>
      <c r="UH440" s="6"/>
      <c r="UI440" s="6"/>
      <c r="UJ440" s="6"/>
      <c r="UK440" s="6"/>
      <c r="UL440" s="6"/>
      <c r="UM440" s="6"/>
      <c r="UN440" s="6"/>
      <c r="UO440" s="6"/>
      <c r="UP440" s="6"/>
      <c r="UQ440" s="6"/>
      <c r="UR440" s="6"/>
      <c r="US440" s="6"/>
      <c r="UT440" s="6"/>
      <c r="UU440" s="6"/>
      <c r="UV440" s="6"/>
      <c r="UW440" s="6"/>
      <c r="UX440" s="6"/>
      <c r="UY440" s="6"/>
      <c r="UZ440" s="6"/>
      <c r="VA440" s="6"/>
      <c r="VB440" s="6"/>
      <c r="VC440" s="6"/>
      <c r="VD440" s="6"/>
      <c r="VE440" s="6"/>
      <c r="VF440" s="6"/>
      <c r="VG440" s="6"/>
      <c r="VH440" s="6"/>
      <c r="VI440" s="6"/>
      <c r="VJ440" s="6"/>
      <c r="VK440" s="6"/>
      <c r="VL440" s="6"/>
      <c r="VM440" s="6"/>
      <c r="VN440" s="6"/>
      <c r="VO440" s="6"/>
      <c r="VP440" s="6"/>
      <c r="VQ440" s="6"/>
      <c r="VR440" s="6"/>
      <c r="VS440" s="6"/>
      <c r="VT440" s="6"/>
      <c r="VU440" s="6"/>
      <c r="VV440" s="6"/>
      <c r="VW440" s="6"/>
      <c r="VX440" s="6"/>
      <c r="VY440" s="6"/>
      <c r="VZ440" s="6"/>
      <c r="WA440" s="6"/>
      <c r="WB440" s="6"/>
      <c r="WC440" s="6"/>
      <c r="WD440" s="6"/>
      <c r="WE440" s="6"/>
      <c r="WF440" s="6"/>
      <c r="WG440" s="6"/>
      <c r="WH440" s="6"/>
      <c r="WI440" s="6"/>
      <c r="WJ440" s="6"/>
      <c r="WK440" s="6"/>
      <c r="WL440" s="6"/>
      <c r="WM440" s="6"/>
      <c r="WN440" s="6"/>
      <c r="WO440" s="6"/>
      <c r="WP440" s="6"/>
      <c r="WQ440" s="6"/>
      <c r="WR440" s="6"/>
      <c r="WS440" s="6"/>
      <c r="WT440" s="6"/>
      <c r="WU440" s="6"/>
      <c r="WV440" s="6"/>
      <c r="WW440" s="6"/>
      <c r="WX440" s="6"/>
      <c r="WY440" s="6"/>
      <c r="WZ440" s="6"/>
      <c r="XA440" s="6"/>
      <c r="XB440" s="6"/>
      <c r="XC440" s="6"/>
      <c r="XD440" s="6"/>
      <c r="XE440" s="6"/>
      <c r="XF440" s="6"/>
      <c r="XG440" s="6"/>
      <c r="XH440" s="6"/>
      <c r="XI440" s="6"/>
      <c r="XJ440" s="6"/>
      <c r="XK440" s="6"/>
      <c r="XL440" s="6"/>
      <c r="XM440" s="6"/>
      <c r="XN440" s="6"/>
      <c r="XO440" s="6"/>
      <c r="XP440" s="6"/>
      <c r="XQ440" s="6"/>
      <c r="XR440" s="6"/>
      <c r="XS440" s="6"/>
      <c r="XT440" s="6"/>
      <c r="XU440" s="6"/>
      <c r="XV440" s="6"/>
      <c r="XW440" s="6"/>
      <c r="XX440" s="6"/>
      <c r="XY440" s="6"/>
      <c r="XZ440" s="6"/>
      <c r="YA440" s="6"/>
      <c r="YB440" s="6"/>
      <c r="YC440" s="6"/>
      <c r="YD440" s="6"/>
      <c r="YE440" s="6"/>
      <c r="YF440" s="6"/>
      <c r="YG440" s="6"/>
      <c r="YH440" s="6"/>
      <c r="YI440" s="6"/>
      <c r="YJ440" s="6"/>
      <c r="YK440" s="6"/>
      <c r="YL440" s="6"/>
      <c r="YM440" s="6"/>
      <c r="YN440" s="6"/>
      <c r="YO440" s="6"/>
      <c r="YP440" s="6"/>
      <c r="YQ440" s="6"/>
      <c r="YR440" s="6"/>
      <c r="YS440" s="6"/>
      <c r="YT440" s="6"/>
      <c r="YU440" s="6"/>
      <c r="YV440" s="6"/>
      <c r="YW440" s="6"/>
      <c r="YX440" s="6"/>
      <c r="YY440" s="6"/>
      <c r="YZ440" s="6"/>
      <c r="ZA440" s="6"/>
      <c r="ZB440" s="6"/>
      <c r="ZC440" s="6"/>
      <c r="ZD440" s="6"/>
      <c r="ZE440" s="6"/>
      <c r="ZF440" s="6"/>
      <c r="ZG440" s="6"/>
      <c r="ZH440" s="6"/>
      <c r="ZI440" s="6"/>
      <c r="ZJ440" s="6"/>
      <c r="ZK440" s="6"/>
      <c r="ZL440" s="6"/>
      <c r="ZM440" s="6"/>
      <c r="ZN440" s="6"/>
      <c r="ZO440" s="6"/>
      <c r="ZP440" s="6"/>
      <c r="ZQ440" s="6"/>
      <c r="ZR440" s="6"/>
      <c r="ZS440" s="6"/>
      <c r="ZT440" s="6"/>
      <c r="ZU440" s="6"/>
      <c r="ZV440" s="6"/>
      <c r="ZW440" s="6"/>
      <c r="ZX440" s="6"/>
      <c r="ZY440" s="6"/>
      <c r="ZZ440" s="6"/>
      <c r="AAA440" s="6"/>
      <c r="AAB440" s="6"/>
      <c r="AAC440" s="6"/>
      <c r="AAD440" s="6"/>
      <c r="AAE440" s="6"/>
      <c r="AAF440" s="6"/>
      <c r="AAG440" s="6"/>
      <c r="AAH440" s="6"/>
      <c r="AAI440" s="6"/>
      <c r="AAJ440" s="6"/>
      <c r="AAK440" s="6"/>
      <c r="AAL440" s="6"/>
      <c r="AAM440" s="6"/>
      <c r="AAN440" s="6"/>
      <c r="AAO440" s="6"/>
      <c r="AAP440" s="6"/>
      <c r="AAQ440" s="6"/>
      <c r="AAR440" s="6"/>
      <c r="AAS440" s="6"/>
      <c r="AAT440" s="6"/>
      <c r="AAU440" s="6"/>
      <c r="AAV440" s="6"/>
      <c r="AAW440" s="6"/>
      <c r="AAX440" s="6"/>
      <c r="AAY440" s="6"/>
      <c r="AAZ440" s="6"/>
      <c r="ABA440" s="6"/>
      <c r="ABB440" s="6"/>
      <c r="ABC440" s="6"/>
      <c r="ABD440" s="6"/>
      <c r="ABE440" s="6"/>
      <c r="ABF440" s="6"/>
      <c r="ABG440" s="6"/>
      <c r="ABH440" s="6"/>
      <c r="ABI440" s="6"/>
      <c r="ABJ440" s="6"/>
      <c r="ABK440" s="6"/>
      <c r="ABL440" s="6"/>
      <c r="ABM440" s="6"/>
      <c r="ABN440" s="6"/>
      <c r="ABO440" s="6"/>
      <c r="ABP440" s="6"/>
      <c r="ABQ440" s="6"/>
      <c r="ABR440" s="6"/>
      <c r="ABS440" s="6"/>
      <c r="ABT440" s="6"/>
      <c r="ABU440" s="6"/>
      <c r="ABV440" s="6"/>
      <c r="ABW440" s="6"/>
      <c r="ABX440" s="6"/>
      <c r="ABY440" s="6"/>
      <c r="ABZ440" s="6"/>
      <c r="ACA440" s="6"/>
      <c r="ACB440" s="6"/>
      <c r="ACC440" s="6"/>
      <c r="ACD440" s="6"/>
      <c r="ACE440" s="6"/>
      <c r="ACF440" s="6"/>
      <c r="ACG440" s="6"/>
      <c r="ACH440" s="6"/>
      <c r="ACI440" s="6"/>
      <c r="ACJ440" s="6"/>
      <c r="ACK440" s="6"/>
      <c r="ACL440" s="6"/>
      <c r="ACM440" s="6"/>
      <c r="ACN440" s="6"/>
      <c r="ACO440" s="6"/>
      <c r="ACP440" s="6"/>
      <c r="ACQ440" s="6"/>
      <c r="ACR440" s="6"/>
      <c r="ACS440" s="6"/>
      <c r="ACT440" s="6"/>
      <c r="ACU440" s="6"/>
      <c r="ACV440" s="6"/>
      <c r="ACW440" s="6"/>
      <c r="ACX440" s="6"/>
      <c r="ACY440" s="6"/>
      <c r="ACZ440" s="6"/>
      <c r="ADA440" s="6"/>
      <c r="ADB440" s="6"/>
      <c r="ADC440" s="6"/>
      <c r="ADD440" s="6"/>
      <c r="ADE440" s="6"/>
      <c r="ADF440" s="6"/>
      <c r="ADG440" s="6"/>
      <c r="ADH440" s="6"/>
      <c r="ADI440" s="6"/>
      <c r="ADJ440" s="6"/>
      <c r="ADK440" s="6"/>
      <c r="ADL440" s="6"/>
      <c r="ADM440" s="6"/>
      <c r="ADN440" s="6"/>
      <c r="ADO440" s="6"/>
      <c r="ADP440" s="6"/>
      <c r="ADQ440" s="6"/>
      <c r="ADR440" s="6"/>
      <c r="ADS440" s="6"/>
      <c r="ADT440" s="6"/>
      <c r="ADU440" s="6"/>
      <c r="ADV440" s="6"/>
      <c r="ADW440" s="6"/>
      <c r="ADX440" s="6"/>
      <c r="ADY440" s="6"/>
      <c r="ADZ440" s="6"/>
      <c r="AEA440" s="6"/>
      <c r="AEB440" s="6"/>
      <c r="AEC440" s="6"/>
      <c r="AED440" s="6"/>
      <c r="AEE440" s="6"/>
      <c r="AEF440" s="6"/>
      <c r="AEG440" s="6"/>
      <c r="AEH440" s="6"/>
      <c r="AEI440" s="6"/>
      <c r="AEJ440" s="6"/>
      <c r="AEK440" s="6"/>
      <c r="AEL440" s="6"/>
      <c r="AEM440" s="6"/>
      <c r="AEN440" s="6"/>
      <c r="AEO440" s="6"/>
      <c r="AEP440" s="6"/>
      <c r="AEQ440" s="6"/>
      <c r="AER440" s="6"/>
      <c r="AES440" s="6"/>
      <c r="AET440" s="6"/>
      <c r="AEU440" s="6"/>
      <c r="AEV440" s="6"/>
      <c r="AEW440" s="6"/>
      <c r="AEX440" s="6"/>
      <c r="AEY440" s="6"/>
      <c r="AEZ440" s="6"/>
      <c r="AFA440" s="6"/>
      <c r="AFB440" s="6"/>
      <c r="AFC440" s="6"/>
      <c r="AFD440" s="6"/>
      <c r="AFE440" s="6"/>
      <c r="AFF440" s="6"/>
      <c r="AFG440" s="6"/>
      <c r="AFH440" s="6"/>
      <c r="AFI440" s="6"/>
      <c r="AFJ440" s="6"/>
      <c r="AFK440" s="6"/>
      <c r="AFL440" s="6"/>
      <c r="AFM440" s="6"/>
      <c r="AFN440" s="6"/>
      <c r="AFO440" s="6"/>
      <c r="AFP440" s="6"/>
      <c r="AFQ440" s="6"/>
      <c r="AFR440" s="6"/>
      <c r="AFS440" s="6"/>
      <c r="AFT440" s="6"/>
      <c r="AFU440" s="6"/>
      <c r="AFV440" s="6"/>
      <c r="AFW440" s="6"/>
      <c r="AFX440" s="6"/>
      <c r="AFY440" s="6"/>
      <c r="AFZ440" s="6"/>
      <c r="AGA440" s="6"/>
      <c r="AGB440" s="6"/>
      <c r="AGC440" s="6"/>
      <c r="AGD440" s="6"/>
      <c r="AGE440" s="6"/>
      <c r="AGF440" s="6"/>
      <c r="AGG440" s="6"/>
      <c r="AGH440" s="6"/>
      <c r="AGI440" s="6"/>
      <c r="AGJ440" s="6"/>
      <c r="AGK440" s="6"/>
      <c r="AGL440" s="6"/>
      <c r="AGM440" s="6"/>
      <c r="AGN440" s="6"/>
      <c r="AGO440" s="6"/>
      <c r="AGP440" s="6"/>
      <c r="AGQ440" s="6"/>
      <c r="AGR440" s="6"/>
      <c r="AGS440" s="6"/>
      <c r="AGT440" s="6"/>
      <c r="AGU440" s="6"/>
      <c r="AGV440" s="6"/>
      <c r="AGW440" s="6"/>
      <c r="AGX440" s="6"/>
      <c r="AGY440" s="6"/>
      <c r="AGZ440" s="6"/>
      <c r="AHA440" s="6"/>
      <c r="AHB440" s="6"/>
      <c r="AHC440" s="6"/>
      <c r="AHD440" s="6"/>
      <c r="AHE440" s="6"/>
      <c r="AHF440" s="6"/>
      <c r="AHG440" s="6"/>
      <c r="AHH440" s="6"/>
      <c r="AHI440" s="6"/>
      <c r="AHJ440" s="6"/>
      <c r="AHK440" s="6"/>
      <c r="AHL440" s="6"/>
      <c r="AHM440" s="6"/>
      <c r="AHN440" s="6"/>
      <c r="AHO440" s="6"/>
      <c r="AHP440" s="6"/>
      <c r="AHQ440" s="6"/>
      <c r="AHR440" s="6"/>
      <c r="AHS440" s="6"/>
      <c r="AHT440" s="6"/>
      <c r="AHU440" s="6"/>
      <c r="AHV440" s="6"/>
      <c r="AHW440" s="6"/>
      <c r="AHX440" s="6"/>
      <c r="AHY440" s="6"/>
      <c r="AHZ440" s="6"/>
      <c r="AIA440" s="6"/>
      <c r="AIB440" s="6"/>
      <c r="AIC440" s="6"/>
      <c r="AID440" s="6"/>
      <c r="AIE440" s="6"/>
      <c r="AIF440" s="6"/>
      <c r="AIG440" s="6"/>
      <c r="AIH440" s="6"/>
      <c r="AII440" s="6"/>
      <c r="AIJ440" s="6"/>
      <c r="AIK440" s="6"/>
      <c r="AIL440" s="6"/>
      <c r="AIM440" s="6"/>
      <c r="AIN440" s="6"/>
      <c r="AIO440" s="6"/>
      <c r="AIP440" s="6"/>
      <c r="AIQ440" s="6"/>
      <c r="AIR440" s="6"/>
      <c r="AIS440" s="6"/>
      <c r="AIT440" s="6"/>
      <c r="AIU440" s="6"/>
      <c r="AIV440" s="6"/>
      <c r="AIW440" s="6"/>
      <c r="AIX440" s="6"/>
      <c r="AIY440" s="6"/>
      <c r="AIZ440" s="6"/>
      <c r="AJA440" s="6"/>
      <c r="AJB440" s="6"/>
      <c r="AJC440" s="6"/>
      <c r="AJD440" s="6"/>
      <c r="AJE440" s="6"/>
      <c r="AJF440" s="6"/>
      <c r="AJG440" s="6"/>
      <c r="AJH440" s="6"/>
      <c r="AJI440" s="6"/>
      <c r="AJJ440" s="6"/>
      <c r="AJK440" s="6"/>
      <c r="AJL440" s="6"/>
      <c r="AJM440" s="6"/>
      <c r="AJN440" s="6"/>
      <c r="AJO440" s="6"/>
      <c r="AJP440" s="6"/>
      <c r="AJQ440" s="6"/>
      <c r="AJR440" s="6"/>
      <c r="AJS440" s="6"/>
      <c r="AJT440" s="6"/>
      <c r="AJU440" s="6"/>
      <c r="AJV440" s="6"/>
      <c r="AJW440" s="6"/>
      <c r="AJX440" s="6"/>
      <c r="AJY440" s="6"/>
      <c r="AJZ440" s="6"/>
      <c r="AKA440" s="6"/>
      <c r="AKB440" s="6"/>
      <c r="AKC440" s="6"/>
      <c r="AKD440" s="6"/>
      <c r="AKE440" s="6"/>
      <c r="AKF440" s="6"/>
      <c r="AKG440" s="6"/>
      <c r="AKH440" s="6"/>
      <c r="AKI440" s="6"/>
      <c r="AKJ440" s="6"/>
      <c r="AKK440" s="6"/>
      <c r="AKL440" s="6"/>
      <c r="AKM440" s="6"/>
      <c r="AKN440" s="6"/>
      <c r="AKO440" s="6"/>
      <c r="AKP440" s="6"/>
      <c r="AKQ440" s="6"/>
      <c r="AKR440" s="6"/>
      <c r="AKS440" s="6"/>
      <c r="AKT440" s="6"/>
      <c r="AKU440" s="6"/>
      <c r="AKV440" s="6"/>
      <c r="AKW440" s="6"/>
      <c r="AKX440" s="6"/>
      <c r="AKY440" s="6"/>
      <c r="AKZ440" s="6"/>
      <c r="ALA440" s="6"/>
      <c r="ALB440" s="6"/>
      <c r="ALC440" s="6"/>
      <c r="ALD440" s="6"/>
      <c r="ALE440" s="6"/>
      <c r="ALF440" s="6"/>
      <c r="ALG440" s="6"/>
      <c r="ALH440" s="6"/>
      <c r="ALI440" s="6"/>
      <c r="ALJ440" s="6"/>
      <c r="ALK440" s="6"/>
      <c r="ALL440" s="6"/>
      <c r="ALM440" s="6"/>
      <c r="ALN440" s="6"/>
      <c r="ALO440" s="6"/>
      <c r="ALP440" s="6"/>
      <c r="ALQ440" s="6"/>
      <c r="ALR440" s="6"/>
      <c r="ALS440" s="6"/>
      <c r="ALT440" s="6"/>
      <c r="ALU440" s="6"/>
      <c r="ALV440" s="6"/>
      <c r="ALW440" s="6"/>
      <c r="ALX440" s="6"/>
      <c r="ALY440" s="6"/>
      <c r="ALZ440" s="6"/>
      <c r="AMA440" s="6"/>
      <c r="AMB440" s="6"/>
      <c r="AMC440" s="6"/>
      <c r="AMD440" s="6"/>
      <c r="AME440" s="6"/>
      <c r="AMF440" s="6"/>
      <c r="AMG440" s="6"/>
      <c r="AMH440" s="6"/>
      <c r="AMI440" s="6"/>
      <c r="AMJ440" s="6"/>
      <c r="AMK440" s="6"/>
      <c r="AML440" s="6"/>
      <c r="AMM440" s="6"/>
      <c r="AMN440" s="6"/>
      <c r="AMO440" s="6"/>
      <c r="AMP440" s="6"/>
    </row>
    <row r="441" spans="1:1030" x14ac:dyDescent="0.2">
      <c r="A441" s="3" t="str">
        <f t="shared" ref="A441" si="4250">CONCATENATE(B441,"_",C441)</f>
        <v>calcr_human_6NIY</v>
      </c>
      <c r="B441" s="2" t="s">
        <v>400</v>
      </c>
      <c r="C441" s="3" t="s">
        <v>1545</v>
      </c>
      <c r="D441" s="3" t="str">
        <f>IFERROR(MID(VLOOKUP($B441,Seqs!$A:$B,2,0),E441,1),"")</f>
        <v>T</v>
      </c>
      <c r="E441" s="3">
        <v>138</v>
      </c>
      <c r="F441" s="3" t="str">
        <f>IFERROR(MID(VLOOKUP($B441,Seqs!$A:$B,2,0),G441,1),"")</f>
        <v>F</v>
      </c>
      <c r="G441" s="3">
        <v>173</v>
      </c>
      <c r="H441" s="3" t="str">
        <f>IFERROR(MID(VLOOKUP($B441,Seqs!$A:$B,2,0),I441,1),"")</f>
        <v>R</v>
      </c>
      <c r="I441" s="23">
        <v>174</v>
      </c>
      <c r="J441" s="3" t="str">
        <f>IFERROR(MID(VLOOKUP($B441,Seqs!$A:$B,2,0),K441,1),"")</f>
        <v>G</v>
      </c>
      <c r="K441" s="23">
        <v>177</v>
      </c>
      <c r="L441" s="3" t="str">
        <f>IFERROR(MID(VLOOKUP($B441,Seqs!$A:$B,2,0),M441,1),"")</f>
        <v>C</v>
      </c>
      <c r="M441" s="3">
        <v>178</v>
      </c>
      <c r="N441" s="3" t="str">
        <f>IFERROR(MID(VLOOKUP($B441,Seqs!$A:$B,2,0),O441,1),"")</f>
        <v>V</v>
      </c>
      <c r="O441" s="3">
        <v>205</v>
      </c>
      <c r="P441" s="3" t="str">
        <f>IFERROR(MID(VLOOKUP($B441,Seqs!$A:$B,2,0),Q441,1),"")</f>
        <v/>
      </c>
      <c r="Q441" s="3" t="s">
        <v>23</v>
      </c>
      <c r="R441" s="3" t="str">
        <f>IFERROR(MID(VLOOKUP($B441,Seqs!$A:$B,2,0),S441,1),"")</f>
        <v/>
      </c>
      <c r="S441" s="3" t="s">
        <v>23</v>
      </c>
      <c r="T441" s="3" t="str">
        <f>IFERROR(MID(VLOOKUP($B441,Seqs!$A:$B,2,0),U441,1),"")</f>
        <v>V</v>
      </c>
      <c r="U441" s="3">
        <v>217</v>
      </c>
      <c r="V441" s="3" t="str">
        <f>IFERROR(MID(VLOOKUP($B441,Seqs!$A:$B,2,0),W441,1),"")</f>
        <v>V</v>
      </c>
      <c r="W441" s="3">
        <v>250</v>
      </c>
      <c r="X441" s="3" t="str">
        <f>IFERROR(MID(VLOOKUP($B441,Seqs!$A:$B,2,0),Y441,1),"")</f>
        <v/>
      </c>
      <c r="Y441" s="3" t="s">
        <v>23</v>
      </c>
      <c r="Z441" s="3" t="str">
        <f>IFERROR(MID(VLOOKUP($B441,Seqs!$A:$B,2,0),AA441,1),"")</f>
        <v/>
      </c>
      <c r="AA441" s="3" t="s">
        <v>23</v>
      </c>
      <c r="AB441" s="3" t="str">
        <f>IFERROR(MID(VLOOKUP($B441,Seqs!$A:$B,2,0),AC441,1),"")</f>
        <v>R</v>
      </c>
      <c r="AC441" s="3">
        <v>258</v>
      </c>
      <c r="AD441" s="3" t="str">
        <f>IFERROR(MID(VLOOKUP($B441,Seqs!$A:$B,2,0),AE441,1),"")</f>
        <v>F</v>
      </c>
      <c r="AE441" s="3">
        <v>285</v>
      </c>
      <c r="AF441" s="3" t="str">
        <f>IFERROR(MID(VLOOKUP($B441,Seqs!$A:$B,2,0),AG441,1),"")</f>
        <v>C</v>
      </c>
      <c r="AG441" s="3">
        <v>289</v>
      </c>
      <c r="AH441" s="3" t="str">
        <f>IFERROR(MID(VLOOKUP($B441,Seqs!$A:$B,2,0),AI441,1),"")</f>
        <v>L</v>
      </c>
      <c r="AI441" s="3">
        <v>291</v>
      </c>
      <c r="AJ441" s="3" t="str">
        <f>IFERROR(MID(VLOOKUP($B441,Seqs!$A:$B,2,0),AK441,1),"")</f>
        <v>L</v>
      </c>
      <c r="AK441" s="3">
        <v>298</v>
      </c>
      <c r="AL441" s="3" t="str">
        <f>IFERROR(MID(VLOOKUP($B441,Seqs!$A:$B,2,0),AM441,1),"")</f>
        <v>T</v>
      </c>
      <c r="AM441" s="3">
        <v>330</v>
      </c>
      <c r="AN441" s="3" t="str">
        <f>IFERROR(MID(VLOOKUP($B441,Seqs!$A:$B,2,0),AO441,1),"")</f>
        <v>H</v>
      </c>
      <c r="AO441" s="3">
        <v>336</v>
      </c>
      <c r="AP441" s="3" t="str">
        <f>IFERROR(MID(VLOOKUP($B441,Seqs!$A:$B,2,0),AQ441,1),"")</f>
        <v>F</v>
      </c>
      <c r="AQ441" s="3">
        <v>359</v>
      </c>
      <c r="AR441" s="3" t="str">
        <f>IFERROR(MID(VLOOKUP($B441,Seqs!$A:$B,2,0),AS441,1),"")</f>
        <v>N</v>
      </c>
      <c r="AS441" s="3">
        <v>365</v>
      </c>
      <c r="AT441" s="3" t="str">
        <f>IFERROR(MID(VLOOKUP($B441,Seqs!$A:$B,2,0),AU441,1),"")</f>
        <v>C</v>
      </c>
      <c r="AU441" s="3">
        <v>394</v>
      </c>
      <c r="AV441" s="3" t="str">
        <f>IFERROR(MID(VLOOKUP($B441,Seqs!$A:$B,2,0),AW441,1),"")</f>
        <v>N</v>
      </c>
      <c r="AW441" s="3">
        <v>395</v>
      </c>
      <c r="AX441" s="3" t="str">
        <f>IFERROR(MID(VLOOKUP($B441,Seqs!$A:$B,2,0),AY441,1),"")</f>
        <v>Q</v>
      </c>
      <c r="AY441" s="3">
        <v>412</v>
      </c>
      <c r="AZ441" s="77" t="str">
        <f>VLOOKUP(B441,Classification!A:D,2,0)</f>
        <v>B1</v>
      </c>
      <c r="BA441" s="94" t="str">
        <f>VLOOKUP(B441,Classification!A:D,4,0)</f>
        <v>Calcitonin</v>
      </c>
      <c r="BB441" s="27" t="b">
        <f t="shared" ref="BB441" si="4251">AND(E441&lt;G441,OR(G441&lt;I441,I441="-"),OR(I441&lt;K441,I441="-"),OR(K441&lt;M441,K441="-"),M441&lt;O441,OR(O441&lt;Q441,Q441="-"),OR(Q441&lt;S441,Q441="-"),OR(S441&lt;U441,S441="-"),U441&lt;W441,OR(W441&lt;Y441,Y441="-"),OR(Y441&lt;AA441,Y441="-"),OR(AA441&lt;AC441,AA441="-"),AC441&lt;AE441,OR(AE441&lt;AG441,AG441="-"),OR(AG441&lt;AI441,AG441="-"),OR(AI441&lt;AK441,AI441="-"),AK441&lt;AM441,AM441&lt;AO441,AO441&lt;AQ441,AQ441&lt;AS441,AS441&lt;AU441,OR(AU441&lt;AW441,AW441="-"),OR(AW441&lt;AY441,AW441="-"))</f>
        <v>1</v>
      </c>
      <c r="BC441" s="23">
        <f t="shared" ref="BC441" si="4252">_xlfn.AGGREGATE(9,6,CH441:CS441)-_xlfn.AGGREGATE(9,6,BV441:CG441)+12</f>
        <v>240</v>
      </c>
      <c r="BD441" s="4" t="s">
        <v>1369</v>
      </c>
      <c r="BE441" s="3" t="s">
        <v>1285</v>
      </c>
      <c r="BF441" s="118">
        <v>3.34</v>
      </c>
      <c r="BG441" s="49" t="s">
        <v>1416</v>
      </c>
      <c r="BH441" s="49" t="s">
        <v>1416</v>
      </c>
      <c r="BI441" s="1"/>
      <c r="BJ441" s="70" t="s">
        <v>1281</v>
      </c>
      <c r="BK441" s="57" t="s">
        <v>1281</v>
      </c>
      <c r="BL441" s="57" t="s">
        <v>1281</v>
      </c>
      <c r="BM441" s="57" t="s">
        <v>1281</v>
      </c>
      <c r="BN441" s="57" t="s">
        <v>1281</v>
      </c>
      <c r="BO441" s="57" t="s">
        <v>1281</v>
      </c>
      <c r="BP441" s="57" t="s">
        <v>1281</v>
      </c>
      <c r="BQ441" s="57" t="s">
        <v>1281</v>
      </c>
      <c r="BR441" s="57" t="s">
        <v>1281</v>
      </c>
      <c r="BS441" s="57" t="s">
        <v>1281</v>
      </c>
      <c r="BT441" s="57" t="s">
        <v>1281</v>
      </c>
      <c r="BU441" s="57" t="s">
        <v>1281</v>
      </c>
      <c r="BV441" s="70">
        <f t="shared" ref="BV441" si="4253">E441</f>
        <v>138</v>
      </c>
      <c r="BW441" s="71">
        <f t="shared" ref="BW441" si="4254">I441</f>
        <v>174</v>
      </c>
      <c r="BX441" s="72">
        <f t="shared" ref="BX441" si="4255">M441</f>
        <v>178</v>
      </c>
      <c r="BY441" s="71" t="str">
        <f t="shared" ref="BY441" si="4256">Q441</f>
        <v>-</v>
      </c>
      <c r="BZ441" s="72">
        <f t="shared" ref="BZ441" si="4257">U441</f>
        <v>217</v>
      </c>
      <c r="CA441" s="71" t="str">
        <f t="shared" ref="CA441" si="4258">Y441</f>
        <v>-</v>
      </c>
      <c r="CB441" s="72">
        <f t="shared" ref="CB441" si="4259">AC441</f>
        <v>258</v>
      </c>
      <c r="CC441" s="71">
        <f t="shared" ref="CC441" si="4260">AG441</f>
        <v>289</v>
      </c>
      <c r="CD441" s="72">
        <f t="shared" ref="CD441" si="4261">AK441</f>
        <v>298</v>
      </c>
      <c r="CE441" s="71">
        <f t="shared" ref="CE441" si="4262">AO441</f>
        <v>336</v>
      </c>
      <c r="CF441" s="72">
        <f t="shared" ref="CF441" si="4263">AS441</f>
        <v>365</v>
      </c>
      <c r="CG441" s="71">
        <f t="shared" ref="CG441" si="4264">AW441</f>
        <v>395</v>
      </c>
      <c r="CH441" s="70">
        <f t="shared" ref="CH441" si="4265">G441</f>
        <v>173</v>
      </c>
      <c r="CI441" s="71">
        <f t="shared" ref="CI441" si="4266">K441</f>
        <v>177</v>
      </c>
      <c r="CJ441" s="72">
        <f t="shared" ref="CJ441" si="4267">O441</f>
        <v>205</v>
      </c>
      <c r="CK441" s="72" t="str">
        <f t="shared" ref="CK441" si="4268">S441</f>
        <v>-</v>
      </c>
      <c r="CL441" s="72">
        <f t="shared" ref="CL441" si="4269">W441</f>
        <v>250</v>
      </c>
      <c r="CM441" s="72" t="str">
        <f t="shared" ref="CM441" si="4270">AA441</f>
        <v>-</v>
      </c>
      <c r="CN441" s="72">
        <f t="shared" ref="CN441" si="4271">AE441</f>
        <v>285</v>
      </c>
      <c r="CO441" s="72">
        <f t="shared" ref="CO441" si="4272">AI441</f>
        <v>291</v>
      </c>
      <c r="CP441" s="72">
        <f t="shared" ref="CP441" si="4273">AM441</f>
        <v>330</v>
      </c>
      <c r="CQ441" s="72">
        <f t="shared" ref="CQ441" si="4274">AQ441</f>
        <v>359</v>
      </c>
      <c r="CR441" s="72">
        <f t="shared" ref="CR441" si="4275">AU441</f>
        <v>394</v>
      </c>
      <c r="CS441" s="72">
        <f t="shared" ref="CS441" si="4276">AY441</f>
        <v>412</v>
      </c>
      <c r="CT441" s="23">
        <f t="shared" ref="CT441" si="4277">M441-K441</f>
        <v>1</v>
      </c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6"/>
      <c r="KG441" s="6"/>
      <c r="KH441" s="6"/>
      <c r="KI441" s="6"/>
      <c r="KJ441" s="6"/>
      <c r="KK441" s="6"/>
      <c r="KL441" s="6"/>
      <c r="KM441" s="6"/>
      <c r="KN441" s="6"/>
      <c r="KO441" s="6"/>
      <c r="KP441" s="6"/>
      <c r="KQ441" s="6"/>
      <c r="KR441" s="6"/>
      <c r="KS441" s="6"/>
      <c r="KT441" s="6"/>
      <c r="KU441" s="6"/>
      <c r="KV441" s="6"/>
      <c r="KW441" s="6"/>
      <c r="KX441" s="6"/>
      <c r="KY441" s="6"/>
      <c r="KZ441" s="6"/>
      <c r="LA441" s="6"/>
      <c r="LB441" s="6"/>
      <c r="LC441" s="6"/>
      <c r="LD441" s="6"/>
      <c r="LE441" s="6"/>
      <c r="LF441" s="6"/>
      <c r="LG441" s="6"/>
      <c r="LH441" s="6"/>
      <c r="LI441" s="6"/>
      <c r="LJ441" s="6"/>
      <c r="LK441" s="6"/>
      <c r="LL441" s="6"/>
      <c r="LM441" s="6"/>
      <c r="LN441" s="6"/>
      <c r="LO441" s="6"/>
      <c r="LP441" s="6"/>
      <c r="LQ441" s="6"/>
      <c r="LR441" s="6"/>
      <c r="LS441" s="6"/>
      <c r="LT441" s="6"/>
      <c r="LU441" s="6"/>
      <c r="LV441" s="6"/>
      <c r="LW441" s="6"/>
      <c r="LX441" s="6"/>
      <c r="LY441" s="6"/>
      <c r="LZ441" s="6"/>
      <c r="MA441" s="6"/>
      <c r="MB441" s="6"/>
      <c r="MC441" s="6"/>
      <c r="MD441" s="6"/>
      <c r="ME441" s="6"/>
      <c r="MF441" s="6"/>
      <c r="MG441" s="6"/>
      <c r="MH441" s="6"/>
      <c r="MI441" s="6"/>
      <c r="MJ441" s="6"/>
      <c r="MK441" s="6"/>
      <c r="ML441" s="6"/>
      <c r="MM441" s="6"/>
      <c r="MN441" s="6"/>
      <c r="MO441" s="6"/>
      <c r="MP441" s="6"/>
      <c r="MQ441" s="6"/>
      <c r="MR441" s="6"/>
      <c r="MS441" s="6"/>
      <c r="MT441" s="6"/>
      <c r="MU441" s="6"/>
      <c r="MV441" s="6"/>
      <c r="MW441" s="6"/>
      <c r="MX441" s="6"/>
      <c r="MY441" s="6"/>
      <c r="MZ441" s="6"/>
      <c r="NA441" s="6"/>
      <c r="NB441" s="6"/>
      <c r="NC441" s="6"/>
      <c r="ND441" s="6"/>
      <c r="NE441" s="6"/>
      <c r="NF441" s="6"/>
      <c r="NG441" s="6"/>
      <c r="NH441" s="6"/>
      <c r="NI441" s="6"/>
      <c r="NJ441" s="6"/>
      <c r="NK441" s="6"/>
      <c r="NL441" s="6"/>
      <c r="NM441" s="6"/>
      <c r="NN441" s="6"/>
      <c r="NO441" s="6"/>
      <c r="NP441" s="6"/>
      <c r="NQ441" s="6"/>
      <c r="NR441" s="6"/>
      <c r="NS441" s="6"/>
      <c r="NT441" s="6"/>
      <c r="NU441" s="6"/>
      <c r="NV441" s="6"/>
      <c r="NW441" s="6"/>
      <c r="NX441" s="6"/>
      <c r="NY441" s="6"/>
      <c r="NZ441" s="6"/>
      <c r="OA441" s="6"/>
      <c r="OB441" s="6"/>
      <c r="OC441" s="6"/>
      <c r="OD441" s="6"/>
      <c r="OE441" s="6"/>
      <c r="OF441" s="6"/>
      <c r="OG441" s="6"/>
      <c r="OH441" s="6"/>
      <c r="OI441" s="6"/>
      <c r="OJ441" s="6"/>
      <c r="OK441" s="6"/>
      <c r="OL441" s="6"/>
      <c r="OM441" s="6"/>
      <c r="ON441" s="6"/>
      <c r="OO441" s="6"/>
      <c r="OP441" s="6"/>
      <c r="OQ441" s="6"/>
      <c r="OR441" s="6"/>
      <c r="OS441" s="6"/>
      <c r="OT441" s="6"/>
      <c r="OU441" s="6"/>
      <c r="OV441" s="6"/>
      <c r="OW441" s="6"/>
      <c r="OX441" s="6"/>
      <c r="OY441" s="6"/>
      <c r="OZ441" s="6"/>
      <c r="PA441" s="6"/>
      <c r="PB441" s="6"/>
      <c r="PC441" s="6"/>
      <c r="PD441" s="6"/>
      <c r="PE441" s="6"/>
      <c r="PF441" s="6"/>
      <c r="PG441" s="6"/>
      <c r="PH441" s="6"/>
      <c r="PI441" s="6"/>
      <c r="PJ441" s="6"/>
      <c r="PK441" s="6"/>
      <c r="PL441" s="6"/>
      <c r="PM441" s="6"/>
      <c r="PN441" s="6"/>
      <c r="PO441" s="6"/>
      <c r="PP441" s="6"/>
      <c r="PQ441" s="6"/>
      <c r="PR441" s="6"/>
      <c r="PS441" s="6"/>
      <c r="PT441" s="6"/>
      <c r="PU441" s="6"/>
      <c r="PV441" s="6"/>
      <c r="PW441" s="6"/>
      <c r="PX441" s="6"/>
      <c r="PY441" s="6"/>
      <c r="PZ441" s="6"/>
      <c r="QA441" s="6"/>
      <c r="QB441" s="6"/>
      <c r="QC441" s="6"/>
      <c r="QD441" s="6"/>
      <c r="QE441" s="6"/>
      <c r="QF441" s="6"/>
      <c r="QG441" s="6"/>
      <c r="QH441" s="6"/>
      <c r="QI441" s="6"/>
      <c r="QJ441" s="6"/>
      <c r="QK441" s="6"/>
      <c r="QL441" s="6"/>
      <c r="QM441" s="6"/>
      <c r="QN441" s="6"/>
      <c r="QO441" s="6"/>
      <c r="QP441" s="6"/>
      <c r="QQ441" s="6"/>
      <c r="QR441" s="6"/>
      <c r="QS441" s="6"/>
      <c r="QT441" s="6"/>
      <c r="QU441" s="6"/>
      <c r="QV441" s="6"/>
      <c r="QW441" s="6"/>
      <c r="QX441" s="6"/>
      <c r="QY441" s="6"/>
      <c r="QZ441" s="6"/>
      <c r="RA441" s="6"/>
      <c r="RB441" s="6"/>
      <c r="RC441" s="6"/>
      <c r="RD441" s="6"/>
      <c r="RE441" s="6"/>
      <c r="RF441" s="6"/>
      <c r="RG441" s="6"/>
      <c r="RH441" s="6"/>
      <c r="RI441" s="6"/>
      <c r="RJ441" s="6"/>
      <c r="RK441" s="6"/>
      <c r="RL441" s="6"/>
      <c r="RM441" s="6"/>
      <c r="RN441" s="6"/>
      <c r="RO441" s="6"/>
      <c r="RP441" s="6"/>
      <c r="RQ441" s="6"/>
      <c r="RR441" s="6"/>
      <c r="RS441" s="6"/>
      <c r="RT441" s="6"/>
      <c r="RU441" s="6"/>
      <c r="RV441" s="6"/>
      <c r="RW441" s="6"/>
      <c r="RX441" s="6"/>
      <c r="RY441" s="6"/>
      <c r="RZ441" s="6"/>
      <c r="SA441" s="6"/>
      <c r="SB441" s="6"/>
      <c r="SC441" s="6"/>
      <c r="SD441" s="6"/>
      <c r="SE441" s="6"/>
      <c r="SF441" s="6"/>
      <c r="SG441" s="6"/>
      <c r="SH441" s="6"/>
      <c r="SI441" s="6"/>
      <c r="SJ441" s="6"/>
      <c r="SK441" s="6"/>
      <c r="SL441" s="6"/>
      <c r="SM441" s="6"/>
      <c r="SN441" s="6"/>
      <c r="SO441" s="6"/>
      <c r="SP441" s="6"/>
      <c r="SQ441" s="6"/>
      <c r="SR441" s="6"/>
      <c r="SS441" s="6"/>
      <c r="ST441" s="6"/>
      <c r="SU441" s="6"/>
      <c r="SV441" s="6"/>
      <c r="SW441" s="6"/>
      <c r="SX441" s="6"/>
      <c r="SY441" s="6"/>
      <c r="SZ441" s="6"/>
      <c r="TA441" s="6"/>
      <c r="TB441" s="6"/>
      <c r="TC441" s="6"/>
      <c r="TD441" s="6"/>
      <c r="TE441" s="6"/>
      <c r="TF441" s="6"/>
      <c r="TG441" s="6"/>
      <c r="TH441" s="6"/>
      <c r="TI441" s="6"/>
      <c r="TJ441" s="6"/>
      <c r="TK441" s="6"/>
      <c r="TL441" s="6"/>
      <c r="TM441" s="6"/>
      <c r="TN441" s="6"/>
      <c r="TO441" s="6"/>
      <c r="TP441" s="6"/>
      <c r="TQ441" s="6"/>
      <c r="TR441" s="6"/>
      <c r="TS441" s="6"/>
      <c r="TT441" s="6"/>
      <c r="TU441" s="6"/>
      <c r="TV441" s="6"/>
      <c r="TW441" s="6"/>
      <c r="TX441" s="6"/>
      <c r="TY441" s="6"/>
      <c r="TZ441" s="6"/>
      <c r="UA441" s="6"/>
      <c r="UB441" s="6"/>
      <c r="UC441" s="6"/>
      <c r="UD441" s="6"/>
      <c r="UE441" s="6"/>
      <c r="UF441" s="6"/>
      <c r="UG441" s="6"/>
      <c r="UH441" s="6"/>
      <c r="UI441" s="6"/>
      <c r="UJ441" s="6"/>
      <c r="UK441" s="6"/>
      <c r="UL441" s="6"/>
      <c r="UM441" s="6"/>
      <c r="UN441" s="6"/>
      <c r="UO441" s="6"/>
      <c r="UP441" s="6"/>
      <c r="UQ441" s="6"/>
      <c r="UR441" s="6"/>
      <c r="US441" s="6"/>
      <c r="UT441" s="6"/>
      <c r="UU441" s="6"/>
      <c r="UV441" s="6"/>
      <c r="UW441" s="6"/>
      <c r="UX441" s="6"/>
      <c r="UY441" s="6"/>
      <c r="UZ441" s="6"/>
      <c r="VA441" s="6"/>
      <c r="VB441" s="6"/>
      <c r="VC441" s="6"/>
      <c r="VD441" s="6"/>
      <c r="VE441" s="6"/>
      <c r="VF441" s="6"/>
      <c r="VG441" s="6"/>
      <c r="VH441" s="6"/>
      <c r="VI441" s="6"/>
      <c r="VJ441" s="6"/>
      <c r="VK441" s="6"/>
      <c r="VL441" s="6"/>
      <c r="VM441" s="6"/>
      <c r="VN441" s="6"/>
      <c r="VO441" s="6"/>
      <c r="VP441" s="6"/>
      <c r="VQ441" s="6"/>
      <c r="VR441" s="6"/>
      <c r="VS441" s="6"/>
      <c r="VT441" s="6"/>
      <c r="VU441" s="6"/>
      <c r="VV441" s="6"/>
      <c r="VW441" s="6"/>
      <c r="VX441" s="6"/>
      <c r="VY441" s="6"/>
      <c r="VZ441" s="6"/>
      <c r="WA441" s="6"/>
      <c r="WB441" s="6"/>
      <c r="WC441" s="6"/>
      <c r="WD441" s="6"/>
      <c r="WE441" s="6"/>
      <c r="WF441" s="6"/>
      <c r="WG441" s="6"/>
      <c r="WH441" s="6"/>
      <c r="WI441" s="6"/>
      <c r="WJ441" s="6"/>
      <c r="WK441" s="6"/>
      <c r="WL441" s="6"/>
      <c r="WM441" s="6"/>
      <c r="WN441" s="6"/>
      <c r="WO441" s="6"/>
      <c r="WP441" s="6"/>
      <c r="WQ441" s="6"/>
      <c r="WR441" s="6"/>
      <c r="WS441" s="6"/>
      <c r="WT441" s="6"/>
      <c r="WU441" s="6"/>
      <c r="WV441" s="6"/>
      <c r="WW441" s="6"/>
      <c r="WX441" s="6"/>
      <c r="WY441" s="6"/>
      <c r="WZ441" s="6"/>
      <c r="XA441" s="6"/>
      <c r="XB441" s="6"/>
      <c r="XC441" s="6"/>
      <c r="XD441" s="6"/>
      <c r="XE441" s="6"/>
      <c r="XF441" s="6"/>
      <c r="XG441" s="6"/>
      <c r="XH441" s="6"/>
      <c r="XI441" s="6"/>
      <c r="XJ441" s="6"/>
      <c r="XK441" s="6"/>
      <c r="XL441" s="6"/>
      <c r="XM441" s="6"/>
      <c r="XN441" s="6"/>
      <c r="XO441" s="6"/>
      <c r="XP441" s="6"/>
      <c r="XQ441" s="6"/>
      <c r="XR441" s="6"/>
      <c r="XS441" s="6"/>
      <c r="XT441" s="6"/>
      <c r="XU441" s="6"/>
      <c r="XV441" s="6"/>
      <c r="XW441" s="6"/>
      <c r="XX441" s="6"/>
      <c r="XY441" s="6"/>
      <c r="XZ441" s="6"/>
      <c r="YA441" s="6"/>
      <c r="YB441" s="6"/>
      <c r="YC441" s="6"/>
      <c r="YD441" s="6"/>
      <c r="YE441" s="6"/>
      <c r="YF441" s="6"/>
      <c r="YG441" s="6"/>
      <c r="YH441" s="6"/>
      <c r="YI441" s="6"/>
      <c r="YJ441" s="6"/>
      <c r="YK441" s="6"/>
      <c r="YL441" s="6"/>
      <c r="YM441" s="6"/>
      <c r="YN441" s="6"/>
      <c r="YO441" s="6"/>
      <c r="YP441" s="6"/>
      <c r="YQ441" s="6"/>
      <c r="YR441" s="6"/>
      <c r="YS441" s="6"/>
      <c r="YT441" s="6"/>
      <c r="YU441" s="6"/>
      <c r="YV441" s="6"/>
      <c r="YW441" s="6"/>
      <c r="YX441" s="6"/>
      <c r="YY441" s="6"/>
      <c r="YZ441" s="6"/>
      <c r="ZA441" s="6"/>
      <c r="ZB441" s="6"/>
      <c r="ZC441" s="6"/>
      <c r="ZD441" s="6"/>
      <c r="ZE441" s="6"/>
      <c r="ZF441" s="6"/>
      <c r="ZG441" s="6"/>
      <c r="ZH441" s="6"/>
      <c r="ZI441" s="6"/>
      <c r="ZJ441" s="6"/>
      <c r="ZK441" s="6"/>
      <c r="ZL441" s="6"/>
      <c r="ZM441" s="6"/>
      <c r="ZN441" s="6"/>
      <c r="ZO441" s="6"/>
      <c r="ZP441" s="6"/>
      <c r="ZQ441" s="6"/>
      <c r="ZR441" s="6"/>
      <c r="ZS441" s="6"/>
      <c r="ZT441" s="6"/>
      <c r="ZU441" s="6"/>
      <c r="ZV441" s="6"/>
      <c r="ZW441" s="6"/>
      <c r="ZX441" s="6"/>
      <c r="ZY441" s="6"/>
      <c r="ZZ441" s="6"/>
      <c r="AAA441" s="6"/>
      <c r="AAB441" s="6"/>
      <c r="AAC441" s="6"/>
      <c r="AAD441" s="6"/>
      <c r="AAE441" s="6"/>
      <c r="AAF441" s="6"/>
      <c r="AAG441" s="6"/>
      <c r="AAH441" s="6"/>
      <c r="AAI441" s="6"/>
      <c r="AAJ441" s="6"/>
      <c r="AAK441" s="6"/>
      <c r="AAL441" s="6"/>
      <c r="AAM441" s="6"/>
      <c r="AAN441" s="6"/>
      <c r="AAO441" s="6"/>
      <c r="AAP441" s="6"/>
      <c r="AAQ441" s="6"/>
      <c r="AAR441" s="6"/>
      <c r="AAS441" s="6"/>
      <c r="AAT441" s="6"/>
      <c r="AAU441" s="6"/>
      <c r="AAV441" s="6"/>
      <c r="AAW441" s="6"/>
      <c r="AAX441" s="6"/>
      <c r="AAY441" s="6"/>
      <c r="AAZ441" s="6"/>
      <c r="ABA441" s="6"/>
      <c r="ABB441" s="6"/>
      <c r="ABC441" s="6"/>
      <c r="ABD441" s="6"/>
      <c r="ABE441" s="6"/>
      <c r="ABF441" s="6"/>
      <c r="ABG441" s="6"/>
      <c r="ABH441" s="6"/>
      <c r="ABI441" s="6"/>
      <c r="ABJ441" s="6"/>
      <c r="ABK441" s="6"/>
      <c r="ABL441" s="6"/>
      <c r="ABM441" s="6"/>
      <c r="ABN441" s="6"/>
      <c r="ABO441" s="6"/>
      <c r="ABP441" s="6"/>
      <c r="ABQ441" s="6"/>
      <c r="ABR441" s="6"/>
      <c r="ABS441" s="6"/>
      <c r="ABT441" s="6"/>
      <c r="ABU441" s="6"/>
      <c r="ABV441" s="6"/>
      <c r="ABW441" s="6"/>
      <c r="ABX441" s="6"/>
      <c r="ABY441" s="6"/>
      <c r="ABZ441" s="6"/>
      <c r="ACA441" s="6"/>
      <c r="ACB441" s="6"/>
      <c r="ACC441" s="6"/>
      <c r="ACD441" s="6"/>
      <c r="ACE441" s="6"/>
      <c r="ACF441" s="6"/>
      <c r="ACG441" s="6"/>
      <c r="ACH441" s="6"/>
      <c r="ACI441" s="6"/>
      <c r="ACJ441" s="6"/>
      <c r="ACK441" s="6"/>
      <c r="ACL441" s="6"/>
      <c r="ACM441" s="6"/>
      <c r="ACN441" s="6"/>
      <c r="ACO441" s="6"/>
      <c r="ACP441" s="6"/>
      <c r="ACQ441" s="6"/>
      <c r="ACR441" s="6"/>
      <c r="ACS441" s="6"/>
      <c r="ACT441" s="6"/>
      <c r="ACU441" s="6"/>
      <c r="ACV441" s="6"/>
      <c r="ACW441" s="6"/>
      <c r="ACX441" s="6"/>
      <c r="ACY441" s="6"/>
      <c r="ACZ441" s="6"/>
      <c r="ADA441" s="6"/>
      <c r="ADB441" s="6"/>
      <c r="ADC441" s="6"/>
      <c r="ADD441" s="6"/>
      <c r="ADE441" s="6"/>
      <c r="ADF441" s="6"/>
      <c r="ADG441" s="6"/>
      <c r="ADH441" s="6"/>
      <c r="ADI441" s="6"/>
      <c r="ADJ441" s="6"/>
      <c r="ADK441" s="6"/>
      <c r="ADL441" s="6"/>
      <c r="ADM441" s="6"/>
      <c r="ADN441" s="6"/>
      <c r="ADO441" s="6"/>
      <c r="ADP441" s="6"/>
      <c r="ADQ441" s="6"/>
      <c r="ADR441" s="6"/>
      <c r="ADS441" s="6"/>
      <c r="ADT441" s="6"/>
      <c r="ADU441" s="6"/>
      <c r="ADV441" s="6"/>
      <c r="ADW441" s="6"/>
      <c r="ADX441" s="6"/>
      <c r="ADY441" s="6"/>
      <c r="ADZ441" s="6"/>
      <c r="AEA441" s="6"/>
      <c r="AEB441" s="6"/>
      <c r="AEC441" s="6"/>
      <c r="AED441" s="6"/>
      <c r="AEE441" s="6"/>
      <c r="AEF441" s="6"/>
      <c r="AEG441" s="6"/>
      <c r="AEH441" s="6"/>
      <c r="AEI441" s="6"/>
      <c r="AEJ441" s="6"/>
      <c r="AEK441" s="6"/>
      <c r="AEL441" s="6"/>
      <c r="AEM441" s="6"/>
      <c r="AEN441" s="6"/>
      <c r="AEO441" s="6"/>
      <c r="AEP441" s="6"/>
      <c r="AEQ441" s="6"/>
      <c r="AER441" s="6"/>
      <c r="AES441" s="6"/>
      <c r="AET441" s="6"/>
      <c r="AEU441" s="6"/>
      <c r="AEV441" s="6"/>
      <c r="AEW441" s="6"/>
      <c r="AEX441" s="6"/>
      <c r="AEY441" s="6"/>
      <c r="AEZ441" s="6"/>
      <c r="AFA441" s="6"/>
      <c r="AFB441" s="6"/>
      <c r="AFC441" s="6"/>
      <c r="AFD441" s="6"/>
      <c r="AFE441" s="6"/>
      <c r="AFF441" s="6"/>
      <c r="AFG441" s="6"/>
      <c r="AFH441" s="6"/>
      <c r="AFI441" s="6"/>
      <c r="AFJ441" s="6"/>
      <c r="AFK441" s="6"/>
      <c r="AFL441" s="6"/>
      <c r="AFM441" s="6"/>
      <c r="AFN441" s="6"/>
      <c r="AFO441" s="6"/>
      <c r="AFP441" s="6"/>
      <c r="AFQ441" s="6"/>
      <c r="AFR441" s="6"/>
      <c r="AFS441" s="6"/>
      <c r="AFT441" s="6"/>
      <c r="AFU441" s="6"/>
      <c r="AFV441" s="6"/>
      <c r="AFW441" s="6"/>
      <c r="AFX441" s="6"/>
      <c r="AFY441" s="6"/>
      <c r="AFZ441" s="6"/>
      <c r="AGA441" s="6"/>
      <c r="AGB441" s="6"/>
      <c r="AGC441" s="6"/>
      <c r="AGD441" s="6"/>
      <c r="AGE441" s="6"/>
      <c r="AGF441" s="6"/>
      <c r="AGG441" s="6"/>
      <c r="AGH441" s="6"/>
      <c r="AGI441" s="6"/>
      <c r="AGJ441" s="6"/>
      <c r="AGK441" s="6"/>
      <c r="AGL441" s="6"/>
      <c r="AGM441" s="6"/>
      <c r="AGN441" s="6"/>
      <c r="AGO441" s="6"/>
      <c r="AGP441" s="6"/>
      <c r="AGQ441" s="6"/>
      <c r="AGR441" s="6"/>
      <c r="AGS441" s="6"/>
      <c r="AGT441" s="6"/>
      <c r="AGU441" s="6"/>
      <c r="AGV441" s="6"/>
      <c r="AGW441" s="6"/>
      <c r="AGX441" s="6"/>
      <c r="AGY441" s="6"/>
      <c r="AGZ441" s="6"/>
      <c r="AHA441" s="6"/>
      <c r="AHB441" s="6"/>
      <c r="AHC441" s="6"/>
      <c r="AHD441" s="6"/>
      <c r="AHE441" s="6"/>
      <c r="AHF441" s="6"/>
      <c r="AHG441" s="6"/>
      <c r="AHH441" s="6"/>
      <c r="AHI441" s="6"/>
      <c r="AHJ441" s="6"/>
      <c r="AHK441" s="6"/>
      <c r="AHL441" s="6"/>
      <c r="AHM441" s="6"/>
      <c r="AHN441" s="6"/>
      <c r="AHO441" s="6"/>
      <c r="AHP441" s="6"/>
      <c r="AHQ441" s="6"/>
      <c r="AHR441" s="6"/>
      <c r="AHS441" s="6"/>
      <c r="AHT441" s="6"/>
      <c r="AHU441" s="6"/>
      <c r="AHV441" s="6"/>
      <c r="AHW441" s="6"/>
      <c r="AHX441" s="6"/>
      <c r="AHY441" s="6"/>
      <c r="AHZ441" s="6"/>
      <c r="AIA441" s="6"/>
      <c r="AIB441" s="6"/>
      <c r="AIC441" s="6"/>
      <c r="AID441" s="6"/>
      <c r="AIE441" s="6"/>
      <c r="AIF441" s="6"/>
      <c r="AIG441" s="6"/>
      <c r="AIH441" s="6"/>
      <c r="AII441" s="6"/>
      <c r="AIJ441" s="6"/>
      <c r="AIK441" s="6"/>
      <c r="AIL441" s="6"/>
      <c r="AIM441" s="6"/>
      <c r="AIN441" s="6"/>
      <c r="AIO441" s="6"/>
      <c r="AIP441" s="6"/>
      <c r="AIQ441" s="6"/>
      <c r="AIR441" s="6"/>
      <c r="AIS441" s="6"/>
      <c r="AIT441" s="6"/>
      <c r="AIU441" s="6"/>
      <c r="AIV441" s="6"/>
      <c r="AIW441" s="6"/>
      <c r="AIX441" s="6"/>
      <c r="AIY441" s="6"/>
      <c r="AIZ441" s="6"/>
      <c r="AJA441" s="6"/>
      <c r="AJB441" s="6"/>
      <c r="AJC441" s="6"/>
      <c r="AJD441" s="6"/>
      <c r="AJE441" s="6"/>
      <c r="AJF441" s="6"/>
      <c r="AJG441" s="6"/>
      <c r="AJH441" s="6"/>
      <c r="AJI441" s="6"/>
      <c r="AJJ441" s="6"/>
      <c r="AJK441" s="6"/>
      <c r="AJL441" s="6"/>
      <c r="AJM441" s="6"/>
      <c r="AJN441" s="6"/>
      <c r="AJO441" s="6"/>
      <c r="AJP441" s="6"/>
      <c r="AJQ441" s="6"/>
      <c r="AJR441" s="6"/>
      <c r="AJS441" s="6"/>
      <c r="AJT441" s="6"/>
      <c r="AJU441" s="6"/>
      <c r="AJV441" s="6"/>
      <c r="AJW441" s="6"/>
      <c r="AJX441" s="6"/>
      <c r="AJY441" s="6"/>
      <c r="AJZ441" s="6"/>
      <c r="AKA441" s="6"/>
      <c r="AKB441" s="6"/>
      <c r="AKC441" s="6"/>
      <c r="AKD441" s="6"/>
      <c r="AKE441" s="6"/>
      <c r="AKF441" s="6"/>
      <c r="AKG441" s="6"/>
      <c r="AKH441" s="6"/>
      <c r="AKI441" s="6"/>
      <c r="AKJ441" s="6"/>
      <c r="AKK441" s="6"/>
      <c r="AKL441" s="6"/>
      <c r="AKM441" s="6"/>
      <c r="AKN441" s="6"/>
      <c r="AKO441" s="6"/>
      <c r="AKP441" s="6"/>
      <c r="AKQ441" s="6"/>
      <c r="AKR441" s="6"/>
      <c r="AKS441" s="6"/>
      <c r="AKT441" s="6"/>
      <c r="AKU441" s="6"/>
      <c r="AKV441" s="6"/>
      <c r="AKW441" s="6"/>
      <c r="AKX441" s="6"/>
      <c r="AKY441" s="6"/>
      <c r="AKZ441" s="6"/>
      <c r="ALA441" s="6"/>
      <c r="ALB441" s="6"/>
      <c r="ALC441" s="6"/>
      <c r="ALD441" s="6"/>
      <c r="ALE441" s="6"/>
      <c r="ALF441" s="6"/>
      <c r="ALG441" s="6"/>
      <c r="ALH441" s="6"/>
      <c r="ALI441" s="6"/>
      <c r="ALJ441" s="6"/>
      <c r="ALK441" s="6"/>
      <c r="ALL441" s="6"/>
      <c r="ALM441" s="6"/>
      <c r="ALN441" s="6"/>
      <c r="ALO441" s="6"/>
      <c r="ALP441" s="6"/>
      <c r="ALQ441" s="6"/>
      <c r="ALR441" s="6"/>
      <c r="ALS441" s="6"/>
      <c r="ALT441" s="6"/>
      <c r="ALU441" s="6"/>
      <c r="ALV441" s="6"/>
      <c r="ALW441" s="6"/>
      <c r="ALX441" s="6"/>
      <c r="ALY441" s="6"/>
      <c r="ALZ441" s="6"/>
      <c r="AMA441" s="6"/>
      <c r="AMB441" s="6"/>
      <c r="AMC441" s="6"/>
      <c r="AMD441" s="6"/>
      <c r="AME441" s="6"/>
      <c r="AMF441" s="6"/>
      <c r="AMG441" s="6"/>
      <c r="AMH441" s="6"/>
      <c r="AMI441" s="6"/>
      <c r="AMJ441" s="6"/>
      <c r="AMK441" s="6"/>
      <c r="AML441" s="6"/>
      <c r="AMM441" s="6"/>
      <c r="AMN441" s="6"/>
      <c r="AMO441" s="6"/>
      <c r="AMP441" s="6"/>
    </row>
    <row r="442" spans="1:1030" x14ac:dyDescent="0.2">
      <c r="A442" s="3" t="str">
        <f t="shared" si="4193"/>
        <v>calrl_human__wt</v>
      </c>
      <c r="B442" s="2" t="s">
        <v>401</v>
      </c>
      <c r="C442" s="3" t="s">
        <v>100</v>
      </c>
      <c r="D442" s="3" t="str">
        <f>IFERROR(MID(VLOOKUP($B442,Seqs!$A:$B,2,0),E442,1),"")</f>
        <v>N</v>
      </c>
      <c r="E442" s="3">
        <v>130</v>
      </c>
      <c r="F442" s="3" t="str">
        <f>IFERROR(MID(VLOOKUP($B442,Seqs!$A:$B,2,0),G442,1),"")</f>
        <v>F</v>
      </c>
      <c r="G442" s="3">
        <v>166</v>
      </c>
      <c r="H442" s="3" t="str">
        <f>IFERROR(MID(VLOOKUP($B442,Seqs!$A:$B,2,0),I442,1),"")</f>
        <v>K</v>
      </c>
      <c r="I442" s="23">
        <v>167</v>
      </c>
      <c r="J442" s="3" t="str">
        <f>IFERROR(MID(VLOOKUP($B442,Seqs!$A:$B,2,0),K442,1),"")</f>
        <v>S</v>
      </c>
      <c r="K442" s="23">
        <v>170</v>
      </c>
      <c r="L442" s="3" t="str">
        <f>IFERROR(MID(VLOOKUP($B442,Seqs!$A:$B,2,0),M442,1),"")</f>
        <v>C</v>
      </c>
      <c r="M442" s="3">
        <v>171</v>
      </c>
      <c r="N442" s="3" t="str">
        <f>IFERROR(MID(VLOOKUP($B442,Seqs!$A:$B,2,0),O442,1),"")</f>
        <v>V</v>
      </c>
      <c r="O442" s="3">
        <v>198</v>
      </c>
      <c r="P442" s="3" t="str">
        <f>IFERROR(MID(VLOOKUP($B442,Seqs!$A:$B,2,0),Q442,1),"")</f>
        <v/>
      </c>
      <c r="Q442" s="3" t="s">
        <v>23</v>
      </c>
      <c r="R442" s="3" t="str">
        <f>IFERROR(MID(VLOOKUP($B442,Seqs!$A:$B,2,0),S442,1),"")</f>
        <v/>
      </c>
      <c r="S442" s="3" t="s">
        <v>23</v>
      </c>
      <c r="T442" s="3" t="str">
        <f>IFERROR(MID(VLOOKUP($B442,Seqs!$A:$B,2,0),U442,1),"")</f>
        <v>V</v>
      </c>
      <c r="U442" s="3">
        <v>210</v>
      </c>
      <c r="V442" s="3" t="str">
        <f>IFERROR(MID(VLOOKUP($B442,Seqs!$A:$B,2,0),W442,1),"")</f>
        <v>V</v>
      </c>
      <c r="W442" s="3">
        <v>243</v>
      </c>
      <c r="X442" s="3" t="str">
        <f>IFERROR(MID(VLOOKUP($B442,Seqs!$A:$B,2,0),Y442,1),"")</f>
        <v/>
      </c>
      <c r="Y442" s="3" t="s">
        <v>23</v>
      </c>
      <c r="Z442" s="3" t="str">
        <f>IFERROR(MID(VLOOKUP($B442,Seqs!$A:$B,2,0),AA442,1),"")</f>
        <v/>
      </c>
      <c r="AA442" s="3" t="s">
        <v>23</v>
      </c>
      <c r="AB442" s="3" t="str">
        <f>IFERROR(MID(VLOOKUP($B442,Seqs!$A:$B,2,0),AC442,1),"")</f>
        <v>H</v>
      </c>
      <c r="AC442" s="3">
        <v>251</v>
      </c>
      <c r="AD442" s="3" t="str">
        <f>IFERROR(MID(VLOOKUP($B442,Seqs!$A:$B,2,0),AE442,1),"")</f>
        <v>Y</v>
      </c>
      <c r="AE442" s="3">
        <v>277</v>
      </c>
      <c r="AF442" s="3" t="str">
        <f>IFERROR(MID(VLOOKUP($B442,Seqs!$A:$B,2,0),AG442,1),"")</f>
        <v>C</v>
      </c>
      <c r="AG442" s="3">
        <v>282</v>
      </c>
      <c r="AH442" s="3" t="str">
        <f>IFERROR(MID(VLOOKUP($B442,Seqs!$A:$B,2,0),AI442,1),"")</f>
        <v>I</v>
      </c>
      <c r="AI442" s="3">
        <v>284</v>
      </c>
      <c r="AJ442" s="3" t="str">
        <f>IFERROR(MID(VLOOKUP($B442,Seqs!$A:$B,2,0),AK442,1),"")</f>
        <v>L</v>
      </c>
      <c r="AK442" s="3">
        <v>290</v>
      </c>
      <c r="AL442" s="3" t="str">
        <f>IFERROR(MID(VLOOKUP($B442,Seqs!$A:$B,2,0),AM442,1),"")</f>
        <v>K</v>
      </c>
      <c r="AM442" s="3">
        <v>321</v>
      </c>
      <c r="AN442" s="3" t="str">
        <f>IFERROR(MID(VLOOKUP($B442,Seqs!$A:$B,2,0),AO442,1),"")</f>
        <v>Y</v>
      </c>
      <c r="AO442" s="3">
        <v>331</v>
      </c>
      <c r="AP442" s="3" t="str">
        <f>IFERROR(MID(VLOOKUP($B442,Seqs!$A:$B,2,0),AQ442,1),"")</f>
        <v>W</v>
      </c>
      <c r="AQ442" s="3">
        <v>354</v>
      </c>
      <c r="AR442" s="3" t="str">
        <f>IFERROR(MID(VLOOKUP($B442,Seqs!$A:$B,2,0),AS442,1),"")</f>
        <v>K</v>
      </c>
      <c r="AS442" s="3">
        <v>359</v>
      </c>
      <c r="AT442" s="3" t="str">
        <f>IFERROR(MID(VLOOKUP($B442,Seqs!$A:$B,2,0),AU442,1),"")</f>
        <v>F</v>
      </c>
      <c r="AU442" s="3">
        <v>387</v>
      </c>
      <c r="AV442" s="3" t="str">
        <f>IFERROR(MID(VLOOKUP($B442,Seqs!$A:$B,2,0),AW442,1),"")</f>
        <v>N</v>
      </c>
      <c r="AW442" s="3">
        <v>388</v>
      </c>
      <c r="AX442" s="3" t="str">
        <f>IFERROR(MID(VLOOKUP($B442,Seqs!$A:$B,2,0),AY442,1),"")</f>
        <v>S</v>
      </c>
      <c r="AY442" s="3">
        <v>413</v>
      </c>
      <c r="AZ442" s="77" t="str">
        <f>VLOOKUP(B442,Classification!A:D,2,0)</f>
        <v>B1</v>
      </c>
      <c r="BA442" s="94" t="str">
        <f>VLOOKUP(B442,Classification!A:D,4,0)</f>
        <v>Calcitonin</v>
      </c>
      <c r="BB442" s="27" t="b">
        <f t="shared" ref="BB442" si="4278">AND(E442&lt;G442,OR(G442&lt;I442,I442="-"),OR(I442&lt;K442,I442="-"),OR(K442&lt;M442,K442="-"),M442&lt;O442,OR(O442&lt;Q442,Q442="-"),OR(Q442&lt;S442,Q442="-"),OR(S442&lt;U442,S442="-"),U442&lt;W442,OR(W442&lt;Y442,Y442="-"),OR(Y442&lt;AA442,Y442="-"),OR(AA442&lt;AC442,AA442="-"),AC442&lt;AE442,OR(AE442&lt;AG442,AG442="-"),OR(AG442&lt;AI442,AG442="-"),OR(AI442&lt;AK442,AI442="-"),AK442&lt;AM442,AM442&lt;AO442,AO442&lt;AQ442,AQ442&lt;AS442,AS442&lt;AU442,OR(AU442&lt;AW442,AW442="-"),OR(AW442&lt;AY442,AW442="-"))</f>
        <v>1</v>
      </c>
      <c r="BC442" s="23">
        <f t="shared" ref="BC442" si="4279">_xlfn.AGGREGATE(9,6,CH442:CS442)-_xlfn.AGGREGATE(9,6,BV442:CG442)+12</f>
        <v>246</v>
      </c>
      <c r="BD442" s="4" t="s">
        <v>23</v>
      </c>
      <c r="BE442" s="3" t="s">
        <v>23</v>
      </c>
      <c r="BF442" s="118" t="s">
        <v>23</v>
      </c>
      <c r="BG442" s="49" t="s">
        <v>1371</v>
      </c>
      <c r="BH442" s="49" t="s">
        <v>1371</v>
      </c>
      <c r="BI442" s="1"/>
      <c r="BJ442" s="70" t="s">
        <v>1281</v>
      </c>
      <c r="BK442" s="57" t="s">
        <v>1281</v>
      </c>
      <c r="BL442" s="57" t="s">
        <v>1281</v>
      </c>
      <c r="BM442" s="57" t="s">
        <v>1281</v>
      </c>
      <c r="BN442" s="57" t="s">
        <v>1281</v>
      </c>
      <c r="BO442" s="57" t="s">
        <v>1281</v>
      </c>
      <c r="BP442" s="57" t="s">
        <v>1281</v>
      </c>
      <c r="BQ442" s="57" t="s">
        <v>1281</v>
      </c>
      <c r="BR442" s="57" t="s">
        <v>1281</v>
      </c>
      <c r="BS442" s="57" t="s">
        <v>1281</v>
      </c>
      <c r="BT442" s="57" t="s">
        <v>1281</v>
      </c>
      <c r="BU442" s="57" t="s">
        <v>1281</v>
      </c>
      <c r="BV442" s="70">
        <f t="shared" ref="BV442" si="4280">E442</f>
        <v>130</v>
      </c>
      <c r="BW442" s="71">
        <f t="shared" ref="BW442" si="4281">I442</f>
        <v>167</v>
      </c>
      <c r="BX442" s="72">
        <f t="shared" ref="BX442" si="4282">M442</f>
        <v>171</v>
      </c>
      <c r="BY442" s="71" t="str">
        <f t="shared" ref="BY442" si="4283">Q442</f>
        <v>-</v>
      </c>
      <c r="BZ442" s="72">
        <f t="shared" ref="BZ442" si="4284">U442</f>
        <v>210</v>
      </c>
      <c r="CA442" s="71" t="str">
        <f t="shared" ref="CA442" si="4285">Y442</f>
        <v>-</v>
      </c>
      <c r="CB442" s="72">
        <f t="shared" ref="CB442" si="4286">AC442</f>
        <v>251</v>
      </c>
      <c r="CC442" s="71">
        <f t="shared" ref="CC442" si="4287">AG442</f>
        <v>282</v>
      </c>
      <c r="CD442" s="72">
        <f t="shared" ref="CD442" si="4288">AK442</f>
        <v>290</v>
      </c>
      <c r="CE442" s="71">
        <f t="shared" ref="CE442" si="4289">AO442</f>
        <v>331</v>
      </c>
      <c r="CF442" s="72">
        <f t="shared" ref="CF442" si="4290">AS442</f>
        <v>359</v>
      </c>
      <c r="CG442" s="71">
        <f t="shared" ref="CG442" si="4291">AW442</f>
        <v>388</v>
      </c>
      <c r="CH442" s="70">
        <f t="shared" ref="CH442" si="4292">G442</f>
        <v>166</v>
      </c>
      <c r="CI442" s="71">
        <f t="shared" ref="CI442" si="4293">K442</f>
        <v>170</v>
      </c>
      <c r="CJ442" s="72">
        <f t="shared" ref="CJ442" si="4294">O442</f>
        <v>198</v>
      </c>
      <c r="CK442" s="72" t="str">
        <f t="shared" ref="CK442" si="4295">S442</f>
        <v>-</v>
      </c>
      <c r="CL442" s="72">
        <f t="shared" ref="CL442" si="4296">W442</f>
        <v>243</v>
      </c>
      <c r="CM442" s="72" t="str">
        <f t="shared" ref="CM442" si="4297">AA442</f>
        <v>-</v>
      </c>
      <c r="CN442" s="72">
        <f t="shared" ref="CN442" si="4298">AE442</f>
        <v>277</v>
      </c>
      <c r="CO442" s="72">
        <f t="shared" ref="CO442" si="4299">AI442</f>
        <v>284</v>
      </c>
      <c r="CP442" s="72">
        <f t="shared" ref="CP442" si="4300">AM442</f>
        <v>321</v>
      </c>
      <c r="CQ442" s="72">
        <f t="shared" ref="CQ442" si="4301">AQ442</f>
        <v>354</v>
      </c>
      <c r="CR442" s="72">
        <f t="shared" ref="CR442" si="4302">AU442</f>
        <v>387</v>
      </c>
      <c r="CS442" s="72">
        <f t="shared" ref="CS442" si="4303">AY442</f>
        <v>413</v>
      </c>
      <c r="CT442" s="23">
        <f t="shared" ref="CT442" si="4304">M442-K442</f>
        <v>1</v>
      </c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6"/>
      <c r="KG442" s="6"/>
      <c r="KH442" s="6"/>
      <c r="KI442" s="6"/>
      <c r="KJ442" s="6"/>
      <c r="KK442" s="6"/>
      <c r="KL442" s="6"/>
      <c r="KM442" s="6"/>
      <c r="KN442" s="6"/>
      <c r="KO442" s="6"/>
      <c r="KP442" s="6"/>
      <c r="KQ442" s="6"/>
      <c r="KR442" s="6"/>
      <c r="KS442" s="6"/>
      <c r="KT442" s="6"/>
      <c r="KU442" s="6"/>
      <c r="KV442" s="6"/>
      <c r="KW442" s="6"/>
      <c r="KX442" s="6"/>
      <c r="KY442" s="6"/>
      <c r="KZ442" s="6"/>
      <c r="LA442" s="6"/>
      <c r="LB442" s="6"/>
      <c r="LC442" s="6"/>
      <c r="LD442" s="6"/>
      <c r="LE442" s="6"/>
      <c r="LF442" s="6"/>
      <c r="LG442" s="6"/>
      <c r="LH442" s="6"/>
      <c r="LI442" s="6"/>
      <c r="LJ442" s="6"/>
      <c r="LK442" s="6"/>
      <c r="LL442" s="6"/>
      <c r="LM442" s="6"/>
      <c r="LN442" s="6"/>
      <c r="LO442" s="6"/>
      <c r="LP442" s="6"/>
      <c r="LQ442" s="6"/>
      <c r="LR442" s="6"/>
      <c r="LS442" s="6"/>
      <c r="LT442" s="6"/>
      <c r="LU442" s="6"/>
      <c r="LV442" s="6"/>
      <c r="LW442" s="6"/>
      <c r="LX442" s="6"/>
      <c r="LY442" s="6"/>
      <c r="LZ442" s="6"/>
      <c r="MA442" s="6"/>
      <c r="MB442" s="6"/>
      <c r="MC442" s="6"/>
      <c r="MD442" s="6"/>
      <c r="ME442" s="6"/>
      <c r="MF442" s="6"/>
      <c r="MG442" s="6"/>
      <c r="MH442" s="6"/>
      <c r="MI442" s="6"/>
      <c r="MJ442" s="6"/>
      <c r="MK442" s="6"/>
      <c r="ML442" s="6"/>
      <c r="MM442" s="6"/>
      <c r="MN442" s="6"/>
      <c r="MO442" s="6"/>
      <c r="MP442" s="6"/>
      <c r="MQ442" s="6"/>
      <c r="MR442" s="6"/>
      <c r="MS442" s="6"/>
      <c r="MT442" s="6"/>
      <c r="MU442" s="6"/>
      <c r="MV442" s="6"/>
      <c r="MW442" s="6"/>
      <c r="MX442" s="6"/>
      <c r="MY442" s="6"/>
      <c r="MZ442" s="6"/>
      <c r="NA442" s="6"/>
      <c r="NB442" s="6"/>
      <c r="NC442" s="6"/>
      <c r="ND442" s="6"/>
      <c r="NE442" s="6"/>
      <c r="NF442" s="6"/>
      <c r="NG442" s="6"/>
      <c r="NH442" s="6"/>
      <c r="NI442" s="6"/>
      <c r="NJ442" s="6"/>
      <c r="NK442" s="6"/>
      <c r="NL442" s="6"/>
      <c r="NM442" s="6"/>
      <c r="NN442" s="6"/>
      <c r="NO442" s="6"/>
      <c r="NP442" s="6"/>
      <c r="NQ442" s="6"/>
      <c r="NR442" s="6"/>
      <c r="NS442" s="6"/>
      <c r="NT442" s="6"/>
      <c r="NU442" s="6"/>
      <c r="NV442" s="6"/>
      <c r="NW442" s="6"/>
      <c r="NX442" s="6"/>
      <c r="NY442" s="6"/>
      <c r="NZ442" s="6"/>
      <c r="OA442" s="6"/>
      <c r="OB442" s="6"/>
      <c r="OC442" s="6"/>
      <c r="OD442" s="6"/>
      <c r="OE442" s="6"/>
      <c r="OF442" s="6"/>
      <c r="OG442" s="6"/>
      <c r="OH442" s="6"/>
      <c r="OI442" s="6"/>
      <c r="OJ442" s="6"/>
      <c r="OK442" s="6"/>
      <c r="OL442" s="6"/>
      <c r="OM442" s="6"/>
      <c r="ON442" s="6"/>
      <c r="OO442" s="6"/>
      <c r="OP442" s="6"/>
      <c r="OQ442" s="6"/>
      <c r="OR442" s="6"/>
      <c r="OS442" s="6"/>
      <c r="OT442" s="6"/>
      <c r="OU442" s="6"/>
      <c r="OV442" s="6"/>
      <c r="OW442" s="6"/>
      <c r="OX442" s="6"/>
      <c r="OY442" s="6"/>
      <c r="OZ442" s="6"/>
      <c r="PA442" s="6"/>
      <c r="PB442" s="6"/>
      <c r="PC442" s="6"/>
      <c r="PD442" s="6"/>
      <c r="PE442" s="6"/>
      <c r="PF442" s="6"/>
      <c r="PG442" s="6"/>
      <c r="PH442" s="6"/>
      <c r="PI442" s="6"/>
      <c r="PJ442" s="6"/>
      <c r="PK442" s="6"/>
      <c r="PL442" s="6"/>
      <c r="PM442" s="6"/>
      <c r="PN442" s="6"/>
      <c r="PO442" s="6"/>
      <c r="PP442" s="6"/>
      <c r="PQ442" s="6"/>
      <c r="PR442" s="6"/>
      <c r="PS442" s="6"/>
      <c r="PT442" s="6"/>
      <c r="PU442" s="6"/>
      <c r="PV442" s="6"/>
      <c r="PW442" s="6"/>
      <c r="PX442" s="6"/>
      <c r="PY442" s="6"/>
      <c r="PZ442" s="6"/>
      <c r="QA442" s="6"/>
      <c r="QB442" s="6"/>
      <c r="QC442" s="6"/>
      <c r="QD442" s="6"/>
      <c r="QE442" s="6"/>
      <c r="QF442" s="6"/>
      <c r="QG442" s="6"/>
      <c r="QH442" s="6"/>
      <c r="QI442" s="6"/>
      <c r="QJ442" s="6"/>
      <c r="QK442" s="6"/>
      <c r="QL442" s="6"/>
      <c r="QM442" s="6"/>
      <c r="QN442" s="6"/>
      <c r="QO442" s="6"/>
      <c r="QP442" s="6"/>
      <c r="QQ442" s="6"/>
      <c r="QR442" s="6"/>
      <c r="QS442" s="6"/>
      <c r="QT442" s="6"/>
      <c r="QU442" s="6"/>
      <c r="QV442" s="6"/>
      <c r="QW442" s="6"/>
      <c r="QX442" s="6"/>
      <c r="QY442" s="6"/>
      <c r="QZ442" s="6"/>
      <c r="RA442" s="6"/>
      <c r="RB442" s="6"/>
      <c r="RC442" s="6"/>
      <c r="RD442" s="6"/>
      <c r="RE442" s="6"/>
      <c r="RF442" s="6"/>
      <c r="RG442" s="6"/>
      <c r="RH442" s="6"/>
      <c r="RI442" s="6"/>
      <c r="RJ442" s="6"/>
      <c r="RK442" s="6"/>
      <c r="RL442" s="6"/>
      <c r="RM442" s="6"/>
      <c r="RN442" s="6"/>
      <c r="RO442" s="6"/>
      <c r="RP442" s="6"/>
      <c r="RQ442" s="6"/>
      <c r="RR442" s="6"/>
      <c r="RS442" s="6"/>
      <c r="RT442" s="6"/>
      <c r="RU442" s="6"/>
      <c r="RV442" s="6"/>
      <c r="RW442" s="6"/>
      <c r="RX442" s="6"/>
      <c r="RY442" s="6"/>
      <c r="RZ442" s="6"/>
      <c r="SA442" s="6"/>
      <c r="SB442" s="6"/>
      <c r="SC442" s="6"/>
      <c r="SD442" s="6"/>
      <c r="SE442" s="6"/>
      <c r="SF442" s="6"/>
      <c r="SG442" s="6"/>
      <c r="SH442" s="6"/>
      <c r="SI442" s="6"/>
      <c r="SJ442" s="6"/>
      <c r="SK442" s="6"/>
      <c r="SL442" s="6"/>
      <c r="SM442" s="6"/>
      <c r="SN442" s="6"/>
      <c r="SO442" s="6"/>
      <c r="SP442" s="6"/>
      <c r="SQ442" s="6"/>
      <c r="SR442" s="6"/>
      <c r="SS442" s="6"/>
      <c r="ST442" s="6"/>
      <c r="SU442" s="6"/>
      <c r="SV442" s="6"/>
      <c r="SW442" s="6"/>
      <c r="SX442" s="6"/>
      <c r="SY442" s="6"/>
      <c r="SZ442" s="6"/>
      <c r="TA442" s="6"/>
      <c r="TB442" s="6"/>
      <c r="TC442" s="6"/>
      <c r="TD442" s="6"/>
      <c r="TE442" s="6"/>
      <c r="TF442" s="6"/>
      <c r="TG442" s="6"/>
      <c r="TH442" s="6"/>
      <c r="TI442" s="6"/>
      <c r="TJ442" s="6"/>
      <c r="TK442" s="6"/>
      <c r="TL442" s="6"/>
      <c r="TM442" s="6"/>
      <c r="TN442" s="6"/>
      <c r="TO442" s="6"/>
      <c r="TP442" s="6"/>
      <c r="TQ442" s="6"/>
      <c r="TR442" s="6"/>
      <c r="TS442" s="6"/>
      <c r="TT442" s="6"/>
      <c r="TU442" s="6"/>
      <c r="TV442" s="6"/>
      <c r="TW442" s="6"/>
      <c r="TX442" s="6"/>
      <c r="TY442" s="6"/>
      <c r="TZ442" s="6"/>
      <c r="UA442" s="6"/>
      <c r="UB442" s="6"/>
      <c r="UC442" s="6"/>
      <c r="UD442" s="6"/>
      <c r="UE442" s="6"/>
      <c r="UF442" s="6"/>
      <c r="UG442" s="6"/>
      <c r="UH442" s="6"/>
      <c r="UI442" s="6"/>
      <c r="UJ442" s="6"/>
      <c r="UK442" s="6"/>
      <c r="UL442" s="6"/>
      <c r="UM442" s="6"/>
      <c r="UN442" s="6"/>
      <c r="UO442" s="6"/>
      <c r="UP442" s="6"/>
      <c r="UQ442" s="6"/>
      <c r="UR442" s="6"/>
      <c r="US442" s="6"/>
      <c r="UT442" s="6"/>
      <c r="UU442" s="6"/>
      <c r="UV442" s="6"/>
      <c r="UW442" s="6"/>
      <c r="UX442" s="6"/>
      <c r="UY442" s="6"/>
      <c r="UZ442" s="6"/>
      <c r="VA442" s="6"/>
      <c r="VB442" s="6"/>
      <c r="VC442" s="6"/>
      <c r="VD442" s="6"/>
      <c r="VE442" s="6"/>
      <c r="VF442" s="6"/>
      <c r="VG442" s="6"/>
      <c r="VH442" s="6"/>
      <c r="VI442" s="6"/>
      <c r="VJ442" s="6"/>
      <c r="VK442" s="6"/>
      <c r="VL442" s="6"/>
      <c r="VM442" s="6"/>
      <c r="VN442" s="6"/>
      <c r="VO442" s="6"/>
      <c r="VP442" s="6"/>
      <c r="VQ442" s="6"/>
      <c r="VR442" s="6"/>
      <c r="VS442" s="6"/>
      <c r="VT442" s="6"/>
      <c r="VU442" s="6"/>
      <c r="VV442" s="6"/>
      <c r="VW442" s="6"/>
      <c r="VX442" s="6"/>
      <c r="VY442" s="6"/>
      <c r="VZ442" s="6"/>
      <c r="WA442" s="6"/>
      <c r="WB442" s="6"/>
      <c r="WC442" s="6"/>
      <c r="WD442" s="6"/>
      <c r="WE442" s="6"/>
      <c r="WF442" s="6"/>
      <c r="WG442" s="6"/>
      <c r="WH442" s="6"/>
      <c r="WI442" s="6"/>
      <c r="WJ442" s="6"/>
      <c r="WK442" s="6"/>
      <c r="WL442" s="6"/>
      <c r="WM442" s="6"/>
      <c r="WN442" s="6"/>
      <c r="WO442" s="6"/>
      <c r="WP442" s="6"/>
      <c r="WQ442" s="6"/>
      <c r="WR442" s="6"/>
      <c r="WS442" s="6"/>
      <c r="WT442" s="6"/>
      <c r="WU442" s="6"/>
      <c r="WV442" s="6"/>
      <c r="WW442" s="6"/>
      <c r="WX442" s="6"/>
      <c r="WY442" s="6"/>
      <c r="WZ442" s="6"/>
      <c r="XA442" s="6"/>
      <c r="XB442" s="6"/>
      <c r="XC442" s="6"/>
      <c r="XD442" s="6"/>
      <c r="XE442" s="6"/>
      <c r="XF442" s="6"/>
      <c r="XG442" s="6"/>
      <c r="XH442" s="6"/>
      <c r="XI442" s="6"/>
      <c r="XJ442" s="6"/>
      <c r="XK442" s="6"/>
      <c r="XL442" s="6"/>
      <c r="XM442" s="6"/>
      <c r="XN442" s="6"/>
      <c r="XO442" s="6"/>
      <c r="XP442" s="6"/>
      <c r="XQ442" s="6"/>
      <c r="XR442" s="6"/>
      <c r="XS442" s="6"/>
      <c r="XT442" s="6"/>
      <c r="XU442" s="6"/>
      <c r="XV442" s="6"/>
      <c r="XW442" s="6"/>
      <c r="XX442" s="6"/>
      <c r="XY442" s="6"/>
      <c r="XZ442" s="6"/>
      <c r="YA442" s="6"/>
      <c r="YB442" s="6"/>
      <c r="YC442" s="6"/>
      <c r="YD442" s="6"/>
      <c r="YE442" s="6"/>
      <c r="YF442" s="6"/>
      <c r="YG442" s="6"/>
      <c r="YH442" s="6"/>
      <c r="YI442" s="6"/>
      <c r="YJ442" s="6"/>
      <c r="YK442" s="6"/>
      <c r="YL442" s="6"/>
      <c r="YM442" s="6"/>
      <c r="YN442" s="6"/>
      <c r="YO442" s="6"/>
      <c r="YP442" s="6"/>
      <c r="YQ442" s="6"/>
      <c r="YR442" s="6"/>
      <c r="YS442" s="6"/>
      <c r="YT442" s="6"/>
      <c r="YU442" s="6"/>
      <c r="YV442" s="6"/>
      <c r="YW442" s="6"/>
      <c r="YX442" s="6"/>
      <c r="YY442" s="6"/>
      <c r="YZ442" s="6"/>
      <c r="ZA442" s="6"/>
      <c r="ZB442" s="6"/>
      <c r="ZC442" s="6"/>
      <c r="ZD442" s="6"/>
      <c r="ZE442" s="6"/>
      <c r="ZF442" s="6"/>
      <c r="ZG442" s="6"/>
      <c r="ZH442" s="6"/>
      <c r="ZI442" s="6"/>
      <c r="ZJ442" s="6"/>
      <c r="ZK442" s="6"/>
      <c r="ZL442" s="6"/>
      <c r="ZM442" s="6"/>
      <c r="ZN442" s="6"/>
      <c r="ZO442" s="6"/>
      <c r="ZP442" s="6"/>
      <c r="ZQ442" s="6"/>
      <c r="ZR442" s="6"/>
      <c r="ZS442" s="6"/>
      <c r="ZT442" s="6"/>
      <c r="ZU442" s="6"/>
      <c r="ZV442" s="6"/>
      <c r="ZW442" s="6"/>
      <c r="ZX442" s="6"/>
      <c r="ZY442" s="6"/>
      <c r="ZZ442" s="6"/>
      <c r="AAA442" s="6"/>
      <c r="AAB442" s="6"/>
      <c r="AAC442" s="6"/>
      <c r="AAD442" s="6"/>
      <c r="AAE442" s="6"/>
      <c r="AAF442" s="6"/>
      <c r="AAG442" s="6"/>
      <c r="AAH442" s="6"/>
      <c r="AAI442" s="6"/>
      <c r="AAJ442" s="6"/>
      <c r="AAK442" s="6"/>
      <c r="AAL442" s="6"/>
      <c r="AAM442" s="6"/>
      <c r="AAN442" s="6"/>
      <c r="AAO442" s="6"/>
      <c r="AAP442" s="6"/>
      <c r="AAQ442" s="6"/>
      <c r="AAR442" s="6"/>
      <c r="AAS442" s="6"/>
      <c r="AAT442" s="6"/>
      <c r="AAU442" s="6"/>
      <c r="AAV442" s="6"/>
      <c r="AAW442" s="6"/>
      <c r="AAX442" s="6"/>
      <c r="AAY442" s="6"/>
      <c r="AAZ442" s="6"/>
      <c r="ABA442" s="6"/>
      <c r="ABB442" s="6"/>
      <c r="ABC442" s="6"/>
      <c r="ABD442" s="6"/>
      <c r="ABE442" s="6"/>
      <c r="ABF442" s="6"/>
      <c r="ABG442" s="6"/>
      <c r="ABH442" s="6"/>
      <c r="ABI442" s="6"/>
      <c r="ABJ442" s="6"/>
      <c r="ABK442" s="6"/>
      <c r="ABL442" s="6"/>
      <c r="ABM442" s="6"/>
      <c r="ABN442" s="6"/>
      <c r="ABO442" s="6"/>
      <c r="ABP442" s="6"/>
      <c r="ABQ442" s="6"/>
      <c r="ABR442" s="6"/>
      <c r="ABS442" s="6"/>
      <c r="ABT442" s="6"/>
      <c r="ABU442" s="6"/>
      <c r="ABV442" s="6"/>
      <c r="ABW442" s="6"/>
      <c r="ABX442" s="6"/>
      <c r="ABY442" s="6"/>
      <c r="ABZ442" s="6"/>
      <c r="ACA442" s="6"/>
      <c r="ACB442" s="6"/>
      <c r="ACC442" s="6"/>
      <c r="ACD442" s="6"/>
      <c r="ACE442" s="6"/>
      <c r="ACF442" s="6"/>
      <c r="ACG442" s="6"/>
      <c r="ACH442" s="6"/>
      <c r="ACI442" s="6"/>
      <c r="ACJ442" s="6"/>
      <c r="ACK442" s="6"/>
      <c r="ACL442" s="6"/>
      <c r="ACM442" s="6"/>
      <c r="ACN442" s="6"/>
      <c r="ACO442" s="6"/>
      <c r="ACP442" s="6"/>
      <c r="ACQ442" s="6"/>
      <c r="ACR442" s="6"/>
      <c r="ACS442" s="6"/>
      <c r="ACT442" s="6"/>
      <c r="ACU442" s="6"/>
      <c r="ACV442" s="6"/>
      <c r="ACW442" s="6"/>
      <c r="ACX442" s="6"/>
      <c r="ACY442" s="6"/>
      <c r="ACZ442" s="6"/>
      <c r="ADA442" s="6"/>
      <c r="ADB442" s="6"/>
      <c r="ADC442" s="6"/>
      <c r="ADD442" s="6"/>
      <c r="ADE442" s="6"/>
      <c r="ADF442" s="6"/>
      <c r="ADG442" s="6"/>
      <c r="ADH442" s="6"/>
      <c r="ADI442" s="6"/>
      <c r="ADJ442" s="6"/>
      <c r="ADK442" s="6"/>
      <c r="ADL442" s="6"/>
      <c r="ADM442" s="6"/>
      <c r="ADN442" s="6"/>
      <c r="ADO442" s="6"/>
      <c r="ADP442" s="6"/>
      <c r="ADQ442" s="6"/>
      <c r="ADR442" s="6"/>
      <c r="ADS442" s="6"/>
      <c r="ADT442" s="6"/>
      <c r="ADU442" s="6"/>
      <c r="ADV442" s="6"/>
      <c r="ADW442" s="6"/>
      <c r="ADX442" s="6"/>
      <c r="ADY442" s="6"/>
      <c r="ADZ442" s="6"/>
      <c r="AEA442" s="6"/>
      <c r="AEB442" s="6"/>
      <c r="AEC442" s="6"/>
      <c r="AED442" s="6"/>
      <c r="AEE442" s="6"/>
      <c r="AEF442" s="6"/>
      <c r="AEG442" s="6"/>
      <c r="AEH442" s="6"/>
      <c r="AEI442" s="6"/>
      <c r="AEJ442" s="6"/>
      <c r="AEK442" s="6"/>
      <c r="AEL442" s="6"/>
      <c r="AEM442" s="6"/>
      <c r="AEN442" s="6"/>
      <c r="AEO442" s="6"/>
      <c r="AEP442" s="6"/>
      <c r="AEQ442" s="6"/>
      <c r="AER442" s="6"/>
      <c r="AES442" s="6"/>
      <c r="AET442" s="6"/>
      <c r="AEU442" s="6"/>
      <c r="AEV442" s="6"/>
      <c r="AEW442" s="6"/>
      <c r="AEX442" s="6"/>
      <c r="AEY442" s="6"/>
      <c r="AEZ442" s="6"/>
      <c r="AFA442" s="6"/>
      <c r="AFB442" s="6"/>
      <c r="AFC442" s="6"/>
      <c r="AFD442" s="6"/>
      <c r="AFE442" s="6"/>
      <c r="AFF442" s="6"/>
      <c r="AFG442" s="6"/>
      <c r="AFH442" s="6"/>
      <c r="AFI442" s="6"/>
      <c r="AFJ442" s="6"/>
      <c r="AFK442" s="6"/>
      <c r="AFL442" s="6"/>
      <c r="AFM442" s="6"/>
      <c r="AFN442" s="6"/>
      <c r="AFO442" s="6"/>
      <c r="AFP442" s="6"/>
      <c r="AFQ442" s="6"/>
      <c r="AFR442" s="6"/>
      <c r="AFS442" s="6"/>
      <c r="AFT442" s="6"/>
      <c r="AFU442" s="6"/>
      <c r="AFV442" s="6"/>
      <c r="AFW442" s="6"/>
      <c r="AFX442" s="6"/>
      <c r="AFY442" s="6"/>
      <c r="AFZ442" s="6"/>
      <c r="AGA442" s="6"/>
      <c r="AGB442" s="6"/>
      <c r="AGC442" s="6"/>
      <c r="AGD442" s="6"/>
      <c r="AGE442" s="6"/>
      <c r="AGF442" s="6"/>
      <c r="AGG442" s="6"/>
      <c r="AGH442" s="6"/>
      <c r="AGI442" s="6"/>
      <c r="AGJ442" s="6"/>
      <c r="AGK442" s="6"/>
      <c r="AGL442" s="6"/>
      <c r="AGM442" s="6"/>
      <c r="AGN442" s="6"/>
      <c r="AGO442" s="6"/>
      <c r="AGP442" s="6"/>
      <c r="AGQ442" s="6"/>
      <c r="AGR442" s="6"/>
      <c r="AGS442" s="6"/>
      <c r="AGT442" s="6"/>
      <c r="AGU442" s="6"/>
      <c r="AGV442" s="6"/>
      <c r="AGW442" s="6"/>
      <c r="AGX442" s="6"/>
      <c r="AGY442" s="6"/>
      <c r="AGZ442" s="6"/>
      <c r="AHA442" s="6"/>
      <c r="AHB442" s="6"/>
      <c r="AHC442" s="6"/>
      <c r="AHD442" s="6"/>
      <c r="AHE442" s="6"/>
      <c r="AHF442" s="6"/>
      <c r="AHG442" s="6"/>
      <c r="AHH442" s="6"/>
      <c r="AHI442" s="6"/>
      <c r="AHJ442" s="6"/>
      <c r="AHK442" s="6"/>
      <c r="AHL442" s="6"/>
      <c r="AHM442" s="6"/>
      <c r="AHN442" s="6"/>
      <c r="AHO442" s="6"/>
      <c r="AHP442" s="6"/>
      <c r="AHQ442" s="6"/>
      <c r="AHR442" s="6"/>
      <c r="AHS442" s="6"/>
      <c r="AHT442" s="6"/>
      <c r="AHU442" s="6"/>
      <c r="AHV442" s="6"/>
      <c r="AHW442" s="6"/>
      <c r="AHX442" s="6"/>
      <c r="AHY442" s="6"/>
      <c r="AHZ442" s="6"/>
      <c r="AIA442" s="6"/>
      <c r="AIB442" s="6"/>
      <c r="AIC442" s="6"/>
      <c r="AID442" s="6"/>
      <c r="AIE442" s="6"/>
      <c r="AIF442" s="6"/>
      <c r="AIG442" s="6"/>
      <c r="AIH442" s="6"/>
      <c r="AII442" s="6"/>
      <c r="AIJ442" s="6"/>
      <c r="AIK442" s="6"/>
      <c r="AIL442" s="6"/>
      <c r="AIM442" s="6"/>
      <c r="AIN442" s="6"/>
      <c r="AIO442" s="6"/>
      <c r="AIP442" s="6"/>
      <c r="AIQ442" s="6"/>
      <c r="AIR442" s="6"/>
      <c r="AIS442" s="6"/>
      <c r="AIT442" s="6"/>
      <c r="AIU442" s="6"/>
      <c r="AIV442" s="6"/>
      <c r="AIW442" s="6"/>
      <c r="AIX442" s="6"/>
      <c r="AIY442" s="6"/>
      <c r="AIZ442" s="6"/>
      <c r="AJA442" s="6"/>
      <c r="AJB442" s="6"/>
      <c r="AJC442" s="6"/>
      <c r="AJD442" s="6"/>
      <c r="AJE442" s="6"/>
      <c r="AJF442" s="6"/>
      <c r="AJG442" s="6"/>
      <c r="AJH442" s="6"/>
      <c r="AJI442" s="6"/>
      <c r="AJJ442" s="6"/>
      <c r="AJK442" s="6"/>
      <c r="AJL442" s="6"/>
      <c r="AJM442" s="6"/>
      <c r="AJN442" s="6"/>
      <c r="AJO442" s="6"/>
      <c r="AJP442" s="6"/>
      <c r="AJQ442" s="6"/>
      <c r="AJR442" s="6"/>
      <c r="AJS442" s="6"/>
      <c r="AJT442" s="6"/>
      <c r="AJU442" s="6"/>
      <c r="AJV442" s="6"/>
      <c r="AJW442" s="6"/>
      <c r="AJX442" s="6"/>
      <c r="AJY442" s="6"/>
      <c r="AJZ442" s="6"/>
      <c r="AKA442" s="6"/>
      <c r="AKB442" s="6"/>
      <c r="AKC442" s="6"/>
      <c r="AKD442" s="6"/>
      <c r="AKE442" s="6"/>
      <c r="AKF442" s="6"/>
      <c r="AKG442" s="6"/>
      <c r="AKH442" s="6"/>
      <c r="AKI442" s="6"/>
      <c r="AKJ442" s="6"/>
      <c r="AKK442" s="6"/>
      <c r="AKL442" s="6"/>
      <c r="AKM442" s="6"/>
      <c r="AKN442" s="6"/>
      <c r="AKO442" s="6"/>
      <c r="AKP442" s="6"/>
      <c r="AKQ442" s="6"/>
      <c r="AKR442" s="6"/>
      <c r="AKS442" s="6"/>
      <c r="AKT442" s="6"/>
      <c r="AKU442" s="6"/>
      <c r="AKV442" s="6"/>
      <c r="AKW442" s="6"/>
      <c r="AKX442" s="6"/>
      <c r="AKY442" s="6"/>
      <c r="AKZ442" s="6"/>
      <c r="ALA442" s="6"/>
      <c r="ALB442" s="6"/>
      <c r="ALC442" s="6"/>
      <c r="ALD442" s="6"/>
      <c r="ALE442" s="6"/>
      <c r="ALF442" s="6"/>
      <c r="ALG442" s="6"/>
      <c r="ALH442" s="6"/>
      <c r="ALI442" s="6"/>
      <c r="ALJ442" s="6"/>
      <c r="ALK442" s="6"/>
      <c r="ALL442" s="6"/>
      <c r="ALM442" s="6"/>
      <c r="ALN442" s="6"/>
      <c r="ALO442" s="6"/>
      <c r="ALP442" s="6"/>
      <c r="ALQ442" s="6"/>
      <c r="ALR442" s="6"/>
      <c r="ALS442" s="6"/>
      <c r="ALT442" s="6"/>
      <c r="ALU442" s="6"/>
      <c r="ALV442" s="6"/>
      <c r="ALW442" s="6"/>
      <c r="ALX442" s="6"/>
      <c r="ALY442" s="6"/>
      <c r="ALZ442" s="6"/>
      <c r="AMA442" s="6"/>
      <c r="AMB442" s="6"/>
      <c r="AMC442" s="6"/>
      <c r="AMD442" s="6"/>
      <c r="AME442" s="6"/>
      <c r="AMF442" s="6"/>
      <c r="AMG442" s="6"/>
      <c r="AMH442" s="6"/>
      <c r="AMI442" s="6"/>
      <c r="AMJ442" s="6"/>
      <c r="AMK442" s="6"/>
      <c r="AML442" s="6"/>
      <c r="AMM442" s="6"/>
      <c r="AMN442" s="6"/>
      <c r="AMO442" s="6"/>
      <c r="AMP442" s="6"/>
    </row>
    <row r="443" spans="1:1030" x14ac:dyDescent="0.2">
      <c r="A443" s="3" t="str">
        <f t="shared" si="4193"/>
        <v>calrl_human_6E3Y</v>
      </c>
      <c r="B443" s="2" t="s">
        <v>401</v>
      </c>
      <c r="C443" s="3" t="s">
        <v>1510</v>
      </c>
      <c r="D443" s="3" t="str">
        <f>IFERROR(MID(VLOOKUP($B443,Seqs!$A:$B,2,0),E443,1),"")</f>
        <v>N</v>
      </c>
      <c r="E443" s="3">
        <v>130</v>
      </c>
      <c r="F443" s="3" t="str">
        <f>IFERROR(MID(VLOOKUP($B443,Seqs!$A:$B,2,0),G443,1),"")</f>
        <v>F</v>
      </c>
      <c r="G443" s="3">
        <v>166</v>
      </c>
      <c r="H443" s="3" t="str">
        <f>IFERROR(MID(VLOOKUP($B443,Seqs!$A:$B,2,0),I443,1),"")</f>
        <v/>
      </c>
      <c r="I443" s="23" t="s">
        <v>23</v>
      </c>
      <c r="J443" s="3" t="str">
        <f>IFERROR(MID(VLOOKUP($B443,Seqs!$A:$B,2,0),K443,1),"")</f>
        <v/>
      </c>
      <c r="K443" s="23" t="s">
        <v>23</v>
      </c>
      <c r="L443" s="3" t="str">
        <f>IFERROR(MID(VLOOKUP($B443,Seqs!$A:$B,2,0),M443,1),"")</f>
        <v>C</v>
      </c>
      <c r="M443" s="3">
        <v>171</v>
      </c>
      <c r="N443" s="3" t="str">
        <f>IFERROR(MID(VLOOKUP($B443,Seqs!$A:$B,2,0),O443,1),"")</f>
        <v>V</v>
      </c>
      <c r="O443" s="3">
        <v>198</v>
      </c>
      <c r="P443" s="3" t="str">
        <f>IFERROR(MID(VLOOKUP($B443,Seqs!$A:$B,2,0),Q443,1),"")</f>
        <v/>
      </c>
      <c r="Q443" s="3" t="s">
        <v>23</v>
      </c>
      <c r="R443" s="3" t="str">
        <f>IFERROR(MID(VLOOKUP($B443,Seqs!$A:$B,2,0),S443,1),"")</f>
        <v/>
      </c>
      <c r="S443" s="3" t="s">
        <v>23</v>
      </c>
      <c r="T443" s="3" t="str">
        <f>IFERROR(MID(VLOOKUP($B443,Seqs!$A:$B,2,0),U443,1),"")</f>
        <v>V</v>
      </c>
      <c r="U443" s="3">
        <v>210</v>
      </c>
      <c r="V443" s="3" t="str">
        <f>IFERROR(MID(VLOOKUP($B443,Seqs!$A:$B,2,0),W443,1),"")</f>
        <v>V</v>
      </c>
      <c r="W443" s="3">
        <v>242</v>
      </c>
      <c r="X443" s="3" t="str">
        <f>IFERROR(MID(VLOOKUP($B443,Seqs!$A:$B,2,0),Y443,1),"")</f>
        <v/>
      </c>
      <c r="Y443" s="3" t="s">
        <v>23</v>
      </c>
      <c r="Z443" s="3" t="str">
        <f>IFERROR(MID(VLOOKUP($B443,Seqs!$A:$B,2,0),AA443,1),"")</f>
        <v/>
      </c>
      <c r="AA443" s="3" t="s">
        <v>23</v>
      </c>
      <c r="AB443" s="3" t="str">
        <f>IFERROR(MID(VLOOKUP($B443,Seqs!$A:$B,2,0),AC443,1),"")</f>
        <v>M</v>
      </c>
      <c r="AC443" s="3">
        <v>253</v>
      </c>
      <c r="AD443" s="3" t="str">
        <f>IFERROR(MID(VLOOKUP($B443,Seqs!$A:$B,2,0),AE443,1),"")</f>
        <v>Y</v>
      </c>
      <c r="AE443" s="3">
        <v>277</v>
      </c>
      <c r="AF443" s="3" t="str">
        <f>IFERROR(MID(VLOOKUP($B443,Seqs!$A:$B,2,0),AG443,1),"")</f>
        <v>C</v>
      </c>
      <c r="AG443" s="3">
        <v>282</v>
      </c>
      <c r="AH443" s="3" t="str">
        <f>IFERROR(MID(VLOOKUP($B443,Seqs!$A:$B,2,0),AI443,1),"")</f>
        <v>I</v>
      </c>
      <c r="AI443" s="3">
        <v>284</v>
      </c>
      <c r="AJ443" s="3" t="str">
        <f>IFERROR(MID(VLOOKUP($B443,Seqs!$A:$B,2,0),AK443,1),"")</f>
        <v>L</v>
      </c>
      <c r="AK443" s="3">
        <v>290</v>
      </c>
      <c r="AL443" s="3" t="str">
        <f>IFERROR(MID(VLOOKUP($B443,Seqs!$A:$B,2,0),AM443,1),"")</f>
        <v>K</v>
      </c>
      <c r="AM443" s="3">
        <v>321</v>
      </c>
      <c r="AN443" s="3" t="str">
        <f>IFERROR(MID(VLOOKUP($B443,Seqs!$A:$B,2,0),AO443,1),"")</f>
        <v>N</v>
      </c>
      <c r="AO443" s="3">
        <v>329</v>
      </c>
      <c r="AP443" s="3" t="str">
        <f>IFERROR(MID(VLOOKUP($B443,Seqs!$A:$B,2,0),AQ443,1),"")</f>
        <v>L</v>
      </c>
      <c r="AQ443" s="3">
        <v>351</v>
      </c>
      <c r="AR443" s="3" t="str">
        <f>IFERROR(MID(VLOOKUP($B443,Seqs!$A:$B,2,0),AS443,1),"")</f>
        <v>V</v>
      </c>
      <c r="AS443" s="3">
        <v>364</v>
      </c>
      <c r="AT443" s="3" t="str">
        <f>IFERROR(MID(VLOOKUP($B443,Seqs!$A:$B,2,0),AU443,1),"")</f>
        <v>F</v>
      </c>
      <c r="AU443" s="3">
        <v>387</v>
      </c>
      <c r="AV443" s="3" t="str">
        <f>IFERROR(MID(VLOOKUP($B443,Seqs!$A:$B,2,0),AW443,1),"")</f>
        <v>N</v>
      </c>
      <c r="AW443" s="3">
        <v>388</v>
      </c>
      <c r="AX443" s="3" t="str">
        <f>IFERROR(MID(VLOOKUP($B443,Seqs!$A:$B,2,0),AY443,1),"")</f>
        <v>W</v>
      </c>
      <c r="AY443" s="3">
        <v>399</v>
      </c>
      <c r="AZ443" s="77" t="str">
        <f>VLOOKUP(B443,Classification!A:D,2,0)</f>
        <v>B1</v>
      </c>
      <c r="BA443" s="94" t="str">
        <f>VLOOKUP(B443,Classification!A:D,4,0)</f>
        <v>Calcitonin</v>
      </c>
      <c r="BB443" s="27" t="b">
        <f t="shared" ref="BB443" si="4305">AND(E443&lt;G443,OR(G443&lt;I443,I443="-"),OR(I443&lt;K443,I443="-"),OR(K443&lt;M443,K443="-"),M443&lt;O443,OR(O443&lt;Q443,Q443="-"),OR(Q443&lt;S443,Q443="-"),OR(S443&lt;U443,S443="-"),U443&lt;W443,OR(W443&lt;Y443,Y443="-"),OR(Y443&lt;AA443,Y443="-"),OR(AA443&lt;AC443,AA443="-"),AC443&lt;AE443,OR(AE443&lt;AG443,AG443="-"),OR(AG443&lt;AI443,AG443="-"),OR(AI443&lt;AK443,AI443="-"),AK443&lt;AM443,AM443&lt;AO443,AO443&lt;AQ443,AQ443&lt;AS443,AS443&lt;AU443,OR(AU443&lt;AW443,AW443="-"),OR(AW443&lt;AY443,AW443="-"))</f>
        <v>1</v>
      </c>
      <c r="BC443" s="23">
        <f t="shared" ref="BC443" si="4306">_xlfn.AGGREGATE(9,6,CH443:CS443)-_xlfn.AGGREGATE(9,6,BV443:CG443)+12</f>
        <v>220</v>
      </c>
      <c r="BD443" s="4" t="s">
        <v>23</v>
      </c>
      <c r="BE443" s="3" t="s">
        <v>1285</v>
      </c>
      <c r="BF443" s="118">
        <v>3.3</v>
      </c>
      <c r="BG443" s="49" t="s">
        <v>1416</v>
      </c>
      <c r="BH443" s="49" t="s">
        <v>1416</v>
      </c>
      <c r="BI443" s="1"/>
      <c r="BJ443" s="70" t="s">
        <v>1281</v>
      </c>
      <c r="BK443" s="57" t="s">
        <v>1281</v>
      </c>
      <c r="BL443" s="57" t="s">
        <v>1281</v>
      </c>
      <c r="BM443" s="57" t="s">
        <v>1281</v>
      </c>
      <c r="BN443" s="57" t="s">
        <v>1281</v>
      </c>
      <c r="BO443" s="57" t="s">
        <v>1281</v>
      </c>
      <c r="BP443" s="57" t="s">
        <v>1281</v>
      </c>
      <c r="BQ443" s="57" t="s">
        <v>1281</v>
      </c>
      <c r="BR443" s="57" t="s">
        <v>1281</v>
      </c>
      <c r="BS443" s="57" t="s">
        <v>1281</v>
      </c>
      <c r="BT443" s="57" t="s">
        <v>1281</v>
      </c>
      <c r="BU443" s="57" t="s">
        <v>1281</v>
      </c>
      <c r="BV443" s="70">
        <f t="shared" ref="BV443" si="4307">E443</f>
        <v>130</v>
      </c>
      <c r="BW443" s="71" t="str">
        <f t="shared" ref="BW443" si="4308">I443</f>
        <v>-</v>
      </c>
      <c r="BX443" s="72">
        <f t="shared" ref="BX443" si="4309">M443</f>
        <v>171</v>
      </c>
      <c r="BY443" s="71" t="str">
        <f t="shared" ref="BY443" si="4310">Q443</f>
        <v>-</v>
      </c>
      <c r="BZ443" s="72">
        <f t="shared" ref="BZ443" si="4311">U443</f>
        <v>210</v>
      </c>
      <c r="CA443" s="71" t="str">
        <f t="shared" ref="CA443" si="4312">Y443</f>
        <v>-</v>
      </c>
      <c r="CB443" s="72">
        <f t="shared" ref="CB443" si="4313">AC443</f>
        <v>253</v>
      </c>
      <c r="CC443" s="71">
        <f t="shared" ref="CC443" si="4314">AG443</f>
        <v>282</v>
      </c>
      <c r="CD443" s="72">
        <f t="shared" ref="CD443" si="4315">AK443</f>
        <v>290</v>
      </c>
      <c r="CE443" s="71">
        <f t="shared" ref="CE443" si="4316">AO443</f>
        <v>329</v>
      </c>
      <c r="CF443" s="72">
        <f t="shared" ref="CF443" si="4317">AS443</f>
        <v>364</v>
      </c>
      <c r="CG443" s="71">
        <f t="shared" ref="CG443" si="4318">AW443</f>
        <v>388</v>
      </c>
      <c r="CH443" s="70">
        <f t="shared" ref="CH443" si="4319">G443</f>
        <v>166</v>
      </c>
      <c r="CI443" s="71" t="str">
        <f t="shared" ref="CI443" si="4320">K443</f>
        <v>-</v>
      </c>
      <c r="CJ443" s="72">
        <f t="shared" ref="CJ443" si="4321">O443</f>
        <v>198</v>
      </c>
      <c r="CK443" s="72" t="str">
        <f t="shared" ref="CK443" si="4322">S443</f>
        <v>-</v>
      </c>
      <c r="CL443" s="72">
        <f t="shared" ref="CL443" si="4323">W443</f>
        <v>242</v>
      </c>
      <c r="CM443" s="72" t="str">
        <f t="shared" ref="CM443" si="4324">AA443</f>
        <v>-</v>
      </c>
      <c r="CN443" s="72">
        <f t="shared" ref="CN443" si="4325">AE443</f>
        <v>277</v>
      </c>
      <c r="CO443" s="72">
        <f t="shared" ref="CO443" si="4326">AI443</f>
        <v>284</v>
      </c>
      <c r="CP443" s="72">
        <f t="shared" ref="CP443" si="4327">AM443</f>
        <v>321</v>
      </c>
      <c r="CQ443" s="72">
        <f t="shared" ref="CQ443" si="4328">AQ443</f>
        <v>351</v>
      </c>
      <c r="CR443" s="72">
        <f t="shared" ref="CR443" si="4329">AU443</f>
        <v>387</v>
      </c>
      <c r="CS443" s="72">
        <f t="shared" ref="CS443" si="4330">AY443</f>
        <v>399</v>
      </c>
      <c r="CT443" s="23" t="e">
        <f t="shared" ref="CT443" si="4331">M443-K443</f>
        <v>#VALUE!</v>
      </c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6"/>
      <c r="KG443" s="6"/>
      <c r="KH443" s="6"/>
      <c r="KI443" s="6"/>
      <c r="KJ443" s="6"/>
      <c r="KK443" s="6"/>
      <c r="KL443" s="6"/>
      <c r="KM443" s="6"/>
      <c r="KN443" s="6"/>
      <c r="KO443" s="6"/>
      <c r="KP443" s="6"/>
      <c r="KQ443" s="6"/>
      <c r="KR443" s="6"/>
      <c r="KS443" s="6"/>
      <c r="KT443" s="6"/>
      <c r="KU443" s="6"/>
      <c r="KV443" s="6"/>
      <c r="KW443" s="6"/>
      <c r="KX443" s="6"/>
      <c r="KY443" s="6"/>
      <c r="KZ443" s="6"/>
      <c r="LA443" s="6"/>
      <c r="LB443" s="6"/>
      <c r="LC443" s="6"/>
      <c r="LD443" s="6"/>
      <c r="LE443" s="6"/>
      <c r="LF443" s="6"/>
      <c r="LG443" s="6"/>
      <c r="LH443" s="6"/>
      <c r="LI443" s="6"/>
      <c r="LJ443" s="6"/>
      <c r="LK443" s="6"/>
      <c r="LL443" s="6"/>
      <c r="LM443" s="6"/>
      <c r="LN443" s="6"/>
      <c r="LO443" s="6"/>
      <c r="LP443" s="6"/>
      <c r="LQ443" s="6"/>
      <c r="LR443" s="6"/>
      <c r="LS443" s="6"/>
      <c r="LT443" s="6"/>
      <c r="LU443" s="6"/>
      <c r="LV443" s="6"/>
      <c r="LW443" s="6"/>
      <c r="LX443" s="6"/>
      <c r="LY443" s="6"/>
      <c r="LZ443" s="6"/>
      <c r="MA443" s="6"/>
      <c r="MB443" s="6"/>
      <c r="MC443" s="6"/>
      <c r="MD443" s="6"/>
      <c r="ME443" s="6"/>
      <c r="MF443" s="6"/>
      <c r="MG443" s="6"/>
      <c r="MH443" s="6"/>
      <c r="MI443" s="6"/>
      <c r="MJ443" s="6"/>
      <c r="MK443" s="6"/>
      <c r="ML443" s="6"/>
      <c r="MM443" s="6"/>
      <c r="MN443" s="6"/>
      <c r="MO443" s="6"/>
      <c r="MP443" s="6"/>
      <c r="MQ443" s="6"/>
      <c r="MR443" s="6"/>
      <c r="MS443" s="6"/>
      <c r="MT443" s="6"/>
      <c r="MU443" s="6"/>
      <c r="MV443" s="6"/>
      <c r="MW443" s="6"/>
      <c r="MX443" s="6"/>
      <c r="MY443" s="6"/>
      <c r="MZ443" s="6"/>
      <c r="NA443" s="6"/>
      <c r="NB443" s="6"/>
      <c r="NC443" s="6"/>
      <c r="ND443" s="6"/>
      <c r="NE443" s="6"/>
      <c r="NF443" s="6"/>
      <c r="NG443" s="6"/>
      <c r="NH443" s="6"/>
      <c r="NI443" s="6"/>
      <c r="NJ443" s="6"/>
      <c r="NK443" s="6"/>
      <c r="NL443" s="6"/>
      <c r="NM443" s="6"/>
      <c r="NN443" s="6"/>
      <c r="NO443" s="6"/>
      <c r="NP443" s="6"/>
      <c r="NQ443" s="6"/>
      <c r="NR443" s="6"/>
      <c r="NS443" s="6"/>
      <c r="NT443" s="6"/>
      <c r="NU443" s="6"/>
      <c r="NV443" s="6"/>
      <c r="NW443" s="6"/>
      <c r="NX443" s="6"/>
      <c r="NY443" s="6"/>
      <c r="NZ443" s="6"/>
      <c r="OA443" s="6"/>
      <c r="OB443" s="6"/>
      <c r="OC443" s="6"/>
      <c r="OD443" s="6"/>
      <c r="OE443" s="6"/>
      <c r="OF443" s="6"/>
      <c r="OG443" s="6"/>
      <c r="OH443" s="6"/>
      <c r="OI443" s="6"/>
      <c r="OJ443" s="6"/>
      <c r="OK443" s="6"/>
      <c r="OL443" s="6"/>
      <c r="OM443" s="6"/>
      <c r="ON443" s="6"/>
      <c r="OO443" s="6"/>
      <c r="OP443" s="6"/>
      <c r="OQ443" s="6"/>
      <c r="OR443" s="6"/>
      <c r="OS443" s="6"/>
      <c r="OT443" s="6"/>
      <c r="OU443" s="6"/>
      <c r="OV443" s="6"/>
      <c r="OW443" s="6"/>
      <c r="OX443" s="6"/>
      <c r="OY443" s="6"/>
      <c r="OZ443" s="6"/>
      <c r="PA443" s="6"/>
      <c r="PB443" s="6"/>
      <c r="PC443" s="6"/>
      <c r="PD443" s="6"/>
      <c r="PE443" s="6"/>
      <c r="PF443" s="6"/>
      <c r="PG443" s="6"/>
      <c r="PH443" s="6"/>
      <c r="PI443" s="6"/>
      <c r="PJ443" s="6"/>
      <c r="PK443" s="6"/>
      <c r="PL443" s="6"/>
      <c r="PM443" s="6"/>
      <c r="PN443" s="6"/>
      <c r="PO443" s="6"/>
      <c r="PP443" s="6"/>
      <c r="PQ443" s="6"/>
      <c r="PR443" s="6"/>
      <c r="PS443" s="6"/>
      <c r="PT443" s="6"/>
      <c r="PU443" s="6"/>
      <c r="PV443" s="6"/>
      <c r="PW443" s="6"/>
      <c r="PX443" s="6"/>
      <c r="PY443" s="6"/>
      <c r="PZ443" s="6"/>
      <c r="QA443" s="6"/>
      <c r="QB443" s="6"/>
      <c r="QC443" s="6"/>
      <c r="QD443" s="6"/>
      <c r="QE443" s="6"/>
      <c r="QF443" s="6"/>
      <c r="QG443" s="6"/>
      <c r="QH443" s="6"/>
      <c r="QI443" s="6"/>
      <c r="QJ443" s="6"/>
      <c r="QK443" s="6"/>
      <c r="QL443" s="6"/>
      <c r="QM443" s="6"/>
      <c r="QN443" s="6"/>
      <c r="QO443" s="6"/>
      <c r="QP443" s="6"/>
      <c r="QQ443" s="6"/>
      <c r="QR443" s="6"/>
      <c r="QS443" s="6"/>
      <c r="QT443" s="6"/>
      <c r="QU443" s="6"/>
      <c r="QV443" s="6"/>
      <c r="QW443" s="6"/>
      <c r="QX443" s="6"/>
      <c r="QY443" s="6"/>
      <c r="QZ443" s="6"/>
      <c r="RA443" s="6"/>
      <c r="RB443" s="6"/>
      <c r="RC443" s="6"/>
      <c r="RD443" s="6"/>
      <c r="RE443" s="6"/>
      <c r="RF443" s="6"/>
      <c r="RG443" s="6"/>
      <c r="RH443" s="6"/>
      <c r="RI443" s="6"/>
      <c r="RJ443" s="6"/>
      <c r="RK443" s="6"/>
      <c r="RL443" s="6"/>
      <c r="RM443" s="6"/>
      <c r="RN443" s="6"/>
      <c r="RO443" s="6"/>
      <c r="RP443" s="6"/>
      <c r="RQ443" s="6"/>
      <c r="RR443" s="6"/>
      <c r="RS443" s="6"/>
      <c r="RT443" s="6"/>
      <c r="RU443" s="6"/>
      <c r="RV443" s="6"/>
      <c r="RW443" s="6"/>
      <c r="RX443" s="6"/>
      <c r="RY443" s="6"/>
      <c r="RZ443" s="6"/>
      <c r="SA443" s="6"/>
      <c r="SB443" s="6"/>
      <c r="SC443" s="6"/>
      <c r="SD443" s="6"/>
      <c r="SE443" s="6"/>
      <c r="SF443" s="6"/>
      <c r="SG443" s="6"/>
      <c r="SH443" s="6"/>
      <c r="SI443" s="6"/>
      <c r="SJ443" s="6"/>
      <c r="SK443" s="6"/>
      <c r="SL443" s="6"/>
      <c r="SM443" s="6"/>
      <c r="SN443" s="6"/>
      <c r="SO443" s="6"/>
      <c r="SP443" s="6"/>
      <c r="SQ443" s="6"/>
      <c r="SR443" s="6"/>
      <c r="SS443" s="6"/>
      <c r="ST443" s="6"/>
      <c r="SU443" s="6"/>
      <c r="SV443" s="6"/>
      <c r="SW443" s="6"/>
      <c r="SX443" s="6"/>
      <c r="SY443" s="6"/>
      <c r="SZ443" s="6"/>
      <c r="TA443" s="6"/>
      <c r="TB443" s="6"/>
      <c r="TC443" s="6"/>
      <c r="TD443" s="6"/>
      <c r="TE443" s="6"/>
      <c r="TF443" s="6"/>
      <c r="TG443" s="6"/>
      <c r="TH443" s="6"/>
      <c r="TI443" s="6"/>
      <c r="TJ443" s="6"/>
      <c r="TK443" s="6"/>
      <c r="TL443" s="6"/>
      <c r="TM443" s="6"/>
      <c r="TN443" s="6"/>
      <c r="TO443" s="6"/>
      <c r="TP443" s="6"/>
      <c r="TQ443" s="6"/>
      <c r="TR443" s="6"/>
      <c r="TS443" s="6"/>
      <c r="TT443" s="6"/>
      <c r="TU443" s="6"/>
      <c r="TV443" s="6"/>
      <c r="TW443" s="6"/>
      <c r="TX443" s="6"/>
      <c r="TY443" s="6"/>
      <c r="TZ443" s="6"/>
      <c r="UA443" s="6"/>
      <c r="UB443" s="6"/>
      <c r="UC443" s="6"/>
      <c r="UD443" s="6"/>
      <c r="UE443" s="6"/>
      <c r="UF443" s="6"/>
      <c r="UG443" s="6"/>
      <c r="UH443" s="6"/>
      <c r="UI443" s="6"/>
      <c r="UJ443" s="6"/>
      <c r="UK443" s="6"/>
      <c r="UL443" s="6"/>
      <c r="UM443" s="6"/>
      <c r="UN443" s="6"/>
      <c r="UO443" s="6"/>
      <c r="UP443" s="6"/>
      <c r="UQ443" s="6"/>
      <c r="UR443" s="6"/>
      <c r="US443" s="6"/>
      <c r="UT443" s="6"/>
      <c r="UU443" s="6"/>
      <c r="UV443" s="6"/>
      <c r="UW443" s="6"/>
      <c r="UX443" s="6"/>
      <c r="UY443" s="6"/>
      <c r="UZ443" s="6"/>
      <c r="VA443" s="6"/>
      <c r="VB443" s="6"/>
      <c r="VC443" s="6"/>
      <c r="VD443" s="6"/>
      <c r="VE443" s="6"/>
      <c r="VF443" s="6"/>
      <c r="VG443" s="6"/>
      <c r="VH443" s="6"/>
      <c r="VI443" s="6"/>
      <c r="VJ443" s="6"/>
      <c r="VK443" s="6"/>
      <c r="VL443" s="6"/>
      <c r="VM443" s="6"/>
      <c r="VN443" s="6"/>
      <c r="VO443" s="6"/>
      <c r="VP443" s="6"/>
      <c r="VQ443" s="6"/>
      <c r="VR443" s="6"/>
      <c r="VS443" s="6"/>
      <c r="VT443" s="6"/>
      <c r="VU443" s="6"/>
      <c r="VV443" s="6"/>
      <c r="VW443" s="6"/>
      <c r="VX443" s="6"/>
      <c r="VY443" s="6"/>
      <c r="VZ443" s="6"/>
      <c r="WA443" s="6"/>
      <c r="WB443" s="6"/>
      <c r="WC443" s="6"/>
      <c r="WD443" s="6"/>
      <c r="WE443" s="6"/>
      <c r="WF443" s="6"/>
      <c r="WG443" s="6"/>
      <c r="WH443" s="6"/>
      <c r="WI443" s="6"/>
      <c r="WJ443" s="6"/>
      <c r="WK443" s="6"/>
      <c r="WL443" s="6"/>
      <c r="WM443" s="6"/>
      <c r="WN443" s="6"/>
      <c r="WO443" s="6"/>
      <c r="WP443" s="6"/>
      <c r="WQ443" s="6"/>
      <c r="WR443" s="6"/>
      <c r="WS443" s="6"/>
      <c r="WT443" s="6"/>
      <c r="WU443" s="6"/>
      <c r="WV443" s="6"/>
      <c r="WW443" s="6"/>
      <c r="WX443" s="6"/>
      <c r="WY443" s="6"/>
      <c r="WZ443" s="6"/>
      <c r="XA443" s="6"/>
      <c r="XB443" s="6"/>
      <c r="XC443" s="6"/>
      <c r="XD443" s="6"/>
      <c r="XE443" s="6"/>
      <c r="XF443" s="6"/>
      <c r="XG443" s="6"/>
      <c r="XH443" s="6"/>
      <c r="XI443" s="6"/>
      <c r="XJ443" s="6"/>
      <c r="XK443" s="6"/>
      <c r="XL443" s="6"/>
      <c r="XM443" s="6"/>
      <c r="XN443" s="6"/>
      <c r="XO443" s="6"/>
      <c r="XP443" s="6"/>
      <c r="XQ443" s="6"/>
      <c r="XR443" s="6"/>
      <c r="XS443" s="6"/>
      <c r="XT443" s="6"/>
      <c r="XU443" s="6"/>
      <c r="XV443" s="6"/>
      <c r="XW443" s="6"/>
      <c r="XX443" s="6"/>
      <c r="XY443" s="6"/>
      <c r="XZ443" s="6"/>
      <c r="YA443" s="6"/>
      <c r="YB443" s="6"/>
      <c r="YC443" s="6"/>
      <c r="YD443" s="6"/>
      <c r="YE443" s="6"/>
      <c r="YF443" s="6"/>
      <c r="YG443" s="6"/>
      <c r="YH443" s="6"/>
      <c r="YI443" s="6"/>
      <c r="YJ443" s="6"/>
      <c r="YK443" s="6"/>
      <c r="YL443" s="6"/>
      <c r="YM443" s="6"/>
      <c r="YN443" s="6"/>
      <c r="YO443" s="6"/>
      <c r="YP443" s="6"/>
      <c r="YQ443" s="6"/>
      <c r="YR443" s="6"/>
      <c r="YS443" s="6"/>
      <c r="YT443" s="6"/>
      <c r="YU443" s="6"/>
      <c r="YV443" s="6"/>
      <c r="YW443" s="6"/>
      <c r="YX443" s="6"/>
      <c r="YY443" s="6"/>
      <c r="YZ443" s="6"/>
      <c r="ZA443" s="6"/>
      <c r="ZB443" s="6"/>
      <c r="ZC443" s="6"/>
      <c r="ZD443" s="6"/>
      <c r="ZE443" s="6"/>
      <c r="ZF443" s="6"/>
      <c r="ZG443" s="6"/>
      <c r="ZH443" s="6"/>
      <c r="ZI443" s="6"/>
      <c r="ZJ443" s="6"/>
      <c r="ZK443" s="6"/>
      <c r="ZL443" s="6"/>
      <c r="ZM443" s="6"/>
      <c r="ZN443" s="6"/>
      <c r="ZO443" s="6"/>
      <c r="ZP443" s="6"/>
      <c r="ZQ443" s="6"/>
      <c r="ZR443" s="6"/>
      <c r="ZS443" s="6"/>
      <c r="ZT443" s="6"/>
      <c r="ZU443" s="6"/>
      <c r="ZV443" s="6"/>
      <c r="ZW443" s="6"/>
      <c r="ZX443" s="6"/>
      <c r="ZY443" s="6"/>
      <c r="ZZ443" s="6"/>
      <c r="AAA443" s="6"/>
      <c r="AAB443" s="6"/>
      <c r="AAC443" s="6"/>
      <c r="AAD443" s="6"/>
      <c r="AAE443" s="6"/>
      <c r="AAF443" s="6"/>
      <c r="AAG443" s="6"/>
      <c r="AAH443" s="6"/>
      <c r="AAI443" s="6"/>
      <c r="AAJ443" s="6"/>
      <c r="AAK443" s="6"/>
      <c r="AAL443" s="6"/>
      <c r="AAM443" s="6"/>
      <c r="AAN443" s="6"/>
      <c r="AAO443" s="6"/>
      <c r="AAP443" s="6"/>
      <c r="AAQ443" s="6"/>
      <c r="AAR443" s="6"/>
      <c r="AAS443" s="6"/>
      <c r="AAT443" s="6"/>
      <c r="AAU443" s="6"/>
      <c r="AAV443" s="6"/>
      <c r="AAW443" s="6"/>
      <c r="AAX443" s="6"/>
      <c r="AAY443" s="6"/>
      <c r="AAZ443" s="6"/>
      <c r="ABA443" s="6"/>
      <c r="ABB443" s="6"/>
      <c r="ABC443" s="6"/>
      <c r="ABD443" s="6"/>
      <c r="ABE443" s="6"/>
      <c r="ABF443" s="6"/>
      <c r="ABG443" s="6"/>
      <c r="ABH443" s="6"/>
      <c r="ABI443" s="6"/>
      <c r="ABJ443" s="6"/>
      <c r="ABK443" s="6"/>
      <c r="ABL443" s="6"/>
      <c r="ABM443" s="6"/>
      <c r="ABN443" s="6"/>
      <c r="ABO443" s="6"/>
      <c r="ABP443" s="6"/>
      <c r="ABQ443" s="6"/>
      <c r="ABR443" s="6"/>
      <c r="ABS443" s="6"/>
      <c r="ABT443" s="6"/>
      <c r="ABU443" s="6"/>
      <c r="ABV443" s="6"/>
      <c r="ABW443" s="6"/>
      <c r="ABX443" s="6"/>
      <c r="ABY443" s="6"/>
      <c r="ABZ443" s="6"/>
      <c r="ACA443" s="6"/>
      <c r="ACB443" s="6"/>
      <c r="ACC443" s="6"/>
      <c r="ACD443" s="6"/>
      <c r="ACE443" s="6"/>
      <c r="ACF443" s="6"/>
      <c r="ACG443" s="6"/>
      <c r="ACH443" s="6"/>
      <c r="ACI443" s="6"/>
      <c r="ACJ443" s="6"/>
      <c r="ACK443" s="6"/>
      <c r="ACL443" s="6"/>
      <c r="ACM443" s="6"/>
      <c r="ACN443" s="6"/>
      <c r="ACO443" s="6"/>
      <c r="ACP443" s="6"/>
      <c r="ACQ443" s="6"/>
      <c r="ACR443" s="6"/>
      <c r="ACS443" s="6"/>
      <c r="ACT443" s="6"/>
      <c r="ACU443" s="6"/>
      <c r="ACV443" s="6"/>
      <c r="ACW443" s="6"/>
      <c r="ACX443" s="6"/>
      <c r="ACY443" s="6"/>
      <c r="ACZ443" s="6"/>
      <c r="ADA443" s="6"/>
      <c r="ADB443" s="6"/>
      <c r="ADC443" s="6"/>
      <c r="ADD443" s="6"/>
      <c r="ADE443" s="6"/>
      <c r="ADF443" s="6"/>
      <c r="ADG443" s="6"/>
      <c r="ADH443" s="6"/>
      <c r="ADI443" s="6"/>
      <c r="ADJ443" s="6"/>
      <c r="ADK443" s="6"/>
      <c r="ADL443" s="6"/>
      <c r="ADM443" s="6"/>
      <c r="ADN443" s="6"/>
      <c r="ADO443" s="6"/>
      <c r="ADP443" s="6"/>
      <c r="ADQ443" s="6"/>
      <c r="ADR443" s="6"/>
      <c r="ADS443" s="6"/>
      <c r="ADT443" s="6"/>
      <c r="ADU443" s="6"/>
      <c r="ADV443" s="6"/>
      <c r="ADW443" s="6"/>
      <c r="ADX443" s="6"/>
      <c r="ADY443" s="6"/>
      <c r="ADZ443" s="6"/>
      <c r="AEA443" s="6"/>
      <c r="AEB443" s="6"/>
      <c r="AEC443" s="6"/>
      <c r="AED443" s="6"/>
      <c r="AEE443" s="6"/>
      <c r="AEF443" s="6"/>
      <c r="AEG443" s="6"/>
      <c r="AEH443" s="6"/>
      <c r="AEI443" s="6"/>
      <c r="AEJ443" s="6"/>
      <c r="AEK443" s="6"/>
      <c r="AEL443" s="6"/>
      <c r="AEM443" s="6"/>
      <c r="AEN443" s="6"/>
      <c r="AEO443" s="6"/>
      <c r="AEP443" s="6"/>
      <c r="AEQ443" s="6"/>
      <c r="AER443" s="6"/>
      <c r="AES443" s="6"/>
      <c r="AET443" s="6"/>
      <c r="AEU443" s="6"/>
      <c r="AEV443" s="6"/>
      <c r="AEW443" s="6"/>
      <c r="AEX443" s="6"/>
      <c r="AEY443" s="6"/>
      <c r="AEZ443" s="6"/>
      <c r="AFA443" s="6"/>
      <c r="AFB443" s="6"/>
      <c r="AFC443" s="6"/>
      <c r="AFD443" s="6"/>
      <c r="AFE443" s="6"/>
      <c r="AFF443" s="6"/>
      <c r="AFG443" s="6"/>
      <c r="AFH443" s="6"/>
      <c r="AFI443" s="6"/>
      <c r="AFJ443" s="6"/>
      <c r="AFK443" s="6"/>
      <c r="AFL443" s="6"/>
      <c r="AFM443" s="6"/>
      <c r="AFN443" s="6"/>
      <c r="AFO443" s="6"/>
      <c r="AFP443" s="6"/>
      <c r="AFQ443" s="6"/>
      <c r="AFR443" s="6"/>
      <c r="AFS443" s="6"/>
      <c r="AFT443" s="6"/>
      <c r="AFU443" s="6"/>
      <c r="AFV443" s="6"/>
      <c r="AFW443" s="6"/>
      <c r="AFX443" s="6"/>
      <c r="AFY443" s="6"/>
      <c r="AFZ443" s="6"/>
      <c r="AGA443" s="6"/>
      <c r="AGB443" s="6"/>
      <c r="AGC443" s="6"/>
      <c r="AGD443" s="6"/>
      <c r="AGE443" s="6"/>
      <c r="AGF443" s="6"/>
      <c r="AGG443" s="6"/>
      <c r="AGH443" s="6"/>
      <c r="AGI443" s="6"/>
      <c r="AGJ443" s="6"/>
      <c r="AGK443" s="6"/>
      <c r="AGL443" s="6"/>
      <c r="AGM443" s="6"/>
      <c r="AGN443" s="6"/>
      <c r="AGO443" s="6"/>
      <c r="AGP443" s="6"/>
      <c r="AGQ443" s="6"/>
      <c r="AGR443" s="6"/>
      <c r="AGS443" s="6"/>
      <c r="AGT443" s="6"/>
      <c r="AGU443" s="6"/>
      <c r="AGV443" s="6"/>
      <c r="AGW443" s="6"/>
      <c r="AGX443" s="6"/>
      <c r="AGY443" s="6"/>
      <c r="AGZ443" s="6"/>
      <c r="AHA443" s="6"/>
      <c r="AHB443" s="6"/>
      <c r="AHC443" s="6"/>
      <c r="AHD443" s="6"/>
      <c r="AHE443" s="6"/>
      <c r="AHF443" s="6"/>
      <c r="AHG443" s="6"/>
      <c r="AHH443" s="6"/>
      <c r="AHI443" s="6"/>
      <c r="AHJ443" s="6"/>
      <c r="AHK443" s="6"/>
      <c r="AHL443" s="6"/>
      <c r="AHM443" s="6"/>
      <c r="AHN443" s="6"/>
      <c r="AHO443" s="6"/>
      <c r="AHP443" s="6"/>
      <c r="AHQ443" s="6"/>
      <c r="AHR443" s="6"/>
      <c r="AHS443" s="6"/>
      <c r="AHT443" s="6"/>
      <c r="AHU443" s="6"/>
      <c r="AHV443" s="6"/>
      <c r="AHW443" s="6"/>
      <c r="AHX443" s="6"/>
      <c r="AHY443" s="6"/>
      <c r="AHZ443" s="6"/>
      <c r="AIA443" s="6"/>
      <c r="AIB443" s="6"/>
      <c r="AIC443" s="6"/>
      <c r="AID443" s="6"/>
      <c r="AIE443" s="6"/>
      <c r="AIF443" s="6"/>
      <c r="AIG443" s="6"/>
      <c r="AIH443" s="6"/>
      <c r="AII443" s="6"/>
      <c r="AIJ443" s="6"/>
      <c r="AIK443" s="6"/>
      <c r="AIL443" s="6"/>
      <c r="AIM443" s="6"/>
      <c r="AIN443" s="6"/>
      <c r="AIO443" s="6"/>
      <c r="AIP443" s="6"/>
      <c r="AIQ443" s="6"/>
      <c r="AIR443" s="6"/>
      <c r="AIS443" s="6"/>
      <c r="AIT443" s="6"/>
      <c r="AIU443" s="6"/>
      <c r="AIV443" s="6"/>
      <c r="AIW443" s="6"/>
      <c r="AIX443" s="6"/>
      <c r="AIY443" s="6"/>
      <c r="AIZ443" s="6"/>
      <c r="AJA443" s="6"/>
      <c r="AJB443" s="6"/>
      <c r="AJC443" s="6"/>
      <c r="AJD443" s="6"/>
      <c r="AJE443" s="6"/>
      <c r="AJF443" s="6"/>
      <c r="AJG443" s="6"/>
      <c r="AJH443" s="6"/>
      <c r="AJI443" s="6"/>
      <c r="AJJ443" s="6"/>
      <c r="AJK443" s="6"/>
      <c r="AJL443" s="6"/>
      <c r="AJM443" s="6"/>
      <c r="AJN443" s="6"/>
      <c r="AJO443" s="6"/>
      <c r="AJP443" s="6"/>
      <c r="AJQ443" s="6"/>
      <c r="AJR443" s="6"/>
      <c r="AJS443" s="6"/>
      <c r="AJT443" s="6"/>
      <c r="AJU443" s="6"/>
      <c r="AJV443" s="6"/>
      <c r="AJW443" s="6"/>
      <c r="AJX443" s="6"/>
      <c r="AJY443" s="6"/>
      <c r="AJZ443" s="6"/>
      <c r="AKA443" s="6"/>
      <c r="AKB443" s="6"/>
      <c r="AKC443" s="6"/>
      <c r="AKD443" s="6"/>
      <c r="AKE443" s="6"/>
      <c r="AKF443" s="6"/>
      <c r="AKG443" s="6"/>
      <c r="AKH443" s="6"/>
      <c r="AKI443" s="6"/>
      <c r="AKJ443" s="6"/>
      <c r="AKK443" s="6"/>
      <c r="AKL443" s="6"/>
      <c r="AKM443" s="6"/>
      <c r="AKN443" s="6"/>
      <c r="AKO443" s="6"/>
      <c r="AKP443" s="6"/>
      <c r="AKQ443" s="6"/>
      <c r="AKR443" s="6"/>
      <c r="AKS443" s="6"/>
      <c r="AKT443" s="6"/>
      <c r="AKU443" s="6"/>
      <c r="AKV443" s="6"/>
      <c r="AKW443" s="6"/>
      <c r="AKX443" s="6"/>
      <c r="AKY443" s="6"/>
      <c r="AKZ443" s="6"/>
      <c r="ALA443" s="6"/>
      <c r="ALB443" s="6"/>
      <c r="ALC443" s="6"/>
      <c r="ALD443" s="6"/>
      <c r="ALE443" s="6"/>
      <c r="ALF443" s="6"/>
      <c r="ALG443" s="6"/>
      <c r="ALH443" s="6"/>
      <c r="ALI443" s="6"/>
      <c r="ALJ443" s="6"/>
      <c r="ALK443" s="6"/>
      <c r="ALL443" s="6"/>
      <c r="ALM443" s="6"/>
      <c r="ALN443" s="6"/>
      <c r="ALO443" s="6"/>
      <c r="ALP443" s="6"/>
      <c r="ALQ443" s="6"/>
      <c r="ALR443" s="6"/>
      <c r="ALS443" s="6"/>
      <c r="ALT443" s="6"/>
      <c r="ALU443" s="6"/>
      <c r="ALV443" s="6"/>
      <c r="ALW443" s="6"/>
      <c r="ALX443" s="6"/>
      <c r="ALY443" s="6"/>
      <c r="ALZ443" s="6"/>
      <c r="AMA443" s="6"/>
      <c r="AMB443" s="6"/>
      <c r="AMC443" s="6"/>
      <c r="AMD443" s="6"/>
      <c r="AME443" s="6"/>
      <c r="AMF443" s="6"/>
      <c r="AMG443" s="6"/>
      <c r="AMH443" s="6"/>
      <c r="AMI443" s="6"/>
      <c r="AMJ443" s="6"/>
      <c r="AMK443" s="6"/>
      <c r="AML443" s="6"/>
      <c r="AMM443" s="6"/>
      <c r="AMN443" s="6"/>
      <c r="AMO443" s="6"/>
      <c r="AMP443" s="6"/>
    </row>
    <row r="444" spans="1:1030" x14ac:dyDescent="0.2">
      <c r="A444" s="3" t="str">
        <f t="shared" ref="A444" si="4332">CONCATENATE(B444,"_",C444)</f>
        <v>calrl_human_6UUN</v>
      </c>
      <c r="B444" s="2" t="s">
        <v>401</v>
      </c>
      <c r="C444" s="3" t="s">
        <v>1666</v>
      </c>
      <c r="D444" s="3" t="str">
        <f>IFERROR(MID(VLOOKUP($B444,Seqs!$A:$B,2,0),E444,1),"")</f>
        <v>T</v>
      </c>
      <c r="E444" s="3">
        <v>131</v>
      </c>
      <c r="F444" s="3" t="str">
        <f>IFERROR(MID(VLOOKUP($B444,Seqs!$A:$B,2,0),G444,1),"")</f>
        <v>F</v>
      </c>
      <c r="G444" s="3">
        <v>166</v>
      </c>
      <c r="H444" s="3" t="str">
        <f>IFERROR(MID(VLOOKUP($B444,Seqs!$A:$B,2,0),I444,1),"")</f>
        <v/>
      </c>
      <c r="I444" s="23" t="s">
        <v>23</v>
      </c>
      <c r="J444" s="3" t="str">
        <f>IFERROR(MID(VLOOKUP($B444,Seqs!$A:$B,2,0),K444,1),"")</f>
        <v/>
      </c>
      <c r="K444" s="23" t="s">
        <v>23</v>
      </c>
      <c r="L444" s="3" t="str">
        <f>IFERROR(MID(VLOOKUP($B444,Seqs!$A:$B,2,0),M444,1),"")</f>
        <v>C</v>
      </c>
      <c r="M444" s="3">
        <v>171</v>
      </c>
      <c r="N444" s="3" t="str">
        <f>IFERROR(MID(VLOOKUP($B444,Seqs!$A:$B,2,0),O444,1),"")</f>
        <v>A</v>
      </c>
      <c r="O444" s="3">
        <v>199</v>
      </c>
      <c r="P444" s="3" t="str">
        <f>IFERROR(MID(VLOOKUP($B444,Seqs!$A:$B,2,0),Q444,1),"")</f>
        <v/>
      </c>
      <c r="Q444" s="3" t="s">
        <v>23</v>
      </c>
      <c r="R444" s="3" t="str">
        <f>IFERROR(MID(VLOOKUP($B444,Seqs!$A:$B,2,0),S444,1),"")</f>
        <v/>
      </c>
      <c r="S444" s="3" t="s">
        <v>23</v>
      </c>
      <c r="T444" s="3" t="str">
        <f>IFERROR(MID(VLOOKUP($B444,Seqs!$A:$B,2,0),U444,1),"")</f>
        <v>P</v>
      </c>
      <c r="U444" s="3">
        <v>209</v>
      </c>
      <c r="V444" s="3" t="str">
        <f>IFERROR(MID(VLOOKUP($B444,Seqs!$A:$B,2,0),W444,1),"")</f>
        <v>V</v>
      </c>
      <c r="W444" s="3">
        <v>242</v>
      </c>
      <c r="X444" s="3" t="str">
        <f>IFERROR(MID(VLOOKUP($B444,Seqs!$A:$B,2,0),Y444,1),"")</f>
        <v/>
      </c>
      <c r="Y444" s="3" t="s">
        <v>23</v>
      </c>
      <c r="Z444" s="3" t="str">
        <f>IFERROR(MID(VLOOKUP($B444,Seqs!$A:$B,2,0),AA444,1),"")</f>
        <v/>
      </c>
      <c r="AA444" s="3" t="s">
        <v>23</v>
      </c>
      <c r="AB444" s="3" t="str">
        <f>IFERROR(MID(VLOOKUP($B444,Seqs!$A:$B,2,0),AC444,1),"")</f>
        <v>M</v>
      </c>
      <c r="AC444" s="3">
        <v>253</v>
      </c>
      <c r="AD444" s="3" t="str">
        <f>IFERROR(MID(VLOOKUP($B444,Seqs!$A:$B,2,0),AE444,1),"")</f>
        <v>Y</v>
      </c>
      <c r="AE444" s="3">
        <v>278</v>
      </c>
      <c r="AF444" s="3" t="str">
        <f>IFERROR(MID(VLOOKUP($B444,Seqs!$A:$B,2,0),AG444,1),"")</f>
        <v>C</v>
      </c>
      <c r="AG444" s="3">
        <v>282</v>
      </c>
      <c r="AH444" s="3" t="str">
        <f>IFERROR(MID(VLOOKUP($B444,Seqs!$A:$B,2,0),AI444,1),"")</f>
        <v>I</v>
      </c>
      <c r="AI444" s="3">
        <v>284</v>
      </c>
      <c r="AJ444" s="3" t="str">
        <f>IFERROR(MID(VLOOKUP($B444,Seqs!$A:$B,2,0),AK444,1),"")</f>
        <v>L</v>
      </c>
      <c r="AK444" s="3">
        <v>290</v>
      </c>
      <c r="AL444" s="3" t="str">
        <f>IFERROR(MID(VLOOKUP($B444,Seqs!$A:$B,2,0),AM444,1),"")</f>
        <v>K</v>
      </c>
      <c r="AM444" s="3">
        <v>321</v>
      </c>
      <c r="AN444" s="3" t="str">
        <f>IFERROR(MID(VLOOKUP($B444,Seqs!$A:$B,2,0),AO444,1),"")</f>
        <v>K</v>
      </c>
      <c r="AO444" s="3">
        <v>333</v>
      </c>
      <c r="AP444" s="3" t="str">
        <f>IFERROR(MID(VLOOKUP($B444,Seqs!$A:$B,2,0),AQ444,1),"")</f>
        <v>L</v>
      </c>
      <c r="AQ444" s="3">
        <v>351</v>
      </c>
      <c r="AR444" s="3" t="str">
        <f>IFERROR(MID(VLOOKUP($B444,Seqs!$A:$B,2,0),AS444,1),"")</f>
        <v>E</v>
      </c>
      <c r="AS444" s="3">
        <v>363</v>
      </c>
      <c r="AT444" s="3" t="str">
        <f>IFERROR(MID(VLOOKUP($B444,Seqs!$A:$B,2,0),AU444,1),"")</f>
        <v>F</v>
      </c>
      <c r="AU444" s="3">
        <v>387</v>
      </c>
      <c r="AV444" s="3" t="str">
        <f>IFERROR(MID(VLOOKUP($B444,Seqs!$A:$B,2,0),AW444,1),"")</f>
        <v>N</v>
      </c>
      <c r="AW444" s="3">
        <v>388</v>
      </c>
      <c r="AX444" s="3" t="str">
        <f>IFERROR(MID(VLOOKUP($B444,Seqs!$A:$B,2,0),AY444,1),"")</f>
        <v>W</v>
      </c>
      <c r="AY444" s="3">
        <v>399</v>
      </c>
      <c r="AZ444" s="77" t="str">
        <f>VLOOKUP(B444,Classification!A:D,2,0)</f>
        <v>B1</v>
      </c>
      <c r="BA444" s="94" t="str">
        <f>VLOOKUP(B444,Classification!A:D,4,0)</f>
        <v>Calcitonin</v>
      </c>
      <c r="BB444" s="27" t="b">
        <f t="shared" ref="BB444" si="4333">AND(E444&lt;G444,OR(G444&lt;I444,I444="-"),OR(I444&lt;K444,I444="-"),OR(K444&lt;M444,K444="-"),M444&lt;O444,OR(O444&lt;Q444,Q444="-"),OR(Q444&lt;S444,Q444="-"),OR(S444&lt;U444,S444="-"),U444&lt;W444,OR(W444&lt;Y444,Y444="-"),OR(Y444&lt;AA444,Y444="-"),OR(AA444&lt;AC444,AA444="-"),AC444&lt;AE444,OR(AE444&lt;AG444,AG444="-"),OR(AG444&lt;AI444,AG444="-"),OR(AI444&lt;AK444,AI444="-"),AK444&lt;AM444,AM444&lt;AO444,AO444&lt;AQ444,AQ444&lt;AS444,AS444&lt;AU444,OR(AU444&lt;AW444,AW444="-"),OR(AW444&lt;AY444,AW444="-"))</f>
        <v>1</v>
      </c>
      <c r="BC444" s="23">
        <f t="shared" ref="BC444" si="4334">_xlfn.AGGREGATE(9,6,CH444:CS444)-_xlfn.AGGREGATE(9,6,BV444:CG444)+12</f>
        <v>219</v>
      </c>
      <c r="BD444" s="4" t="s">
        <v>23</v>
      </c>
      <c r="BE444" s="3" t="s">
        <v>1285</v>
      </c>
      <c r="BF444" s="118">
        <v>3</v>
      </c>
      <c r="BG444" s="49" t="s">
        <v>1416</v>
      </c>
      <c r="BH444" s="49" t="s">
        <v>1416</v>
      </c>
      <c r="BI444" s="1"/>
      <c r="BJ444" s="70" t="s">
        <v>1281</v>
      </c>
      <c r="BK444" s="57" t="s">
        <v>1281</v>
      </c>
      <c r="BL444" s="57" t="s">
        <v>1281</v>
      </c>
      <c r="BM444" s="57" t="s">
        <v>1281</v>
      </c>
      <c r="BN444" s="57" t="s">
        <v>1281</v>
      </c>
      <c r="BO444" s="57" t="s">
        <v>1281</v>
      </c>
      <c r="BP444" s="57" t="s">
        <v>1281</v>
      </c>
      <c r="BQ444" s="57" t="s">
        <v>1281</v>
      </c>
      <c r="BR444" s="57" t="s">
        <v>1281</v>
      </c>
      <c r="BS444" s="57" t="s">
        <v>1281</v>
      </c>
      <c r="BT444" s="57" t="s">
        <v>1281</v>
      </c>
      <c r="BU444" s="57" t="s">
        <v>1281</v>
      </c>
      <c r="BV444" s="70">
        <f t="shared" ref="BV444" si="4335">E444</f>
        <v>131</v>
      </c>
      <c r="BW444" s="71" t="str">
        <f t="shared" ref="BW444" si="4336">I444</f>
        <v>-</v>
      </c>
      <c r="BX444" s="72">
        <f t="shared" ref="BX444" si="4337">M444</f>
        <v>171</v>
      </c>
      <c r="BY444" s="71" t="str">
        <f t="shared" ref="BY444" si="4338">Q444</f>
        <v>-</v>
      </c>
      <c r="BZ444" s="72">
        <f t="shared" ref="BZ444" si="4339">U444</f>
        <v>209</v>
      </c>
      <c r="CA444" s="71" t="str">
        <f t="shared" ref="CA444" si="4340">Y444</f>
        <v>-</v>
      </c>
      <c r="CB444" s="72">
        <f t="shared" ref="CB444" si="4341">AC444</f>
        <v>253</v>
      </c>
      <c r="CC444" s="71">
        <f t="shared" ref="CC444" si="4342">AG444</f>
        <v>282</v>
      </c>
      <c r="CD444" s="72">
        <f t="shared" ref="CD444" si="4343">AK444</f>
        <v>290</v>
      </c>
      <c r="CE444" s="71">
        <f t="shared" ref="CE444" si="4344">AO444</f>
        <v>333</v>
      </c>
      <c r="CF444" s="72">
        <f t="shared" ref="CF444" si="4345">AS444</f>
        <v>363</v>
      </c>
      <c r="CG444" s="71">
        <f t="shared" ref="CG444" si="4346">AW444</f>
        <v>388</v>
      </c>
      <c r="CH444" s="70">
        <f t="shared" ref="CH444" si="4347">G444</f>
        <v>166</v>
      </c>
      <c r="CI444" s="71" t="str">
        <f t="shared" ref="CI444" si="4348">K444</f>
        <v>-</v>
      </c>
      <c r="CJ444" s="72">
        <f t="shared" ref="CJ444" si="4349">O444</f>
        <v>199</v>
      </c>
      <c r="CK444" s="72" t="str">
        <f t="shared" ref="CK444" si="4350">S444</f>
        <v>-</v>
      </c>
      <c r="CL444" s="72">
        <f t="shared" ref="CL444" si="4351">W444</f>
        <v>242</v>
      </c>
      <c r="CM444" s="72" t="str">
        <f t="shared" ref="CM444" si="4352">AA444</f>
        <v>-</v>
      </c>
      <c r="CN444" s="72">
        <f t="shared" ref="CN444" si="4353">AE444</f>
        <v>278</v>
      </c>
      <c r="CO444" s="72">
        <f t="shared" ref="CO444" si="4354">AI444</f>
        <v>284</v>
      </c>
      <c r="CP444" s="72">
        <f t="shared" ref="CP444" si="4355">AM444</f>
        <v>321</v>
      </c>
      <c r="CQ444" s="72">
        <f t="shared" ref="CQ444" si="4356">AQ444</f>
        <v>351</v>
      </c>
      <c r="CR444" s="72">
        <f t="shared" ref="CR444" si="4357">AU444</f>
        <v>387</v>
      </c>
      <c r="CS444" s="72">
        <f t="shared" ref="CS444" si="4358">AY444</f>
        <v>399</v>
      </c>
      <c r="CT444" s="23" t="e">
        <f t="shared" ref="CT444" si="4359">M444-K444</f>
        <v>#VALUE!</v>
      </c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Q444" s="6"/>
      <c r="KR444" s="6"/>
      <c r="KS444" s="6"/>
      <c r="KT444" s="6"/>
      <c r="KU444" s="6"/>
      <c r="KV444" s="6"/>
      <c r="KW444" s="6"/>
      <c r="KX444" s="6"/>
      <c r="KY444" s="6"/>
      <c r="KZ444" s="6"/>
      <c r="LA444" s="6"/>
      <c r="LB444" s="6"/>
      <c r="LC444" s="6"/>
      <c r="LD444" s="6"/>
      <c r="LE444" s="6"/>
      <c r="LF444" s="6"/>
      <c r="LG444" s="6"/>
      <c r="LH444" s="6"/>
      <c r="LI444" s="6"/>
      <c r="LJ444" s="6"/>
      <c r="LK444" s="6"/>
      <c r="LL444" s="6"/>
      <c r="LM444" s="6"/>
      <c r="LN444" s="6"/>
      <c r="LO444" s="6"/>
      <c r="LP444" s="6"/>
      <c r="LQ444" s="6"/>
      <c r="LR444" s="6"/>
      <c r="LS444" s="6"/>
      <c r="LT444" s="6"/>
      <c r="LU444" s="6"/>
      <c r="LV444" s="6"/>
      <c r="LW444" s="6"/>
      <c r="LX444" s="6"/>
      <c r="LY444" s="6"/>
      <c r="LZ444" s="6"/>
      <c r="MA444" s="6"/>
      <c r="MB444" s="6"/>
      <c r="MC444" s="6"/>
      <c r="MD444" s="6"/>
      <c r="ME444" s="6"/>
      <c r="MF444" s="6"/>
      <c r="MG444" s="6"/>
      <c r="MH444" s="6"/>
      <c r="MI444" s="6"/>
      <c r="MJ444" s="6"/>
      <c r="MK444" s="6"/>
      <c r="ML444" s="6"/>
      <c r="MM444" s="6"/>
      <c r="MN444" s="6"/>
      <c r="MO444" s="6"/>
      <c r="MP444" s="6"/>
      <c r="MQ444" s="6"/>
      <c r="MR444" s="6"/>
      <c r="MS444" s="6"/>
      <c r="MT444" s="6"/>
      <c r="MU444" s="6"/>
      <c r="MV444" s="6"/>
      <c r="MW444" s="6"/>
      <c r="MX444" s="6"/>
      <c r="MY444" s="6"/>
      <c r="MZ444" s="6"/>
      <c r="NA444" s="6"/>
      <c r="NB444" s="6"/>
      <c r="NC444" s="6"/>
      <c r="ND444" s="6"/>
      <c r="NE444" s="6"/>
      <c r="NF444" s="6"/>
      <c r="NG444" s="6"/>
      <c r="NH444" s="6"/>
      <c r="NI444" s="6"/>
      <c r="NJ444" s="6"/>
      <c r="NK444" s="6"/>
      <c r="NL444" s="6"/>
      <c r="NM444" s="6"/>
      <c r="NN444" s="6"/>
      <c r="NO444" s="6"/>
      <c r="NP444" s="6"/>
      <c r="NQ444" s="6"/>
      <c r="NR444" s="6"/>
      <c r="NS444" s="6"/>
      <c r="NT444" s="6"/>
      <c r="NU444" s="6"/>
      <c r="NV444" s="6"/>
      <c r="NW444" s="6"/>
      <c r="NX444" s="6"/>
      <c r="NY444" s="6"/>
      <c r="NZ444" s="6"/>
      <c r="OA444" s="6"/>
      <c r="OB444" s="6"/>
      <c r="OC444" s="6"/>
      <c r="OD444" s="6"/>
      <c r="OE444" s="6"/>
      <c r="OF444" s="6"/>
      <c r="OG444" s="6"/>
      <c r="OH444" s="6"/>
      <c r="OI444" s="6"/>
      <c r="OJ444" s="6"/>
      <c r="OK444" s="6"/>
      <c r="OL444" s="6"/>
      <c r="OM444" s="6"/>
      <c r="ON444" s="6"/>
      <c r="OO444" s="6"/>
      <c r="OP444" s="6"/>
      <c r="OQ444" s="6"/>
      <c r="OR444" s="6"/>
      <c r="OS444" s="6"/>
      <c r="OT444" s="6"/>
      <c r="OU444" s="6"/>
      <c r="OV444" s="6"/>
      <c r="OW444" s="6"/>
      <c r="OX444" s="6"/>
      <c r="OY444" s="6"/>
      <c r="OZ444" s="6"/>
      <c r="PA444" s="6"/>
      <c r="PB444" s="6"/>
      <c r="PC444" s="6"/>
      <c r="PD444" s="6"/>
      <c r="PE444" s="6"/>
      <c r="PF444" s="6"/>
      <c r="PG444" s="6"/>
      <c r="PH444" s="6"/>
      <c r="PI444" s="6"/>
      <c r="PJ444" s="6"/>
      <c r="PK444" s="6"/>
      <c r="PL444" s="6"/>
      <c r="PM444" s="6"/>
      <c r="PN444" s="6"/>
      <c r="PO444" s="6"/>
      <c r="PP444" s="6"/>
      <c r="PQ444" s="6"/>
      <c r="PR444" s="6"/>
      <c r="PS444" s="6"/>
      <c r="PT444" s="6"/>
      <c r="PU444" s="6"/>
      <c r="PV444" s="6"/>
      <c r="PW444" s="6"/>
      <c r="PX444" s="6"/>
      <c r="PY444" s="6"/>
      <c r="PZ444" s="6"/>
      <c r="QA444" s="6"/>
      <c r="QB444" s="6"/>
      <c r="QC444" s="6"/>
      <c r="QD444" s="6"/>
      <c r="QE444" s="6"/>
      <c r="QF444" s="6"/>
      <c r="QG444" s="6"/>
      <c r="QH444" s="6"/>
      <c r="QI444" s="6"/>
      <c r="QJ444" s="6"/>
      <c r="QK444" s="6"/>
      <c r="QL444" s="6"/>
      <c r="QM444" s="6"/>
      <c r="QN444" s="6"/>
      <c r="QO444" s="6"/>
      <c r="QP444" s="6"/>
      <c r="QQ444" s="6"/>
      <c r="QR444" s="6"/>
      <c r="QS444" s="6"/>
      <c r="QT444" s="6"/>
      <c r="QU444" s="6"/>
      <c r="QV444" s="6"/>
      <c r="QW444" s="6"/>
      <c r="QX444" s="6"/>
      <c r="QY444" s="6"/>
      <c r="QZ444" s="6"/>
      <c r="RA444" s="6"/>
      <c r="RB444" s="6"/>
      <c r="RC444" s="6"/>
      <c r="RD444" s="6"/>
      <c r="RE444" s="6"/>
      <c r="RF444" s="6"/>
      <c r="RG444" s="6"/>
      <c r="RH444" s="6"/>
      <c r="RI444" s="6"/>
      <c r="RJ444" s="6"/>
      <c r="RK444" s="6"/>
      <c r="RL444" s="6"/>
      <c r="RM444" s="6"/>
      <c r="RN444" s="6"/>
      <c r="RO444" s="6"/>
      <c r="RP444" s="6"/>
      <c r="RQ444" s="6"/>
      <c r="RR444" s="6"/>
      <c r="RS444" s="6"/>
      <c r="RT444" s="6"/>
      <c r="RU444" s="6"/>
      <c r="RV444" s="6"/>
      <c r="RW444" s="6"/>
      <c r="RX444" s="6"/>
      <c r="RY444" s="6"/>
      <c r="RZ444" s="6"/>
      <c r="SA444" s="6"/>
      <c r="SB444" s="6"/>
      <c r="SC444" s="6"/>
      <c r="SD444" s="6"/>
      <c r="SE444" s="6"/>
      <c r="SF444" s="6"/>
      <c r="SG444" s="6"/>
      <c r="SH444" s="6"/>
      <c r="SI444" s="6"/>
      <c r="SJ444" s="6"/>
      <c r="SK444" s="6"/>
      <c r="SL444" s="6"/>
      <c r="SM444" s="6"/>
      <c r="SN444" s="6"/>
      <c r="SO444" s="6"/>
      <c r="SP444" s="6"/>
      <c r="SQ444" s="6"/>
      <c r="SR444" s="6"/>
      <c r="SS444" s="6"/>
      <c r="ST444" s="6"/>
      <c r="SU444" s="6"/>
      <c r="SV444" s="6"/>
      <c r="SW444" s="6"/>
      <c r="SX444" s="6"/>
      <c r="SY444" s="6"/>
      <c r="SZ444" s="6"/>
      <c r="TA444" s="6"/>
      <c r="TB444" s="6"/>
      <c r="TC444" s="6"/>
      <c r="TD444" s="6"/>
      <c r="TE444" s="6"/>
      <c r="TF444" s="6"/>
      <c r="TG444" s="6"/>
      <c r="TH444" s="6"/>
      <c r="TI444" s="6"/>
      <c r="TJ444" s="6"/>
      <c r="TK444" s="6"/>
      <c r="TL444" s="6"/>
      <c r="TM444" s="6"/>
      <c r="TN444" s="6"/>
      <c r="TO444" s="6"/>
      <c r="TP444" s="6"/>
      <c r="TQ444" s="6"/>
      <c r="TR444" s="6"/>
      <c r="TS444" s="6"/>
      <c r="TT444" s="6"/>
      <c r="TU444" s="6"/>
      <c r="TV444" s="6"/>
      <c r="TW444" s="6"/>
      <c r="TX444" s="6"/>
      <c r="TY444" s="6"/>
      <c r="TZ444" s="6"/>
      <c r="UA444" s="6"/>
      <c r="UB444" s="6"/>
      <c r="UC444" s="6"/>
      <c r="UD444" s="6"/>
      <c r="UE444" s="6"/>
      <c r="UF444" s="6"/>
      <c r="UG444" s="6"/>
      <c r="UH444" s="6"/>
      <c r="UI444" s="6"/>
      <c r="UJ444" s="6"/>
      <c r="UK444" s="6"/>
      <c r="UL444" s="6"/>
      <c r="UM444" s="6"/>
      <c r="UN444" s="6"/>
      <c r="UO444" s="6"/>
      <c r="UP444" s="6"/>
      <c r="UQ444" s="6"/>
      <c r="UR444" s="6"/>
      <c r="US444" s="6"/>
      <c r="UT444" s="6"/>
      <c r="UU444" s="6"/>
      <c r="UV444" s="6"/>
      <c r="UW444" s="6"/>
      <c r="UX444" s="6"/>
      <c r="UY444" s="6"/>
      <c r="UZ444" s="6"/>
      <c r="VA444" s="6"/>
      <c r="VB444" s="6"/>
      <c r="VC444" s="6"/>
      <c r="VD444" s="6"/>
      <c r="VE444" s="6"/>
      <c r="VF444" s="6"/>
      <c r="VG444" s="6"/>
      <c r="VH444" s="6"/>
      <c r="VI444" s="6"/>
      <c r="VJ444" s="6"/>
      <c r="VK444" s="6"/>
      <c r="VL444" s="6"/>
      <c r="VM444" s="6"/>
      <c r="VN444" s="6"/>
      <c r="VO444" s="6"/>
      <c r="VP444" s="6"/>
      <c r="VQ444" s="6"/>
      <c r="VR444" s="6"/>
      <c r="VS444" s="6"/>
      <c r="VT444" s="6"/>
      <c r="VU444" s="6"/>
      <c r="VV444" s="6"/>
      <c r="VW444" s="6"/>
      <c r="VX444" s="6"/>
      <c r="VY444" s="6"/>
      <c r="VZ444" s="6"/>
      <c r="WA444" s="6"/>
      <c r="WB444" s="6"/>
      <c r="WC444" s="6"/>
      <c r="WD444" s="6"/>
      <c r="WE444" s="6"/>
      <c r="WF444" s="6"/>
      <c r="WG444" s="6"/>
      <c r="WH444" s="6"/>
      <c r="WI444" s="6"/>
      <c r="WJ444" s="6"/>
      <c r="WK444" s="6"/>
      <c r="WL444" s="6"/>
      <c r="WM444" s="6"/>
      <c r="WN444" s="6"/>
      <c r="WO444" s="6"/>
      <c r="WP444" s="6"/>
      <c r="WQ444" s="6"/>
      <c r="WR444" s="6"/>
      <c r="WS444" s="6"/>
      <c r="WT444" s="6"/>
      <c r="WU444" s="6"/>
      <c r="WV444" s="6"/>
      <c r="WW444" s="6"/>
      <c r="WX444" s="6"/>
      <c r="WY444" s="6"/>
      <c r="WZ444" s="6"/>
      <c r="XA444" s="6"/>
      <c r="XB444" s="6"/>
      <c r="XC444" s="6"/>
      <c r="XD444" s="6"/>
      <c r="XE444" s="6"/>
      <c r="XF444" s="6"/>
      <c r="XG444" s="6"/>
      <c r="XH444" s="6"/>
      <c r="XI444" s="6"/>
      <c r="XJ444" s="6"/>
      <c r="XK444" s="6"/>
      <c r="XL444" s="6"/>
      <c r="XM444" s="6"/>
      <c r="XN444" s="6"/>
      <c r="XO444" s="6"/>
      <c r="XP444" s="6"/>
      <c r="XQ444" s="6"/>
      <c r="XR444" s="6"/>
      <c r="XS444" s="6"/>
      <c r="XT444" s="6"/>
      <c r="XU444" s="6"/>
      <c r="XV444" s="6"/>
      <c r="XW444" s="6"/>
      <c r="XX444" s="6"/>
      <c r="XY444" s="6"/>
      <c r="XZ444" s="6"/>
      <c r="YA444" s="6"/>
      <c r="YB444" s="6"/>
      <c r="YC444" s="6"/>
      <c r="YD444" s="6"/>
      <c r="YE444" s="6"/>
      <c r="YF444" s="6"/>
      <c r="YG444" s="6"/>
      <c r="YH444" s="6"/>
      <c r="YI444" s="6"/>
      <c r="YJ444" s="6"/>
      <c r="YK444" s="6"/>
      <c r="YL444" s="6"/>
      <c r="YM444" s="6"/>
      <c r="YN444" s="6"/>
      <c r="YO444" s="6"/>
      <c r="YP444" s="6"/>
      <c r="YQ444" s="6"/>
      <c r="YR444" s="6"/>
      <c r="YS444" s="6"/>
      <c r="YT444" s="6"/>
      <c r="YU444" s="6"/>
      <c r="YV444" s="6"/>
      <c r="YW444" s="6"/>
      <c r="YX444" s="6"/>
      <c r="YY444" s="6"/>
      <c r="YZ444" s="6"/>
      <c r="ZA444" s="6"/>
      <c r="ZB444" s="6"/>
      <c r="ZC444" s="6"/>
      <c r="ZD444" s="6"/>
      <c r="ZE444" s="6"/>
      <c r="ZF444" s="6"/>
      <c r="ZG444" s="6"/>
      <c r="ZH444" s="6"/>
      <c r="ZI444" s="6"/>
      <c r="ZJ444" s="6"/>
      <c r="ZK444" s="6"/>
      <c r="ZL444" s="6"/>
      <c r="ZM444" s="6"/>
      <c r="ZN444" s="6"/>
      <c r="ZO444" s="6"/>
      <c r="ZP444" s="6"/>
      <c r="ZQ444" s="6"/>
      <c r="ZR444" s="6"/>
      <c r="ZS444" s="6"/>
      <c r="ZT444" s="6"/>
      <c r="ZU444" s="6"/>
      <c r="ZV444" s="6"/>
      <c r="ZW444" s="6"/>
      <c r="ZX444" s="6"/>
      <c r="ZY444" s="6"/>
      <c r="ZZ444" s="6"/>
      <c r="AAA444" s="6"/>
      <c r="AAB444" s="6"/>
      <c r="AAC444" s="6"/>
      <c r="AAD444" s="6"/>
      <c r="AAE444" s="6"/>
      <c r="AAF444" s="6"/>
      <c r="AAG444" s="6"/>
      <c r="AAH444" s="6"/>
      <c r="AAI444" s="6"/>
      <c r="AAJ444" s="6"/>
      <c r="AAK444" s="6"/>
      <c r="AAL444" s="6"/>
      <c r="AAM444" s="6"/>
      <c r="AAN444" s="6"/>
      <c r="AAO444" s="6"/>
      <c r="AAP444" s="6"/>
      <c r="AAQ444" s="6"/>
      <c r="AAR444" s="6"/>
      <c r="AAS444" s="6"/>
      <c r="AAT444" s="6"/>
      <c r="AAU444" s="6"/>
      <c r="AAV444" s="6"/>
      <c r="AAW444" s="6"/>
      <c r="AAX444" s="6"/>
      <c r="AAY444" s="6"/>
      <c r="AAZ444" s="6"/>
      <c r="ABA444" s="6"/>
      <c r="ABB444" s="6"/>
      <c r="ABC444" s="6"/>
      <c r="ABD444" s="6"/>
      <c r="ABE444" s="6"/>
      <c r="ABF444" s="6"/>
      <c r="ABG444" s="6"/>
      <c r="ABH444" s="6"/>
      <c r="ABI444" s="6"/>
      <c r="ABJ444" s="6"/>
      <c r="ABK444" s="6"/>
      <c r="ABL444" s="6"/>
      <c r="ABM444" s="6"/>
      <c r="ABN444" s="6"/>
      <c r="ABO444" s="6"/>
      <c r="ABP444" s="6"/>
      <c r="ABQ444" s="6"/>
      <c r="ABR444" s="6"/>
      <c r="ABS444" s="6"/>
      <c r="ABT444" s="6"/>
      <c r="ABU444" s="6"/>
      <c r="ABV444" s="6"/>
      <c r="ABW444" s="6"/>
      <c r="ABX444" s="6"/>
      <c r="ABY444" s="6"/>
      <c r="ABZ444" s="6"/>
      <c r="ACA444" s="6"/>
      <c r="ACB444" s="6"/>
      <c r="ACC444" s="6"/>
      <c r="ACD444" s="6"/>
      <c r="ACE444" s="6"/>
      <c r="ACF444" s="6"/>
      <c r="ACG444" s="6"/>
      <c r="ACH444" s="6"/>
      <c r="ACI444" s="6"/>
      <c r="ACJ444" s="6"/>
      <c r="ACK444" s="6"/>
      <c r="ACL444" s="6"/>
      <c r="ACM444" s="6"/>
      <c r="ACN444" s="6"/>
      <c r="ACO444" s="6"/>
      <c r="ACP444" s="6"/>
      <c r="ACQ444" s="6"/>
      <c r="ACR444" s="6"/>
      <c r="ACS444" s="6"/>
      <c r="ACT444" s="6"/>
      <c r="ACU444" s="6"/>
      <c r="ACV444" s="6"/>
      <c r="ACW444" s="6"/>
      <c r="ACX444" s="6"/>
      <c r="ACY444" s="6"/>
      <c r="ACZ444" s="6"/>
      <c r="ADA444" s="6"/>
      <c r="ADB444" s="6"/>
      <c r="ADC444" s="6"/>
      <c r="ADD444" s="6"/>
      <c r="ADE444" s="6"/>
      <c r="ADF444" s="6"/>
      <c r="ADG444" s="6"/>
      <c r="ADH444" s="6"/>
      <c r="ADI444" s="6"/>
      <c r="ADJ444" s="6"/>
      <c r="ADK444" s="6"/>
      <c r="ADL444" s="6"/>
      <c r="ADM444" s="6"/>
      <c r="ADN444" s="6"/>
      <c r="ADO444" s="6"/>
      <c r="ADP444" s="6"/>
      <c r="ADQ444" s="6"/>
      <c r="ADR444" s="6"/>
      <c r="ADS444" s="6"/>
      <c r="ADT444" s="6"/>
      <c r="ADU444" s="6"/>
      <c r="ADV444" s="6"/>
      <c r="ADW444" s="6"/>
      <c r="ADX444" s="6"/>
      <c r="ADY444" s="6"/>
      <c r="ADZ444" s="6"/>
      <c r="AEA444" s="6"/>
      <c r="AEB444" s="6"/>
      <c r="AEC444" s="6"/>
      <c r="AED444" s="6"/>
      <c r="AEE444" s="6"/>
      <c r="AEF444" s="6"/>
      <c r="AEG444" s="6"/>
      <c r="AEH444" s="6"/>
      <c r="AEI444" s="6"/>
      <c r="AEJ444" s="6"/>
      <c r="AEK444" s="6"/>
      <c r="AEL444" s="6"/>
      <c r="AEM444" s="6"/>
      <c r="AEN444" s="6"/>
      <c r="AEO444" s="6"/>
      <c r="AEP444" s="6"/>
      <c r="AEQ444" s="6"/>
      <c r="AER444" s="6"/>
      <c r="AES444" s="6"/>
      <c r="AET444" s="6"/>
      <c r="AEU444" s="6"/>
      <c r="AEV444" s="6"/>
      <c r="AEW444" s="6"/>
      <c r="AEX444" s="6"/>
      <c r="AEY444" s="6"/>
      <c r="AEZ444" s="6"/>
      <c r="AFA444" s="6"/>
      <c r="AFB444" s="6"/>
      <c r="AFC444" s="6"/>
      <c r="AFD444" s="6"/>
      <c r="AFE444" s="6"/>
      <c r="AFF444" s="6"/>
      <c r="AFG444" s="6"/>
      <c r="AFH444" s="6"/>
      <c r="AFI444" s="6"/>
      <c r="AFJ444" s="6"/>
      <c r="AFK444" s="6"/>
      <c r="AFL444" s="6"/>
      <c r="AFM444" s="6"/>
      <c r="AFN444" s="6"/>
      <c r="AFO444" s="6"/>
      <c r="AFP444" s="6"/>
      <c r="AFQ444" s="6"/>
      <c r="AFR444" s="6"/>
      <c r="AFS444" s="6"/>
      <c r="AFT444" s="6"/>
      <c r="AFU444" s="6"/>
      <c r="AFV444" s="6"/>
      <c r="AFW444" s="6"/>
      <c r="AFX444" s="6"/>
      <c r="AFY444" s="6"/>
      <c r="AFZ444" s="6"/>
      <c r="AGA444" s="6"/>
      <c r="AGB444" s="6"/>
      <c r="AGC444" s="6"/>
      <c r="AGD444" s="6"/>
      <c r="AGE444" s="6"/>
      <c r="AGF444" s="6"/>
      <c r="AGG444" s="6"/>
      <c r="AGH444" s="6"/>
      <c r="AGI444" s="6"/>
      <c r="AGJ444" s="6"/>
      <c r="AGK444" s="6"/>
      <c r="AGL444" s="6"/>
      <c r="AGM444" s="6"/>
      <c r="AGN444" s="6"/>
      <c r="AGO444" s="6"/>
      <c r="AGP444" s="6"/>
      <c r="AGQ444" s="6"/>
      <c r="AGR444" s="6"/>
      <c r="AGS444" s="6"/>
      <c r="AGT444" s="6"/>
      <c r="AGU444" s="6"/>
      <c r="AGV444" s="6"/>
      <c r="AGW444" s="6"/>
      <c r="AGX444" s="6"/>
      <c r="AGY444" s="6"/>
      <c r="AGZ444" s="6"/>
      <c r="AHA444" s="6"/>
      <c r="AHB444" s="6"/>
      <c r="AHC444" s="6"/>
      <c r="AHD444" s="6"/>
      <c r="AHE444" s="6"/>
      <c r="AHF444" s="6"/>
      <c r="AHG444" s="6"/>
      <c r="AHH444" s="6"/>
      <c r="AHI444" s="6"/>
      <c r="AHJ444" s="6"/>
      <c r="AHK444" s="6"/>
      <c r="AHL444" s="6"/>
      <c r="AHM444" s="6"/>
      <c r="AHN444" s="6"/>
      <c r="AHO444" s="6"/>
      <c r="AHP444" s="6"/>
      <c r="AHQ444" s="6"/>
      <c r="AHR444" s="6"/>
      <c r="AHS444" s="6"/>
      <c r="AHT444" s="6"/>
      <c r="AHU444" s="6"/>
      <c r="AHV444" s="6"/>
      <c r="AHW444" s="6"/>
      <c r="AHX444" s="6"/>
      <c r="AHY444" s="6"/>
      <c r="AHZ444" s="6"/>
      <c r="AIA444" s="6"/>
      <c r="AIB444" s="6"/>
      <c r="AIC444" s="6"/>
      <c r="AID444" s="6"/>
      <c r="AIE444" s="6"/>
      <c r="AIF444" s="6"/>
      <c r="AIG444" s="6"/>
      <c r="AIH444" s="6"/>
      <c r="AII444" s="6"/>
      <c r="AIJ444" s="6"/>
      <c r="AIK444" s="6"/>
      <c r="AIL444" s="6"/>
      <c r="AIM444" s="6"/>
      <c r="AIN444" s="6"/>
      <c r="AIO444" s="6"/>
      <c r="AIP444" s="6"/>
      <c r="AIQ444" s="6"/>
      <c r="AIR444" s="6"/>
      <c r="AIS444" s="6"/>
      <c r="AIT444" s="6"/>
      <c r="AIU444" s="6"/>
      <c r="AIV444" s="6"/>
      <c r="AIW444" s="6"/>
      <c r="AIX444" s="6"/>
      <c r="AIY444" s="6"/>
      <c r="AIZ444" s="6"/>
      <c r="AJA444" s="6"/>
      <c r="AJB444" s="6"/>
      <c r="AJC444" s="6"/>
      <c r="AJD444" s="6"/>
      <c r="AJE444" s="6"/>
      <c r="AJF444" s="6"/>
      <c r="AJG444" s="6"/>
      <c r="AJH444" s="6"/>
      <c r="AJI444" s="6"/>
      <c r="AJJ444" s="6"/>
      <c r="AJK444" s="6"/>
      <c r="AJL444" s="6"/>
      <c r="AJM444" s="6"/>
      <c r="AJN444" s="6"/>
      <c r="AJO444" s="6"/>
      <c r="AJP444" s="6"/>
      <c r="AJQ444" s="6"/>
      <c r="AJR444" s="6"/>
      <c r="AJS444" s="6"/>
      <c r="AJT444" s="6"/>
      <c r="AJU444" s="6"/>
      <c r="AJV444" s="6"/>
      <c r="AJW444" s="6"/>
      <c r="AJX444" s="6"/>
      <c r="AJY444" s="6"/>
      <c r="AJZ444" s="6"/>
      <c r="AKA444" s="6"/>
      <c r="AKB444" s="6"/>
      <c r="AKC444" s="6"/>
      <c r="AKD444" s="6"/>
      <c r="AKE444" s="6"/>
      <c r="AKF444" s="6"/>
      <c r="AKG444" s="6"/>
      <c r="AKH444" s="6"/>
      <c r="AKI444" s="6"/>
      <c r="AKJ444" s="6"/>
      <c r="AKK444" s="6"/>
      <c r="AKL444" s="6"/>
      <c r="AKM444" s="6"/>
      <c r="AKN444" s="6"/>
      <c r="AKO444" s="6"/>
      <c r="AKP444" s="6"/>
      <c r="AKQ444" s="6"/>
      <c r="AKR444" s="6"/>
      <c r="AKS444" s="6"/>
      <c r="AKT444" s="6"/>
      <c r="AKU444" s="6"/>
      <c r="AKV444" s="6"/>
      <c r="AKW444" s="6"/>
      <c r="AKX444" s="6"/>
      <c r="AKY444" s="6"/>
      <c r="AKZ444" s="6"/>
      <c r="ALA444" s="6"/>
      <c r="ALB444" s="6"/>
      <c r="ALC444" s="6"/>
      <c r="ALD444" s="6"/>
      <c r="ALE444" s="6"/>
      <c r="ALF444" s="6"/>
      <c r="ALG444" s="6"/>
      <c r="ALH444" s="6"/>
      <c r="ALI444" s="6"/>
      <c r="ALJ444" s="6"/>
      <c r="ALK444" s="6"/>
      <c r="ALL444" s="6"/>
      <c r="ALM444" s="6"/>
      <c r="ALN444" s="6"/>
      <c r="ALO444" s="6"/>
      <c r="ALP444" s="6"/>
      <c r="ALQ444" s="6"/>
      <c r="ALR444" s="6"/>
      <c r="ALS444" s="6"/>
      <c r="ALT444" s="6"/>
      <c r="ALU444" s="6"/>
      <c r="ALV444" s="6"/>
      <c r="ALW444" s="6"/>
      <c r="ALX444" s="6"/>
      <c r="ALY444" s="6"/>
      <c r="ALZ444" s="6"/>
      <c r="AMA444" s="6"/>
      <c r="AMB444" s="6"/>
      <c r="AMC444" s="6"/>
      <c r="AMD444" s="6"/>
      <c r="AME444" s="6"/>
      <c r="AMF444" s="6"/>
      <c r="AMG444" s="6"/>
      <c r="AMH444" s="6"/>
      <c r="AMI444" s="6"/>
      <c r="AMJ444" s="6"/>
      <c r="AMK444" s="6"/>
      <c r="AML444" s="6"/>
      <c r="AMM444" s="6"/>
      <c r="AMN444" s="6"/>
      <c r="AMO444" s="6"/>
      <c r="AMP444" s="6"/>
    </row>
    <row r="445" spans="1:1030" x14ac:dyDescent="0.2">
      <c r="A445" s="3" t="str">
        <f t="shared" ref="A445" si="4360">CONCATENATE(B445,"_",C445)</f>
        <v>calrl_human_6UUS</v>
      </c>
      <c r="B445" s="2" t="s">
        <v>401</v>
      </c>
      <c r="C445" s="3" t="s">
        <v>1667</v>
      </c>
      <c r="D445" s="3" t="str">
        <f>IFERROR(MID(VLOOKUP($B445,Seqs!$A:$B,2,0),E445,1),"")</f>
        <v>T</v>
      </c>
      <c r="E445" s="3">
        <v>131</v>
      </c>
      <c r="F445" s="3" t="str">
        <f>IFERROR(MID(VLOOKUP($B445,Seqs!$A:$B,2,0),G445,1),"")</f>
        <v>F</v>
      </c>
      <c r="G445" s="3">
        <v>166</v>
      </c>
      <c r="H445" s="3" t="str">
        <f>IFERROR(MID(VLOOKUP($B445,Seqs!$A:$B,2,0),I445,1),"")</f>
        <v>K</v>
      </c>
      <c r="I445" s="23">
        <v>167</v>
      </c>
      <c r="J445" s="3" t="str">
        <f>IFERROR(MID(VLOOKUP($B445,Seqs!$A:$B,2,0),K445,1),"")</f>
        <v>S</v>
      </c>
      <c r="K445" s="23">
        <v>170</v>
      </c>
      <c r="L445" s="3" t="str">
        <f>IFERROR(MID(VLOOKUP($B445,Seqs!$A:$B,2,0),M445,1),"")</f>
        <v>C</v>
      </c>
      <c r="M445" s="3">
        <v>171</v>
      </c>
      <c r="N445" s="3" t="str">
        <f>IFERROR(MID(VLOOKUP($B445,Seqs!$A:$B,2,0),O445,1),"")</f>
        <v>V</v>
      </c>
      <c r="O445" s="3">
        <v>198</v>
      </c>
      <c r="P445" s="3" t="str">
        <f>IFERROR(MID(VLOOKUP($B445,Seqs!$A:$B,2,0),Q445,1),"")</f>
        <v/>
      </c>
      <c r="Q445" s="3" t="s">
        <v>23</v>
      </c>
      <c r="R445" s="3" t="str">
        <f>IFERROR(MID(VLOOKUP($B445,Seqs!$A:$B,2,0),S445,1),"")</f>
        <v/>
      </c>
      <c r="S445" s="3" t="s">
        <v>23</v>
      </c>
      <c r="T445" s="3" t="str">
        <f>IFERROR(MID(VLOOKUP($B445,Seqs!$A:$B,2,0),U445,1),"")</f>
        <v>V</v>
      </c>
      <c r="U445" s="3">
        <v>210</v>
      </c>
      <c r="V445" s="3" t="str">
        <f>IFERROR(MID(VLOOKUP($B445,Seqs!$A:$B,2,0),W445,1),"")</f>
        <v>V</v>
      </c>
      <c r="W445" s="3">
        <v>243</v>
      </c>
      <c r="X445" s="3" t="str">
        <f>IFERROR(MID(VLOOKUP($B445,Seqs!$A:$B,2,0),Y445,1),"")</f>
        <v/>
      </c>
      <c r="Y445" s="3" t="s">
        <v>23</v>
      </c>
      <c r="Z445" s="3" t="str">
        <f>IFERROR(MID(VLOOKUP($B445,Seqs!$A:$B,2,0),AA445,1),"")</f>
        <v/>
      </c>
      <c r="AA445" s="3" t="s">
        <v>23</v>
      </c>
      <c r="AB445" s="3" t="str">
        <f>IFERROR(MID(VLOOKUP($B445,Seqs!$A:$B,2,0),AC445,1),"")</f>
        <v>L</v>
      </c>
      <c r="AC445" s="3">
        <v>252</v>
      </c>
      <c r="AD445" s="3" t="str">
        <f>IFERROR(MID(VLOOKUP($B445,Seqs!$A:$B,2,0),AE445,1),"")</f>
        <v>Y</v>
      </c>
      <c r="AE445" s="3">
        <v>278</v>
      </c>
      <c r="AF445" s="3" t="str">
        <f>IFERROR(MID(VLOOKUP($B445,Seqs!$A:$B,2,0),AG445,1),"")</f>
        <v>C</v>
      </c>
      <c r="AG445" s="3">
        <v>282</v>
      </c>
      <c r="AH445" s="3" t="str">
        <f>IFERROR(MID(VLOOKUP($B445,Seqs!$A:$B,2,0),AI445,1),"")</f>
        <v>I</v>
      </c>
      <c r="AI445" s="3">
        <v>284</v>
      </c>
      <c r="AJ445" s="3" t="str">
        <f>IFERROR(MID(VLOOKUP($B445,Seqs!$A:$B,2,0),AK445,1),"")</f>
        <v>H</v>
      </c>
      <c r="AK445" s="3">
        <v>289</v>
      </c>
      <c r="AL445" s="3" t="str">
        <f>IFERROR(MID(VLOOKUP($B445,Seqs!$A:$B,2,0),AM445,1),"")</f>
        <v>K</v>
      </c>
      <c r="AM445" s="3">
        <v>321</v>
      </c>
      <c r="AN445" s="3" t="str">
        <f>IFERROR(MID(VLOOKUP($B445,Seqs!$A:$B,2,0),AO445,1),"")</f>
        <v>L</v>
      </c>
      <c r="AO445" s="3">
        <v>330</v>
      </c>
      <c r="AP445" s="3" t="str">
        <f>IFERROR(MID(VLOOKUP($B445,Seqs!$A:$B,2,0),AQ445,1),"")</f>
        <v>L</v>
      </c>
      <c r="AQ445" s="3">
        <v>351</v>
      </c>
      <c r="AR445" s="3" t="str">
        <f>IFERROR(MID(VLOOKUP($B445,Seqs!$A:$B,2,0),AS445,1),"")</f>
        <v>V</v>
      </c>
      <c r="AS445" s="3">
        <v>364</v>
      </c>
      <c r="AT445" s="3" t="str">
        <f>IFERROR(MID(VLOOKUP($B445,Seqs!$A:$B,2,0),AU445,1),"")</f>
        <v>F</v>
      </c>
      <c r="AU445" s="3">
        <v>387</v>
      </c>
      <c r="AV445" s="3" t="str">
        <f>IFERROR(MID(VLOOKUP($B445,Seqs!$A:$B,2,0),AW445,1),"")</f>
        <v>N</v>
      </c>
      <c r="AW445" s="3">
        <v>388</v>
      </c>
      <c r="AX445" s="3" t="str">
        <f>IFERROR(MID(VLOOKUP($B445,Seqs!$A:$B,2,0),AY445,1),"")</f>
        <v>W</v>
      </c>
      <c r="AY445" s="3">
        <v>399</v>
      </c>
      <c r="AZ445" s="77" t="str">
        <f>VLOOKUP(B445,Classification!A:D,2,0)</f>
        <v>B1</v>
      </c>
      <c r="BA445" s="94" t="str">
        <f>VLOOKUP(B445,Classification!A:D,4,0)</f>
        <v>Calcitonin</v>
      </c>
      <c r="BB445" s="27" t="b">
        <f t="shared" ref="BB445" si="4361">AND(E445&lt;G445,OR(G445&lt;I445,I445="-"),OR(I445&lt;K445,I445="-"),OR(K445&lt;M445,K445="-"),M445&lt;O445,OR(O445&lt;Q445,Q445="-"),OR(Q445&lt;S445,Q445="-"),OR(S445&lt;U445,S445="-"),U445&lt;W445,OR(W445&lt;Y445,Y445="-"),OR(Y445&lt;AA445,Y445="-"),OR(AA445&lt;AC445,AA445="-"),AC445&lt;AE445,OR(AE445&lt;AG445,AG445="-"),OR(AG445&lt;AI445,AG445="-"),OR(AI445&lt;AK445,AI445="-"),AK445&lt;AM445,AM445&lt;AO445,AO445&lt;AQ445,AQ445&lt;AS445,AS445&lt;AU445,OR(AU445&lt;AW445,AW445="-"),OR(AW445&lt;AY445,AW445="-"))</f>
        <v>1</v>
      </c>
      <c r="BC445" s="23">
        <f t="shared" ref="BC445" si="4362">_xlfn.AGGREGATE(9,6,CH445:CS445)-_xlfn.AGGREGATE(9,6,BV445:CG445)+12</f>
        <v>225</v>
      </c>
      <c r="BD445" s="4" t="s">
        <v>1369</v>
      </c>
      <c r="BE445" s="3" t="s">
        <v>1285</v>
      </c>
      <c r="BF445" s="118">
        <v>2.4</v>
      </c>
      <c r="BG445" s="49" t="s">
        <v>1416</v>
      </c>
      <c r="BH445" s="49" t="s">
        <v>1416</v>
      </c>
      <c r="BI445" s="1"/>
      <c r="BJ445" s="70" t="s">
        <v>1281</v>
      </c>
      <c r="BK445" s="57" t="s">
        <v>1281</v>
      </c>
      <c r="BL445" s="57" t="s">
        <v>1281</v>
      </c>
      <c r="BM445" s="57" t="s">
        <v>1281</v>
      </c>
      <c r="BN445" s="57" t="s">
        <v>1281</v>
      </c>
      <c r="BO445" s="57" t="s">
        <v>1281</v>
      </c>
      <c r="BP445" s="57" t="s">
        <v>1281</v>
      </c>
      <c r="BQ445" s="57" t="s">
        <v>1281</v>
      </c>
      <c r="BR445" s="57" t="s">
        <v>1281</v>
      </c>
      <c r="BS445" s="57" t="s">
        <v>1281</v>
      </c>
      <c r="BT445" s="57" t="s">
        <v>1281</v>
      </c>
      <c r="BU445" s="57" t="s">
        <v>1281</v>
      </c>
      <c r="BV445" s="70">
        <f t="shared" ref="BV445" si="4363">E445</f>
        <v>131</v>
      </c>
      <c r="BW445" s="71">
        <f t="shared" ref="BW445" si="4364">I445</f>
        <v>167</v>
      </c>
      <c r="BX445" s="72">
        <f t="shared" ref="BX445" si="4365">M445</f>
        <v>171</v>
      </c>
      <c r="BY445" s="71" t="str">
        <f t="shared" ref="BY445" si="4366">Q445</f>
        <v>-</v>
      </c>
      <c r="BZ445" s="72">
        <f t="shared" ref="BZ445" si="4367">U445</f>
        <v>210</v>
      </c>
      <c r="CA445" s="71" t="str">
        <f t="shared" ref="CA445" si="4368">Y445</f>
        <v>-</v>
      </c>
      <c r="CB445" s="72">
        <f t="shared" ref="CB445" si="4369">AC445</f>
        <v>252</v>
      </c>
      <c r="CC445" s="71">
        <f t="shared" ref="CC445" si="4370">AG445</f>
        <v>282</v>
      </c>
      <c r="CD445" s="72">
        <f t="shared" ref="CD445" si="4371">AK445</f>
        <v>289</v>
      </c>
      <c r="CE445" s="71">
        <f t="shared" ref="CE445" si="4372">AO445</f>
        <v>330</v>
      </c>
      <c r="CF445" s="72">
        <f t="shared" ref="CF445" si="4373">AS445</f>
        <v>364</v>
      </c>
      <c r="CG445" s="71">
        <f t="shared" ref="CG445" si="4374">AW445</f>
        <v>388</v>
      </c>
      <c r="CH445" s="70">
        <f t="shared" ref="CH445" si="4375">G445</f>
        <v>166</v>
      </c>
      <c r="CI445" s="71">
        <f t="shared" ref="CI445" si="4376">K445</f>
        <v>170</v>
      </c>
      <c r="CJ445" s="72">
        <f t="shared" ref="CJ445" si="4377">O445</f>
        <v>198</v>
      </c>
      <c r="CK445" s="72" t="str">
        <f t="shared" ref="CK445" si="4378">S445</f>
        <v>-</v>
      </c>
      <c r="CL445" s="72">
        <f t="shared" ref="CL445" si="4379">W445</f>
        <v>243</v>
      </c>
      <c r="CM445" s="72" t="str">
        <f t="shared" ref="CM445" si="4380">AA445</f>
        <v>-</v>
      </c>
      <c r="CN445" s="72">
        <f t="shared" ref="CN445" si="4381">AE445</f>
        <v>278</v>
      </c>
      <c r="CO445" s="72">
        <f t="shared" ref="CO445" si="4382">AI445</f>
        <v>284</v>
      </c>
      <c r="CP445" s="72">
        <f t="shared" ref="CP445" si="4383">AM445</f>
        <v>321</v>
      </c>
      <c r="CQ445" s="72">
        <f t="shared" ref="CQ445" si="4384">AQ445</f>
        <v>351</v>
      </c>
      <c r="CR445" s="72">
        <f t="shared" ref="CR445" si="4385">AU445</f>
        <v>387</v>
      </c>
      <c r="CS445" s="72">
        <f t="shared" ref="CS445" si="4386">AY445</f>
        <v>399</v>
      </c>
      <c r="CT445" s="23">
        <f t="shared" ref="CT445" si="4387">M445-K445</f>
        <v>1</v>
      </c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6"/>
      <c r="KB445" s="6"/>
      <c r="KC445" s="6"/>
      <c r="KD445" s="6"/>
      <c r="KE445" s="6"/>
      <c r="KF445" s="6"/>
      <c r="KG445" s="6"/>
      <c r="KH445" s="6"/>
      <c r="KI445" s="6"/>
      <c r="KJ445" s="6"/>
      <c r="KK445" s="6"/>
      <c r="KL445" s="6"/>
      <c r="KM445" s="6"/>
      <c r="KN445" s="6"/>
      <c r="KO445" s="6"/>
      <c r="KP445" s="6"/>
      <c r="KQ445" s="6"/>
      <c r="KR445" s="6"/>
      <c r="KS445" s="6"/>
      <c r="KT445" s="6"/>
      <c r="KU445" s="6"/>
      <c r="KV445" s="6"/>
      <c r="KW445" s="6"/>
      <c r="KX445" s="6"/>
      <c r="KY445" s="6"/>
      <c r="KZ445" s="6"/>
      <c r="LA445" s="6"/>
      <c r="LB445" s="6"/>
      <c r="LC445" s="6"/>
      <c r="LD445" s="6"/>
      <c r="LE445" s="6"/>
      <c r="LF445" s="6"/>
      <c r="LG445" s="6"/>
      <c r="LH445" s="6"/>
      <c r="LI445" s="6"/>
      <c r="LJ445" s="6"/>
      <c r="LK445" s="6"/>
      <c r="LL445" s="6"/>
      <c r="LM445" s="6"/>
      <c r="LN445" s="6"/>
      <c r="LO445" s="6"/>
      <c r="LP445" s="6"/>
      <c r="LQ445" s="6"/>
      <c r="LR445" s="6"/>
      <c r="LS445" s="6"/>
      <c r="LT445" s="6"/>
      <c r="LU445" s="6"/>
      <c r="LV445" s="6"/>
      <c r="LW445" s="6"/>
      <c r="LX445" s="6"/>
      <c r="LY445" s="6"/>
      <c r="LZ445" s="6"/>
      <c r="MA445" s="6"/>
      <c r="MB445" s="6"/>
      <c r="MC445" s="6"/>
      <c r="MD445" s="6"/>
      <c r="ME445" s="6"/>
      <c r="MF445" s="6"/>
      <c r="MG445" s="6"/>
      <c r="MH445" s="6"/>
      <c r="MI445" s="6"/>
      <c r="MJ445" s="6"/>
      <c r="MK445" s="6"/>
      <c r="ML445" s="6"/>
      <c r="MM445" s="6"/>
      <c r="MN445" s="6"/>
      <c r="MO445" s="6"/>
      <c r="MP445" s="6"/>
      <c r="MQ445" s="6"/>
      <c r="MR445" s="6"/>
      <c r="MS445" s="6"/>
      <c r="MT445" s="6"/>
      <c r="MU445" s="6"/>
      <c r="MV445" s="6"/>
      <c r="MW445" s="6"/>
      <c r="MX445" s="6"/>
      <c r="MY445" s="6"/>
      <c r="MZ445" s="6"/>
      <c r="NA445" s="6"/>
      <c r="NB445" s="6"/>
      <c r="NC445" s="6"/>
      <c r="ND445" s="6"/>
      <c r="NE445" s="6"/>
      <c r="NF445" s="6"/>
      <c r="NG445" s="6"/>
      <c r="NH445" s="6"/>
      <c r="NI445" s="6"/>
      <c r="NJ445" s="6"/>
      <c r="NK445" s="6"/>
      <c r="NL445" s="6"/>
      <c r="NM445" s="6"/>
      <c r="NN445" s="6"/>
      <c r="NO445" s="6"/>
      <c r="NP445" s="6"/>
      <c r="NQ445" s="6"/>
      <c r="NR445" s="6"/>
      <c r="NS445" s="6"/>
      <c r="NT445" s="6"/>
      <c r="NU445" s="6"/>
      <c r="NV445" s="6"/>
      <c r="NW445" s="6"/>
      <c r="NX445" s="6"/>
      <c r="NY445" s="6"/>
      <c r="NZ445" s="6"/>
      <c r="OA445" s="6"/>
      <c r="OB445" s="6"/>
      <c r="OC445" s="6"/>
      <c r="OD445" s="6"/>
      <c r="OE445" s="6"/>
      <c r="OF445" s="6"/>
      <c r="OG445" s="6"/>
      <c r="OH445" s="6"/>
      <c r="OI445" s="6"/>
      <c r="OJ445" s="6"/>
      <c r="OK445" s="6"/>
      <c r="OL445" s="6"/>
      <c r="OM445" s="6"/>
      <c r="ON445" s="6"/>
      <c r="OO445" s="6"/>
      <c r="OP445" s="6"/>
      <c r="OQ445" s="6"/>
      <c r="OR445" s="6"/>
      <c r="OS445" s="6"/>
      <c r="OT445" s="6"/>
      <c r="OU445" s="6"/>
      <c r="OV445" s="6"/>
      <c r="OW445" s="6"/>
      <c r="OX445" s="6"/>
      <c r="OY445" s="6"/>
      <c r="OZ445" s="6"/>
      <c r="PA445" s="6"/>
      <c r="PB445" s="6"/>
      <c r="PC445" s="6"/>
      <c r="PD445" s="6"/>
      <c r="PE445" s="6"/>
      <c r="PF445" s="6"/>
      <c r="PG445" s="6"/>
      <c r="PH445" s="6"/>
      <c r="PI445" s="6"/>
      <c r="PJ445" s="6"/>
      <c r="PK445" s="6"/>
      <c r="PL445" s="6"/>
      <c r="PM445" s="6"/>
      <c r="PN445" s="6"/>
      <c r="PO445" s="6"/>
      <c r="PP445" s="6"/>
      <c r="PQ445" s="6"/>
      <c r="PR445" s="6"/>
      <c r="PS445" s="6"/>
      <c r="PT445" s="6"/>
      <c r="PU445" s="6"/>
      <c r="PV445" s="6"/>
      <c r="PW445" s="6"/>
      <c r="PX445" s="6"/>
      <c r="PY445" s="6"/>
      <c r="PZ445" s="6"/>
      <c r="QA445" s="6"/>
      <c r="QB445" s="6"/>
      <c r="QC445" s="6"/>
      <c r="QD445" s="6"/>
      <c r="QE445" s="6"/>
      <c r="QF445" s="6"/>
      <c r="QG445" s="6"/>
      <c r="QH445" s="6"/>
      <c r="QI445" s="6"/>
      <c r="QJ445" s="6"/>
      <c r="QK445" s="6"/>
      <c r="QL445" s="6"/>
      <c r="QM445" s="6"/>
      <c r="QN445" s="6"/>
      <c r="QO445" s="6"/>
      <c r="QP445" s="6"/>
      <c r="QQ445" s="6"/>
      <c r="QR445" s="6"/>
      <c r="QS445" s="6"/>
      <c r="QT445" s="6"/>
      <c r="QU445" s="6"/>
      <c r="QV445" s="6"/>
      <c r="QW445" s="6"/>
      <c r="QX445" s="6"/>
      <c r="QY445" s="6"/>
      <c r="QZ445" s="6"/>
      <c r="RA445" s="6"/>
      <c r="RB445" s="6"/>
      <c r="RC445" s="6"/>
      <c r="RD445" s="6"/>
      <c r="RE445" s="6"/>
      <c r="RF445" s="6"/>
      <c r="RG445" s="6"/>
      <c r="RH445" s="6"/>
      <c r="RI445" s="6"/>
      <c r="RJ445" s="6"/>
      <c r="RK445" s="6"/>
      <c r="RL445" s="6"/>
      <c r="RM445" s="6"/>
      <c r="RN445" s="6"/>
      <c r="RO445" s="6"/>
      <c r="RP445" s="6"/>
      <c r="RQ445" s="6"/>
      <c r="RR445" s="6"/>
      <c r="RS445" s="6"/>
      <c r="RT445" s="6"/>
      <c r="RU445" s="6"/>
      <c r="RV445" s="6"/>
      <c r="RW445" s="6"/>
      <c r="RX445" s="6"/>
      <c r="RY445" s="6"/>
      <c r="RZ445" s="6"/>
      <c r="SA445" s="6"/>
      <c r="SB445" s="6"/>
      <c r="SC445" s="6"/>
      <c r="SD445" s="6"/>
      <c r="SE445" s="6"/>
      <c r="SF445" s="6"/>
      <c r="SG445" s="6"/>
      <c r="SH445" s="6"/>
      <c r="SI445" s="6"/>
      <c r="SJ445" s="6"/>
      <c r="SK445" s="6"/>
      <c r="SL445" s="6"/>
      <c r="SM445" s="6"/>
      <c r="SN445" s="6"/>
      <c r="SO445" s="6"/>
      <c r="SP445" s="6"/>
      <c r="SQ445" s="6"/>
      <c r="SR445" s="6"/>
      <c r="SS445" s="6"/>
      <c r="ST445" s="6"/>
      <c r="SU445" s="6"/>
      <c r="SV445" s="6"/>
      <c r="SW445" s="6"/>
      <c r="SX445" s="6"/>
      <c r="SY445" s="6"/>
      <c r="SZ445" s="6"/>
      <c r="TA445" s="6"/>
      <c r="TB445" s="6"/>
      <c r="TC445" s="6"/>
      <c r="TD445" s="6"/>
      <c r="TE445" s="6"/>
      <c r="TF445" s="6"/>
      <c r="TG445" s="6"/>
      <c r="TH445" s="6"/>
      <c r="TI445" s="6"/>
      <c r="TJ445" s="6"/>
      <c r="TK445" s="6"/>
      <c r="TL445" s="6"/>
      <c r="TM445" s="6"/>
      <c r="TN445" s="6"/>
      <c r="TO445" s="6"/>
      <c r="TP445" s="6"/>
      <c r="TQ445" s="6"/>
      <c r="TR445" s="6"/>
      <c r="TS445" s="6"/>
      <c r="TT445" s="6"/>
      <c r="TU445" s="6"/>
      <c r="TV445" s="6"/>
      <c r="TW445" s="6"/>
      <c r="TX445" s="6"/>
      <c r="TY445" s="6"/>
      <c r="TZ445" s="6"/>
      <c r="UA445" s="6"/>
      <c r="UB445" s="6"/>
      <c r="UC445" s="6"/>
      <c r="UD445" s="6"/>
      <c r="UE445" s="6"/>
      <c r="UF445" s="6"/>
      <c r="UG445" s="6"/>
      <c r="UH445" s="6"/>
      <c r="UI445" s="6"/>
      <c r="UJ445" s="6"/>
      <c r="UK445" s="6"/>
      <c r="UL445" s="6"/>
      <c r="UM445" s="6"/>
      <c r="UN445" s="6"/>
      <c r="UO445" s="6"/>
      <c r="UP445" s="6"/>
      <c r="UQ445" s="6"/>
      <c r="UR445" s="6"/>
      <c r="US445" s="6"/>
      <c r="UT445" s="6"/>
      <c r="UU445" s="6"/>
      <c r="UV445" s="6"/>
      <c r="UW445" s="6"/>
      <c r="UX445" s="6"/>
      <c r="UY445" s="6"/>
      <c r="UZ445" s="6"/>
      <c r="VA445" s="6"/>
      <c r="VB445" s="6"/>
      <c r="VC445" s="6"/>
      <c r="VD445" s="6"/>
      <c r="VE445" s="6"/>
      <c r="VF445" s="6"/>
      <c r="VG445" s="6"/>
      <c r="VH445" s="6"/>
      <c r="VI445" s="6"/>
      <c r="VJ445" s="6"/>
      <c r="VK445" s="6"/>
      <c r="VL445" s="6"/>
      <c r="VM445" s="6"/>
      <c r="VN445" s="6"/>
      <c r="VO445" s="6"/>
      <c r="VP445" s="6"/>
      <c r="VQ445" s="6"/>
      <c r="VR445" s="6"/>
      <c r="VS445" s="6"/>
      <c r="VT445" s="6"/>
      <c r="VU445" s="6"/>
      <c r="VV445" s="6"/>
      <c r="VW445" s="6"/>
      <c r="VX445" s="6"/>
      <c r="VY445" s="6"/>
      <c r="VZ445" s="6"/>
      <c r="WA445" s="6"/>
      <c r="WB445" s="6"/>
      <c r="WC445" s="6"/>
      <c r="WD445" s="6"/>
      <c r="WE445" s="6"/>
      <c r="WF445" s="6"/>
      <c r="WG445" s="6"/>
      <c r="WH445" s="6"/>
      <c r="WI445" s="6"/>
      <c r="WJ445" s="6"/>
      <c r="WK445" s="6"/>
      <c r="WL445" s="6"/>
      <c r="WM445" s="6"/>
      <c r="WN445" s="6"/>
      <c r="WO445" s="6"/>
      <c r="WP445" s="6"/>
      <c r="WQ445" s="6"/>
      <c r="WR445" s="6"/>
      <c r="WS445" s="6"/>
      <c r="WT445" s="6"/>
      <c r="WU445" s="6"/>
      <c r="WV445" s="6"/>
      <c r="WW445" s="6"/>
      <c r="WX445" s="6"/>
      <c r="WY445" s="6"/>
      <c r="WZ445" s="6"/>
      <c r="XA445" s="6"/>
      <c r="XB445" s="6"/>
      <c r="XC445" s="6"/>
      <c r="XD445" s="6"/>
      <c r="XE445" s="6"/>
      <c r="XF445" s="6"/>
      <c r="XG445" s="6"/>
      <c r="XH445" s="6"/>
      <c r="XI445" s="6"/>
      <c r="XJ445" s="6"/>
      <c r="XK445" s="6"/>
      <c r="XL445" s="6"/>
      <c r="XM445" s="6"/>
      <c r="XN445" s="6"/>
      <c r="XO445" s="6"/>
      <c r="XP445" s="6"/>
      <c r="XQ445" s="6"/>
      <c r="XR445" s="6"/>
      <c r="XS445" s="6"/>
      <c r="XT445" s="6"/>
      <c r="XU445" s="6"/>
      <c r="XV445" s="6"/>
      <c r="XW445" s="6"/>
      <c r="XX445" s="6"/>
      <c r="XY445" s="6"/>
      <c r="XZ445" s="6"/>
      <c r="YA445" s="6"/>
      <c r="YB445" s="6"/>
      <c r="YC445" s="6"/>
      <c r="YD445" s="6"/>
      <c r="YE445" s="6"/>
      <c r="YF445" s="6"/>
      <c r="YG445" s="6"/>
      <c r="YH445" s="6"/>
      <c r="YI445" s="6"/>
      <c r="YJ445" s="6"/>
      <c r="YK445" s="6"/>
      <c r="YL445" s="6"/>
      <c r="YM445" s="6"/>
      <c r="YN445" s="6"/>
      <c r="YO445" s="6"/>
      <c r="YP445" s="6"/>
      <c r="YQ445" s="6"/>
      <c r="YR445" s="6"/>
      <c r="YS445" s="6"/>
      <c r="YT445" s="6"/>
      <c r="YU445" s="6"/>
      <c r="YV445" s="6"/>
      <c r="YW445" s="6"/>
      <c r="YX445" s="6"/>
      <c r="YY445" s="6"/>
      <c r="YZ445" s="6"/>
      <c r="ZA445" s="6"/>
      <c r="ZB445" s="6"/>
      <c r="ZC445" s="6"/>
      <c r="ZD445" s="6"/>
      <c r="ZE445" s="6"/>
      <c r="ZF445" s="6"/>
      <c r="ZG445" s="6"/>
      <c r="ZH445" s="6"/>
      <c r="ZI445" s="6"/>
      <c r="ZJ445" s="6"/>
      <c r="ZK445" s="6"/>
      <c r="ZL445" s="6"/>
      <c r="ZM445" s="6"/>
      <c r="ZN445" s="6"/>
      <c r="ZO445" s="6"/>
      <c r="ZP445" s="6"/>
      <c r="ZQ445" s="6"/>
      <c r="ZR445" s="6"/>
      <c r="ZS445" s="6"/>
      <c r="ZT445" s="6"/>
      <c r="ZU445" s="6"/>
      <c r="ZV445" s="6"/>
      <c r="ZW445" s="6"/>
      <c r="ZX445" s="6"/>
      <c r="ZY445" s="6"/>
      <c r="ZZ445" s="6"/>
      <c r="AAA445" s="6"/>
      <c r="AAB445" s="6"/>
      <c r="AAC445" s="6"/>
      <c r="AAD445" s="6"/>
      <c r="AAE445" s="6"/>
      <c r="AAF445" s="6"/>
      <c r="AAG445" s="6"/>
      <c r="AAH445" s="6"/>
      <c r="AAI445" s="6"/>
      <c r="AAJ445" s="6"/>
      <c r="AAK445" s="6"/>
      <c r="AAL445" s="6"/>
      <c r="AAM445" s="6"/>
      <c r="AAN445" s="6"/>
      <c r="AAO445" s="6"/>
      <c r="AAP445" s="6"/>
      <c r="AAQ445" s="6"/>
      <c r="AAR445" s="6"/>
      <c r="AAS445" s="6"/>
      <c r="AAT445" s="6"/>
      <c r="AAU445" s="6"/>
      <c r="AAV445" s="6"/>
      <c r="AAW445" s="6"/>
      <c r="AAX445" s="6"/>
      <c r="AAY445" s="6"/>
      <c r="AAZ445" s="6"/>
      <c r="ABA445" s="6"/>
      <c r="ABB445" s="6"/>
      <c r="ABC445" s="6"/>
      <c r="ABD445" s="6"/>
      <c r="ABE445" s="6"/>
      <c r="ABF445" s="6"/>
      <c r="ABG445" s="6"/>
      <c r="ABH445" s="6"/>
      <c r="ABI445" s="6"/>
      <c r="ABJ445" s="6"/>
      <c r="ABK445" s="6"/>
      <c r="ABL445" s="6"/>
      <c r="ABM445" s="6"/>
      <c r="ABN445" s="6"/>
      <c r="ABO445" s="6"/>
      <c r="ABP445" s="6"/>
      <c r="ABQ445" s="6"/>
      <c r="ABR445" s="6"/>
      <c r="ABS445" s="6"/>
      <c r="ABT445" s="6"/>
      <c r="ABU445" s="6"/>
      <c r="ABV445" s="6"/>
      <c r="ABW445" s="6"/>
      <c r="ABX445" s="6"/>
      <c r="ABY445" s="6"/>
      <c r="ABZ445" s="6"/>
      <c r="ACA445" s="6"/>
      <c r="ACB445" s="6"/>
      <c r="ACC445" s="6"/>
      <c r="ACD445" s="6"/>
      <c r="ACE445" s="6"/>
      <c r="ACF445" s="6"/>
      <c r="ACG445" s="6"/>
      <c r="ACH445" s="6"/>
      <c r="ACI445" s="6"/>
      <c r="ACJ445" s="6"/>
      <c r="ACK445" s="6"/>
      <c r="ACL445" s="6"/>
      <c r="ACM445" s="6"/>
      <c r="ACN445" s="6"/>
      <c r="ACO445" s="6"/>
      <c r="ACP445" s="6"/>
      <c r="ACQ445" s="6"/>
      <c r="ACR445" s="6"/>
      <c r="ACS445" s="6"/>
      <c r="ACT445" s="6"/>
      <c r="ACU445" s="6"/>
      <c r="ACV445" s="6"/>
      <c r="ACW445" s="6"/>
      <c r="ACX445" s="6"/>
      <c r="ACY445" s="6"/>
      <c r="ACZ445" s="6"/>
      <c r="ADA445" s="6"/>
      <c r="ADB445" s="6"/>
      <c r="ADC445" s="6"/>
      <c r="ADD445" s="6"/>
      <c r="ADE445" s="6"/>
      <c r="ADF445" s="6"/>
      <c r="ADG445" s="6"/>
      <c r="ADH445" s="6"/>
      <c r="ADI445" s="6"/>
      <c r="ADJ445" s="6"/>
      <c r="ADK445" s="6"/>
      <c r="ADL445" s="6"/>
      <c r="ADM445" s="6"/>
      <c r="ADN445" s="6"/>
      <c r="ADO445" s="6"/>
      <c r="ADP445" s="6"/>
      <c r="ADQ445" s="6"/>
      <c r="ADR445" s="6"/>
      <c r="ADS445" s="6"/>
      <c r="ADT445" s="6"/>
      <c r="ADU445" s="6"/>
      <c r="ADV445" s="6"/>
      <c r="ADW445" s="6"/>
      <c r="ADX445" s="6"/>
      <c r="ADY445" s="6"/>
      <c r="ADZ445" s="6"/>
      <c r="AEA445" s="6"/>
      <c r="AEB445" s="6"/>
      <c r="AEC445" s="6"/>
      <c r="AED445" s="6"/>
      <c r="AEE445" s="6"/>
      <c r="AEF445" s="6"/>
      <c r="AEG445" s="6"/>
      <c r="AEH445" s="6"/>
      <c r="AEI445" s="6"/>
      <c r="AEJ445" s="6"/>
      <c r="AEK445" s="6"/>
      <c r="AEL445" s="6"/>
      <c r="AEM445" s="6"/>
      <c r="AEN445" s="6"/>
      <c r="AEO445" s="6"/>
      <c r="AEP445" s="6"/>
      <c r="AEQ445" s="6"/>
      <c r="AER445" s="6"/>
      <c r="AES445" s="6"/>
      <c r="AET445" s="6"/>
      <c r="AEU445" s="6"/>
      <c r="AEV445" s="6"/>
      <c r="AEW445" s="6"/>
      <c r="AEX445" s="6"/>
      <c r="AEY445" s="6"/>
      <c r="AEZ445" s="6"/>
      <c r="AFA445" s="6"/>
      <c r="AFB445" s="6"/>
      <c r="AFC445" s="6"/>
      <c r="AFD445" s="6"/>
      <c r="AFE445" s="6"/>
      <c r="AFF445" s="6"/>
      <c r="AFG445" s="6"/>
      <c r="AFH445" s="6"/>
      <c r="AFI445" s="6"/>
      <c r="AFJ445" s="6"/>
      <c r="AFK445" s="6"/>
      <c r="AFL445" s="6"/>
      <c r="AFM445" s="6"/>
      <c r="AFN445" s="6"/>
      <c r="AFO445" s="6"/>
      <c r="AFP445" s="6"/>
      <c r="AFQ445" s="6"/>
      <c r="AFR445" s="6"/>
      <c r="AFS445" s="6"/>
      <c r="AFT445" s="6"/>
      <c r="AFU445" s="6"/>
      <c r="AFV445" s="6"/>
      <c r="AFW445" s="6"/>
      <c r="AFX445" s="6"/>
      <c r="AFY445" s="6"/>
      <c r="AFZ445" s="6"/>
      <c r="AGA445" s="6"/>
      <c r="AGB445" s="6"/>
      <c r="AGC445" s="6"/>
      <c r="AGD445" s="6"/>
      <c r="AGE445" s="6"/>
      <c r="AGF445" s="6"/>
      <c r="AGG445" s="6"/>
      <c r="AGH445" s="6"/>
      <c r="AGI445" s="6"/>
      <c r="AGJ445" s="6"/>
      <c r="AGK445" s="6"/>
      <c r="AGL445" s="6"/>
      <c r="AGM445" s="6"/>
      <c r="AGN445" s="6"/>
      <c r="AGO445" s="6"/>
      <c r="AGP445" s="6"/>
      <c r="AGQ445" s="6"/>
      <c r="AGR445" s="6"/>
      <c r="AGS445" s="6"/>
      <c r="AGT445" s="6"/>
      <c r="AGU445" s="6"/>
      <c r="AGV445" s="6"/>
      <c r="AGW445" s="6"/>
      <c r="AGX445" s="6"/>
      <c r="AGY445" s="6"/>
      <c r="AGZ445" s="6"/>
      <c r="AHA445" s="6"/>
      <c r="AHB445" s="6"/>
      <c r="AHC445" s="6"/>
      <c r="AHD445" s="6"/>
      <c r="AHE445" s="6"/>
      <c r="AHF445" s="6"/>
      <c r="AHG445" s="6"/>
      <c r="AHH445" s="6"/>
      <c r="AHI445" s="6"/>
      <c r="AHJ445" s="6"/>
      <c r="AHK445" s="6"/>
      <c r="AHL445" s="6"/>
      <c r="AHM445" s="6"/>
      <c r="AHN445" s="6"/>
      <c r="AHO445" s="6"/>
      <c r="AHP445" s="6"/>
      <c r="AHQ445" s="6"/>
      <c r="AHR445" s="6"/>
      <c r="AHS445" s="6"/>
      <c r="AHT445" s="6"/>
      <c r="AHU445" s="6"/>
      <c r="AHV445" s="6"/>
      <c r="AHW445" s="6"/>
      <c r="AHX445" s="6"/>
      <c r="AHY445" s="6"/>
      <c r="AHZ445" s="6"/>
      <c r="AIA445" s="6"/>
      <c r="AIB445" s="6"/>
      <c r="AIC445" s="6"/>
      <c r="AID445" s="6"/>
      <c r="AIE445" s="6"/>
      <c r="AIF445" s="6"/>
      <c r="AIG445" s="6"/>
      <c r="AIH445" s="6"/>
      <c r="AII445" s="6"/>
      <c r="AIJ445" s="6"/>
      <c r="AIK445" s="6"/>
      <c r="AIL445" s="6"/>
      <c r="AIM445" s="6"/>
      <c r="AIN445" s="6"/>
      <c r="AIO445" s="6"/>
      <c r="AIP445" s="6"/>
      <c r="AIQ445" s="6"/>
      <c r="AIR445" s="6"/>
      <c r="AIS445" s="6"/>
      <c r="AIT445" s="6"/>
      <c r="AIU445" s="6"/>
      <c r="AIV445" s="6"/>
      <c r="AIW445" s="6"/>
      <c r="AIX445" s="6"/>
      <c r="AIY445" s="6"/>
      <c r="AIZ445" s="6"/>
      <c r="AJA445" s="6"/>
      <c r="AJB445" s="6"/>
      <c r="AJC445" s="6"/>
      <c r="AJD445" s="6"/>
      <c r="AJE445" s="6"/>
      <c r="AJF445" s="6"/>
      <c r="AJG445" s="6"/>
      <c r="AJH445" s="6"/>
      <c r="AJI445" s="6"/>
      <c r="AJJ445" s="6"/>
      <c r="AJK445" s="6"/>
      <c r="AJL445" s="6"/>
      <c r="AJM445" s="6"/>
      <c r="AJN445" s="6"/>
      <c r="AJO445" s="6"/>
      <c r="AJP445" s="6"/>
      <c r="AJQ445" s="6"/>
      <c r="AJR445" s="6"/>
      <c r="AJS445" s="6"/>
      <c r="AJT445" s="6"/>
      <c r="AJU445" s="6"/>
      <c r="AJV445" s="6"/>
      <c r="AJW445" s="6"/>
      <c r="AJX445" s="6"/>
      <c r="AJY445" s="6"/>
      <c r="AJZ445" s="6"/>
      <c r="AKA445" s="6"/>
      <c r="AKB445" s="6"/>
      <c r="AKC445" s="6"/>
      <c r="AKD445" s="6"/>
      <c r="AKE445" s="6"/>
      <c r="AKF445" s="6"/>
      <c r="AKG445" s="6"/>
      <c r="AKH445" s="6"/>
      <c r="AKI445" s="6"/>
      <c r="AKJ445" s="6"/>
      <c r="AKK445" s="6"/>
      <c r="AKL445" s="6"/>
      <c r="AKM445" s="6"/>
      <c r="AKN445" s="6"/>
      <c r="AKO445" s="6"/>
      <c r="AKP445" s="6"/>
      <c r="AKQ445" s="6"/>
      <c r="AKR445" s="6"/>
      <c r="AKS445" s="6"/>
      <c r="AKT445" s="6"/>
      <c r="AKU445" s="6"/>
      <c r="AKV445" s="6"/>
      <c r="AKW445" s="6"/>
      <c r="AKX445" s="6"/>
      <c r="AKY445" s="6"/>
      <c r="AKZ445" s="6"/>
      <c r="ALA445" s="6"/>
      <c r="ALB445" s="6"/>
      <c r="ALC445" s="6"/>
      <c r="ALD445" s="6"/>
      <c r="ALE445" s="6"/>
      <c r="ALF445" s="6"/>
      <c r="ALG445" s="6"/>
      <c r="ALH445" s="6"/>
      <c r="ALI445" s="6"/>
      <c r="ALJ445" s="6"/>
      <c r="ALK445" s="6"/>
      <c r="ALL445" s="6"/>
      <c r="ALM445" s="6"/>
      <c r="ALN445" s="6"/>
      <c r="ALO445" s="6"/>
      <c r="ALP445" s="6"/>
      <c r="ALQ445" s="6"/>
      <c r="ALR445" s="6"/>
      <c r="ALS445" s="6"/>
      <c r="ALT445" s="6"/>
      <c r="ALU445" s="6"/>
      <c r="ALV445" s="6"/>
      <c r="ALW445" s="6"/>
      <c r="ALX445" s="6"/>
      <c r="ALY445" s="6"/>
      <c r="ALZ445" s="6"/>
      <c r="AMA445" s="6"/>
      <c r="AMB445" s="6"/>
      <c r="AMC445" s="6"/>
      <c r="AMD445" s="6"/>
      <c r="AME445" s="6"/>
      <c r="AMF445" s="6"/>
      <c r="AMG445" s="6"/>
      <c r="AMH445" s="6"/>
      <c r="AMI445" s="6"/>
      <c r="AMJ445" s="6"/>
      <c r="AMK445" s="6"/>
      <c r="AML445" s="6"/>
      <c r="AMM445" s="6"/>
      <c r="AMN445" s="6"/>
      <c r="AMO445" s="6"/>
      <c r="AMP445" s="6"/>
    </row>
    <row r="446" spans="1:1030" x14ac:dyDescent="0.2">
      <c r="A446" s="3" t="str">
        <f t="shared" ref="A446" si="4388">CONCATENATE(B446,"_",C446)</f>
        <v>calrl_human_6UVA</v>
      </c>
      <c r="B446" s="2" t="s">
        <v>401</v>
      </c>
      <c r="C446" s="3" t="s">
        <v>1668</v>
      </c>
      <c r="D446" s="3" t="str">
        <f>IFERROR(MID(VLOOKUP($B446,Seqs!$A:$B,2,0),E446,1),"")</f>
        <v>T</v>
      </c>
      <c r="E446" s="3">
        <v>131</v>
      </c>
      <c r="F446" s="3" t="str">
        <f>IFERROR(MID(VLOOKUP($B446,Seqs!$A:$B,2,0),G446,1),"")</f>
        <v>F</v>
      </c>
      <c r="G446" s="3">
        <v>166</v>
      </c>
      <c r="H446" s="3" t="str">
        <f>IFERROR(MID(VLOOKUP($B446,Seqs!$A:$B,2,0),I446,1),"")</f>
        <v>K</v>
      </c>
      <c r="I446" s="23">
        <v>167</v>
      </c>
      <c r="J446" s="3" t="str">
        <f>IFERROR(MID(VLOOKUP($B446,Seqs!$A:$B,2,0),K446,1),"")</f>
        <v>S</v>
      </c>
      <c r="K446" s="23">
        <v>170</v>
      </c>
      <c r="L446" s="3" t="str">
        <f>IFERROR(MID(VLOOKUP($B446,Seqs!$A:$B,2,0),M446,1),"")</f>
        <v>C</v>
      </c>
      <c r="M446" s="3">
        <v>171</v>
      </c>
      <c r="N446" s="3" t="str">
        <f>IFERROR(MID(VLOOKUP($B446,Seqs!$A:$B,2,0),O446,1),"")</f>
        <v>V</v>
      </c>
      <c r="O446" s="3">
        <v>198</v>
      </c>
      <c r="P446" s="3" t="str">
        <f>IFERROR(MID(VLOOKUP($B446,Seqs!$A:$B,2,0),Q446,1),"")</f>
        <v/>
      </c>
      <c r="Q446" s="3" t="s">
        <v>23</v>
      </c>
      <c r="R446" s="3" t="str">
        <f>IFERROR(MID(VLOOKUP($B446,Seqs!$A:$B,2,0),S446,1),"")</f>
        <v/>
      </c>
      <c r="S446" s="3" t="s">
        <v>23</v>
      </c>
      <c r="T446" s="3" t="str">
        <f>IFERROR(MID(VLOOKUP($B446,Seqs!$A:$B,2,0),U446,1),"")</f>
        <v>V</v>
      </c>
      <c r="U446" s="3">
        <v>210</v>
      </c>
      <c r="V446" s="3" t="str">
        <f>IFERROR(MID(VLOOKUP($B446,Seqs!$A:$B,2,0),W446,1),"")</f>
        <v>V</v>
      </c>
      <c r="W446" s="3">
        <v>243</v>
      </c>
      <c r="X446" s="3" t="str">
        <f>IFERROR(MID(VLOOKUP($B446,Seqs!$A:$B,2,0),Y446,1),"")</f>
        <v/>
      </c>
      <c r="Y446" s="3" t="s">
        <v>23</v>
      </c>
      <c r="Z446" s="3" t="str">
        <f>IFERROR(MID(VLOOKUP($B446,Seqs!$A:$B,2,0),AA446,1),"")</f>
        <v/>
      </c>
      <c r="AA446" s="3" t="s">
        <v>23</v>
      </c>
      <c r="AB446" s="3" t="str">
        <f>IFERROR(MID(VLOOKUP($B446,Seqs!$A:$B,2,0),AC446,1),"")</f>
        <v>L</v>
      </c>
      <c r="AC446" s="3">
        <v>252</v>
      </c>
      <c r="AD446" s="3" t="str">
        <f>IFERROR(MID(VLOOKUP($B446,Seqs!$A:$B,2,0),AE446,1),"")</f>
        <v>Y</v>
      </c>
      <c r="AE446" s="3">
        <v>278</v>
      </c>
      <c r="AF446" s="3" t="str">
        <f>IFERROR(MID(VLOOKUP($B446,Seqs!$A:$B,2,0),AG446,1),"")</f>
        <v>C</v>
      </c>
      <c r="AG446" s="3">
        <v>282</v>
      </c>
      <c r="AH446" s="3" t="str">
        <f>IFERROR(MID(VLOOKUP($B446,Seqs!$A:$B,2,0),AI446,1),"")</f>
        <v>I</v>
      </c>
      <c r="AI446" s="3">
        <v>284</v>
      </c>
      <c r="AJ446" s="3" t="str">
        <f>IFERROR(MID(VLOOKUP($B446,Seqs!$A:$B,2,0),AK446,1),"")</f>
        <v>L</v>
      </c>
      <c r="AK446" s="3">
        <v>290</v>
      </c>
      <c r="AL446" s="3" t="str">
        <f>IFERROR(MID(VLOOKUP($B446,Seqs!$A:$B,2,0),AM446,1),"")</f>
        <v>K</v>
      </c>
      <c r="AM446" s="3">
        <v>321</v>
      </c>
      <c r="AN446" s="3" t="str">
        <f>IFERROR(MID(VLOOKUP($B446,Seqs!$A:$B,2,0),AO446,1),"")</f>
        <v>L</v>
      </c>
      <c r="AO446" s="3">
        <v>330</v>
      </c>
      <c r="AP446" s="3" t="str">
        <f>IFERROR(MID(VLOOKUP($B446,Seqs!$A:$B,2,0),AQ446,1),"")</f>
        <v>L</v>
      </c>
      <c r="AQ446" s="3">
        <v>351</v>
      </c>
      <c r="AR446" s="3" t="str">
        <f>IFERROR(MID(VLOOKUP($B446,Seqs!$A:$B,2,0),AS446,1),"")</f>
        <v>E</v>
      </c>
      <c r="AS446" s="3">
        <v>363</v>
      </c>
      <c r="AT446" s="3" t="str">
        <f>IFERROR(MID(VLOOKUP($B446,Seqs!$A:$B,2,0),AU446,1),"")</f>
        <v>F</v>
      </c>
      <c r="AU446" s="3">
        <v>387</v>
      </c>
      <c r="AV446" s="3" t="str">
        <f>IFERROR(MID(VLOOKUP($B446,Seqs!$A:$B,2,0),AW446,1),"")</f>
        <v>N</v>
      </c>
      <c r="AW446" s="3">
        <v>388</v>
      </c>
      <c r="AX446" s="3" t="str">
        <f>IFERROR(MID(VLOOKUP($B446,Seqs!$A:$B,2,0),AY446,1),"")</f>
        <v>W</v>
      </c>
      <c r="AY446" s="3">
        <v>399</v>
      </c>
      <c r="AZ446" s="77" t="str">
        <f>VLOOKUP(B446,Classification!A:D,2,0)</f>
        <v>B1</v>
      </c>
      <c r="BA446" s="94" t="str">
        <f>VLOOKUP(B446,Classification!A:D,4,0)</f>
        <v>Calcitonin</v>
      </c>
      <c r="BB446" s="27" t="b">
        <f t="shared" ref="BB446" si="4389">AND(E446&lt;G446,OR(G446&lt;I446,I446="-"),OR(I446&lt;K446,I446="-"),OR(K446&lt;M446,K446="-"),M446&lt;O446,OR(O446&lt;Q446,Q446="-"),OR(Q446&lt;S446,Q446="-"),OR(S446&lt;U446,S446="-"),U446&lt;W446,OR(W446&lt;Y446,Y446="-"),OR(Y446&lt;AA446,Y446="-"),OR(AA446&lt;AC446,AA446="-"),AC446&lt;AE446,OR(AE446&lt;AG446,AG446="-"),OR(AG446&lt;AI446,AG446="-"),OR(AI446&lt;AK446,AI446="-"),AK446&lt;AM446,AM446&lt;AO446,AO446&lt;AQ446,AQ446&lt;AS446,AS446&lt;AU446,OR(AU446&lt;AW446,AW446="-"),OR(AW446&lt;AY446,AW446="-"))</f>
        <v>1</v>
      </c>
      <c r="BC446" s="23">
        <f t="shared" ref="BC446" si="4390">_xlfn.AGGREGATE(9,6,CH446:CS446)-_xlfn.AGGREGATE(9,6,BV446:CG446)+12</f>
        <v>225</v>
      </c>
      <c r="BD446" s="4" t="s">
        <v>23</v>
      </c>
      <c r="BE446" s="3" t="s">
        <v>1285</v>
      </c>
      <c r="BF446" s="118">
        <v>2.2999999999999998</v>
      </c>
      <c r="BG446" s="49" t="s">
        <v>1416</v>
      </c>
      <c r="BH446" s="49" t="s">
        <v>1416</v>
      </c>
      <c r="BI446" s="1"/>
      <c r="BJ446" s="70" t="s">
        <v>1281</v>
      </c>
      <c r="BK446" s="57" t="s">
        <v>1281</v>
      </c>
      <c r="BL446" s="57" t="s">
        <v>1281</v>
      </c>
      <c r="BM446" s="57" t="s">
        <v>1281</v>
      </c>
      <c r="BN446" s="57" t="s">
        <v>1281</v>
      </c>
      <c r="BO446" s="57" t="s">
        <v>1281</v>
      </c>
      <c r="BP446" s="57" t="s">
        <v>1281</v>
      </c>
      <c r="BQ446" s="57" t="s">
        <v>1281</v>
      </c>
      <c r="BR446" s="57" t="s">
        <v>1281</v>
      </c>
      <c r="BS446" s="57" t="s">
        <v>1281</v>
      </c>
      <c r="BT446" s="57" t="s">
        <v>1281</v>
      </c>
      <c r="BU446" s="57" t="s">
        <v>1281</v>
      </c>
      <c r="BV446" s="70">
        <f t="shared" ref="BV446" si="4391">E446</f>
        <v>131</v>
      </c>
      <c r="BW446" s="71">
        <f t="shared" ref="BW446" si="4392">I446</f>
        <v>167</v>
      </c>
      <c r="BX446" s="72">
        <f t="shared" ref="BX446" si="4393">M446</f>
        <v>171</v>
      </c>
      <c r="BY446" s="71" t="str">
        <f t="shared" ref="BY446" si="4394">Q446</f>
        <v>-</v>
      </c>
      <c r="BZ446" s="72">
        <f t="shared" ref="BZ446" si="4395">U446</f>
        <v>210</v>
      </c>
      <c r="CA446" s="71" t="str">
        <f t="shared" ref="CA446" si="4396">Y446</f>
        <v>-</v>
      </c>
      <c r="CB446" s="72">
        <f t="shared" ref="CB446" si="4397">AC446</f>
        <v>252</v>
      </c>
      <c r="CC446" s="71">
        <f t="shared" ref="CC446" si="4398">AG446</f>
        <v>282</v>
      </c>
      <c r="CD446" s="72">
        <f t="shared" ref="CD446" si="4399">AK446</f>
        <v>290</v>
      </c>
      <c r="CE446" s="71">
        <f t="shared" ref="CE446" si="4400">AO446</f>
        <v>330</v>
      </c>
      <c r="CF446" s="72">
        <f t="shared" ref="CF446" si="4401">AS446</f>
        <v>363</v>
      </c>
      <c r="CG446" s="71">
        <f t="shared" ref="CG446" si="4402">AW446</f>
        <v>388</v>
      </c>
      <c r="CH446" s="70">
        <f t="shared" ref="CH446" si="4403">G446</f>
        <v>166</v>
      </c>
      <c r="CI446" s="71">
        <f t="shared" ref="CI446" si="4404">K446</f>
        <v>170</v>
      </c>
      <c r="CJ446" s="72">
        <f t="shared" ref="CJ446" si="4405">O446</f>
        <v>198</v>
      </c>
      <c r="CK446" s="72" t="str">
        <f t="shared" ref="CK446" si="4406">S446</f>
        <v>-</v>
      </c>
      <c r="CL446" s="72">
        <f t="shared" ref="CL446" si="4407">W446</f>
        <v>243</v>
      </c>
      <c r="CM446" s="72" t="str">
        <f t="shared" ref="CM446" si="4408">AA446</f>
        <v>-</v>
      </c>
      <c r="CN446" s="72">
        <f t="shared" ref="CN446" si="4409">AE446</f>
        <v>278</v>
      </c>
      <c r="CO446" s="72">
        <f t="shared" ref="CO446" si="4410">AI446</f>
        <v>284</v>
      </c>
      <c r="CP446" s="72">
        <f t="shared" ref="CP446" si="4411">AM446</f>
        <v>321</v>
      </c>
      <c r="CQ446" s="72">
        <f t="shared" ref="CQ446" si="4412">AQ446</f>
        <v>351</v>
      </c>
      <c r="CR446" s="72">
        <f t="shared" ref="CR446" si="4413">AU446</f>
        <v>387</v>
      </c>
      <c r="CS446" s="72">
        <f t="shared" ref="CS446" si="4414">AY446</f>
        <v>399</v>
      </c>
      <c r="CT446" s="23">
        <f t="shared" ref="CT446" si="4415">M446-K446</f>
        <v>1</v>
      </c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Q446" s="6"/>
      <c r="KR446" s="6"/>
      <c r="KS446" s="6"/>
      <c r="KT446" s="6"/>
      <c r="KU446" s="6"/>
      <c r="KV446" s="6"/>
      <c r="KW446" s="6"/>
      <c r="KX446" s="6"/>
      <c r="KY446" s="6"/>
      <c r="KZ446" s="6"/>
      <c r="LA446" s="6"/>
      <c r="LB446" s="6"/>
      <c r="LC446" s="6"/>
      <c r="LD446" s="6"/>
      <c r="LE446" s="6"/>
      <c r="LF446" s="6"/>
      <c r="LG446" s="6"/>
      <c r="LH446" s="6"/>
      <c r="LI446" s="6"/>
      <c r="LJ446" s="6"/>
      <c r="LK446" s="6"/>
      <c r="LL446" s="6"/>
      <c r="LM446" s="6"/>
      <c r="LN446" s="6"/>
      <c r="LO446" s="6"/>
      <c r="LP446" s="6"/>
      <c r="LQ446" s="6"/>
      <c r="LR446" s="6"/>
      <c r="LS446" s="6"/>
      <c r="LT446" s="6"/>
      <c r="LU446" s="6"/>
      <c r="LV446" s="6"/>
      <c r="LW446" s="6"/>
      <c r="LX446" s="6"/>
      <c r="LY446" s="6"/>
      <c r="LZ446" s="6"/>
      <c r="MA446" s="6"/>
      <c r="MB446" s="6"/>
      <c r="MC446" s="6"/>
      <c r="MD446" s="6"/>
      <c r="ME446" s="6"/>
      <c r="MF446" s="6"/>
      <c r="MG446" s="6"/>
      <c r="MH446" s="6"/>
      <c r="MI446" s="6"/>
      <c r="MJ446" s="6"/>
      <c r="MK446" s="6"/>
      <c r="ML446" s="6"/>
      <c r="MM446" s="6"/>
      <c r="MN446" s="6"/>
      <c r="MO446" s="6"/>
      <c r="MP446" s="6"/>
      <c r="MQ446" s="6"/>
      <c r="MR446" s="6"/>
      <c r="MS446" s="6"/>
      <c r="MT446" s="6"/>
      <c r="MU446" s="6"/>
      <c r="MV446" s="6"/>
      <c r="MW446" s="6"/>
      <c r="MX446" s="6"/>
      <c r="MY446" s="6"/>
      <c r="MZ446" s="6"/>
      <c r="NA446" s="6"/>
      <c r="NB446" s="6"/>
      <c r="NC446" s="6"/>
      <c r="ND446" s="6"/>
      <c r="NE446" s="6"/>
      <c r="NF446" s="6"/>
      <c r="NG446" s="6"/>
      <c r="NH446" s="6"/>
      <c r="NI446" s="6"/>
      <c r="NJ446" s="6"/>
      <c r="NK446" s="6"/>
      <c r="NL446" s="6"/>
      <c r="NM446" s="6"/>
      <c r="NN446" s="6"/>
      <c r="NO446" s="6"/>
      <c r="NP446" s="6"/>
      <c r="NQ446" s="6"/>
      <c r="NR446" s="6"/>
      <c r="NS446" s="6"/>
      <c r="NT446" s="6"/>
      <c r="NU446" s="6"/>
      <c r="NV446" s="6"/>
      <c r="NW446" s="6"/>
      <c r="NX446" s="6"/>
      <c r="NY446" s="6"/>
      <c r="NZ446" s="6"/>
      <c r="OA446" s="6"/>
      <c r="OB446" s="6"/>
      <c r="OC446" s="6"/>
      <c r="OD446" s="6"/>
      <c r="OE446" s="6"/>
      <c r="OF446" s="6"/>
      <c r="OG446" s="6"/>
      <c r="OH446" s="6"/>
      <c r="OI446" s="6"/>
      <c r="OJ446" s="6"/>
      <c r="OK446" s="6"/>
      <c r="OL446" s="6"/>
      <c r="OM446" s="6"/>
      <c r="ON446" s="6"/>
      <c r="OO446" s="6"/>
      <c r="OP446" s="6"/>
      <c r="OQ446" s="6"/>
      <c r="OR446" s="6"/>
      <c r="OS446" s="6"/>
      <c r="OT446" s="6"/>
      <c r="OU446" s="6"/>
      <c r="OV446" s="6"/>
      <c r="OW446" s="6"/>
      <c r="OX446" s="6"/>
      <c r="OY446" s="6"/>
      <c r="OZ446" s="6"/>
      <c r="PA446" s="6"/>
      <c r="PB446" s="6"/>
      <c r="PC446" s="6"/>
      <c r="PD446" s="6"/>
      <c r="PE446" s="6"/>
      <c r="PF446" s="6"/>
      <c r="PG446" s="6"/>
      <c r="PH446" s="6"/>
      <c r="PI446" s="6"/>
      <c r="PJ446" s="6"/>
      <c r="PK446" s="6"/>
      <c r="PL446" s="6"/>
      <c r="PM446" s="6"/>
      <c r="PN446" s="6"/>
      <c r="PO446" s="6"/>
      <c r="PP446" s="6"/>
      <c r="PQ446" s="6"/>
      <c r="PR446" s="6"/>
      <c r="PS446" s="6"/>
      <c r="PT446" s="6"/>
      <c r="PU446" s="6"/>
      <c r="PV446" s="6"/>
      <c r="PW446" s="6"/>
      <c r="PX446" s="6"/>
      <c r="PY446" s="6"/>
      <c r="PZ446" s="6"/>
      <c r="QA446" s="6"/>
      <c r="QB446" s="6"/>
      <c r="QC446" s="6"/>
      <c r="QD446" s="6"/>
      <c r="QE446" s="6"/>
      <c r="QF446" s="6"/>
      <c r="QG446" s="6"/>
      <c r="QH446" s="6"/>
      <c r="QI446" s="6"/>
      <c r="QJ446" s="6"/>
      <c r="QK446" s="6"/>
      <c r="QL446" s="6"/>
      <c r="QM446" s="6"/>
      <c r="QN446" s="6"/>
      <c r="QO446" s="6"/>
      <c r="QP446" s="6"/>
      <c r="QQ446" s="6"/>
      <c r="QR446" s="6"/>
      <c r="QS446" s="6"/>
      <c r="QT446" s="6"/>
      <c r="QU446" s="6"/>
      <c r="QV446" s="6"/>
      <c r="QW446" s="6"/>
      <c r="QX446" s="6"/>
      <c r="QY446" s="6"/>
      <c r="QZ446" s="6"/>
      <c r="RA446" s="6"/>
      <c r="RB446" s="6"/>
      <c r="RC446" s="6"/>
      <c r="RD446" s="6"/>
      <c r="RE446" s="6"/>
      <c r="RF446" s="6"/>
      <c r="RG446" s="6"/>
      <c r="RH446" s="6"/>
      <c r="RI446" s="6"/>
      <c r="RJ446" s="6"/>
      <c r="RK446" s="6"/>
      <c r="RL446" s="6"/>
      <c r="RM446" s="6"/>
      <c r="RN446" s="6"/>
      <c r="RO446" s="6"/>
      <c r="RP446" s="6"/>
      <c r="RQ446" s="6"/>
      <c r="RR446" s="6"/>
      <c r="RS446" s="6"/>
      <c r="RT446" s="6"/>
      <c r="RU446" s="6"/>
      <c r="RV446" s="6"/>
      <c r="RW446" s="6"/>
      <c r="RX446" s="6"/>
      <c r="RY446" s="6"/>
      <c r="RZ446" s="6"/>
      <c r="SA446" s="6"/>
      <c r="SB446" s="6"/>
      <c r="SC446" s="6"/>
      <c r="SD446" s="6"/>
      <c r="SE446" s="6"/>
      <c r="SF446" s="6"/>
      <c r="SG446" s="6"/>
      <c r="SH446" s="6"/>
      <c r="SI446" s="6"/>
      <c r="SJ446" s="6"/>
      <c r="SK446" s="6"/>
      <c r="SL446" s="6"/>
      <c r="SM446" s="6"/>
      <c r="SN446" s="6"/>
      <c r="SO446" s="6"/>
      <c r="SP446" s="6"/>
      <c r="SQ446" s="6"/>
      <c r="SR446" s="6"/>
      <c r="SS446" s="6"/>
      <c r="ST446" s="6"/>
      <c r="SU446" s="6"/>
      <c r="SV446" s="6"/>
      <c r="SW446" s="6"/>
      <c r="SX446" s="6"/>
      <c r="SY446" s="6"/>
      <c r="SZ446" s="6"/>
      <c r="TA446" s="6"/>
      <c r="TB446" s="6"/>
      <c r="TC446" s="6"/>
      <c r="TD446" s="6"/>
      <c r="TE446" s="6"/>
      <c r="TF446" s="6"/>
      <c r="TG446" s="6"/>
      <c r="TH446" s="6"/>
      <c r="TI446" s="6"/>
      <c r="TJ446" s="6"/>
      <c r="TK446" s="6"/>
      <c r="TL446" s="6"/>
      <c r="TM446" s="6"/>
      <c r="TN446" s="6"/>
      <c r="TO446" s="6"/>
      <c r="TP446" s="6"/>
      <c r="TQ446" s="6"/>
      <c r="TR446" s="6"/>
      <c r="TS446" s="6"/>
      <c r="TT446" s="6"/>
      <c r="TU446" s="6"/>
      <c r="TV446" s="6"/>
      <c r="TW446" s="6"/>
      <c r="TX446" s="6"/>
      <c r="TY446" s="6"/>
      <c r="TZ446" s="6"/>
      <c r="UA446" s="6"/>
      <c r="UB446" s="6"/>
      <c r="UC446" s="6"/>
      <c r="UD446" s="6"/>
      <c r="UE446" s="6"/>
      <c r="UF446" s="6"/>
      <c r="UG446" s="6"/>
      <c r="UH446" s="6"/>
      <c r="UI446" s="6"/>
      <c r="UJ446" s="6"/>
      <c r="UK446" s="6"/>
      <c r="UL446" s="6"/>
      <c r="UM446" s="6"/>
      <c r="UN446" s="6"/>
      <c r="UO446" s="6"/>
      <c r="UP446" s="6"/>
      <c r="UQ446" s="6"/>
      <c r="UR446" s="6"/>
      <c r="US446" s="6"/>
      <c r="UT446" s="6"/>
      <c r="UU446" s="6"/>
      <c r="UV446" s="6"/>
      <c r="UW446" s="6"/>
      <c r="UX446" s="6"/>
      <c r="UY446" s="6"/>
      <c r="UZ446" s="6"/>
      <c r="VA446" s="6"/>
      <c r="VB446" s="6"/>
      <c r="VC446" s="6"/>
      <c r="VD446" s="6"/>
      <c r="VE446" s="6"/>
      <c r="VF446" s="6"/>
      <c r="VG446" s="6"/>
      <c r="VH446" s="6"/>
      <c r="VI446" s="6"/>
      <c r="VJ446" s="6"/>
      <c r="VK446" s="6"/>
      <c r="VL446" s="6"/>
      <c r="VM446" s="6"/>
      <c r="VN446" s="6"/>
      <c r="VO446" s="6"/>
      <c r="VP446" s="6"/>
      <c r="VQ446" s="6"/>
      <c r="VR446" s="6"/>
      <c r="VS446" s="6"/>
      <c r="VT446" s="6"/>
      <c r="VU446" s="6"/>
      <c r="VV446" s="6"/>
      <c r="VW446" s="6"/>
      <c r="VX446" s="6"/>
      <c r="VY446" s="6"/>
      <c r="VZ446" s="6"/>
      <c r="WA446" s="6"/>
      <c r="WB446" s="6"/>
      <c r="WC446" s="6"/>
      <c r="WD446" s="6"/>
      <c r="WE446" s="6"/>
      <c r="WF446" s="6"/>
      <c r="WG446" s="6"/>
      <c r="WH446" s="6"/>
      <c r="WI446" s="6"/>
      <c r="WJ446" s="6"/>
      <c r="WK446" s="6"/>
      <c r="WL446" s="6"/>
      <c r="WM446" s="6"/>
      <c r="WN446" s="6"/>
      <c r="WO446" s="6"/>
      <c r="WP446" s="6"/>
      <c r="WQ446" s="6"/>
      <c r="WR446" s="6"/>
      <c r="WS446" s="6"/>
      <c r="WT446" s="6"/>
      <c r="WU446" s="6"/>
      <c r="WV446" s="6"/>
      <c r="WW446" s="6"/>
      <c r="WX446" s="6"/>
      <c r="WY446" s="6"/>
      <c r="WZ446" s="6"/>
      <c r="XA446" s="6"/>
      <c r="XB446" s="6"/>
      <c r="XC446" s="6"/>
      <c r="XD446" s="6"/>
      <c r="XE446" s="6"/>
      <c r="XF446" s="6"/>
      <c r="XG446" s="6"/>
      <c r="XH446" s="6"/>
      <c r="XI446" s="6"/>
      <c r="XJ446" s="6"/>
      <c r="XK446" s="6"/>
      <c r="XL446" s="6"/>
      <c r="XM446" s="6"/>
      <c r="XN446" s="6"/>
      <c r="XO446" s="6"/>
      <c r="XP446" s="6"/>
      <c r="XQ446" s="6"/>
      <c r="XR446" s="6"/>
      <c r="XS446" s="6"/>
      <c r="XT446" s="6"/>
      <c r="XU446" s="6"/>
      <c r="XV446" s="6"/>
      <c r="XW446" s="6"/>
      <c r="XX446" s="6"/>
      <c r="XY446" s="6"/>
      <c r="XZ446" s="6"/>
      <c r="YA446" s="6"/>
      <c r="YB446" s="6"/>
      <c r="YC446" s="6"/>
      <c r="YD446" s="6"/>
      <c r="YE446" s="6"/>
      <c r="YF446" s="6"/>
      <c r="YG446" s="6"/>
      <c r="YH446" s="6"/>
      <c r="YI446" s="6"/>
      <c r="YJ446" s="6"/>
      <c r="YK446" s="6"/>
      <c r="YL446" s="6"/>
      <c r="YM446" s="6"/>
      <c r="YN446" s="6"/>
      <c r="YO446" s="6"/>
      <c r="YP446" s="6"/>
      <c r="YQ446" s="6"/>
      <c r="YR446" s="6"/>
      <c r="YS446" s="6"/>
      <c r="YT446" s="6"/>
      <c r="YU446" s="6"/>
      <c r="YV446" s="6"/>
      <c r="YW446" s="6"/>
      <c r="YX446" s="6"/>
      <c r="YY446" s="6"/>
      <c r="YZ446" s="6"/>
      <c r="ZA446" s="6"/>
      <c r="ZB446" s="6"/>
      <c r="ZC446" s="6"/>
      <c r="ZD446" s="6"/>
      <c r="ZE446" s="6"/>
      <c r="ZF446" s="6"/>
      <c r="ZG446" s="6"/>
      <c r="ZH446" s="6"/>
      <c r="ZI446" s="6"/>
      <c r="ZJ446" s="6"/>
      <c r="ZK446" s="6"/>
      <c r="ZL446" s="6"/>
      <c r="ZM446" s="6"/>
      <c r="ZN446" s="6"/>
      <c r="ZO446" s="6"/>
      <c r="ZP446" s="6"/>
      <c r="ZQ446" s="6"/>
      <c r="ZR446" s="6"/>
      <c r="ZS446" s="6"/>
      <c r="ZT446" s="6"/>
      <c r="ZU446" s="6"/>
      <c r="ZV446" s="6"/>
      <c r="ZW446" s="6"/>
      <c r="ZX446" s="6"/>
      <c r="ZY446" s="6"/>
      <c r="ZZ446" s="6"/>
      <c r="AAA446" s="6"/>
      <c r="AAB446" s="6"/>
      <c r="AAC446" s="6"/>
      <c r="AAD446" s="6"/>
      <c r="AAE446" s="6"/>
      <c r="AAF446" s="6"/>
      <c r="AAG446" s="6"/>
      <c r="AAH446" s="6"/>
      <c r="AAI446" s="6"/>
      <c r="AAJ446" s="6"/>
      <c r="AAK446" s="6"/>
      <c r="AAL446" s="6"/>
      <c r="AAM446" s="6"/>
      <c r="AAN446" s="6"/>
      <c r="AAO446" s="6"/>
      <c r="AAP446" s="6"/>
      <c r="AAQ446" s="6"/>
      <c r="AAR446" s="6"/>
      <c r="AAS446" s="6"/>
      <c r="AAT446" s="6"/>
      <c r="AAU446" s="6"/>
      <c r="AAV446" s="6"/>
      <c r="AAW446" s="6"/>
      <c r="AAX446" s="6"/>
      <c r="AAY446" s="6"/>
      <c r="AAZ446" s="6"/>
      <c r="ABA446" s="6"/>
      <c r="ABB446" s="6"/>
      <c r="ABC446" s="6"/>
      <c r="ABD446" s="6"/>
      <c r="ABE446" s="6"/>
      <c r="ABF446" s="6"/>
      <c r="ABG446" s="6"/>
      <c r="ABH446" s="6"/>
      <c r="ABI446" s="6"/>
      <c r="ABJ446" s="6"/>
      <c r="ABK446" s="6"/>
      <c r="ABL446" s="6"/>
      <c r="ABM446" s="6"/>
      <c r="ABN446" s="6"/>
      <c r="ABO446" s="6"/>
      <c r="ABP446" s="6"/>
      <c r="ABQ446" s="6"/>
      <c r="ABR446" s="6"/>
      <c r="ABS446" s="6"/>
      <c r="ABT446" s="6"/>
      <c r="ABU446" s="6"/>
      <c r="ABV446" s="6"/>
      <c r="ABW446" s="6"/>
      <c r="ABX446" s="6"/>
      <c r="ABY446" s="6"/>
      <c r="ABZ446" s="6"/>
      <c r="ACA446" s="6"/>
      <c r="ACB446" s="6"/>
      <c r="ACC446" s="6"/>
      <c r="ACD446" s="6"/>
      <c r="ACE446" s="6"/>
      <c r="ACF446" s="6"/>
      <c r="ACG446" s="6"/>
      <c r="ACH446" s="6"/>
      <c r="ACI446" s="6"/>
      <c r="ACJ446" s="6"/>
      <c r="ACK446" s="6"/>
      <c r="ACL446" s="6"/>
      <c r="ACM446" s="6"/>
      <c r="ACN446" s="6"/>
      <c r="ACO446" s="6"/>
      <c r="ACP446" s="6"/>
      <c r="ACQ446" s="6"/>
      <c r="ACR446" s="6"/>
      <c r="ACS446" s="6"/>
      <c r="ACT446" s="6"/>
      <c r="ACU446" s="6"/>
      <c r="ACV446" s="6"/>
      <c r="ACW446" s="6"/>
      <c r="ACX446" s="6"/>
      <c r="ACY446" s="6"/>
      <c r="ACZ446" s="6"/>
      <c r="ADA446" s="6"/>
      <c r="ADB446" s="6"/>
      <c r="ADC446" s="6"/>
      <c r="ADD446" s="6"/>
      <c r="ADE446" s="6"/>
      <c r="ADF446" s="6"/>
      <c r="ADG446" s="6"/>
      <c r="ADH446" s="6"/>
      <c r="ADI446" s="6"/>
      <c r="ADJ446" s="6"/>
      <c r="ADK446" s="6"/>
      <c r="ADL446" s="6"/>
      <c r="ADM446" s="6"/>
      <c r="ADN446" s="6"/>
      <c r="ADO446" s="6"/>
      <c r="ADP446" s="6"/>
      <c r="ADQ446" s="6"/>
      <c r="ADR446" s="6"/>
      <c r="ADS446" s="6"/>
      <c r="ADT446" s="6"/>
      <c r="ADU446" s="6"/>
      <c r="ADV446" s="6"/>
      <c r="ADW446" s="6"/>
      <c r="ADX446" s="6"/>
      <c r="ADY446" s="6"/>
      <c r="ADZ446" s="6"/>
      <c r="AEA446" s="6"/>
      <c r="AEB446" s="6"/>
      <c r="AEC446" s="6"/>
      <c r="AED446" s="6"/>
      <c r="AEE446" s="6"/>
      <c r="AEF446" s="6"/>
      <c r="AEG446" s="6"/>
      <c r="AEH446" s="6"/>
      <c r="AEI446" s="6"/>
      <c r="AEJ446" s="6"/>
      <c r="AEK446" s="6"/>
      <c r="AEL446" s="6"/>
      <c r="AEM446" s="6"/>
      <c r="AEN446" s="6"/>
      <c r="AEO446" s="6"/>
      <c r="AEP446" s="6"/>
      <c r="AEQ446" s="6"/>
      <c r="AER446" s="6"/>
      <c r="AES446" s="6"/>
      <c r="AET446" s="6"/>
      <c r="AEU446" s="6"/>
      <c r="AEV446" s="6"/>
      <c r="AEW446" s="6"/>
      <c r="AEX446" s="6"/>
      <c r="AEY446" s="6"/>
      <c r="AEZ446" s="6"/>
      <c r="AFA446" s="6"/>
      <c r="AFB446" s="6"/>
      <c r="AFC446" s="6"/>
      <c r="AFD446" s="6"/>
      <c r="AFE446" s="6"/>
      <c r="AFF446" s="6"/>
      <c r="AFG446" s="6"/>
      <c r="AFH446" s="6"/>
      <c r="AFI446" s="6"/>
      <c r="AFJ446" s="6"/>
      <c r="AFK446" s="6"/>
      <c r="AFL446" s="6"/>
      <c r="AFM446" s="6"/>
      <c r="AFN446" s="6"/>
      <c r="AFO446" s="6"/>
      <c r="AFP446" s="6"/>
      <c r="AFQ446" s="6"/>
      <c r="AFR446" s="6"/>
      <c r="AFS446" s="6"/>
      <c r="AFT446" s="6"/>
      <c r="AFU446" s="6"/>
      <c r="AFV446" s="6"/>
      <c r="AFW446" s="6"/>
      <c r="AFX446" s="6"/>
      <c r="AFY446" s="6"/>
      <c r="AFZ446" s="6"/>
      <c r="AGA446" s="6"/>
      <c r="AGB446" s="6"/>
      <c r="AGC446" s="6"/>
      <c r="AGD446" s="6"/>
      <c r="AGE446" s="6"/>
      <c r="AGF446" s="6"/>
      <c r="AGG446" s="6"/>
      <c r="AGH446" s="6"/>
      <c r="AGI446" s="6"/>
      <c r="AGJ446" s="6"/>
      <c r="AGK446" s="6"/>
      <c r="AGL446" s="6"/>
      <c r="AGM446" s="6"/>
      <c r="AGN446" s="6"/>
      <c r="AGO446" s="6"/>
      <c r="AGP446" s="6"/>
      <c r="AGQ446" s="6"/>
      <c r="AGR446" s="6"/>
      <c r="AGS446" s="6"/>
      <c r="AGT446" s="6"/>
      <c r="AGU446" s="6"/>
      <c r="AGV446" s="6"/>
      <c r="AGW446" s="6"/>
      <c r="AGX446" s="6"/>
      <c r="AGY446" s="6"/>
      <c r="AGZ446" s="6"/>
      <c r="AHA446" s="6"/>
      <c r="AHB446" s="6"/>
      <c r="AHC446" s="6"/>
      <c r="AHD446" s="6"/>
      <c r="AHE446" s="6"/>
      <c r="AHF446" s="6"/>
      <c r="AHG446" s="6"/>
      <c r="AHH446" s="6"/>
      <c r="AHI446" s="6"/>
      <c r="AHJ446" s="6"/>
      <c r="AHK446" s="6"/>
      <c r="AHL446" s="6"/>
      <c r="AHM446" s="6"/>
      <c r="AHN446" s="6"/>
      <c r="AHO446" s="6"/>
      <c r="AHP446" s="6"/>
      <c r="AHQ446" s="6"/>
      <c r="AHR446" s="6"/>
      <c r="AHS446" s="6"/>
      <c r="AHT446" s="6"/>
      <c r="AHU446" s="6"/>
      <c r="AHV446" s="6"/>
      <c r="AHW446" s="6"/>
      <c r="AHX446" s="6"/>
      <c r="AHY446" s="6"/>
      <c r="AHZ446" s="6"/>
      <c r="AIA446" s="6"/>
      <c r="AIB446" s="6"/>
      <c r="AIC446" s="6"/>
      <c r="AID446" s="6"/>
      <c r="AIE446" s="6"/>
      <c r="AIF446" s="6"/>
      <c r="AIG446" s="6"/>
      <c r="AIH446" s="6"/>
      <c r="AII446" s="6"/>
      <c r="AIJ446" s="6"/>
      <c r="AIK446" s="6"/>
      <c r="AIL446" s="6"/>
      <c r="AIM446" s="6"/>
      <c r="AIN446" s="6"/>
      <c r="AIO446" s="6"/>
      <c r="AIP446" s="6"/>
      <c r="AIQ446" s="6"/>
      <c r="AIR446" s="6"/>
      <c r="AIS446" s="6"/>
      <c r="AIT446" s="6"/>
      <c r="AIU446" s="6"/>
      <c r="AIV446" s="6"/>
      <c r="AIW446" s="6"/>
      <c r="AIX446" s="6"/>
      <c r="AIY446" s="6"/>
      <c r="AIZ446" s="6"/>
      <c r="AJA446" s="6"/>
      <c r="AJB446" s="6"/>
      <c r="AJC446" s="6"/>
      <c r="AJD446" s="6"/>
      <c r="AJE446" s="6"/>
      <c r="AJF446" s="6"/>
      <c r="AJG446" s="6"/>
      <c r="AJH446" s="6"/>
      <c r="AJI446" s="6"/>
      <c r="AJJ446" s="6"/>
      <c r="AJK446" s="6"/>
      <c r="AJL446" s="6"/>
      <c r="AJM446" s="6"/>
      <c r="AJN446" s="6"/>
      <c r="AJO446" s="6"/>
      <c r="AJP446" s="6"/>
      <c r="AJQ446" s="6"/>
      <c r="AJR446" s="6"/>
      <c r="AJS446" s="6"/>
      <c r="AJT446" s="6"/>
      <c r="AJU446" s="6"/>
      <c r="AJV446" s="6"/>
      <c r="AJW446" s="6"/>
      <c r="AJX446" s="6"/>
      <c r="AJY446" s="6"/>
      <c r="AJZ446" s="6"/>
      <c r="AKA446" s="6"/>
      <c r="AKB446" s="6"/>
      <c r="AKC446" s="6"/>
      <c r="AKD446" s="6"/>
      <c r="AKE446" s="6"/>
      <c r="AKF446" s="6"/>
      <c r="AKG446" s="6"/>
      <c r="AKH446" s="6"/>
      <c r="AKI446" s="6"/>
      <c r="AKJ446" s="6"/>
      <c r="AKK446" s="6"/>
      <c r="AKL446" s="6"/>
      <c r="AKM446" s="6"/>
      <c r="AKN446" s="6"/>
      <c r="AKO446" s="6"/>
      <c r="AKP446" s="6"/>
      <c r="AKQ446" s="6"/>
      <c r="AKR446" s="6"/>
      <c r="AKS446" s="6"/>
      <c r="AKT446" s="6"/>
      <c r="AKU446" s="6"/>
      <c r="AKV446" s="6"/>
      <c r="AKW446" s="6"/>
      <c r="AKX446" s="6"/>
      <c r="AKY446" s="6"/>
      <c r="AKZ446" s="6"/>
      <c r="ALA446" s="6"/>
      <c r="ALB446" s="6"/>
      <c r="ALC446" s="6"/>
      <c r="ALD446" s="6"/>
      <c r="ALE446" s="6"/>
      <c r="ALF446" s="6"/>
      <c r="ALG446" s="6"/>
      <c r="ALH446" s="6"/>
      <c r="ALI446" s="6"/>
      <c r="ALJ446" s="6"/>
      <c r="ALK446" s="6"/>
      <c r="ALL446" s="6"/>
      <c r="ALM446" s="6"/>
      <c r="ALN446" s="6"/>
      <c r="ALO446" s="6"/>
      <c r="ALP446" s="6"/>
      <c r="ALQ446" s="6"/>
      <c r="ALR446" s="6"/>
      <c r="ALS446" s="6"/>
      <c r="ALT446" s="6"/>
      <c r="ALU446" s="6"/>
      <c r="ALV446" s="6"/>
      <c r="ALW446" s="6"/>
      <c r="ALX446" s="6"/>
      <c r="ALY446" s="6"/>
      <c r="ALZ446" s="6"/>
      <c r="AMA446" s="6"/>
      <c r="AMB446" s="6"/>
      <c r="AMC446" s="6"/>
      <c r="AMD446" s="6"/>
      <c r="AME446" s="6"/>
      <c r="AMF446" s="6"/>
      <c r="AMG446" s="6"/>
      <c r="AMH446" s="6"/>
      <c r="AMI446" s="6"/>
      <c r="AMJ446" s="6"/>
      <c r="AMK446" s="6"/>
      <c r="AML446" s="6"/>
      <c r="AMM446" s="6"/>
      <c r="AMN446" s="6"/>
      <c r="AMO446" s="6"/>
      <c r="AMP446" s="6"/>
    </row>
    <row r="447" spans="1:1030" x14ac:dyDescent="0.2">
      <c r="A447" s="3" t="str">
        <f t="shared" si="3240"/>
        <v>crfr1_human__wt</v>
      </c>
      <c r="B447" s="3" t="s">
        <v>38</v>
      </c>
      <c r="C447" s="3" t="s">
        <v>100</v>
      </c>
      <c r="D447" s="3" t="str">
        <f>IFERROR(MID(VLOOKUP($B447,Seqs!$A:$B,2,0),E447,1),"")</f>
        <v>Q</v>
      </c>
      <c r="E447" s="3">
        <v>103</v>
      </c>
      <c r="F447" s="3" t="str">
        <f>IFERROR(MID(VLOOKUP($B447,Seqs!$A:$B,2,0),G447,1),"")</f>
        <v>L</v>
      </c>
      <c r="G447" s="3">
        <v>144</v>
      </c>
      <c r="H447" s="3" t="str">
        <f>IFERROR(MID(VLOOKUP($B447,Seqs!$A:$B,2,0),I447,1),"")</f>
        <v>R</v>
      </c>
      <c r="I447" s="23">
        <v>145</v>
      </c>
      <c r="J447" s="3" t="str">
        <f>IFERROR(MID(VLOOKUP($B447,Seqs!$A:$B,2,0),K447,1),"")</f>
        <v>R</v>
      </c>
      <c r="K447" s="23">
        <v>148</v>
      </c>
      <c r="L447" s="3" t="str">
        <f>IFERROR(MID(VLOOKUP($B447,Seqs!$A:$B,2,0),M447,1),"")</f>
        <v>C</v>
      </c>
      <c r="M447" s="23">
        <v>149</v>
      </c>
      <c r="N447" s="3" t="str">
        <f>IFERROR(MID(VLOOKUP($B447,Seqs!$A:$B,2,0),O447,1),"")</f>
        <v>T</v>
      </c>
      <c r="O447" s="3">
        <v>175</v>
      </c>
      <c r="P447" s="3" t="str">
        <f>IFERROR(MID(VLOOKUP($B447,Seqs!$A:$B,2,0),Q447,1),"")</f>
        <v/>
      </c>
      <c r="Q447" s="3" t="s">
        <v>23</v>
      </c>
      <c r="R447" s="3" t="str">
        <f>IFERROR(MID(VLOOKUP($B447,Seqs!$A:$B,2,0),S447,1),"")</f>
        <v/>
      </c>
      <c r="S447" s="3" t="s">
        <v>23</v>
      </c>
      <c r="T447" s="3" t="str">
        <f>IFERROR(MID(VLOOKUP($B447,Seqs!$A:$B,2,0),U447,1),"")</f>
        <v>V</v>
      </c>
      <c r="U447" s="3">
        <v>185</v>
      </c>
      <c r="V447" s="3" t="str">
        <f>IFERROR(MID(VLOOKUP($B447,Seqs!$A:$B,2,0),W447,1),"")</f>
        <v>L</v>
      </c>
      <c r="W447" s="3">
        <v>219</v>
      </c>
      <c r="X447" s="3" t="str">
        <f>IFERROR(MID(VLOOKUP($B447,Seqs!$A:$B,2,0),Y447,1),"")</f>
        <v/>
      </c>
      <c r="Y447" s="3" t="s">
        <v>23</v>
      </c>
      <c r="Z447" s="3" t="str">
        <f>IFERROR(MID(VLOOKUP($B447,Seqs!$A:$B,2,0),AA447,1),"")</f>
        <v/>
      </c>
      <c r="AA447" s="3" t="s">
        <v>23</v>
      </c>
      <c r="AB447" s="3" t="str">
        <f>IFERROR(MID(VLOOKUP($B447,Seqs!$A:$B,2,0),AC447,1),"")</f>
        <v>L</v>
      </c>
      <c r="AC447" s="3">
        <v>226</v>
      </c>
      <c r="AD447" s="3" t="str">
        <f>IFERROR(MID(VLOOKUP($B447,Seqs!$A:$B,2,0),AE447,1),"")</f>
        <v>D</v>
      </c>
      <c r="AE447" s="3">
        <v>254</v>
      </c>
      <c r="AF447" s="3" t="str">
        <f>IFERROR(MID(VLOOKUP($B447,Seqs!$A:$B,2,0),AG447,1),"")</f>
        <v>C</v>
      </c>
      <c r="AG447" s="3">
        <v>258</v>
      </c>
      <c r="AH447" s="3" t="str">
        <f>IFERROR(MID(VLOOKUP($B447,Seqs!$A:$B,2,0),AI447,1),"")</f>
        <v>F</v>
      </c>
      <c r="AI447" s="3">
        <v>260</v>
      </c>
      <c r="AJ447" s="3" t="str">
        <f>IFERROR(MID(VLOOKUP($B447,Seqs!$A:$B,2,0),AK447,1),"")</f>
        <v>T</v>
      </c>
      <c r="AK447" s="3">
        <v>268</v>
      </c>
      <c r="AL447" s="3" t="str">
        <f>IFERROR(MID(VLOOKUP($B447,Seqs!$A:$B,2,0),AM447,1),"")</f>
        <v>L</v>
      </c>
      <c r="AM447" s="3">
        <v>298</v>
      </c>
      <c r="AN447" s="3" t="str">
        <f>IFERROR(MID(VLOOKUP($B447,Seqs!$A:$B,2,0),AO447,1),"")</f>
        <v>S</v>
      </c>
      <c r="AO447" s="3">
        <v>304</v>
      </c>
      <c r="AP447" s="3" t="str">
        <f>IFERROR(MID(VLOOKUP($B447,Seqs!$A:$B,2,0),AQ447,1),"")</f>
        <v>V</v>
      </c>
      <c r="AQ447" s="3">
        <v>332</v>
      </c>
      <c r="AR447" s="3" t="str">
        <f>IFERROR(MID(VLOOKUP($B447,Seqs!$A:$B,2,0),AS447,1),"")</f>
        <v>E</v>
      </c>
      <c r="AS447" s="3">
        <v>338</v>
      </c>
      <c r="AT447" s="3" t="str">
        <f>IFERROR(MID(VLOOKUP($B447,Seqs!$A:$B,2,0),AU447,1),"")</f>
        <v>L</v>
      </c>
      <c r="AU447" s="3">
        <v>366</v>
      </c>
      <c r="AV447" s="3" t="str">
        <f>IFERROR(MID(VLOOKUP($B447,Seqs!$A:$B,2,0),AW447,1),"")</f>
        <v>N</v>
      </c>
      <c r="AW447" s="3">
        <v>367</v>
      </c>
      <c r="AX447" s="3" t="str">
        <f>IFERROR(MID(VLOOKUP($B447,Seqs!$A:$B,2,0),AY447,1),"")</f>
        <v>A</v>
      </c>
      <c r="AY447" s="3">
        <v>392</v>
      </c>
      <c r="AZ447" s="77" t="str">
        <f>VLOOKUP(B447,Classification!A:D,2,0)</f>
        <v>B1</v>
      </c>
      <c r="BA447" s="94" t="str">
        <f>VLOOKUP(B447,Classification!A:D,4,0)</f>
        <v>Corticotropin-releasingfact</v>
      </c>
      <c r="BB447" s="27" t="b">
        <f t="shared" si="3241"/>
        <v>1</v>
      </c>
      <c r="BC447" s="23">
        <f t="shared" ref="BC447:BC529" si="4416">_xlfn.AGGREGATE(9,6,CH447:CS447)-_xlfn.AGGREGATE(9,6,BV447:CG447)+12</f>
        <v>257</v>
      </c>
      <c r="BD447" s="56" t="s">
        <v>23</v>
      </c>
      <c r="BE447" s="3" t="s">
        <v>23</v>
      </c>
      <c r="BF447" s="118" t="s">
        <v>23</v>
      </c>
      <c r="BG447" s="49" t="s">
        <v>1366</v>
      </c>
      <c r="BH447" s="49" t="s">
        <v>1371</v>
      </c>
      <c r="BI447" s="1"/>
      <c r="BJ447" s="70" t="s">
        <v>1281</v>
      </c>
      <c r="BK447" s="57" t="s">
        <v>1281</v>
      </c>
      <c r="BL447" s="57" t="s">
        <v>1281</v>
      </c>
      <c r="BM447" s="57" t="s">
        <v>1281</v>
      </c>
      <c r="BN447" s="57" t="s">
        <v>1281</v>
      </c>
      <c r="BO447" s="57" t="s">
        <v>1281</v>
      </c>
      <c r="BP447" s="57" t="s">
        <v>1281</v>
      </c>
      <c r="BQ447" s="57" t="s">
        <v>1281</v>
      </c>
      <c r="BR447" s="57" t="s">
        <v>1281</v>
      </c>
      <c r="BS447" s="57" t="s">
        <v>1281</v>
      </c>
      <c r="BT447" s="57" t="s">
        <v>1281</v>
      </c>
      <c r="BU447" s="57" t="s">
        <v>1281</v>
      </c>
      <c r="BV447" s="70">
        <f t="shared" ref="BV447:BV529" si="4417">E447</f>
        <v>103</v>
      </c>
      <c r="BW447" s="71">
        <f t="shared" ref="BW447:BW529" si="4418">I447</f>
        <v>145</v>
      </c>
      <c r="BX447" s="72">
        <f t="shared" ref="BX447:BX529" si="4419">M447</f>
        <v>149</v>
      </c>
      <c r="BY447" s="71" t="str">
        <f t="shared" ref="BY447:BY529" si="4420">Q447</f>
        <v>-</v>
      </c>
      <c r="BZ447" s="72">
        <f t="shared" ref="BZ447:BZ529" si="4421">U447</f>
        <v>185</v>
      </c>
      <c r="CA447" s="71" t="str">
        <f t="shared" ref="CA447:CA529" si="4422">Y447</f>
        <v>-</v>
      </c>
      <c r="CB447" s="72">
        <f t="shared" ref="CB447:CB529" si="4423">AC447</f>
        <v>226</v>
      </c>
      <c r="CC447" s="71">
        <f t="shared" ref="CC447:CC529" si="4424">AG447</f>
        <v>258</v>
      </c>
      <c r="CD447" s="72">
        <f t="shared" ref="CD447:CD529" si="4425">AK447</f>
        <v>268</v>
      </c>
      <c r="CE447" s="71">
        <f t="shared" ref="CE447:CE529" si="4426">AO447</f>
        <v>304</v>
      </c>
      <c r="CF447" s="72">
        <f t="shared" ref="CF447:CF529" si="4427">AS447</f>
        <v>338</v>
      </c>
      <c r="CG447" s="71">
        <f t="shared" ref="CG447:CG529" si="4428">AW447</f>
        <v>367</v>
      </c>
      <c r="CH447" s="70">
        <f t="shared" ref="CH447:CH529" si="4429">G447</f>
        <v>144</v>
      </c>
      <c r="CI447" s="71">
        <f t="shared" ref="CI447:CI529" si="4430">K447</f>
        <v>148</v>
      </c>
      <c r="CJ447" s="72">
        <f t="shared" ref="CJ447:CJ529" si="4431">O447</f>
        <v>175</v>
      </c>
      <c r="CK447" s="72" t="str">
        <f t="shared" ref="CK447:CK529" si="4432">S447</f>
        <v>-</v>
      </c>
      <c r="CL447" s="72">
        <f t="shared" ref="CL447:CL529" si="4433">W447</f>
        <v>219</v>
      </c>
      <c r="CM447" s="72" t="str">
        <f t="shared" ref="CM447:CM529" si="4434">AA447</f>
        <v>-</v>
      </c>
      <c r="CN447" s="72">
        <f t="shared" ref="CN447:CN529" si="4435">AE447</f>
        <v>254</v>
      </c>
      <c r="CO447" s="72">
        <f t="shared" ref="CO447:CO529" si="4436">AI447</f>
        <v>260</v>
      </c>
      <c r="CP447" s="72">
        <f t="shared" ref="CP447:CP529" si="4437">AM447</f>
        <v>298</v>
      </c>
      <c r="CQ447" s="72">
        <f t="shared" ref="CQ447:CQ529" si="4438">AQ447</f>
        <v>332</v>
      </c>
      <c r="CR447" s="72">
        <f t="shared" ref="CR447:CR529" si="4439">AU447</f>
        <v>366</v>
      </c>
      <c r="CS447" s="72">
        <f t="shared" ref="CS447:CS529" si="4440">AY447</f>
        <v>392</v>
      </c>
      <c r="CT447" s="23">
        <f t="shared" ref="CT447:CT529" si="4441">M447-K447</f>
        <v>1</v>
      </c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  <c r="AMK447" s="1"/>
      <c r="AML447" s="1"/>
      <c r="AMM447" s="1"/>
      <c r="AMN447" s="1"/>
      <c r="AMO447" s="1"/>
    </row>
    <row r="448" spans="1:1030" x14ac:dyDescent="0.2">
      <c r="A448" s="3" t="str">
        <f t="shared" si="3240"/>
        <v>crfr1_human_4K5Y</v>
      </c>
      <c r="B448" s="3" t="s">
        <v>38</v>
      </c>
      <c r="C448" s="3" t="s">
        <v>95</v>
      </c>
      <c r="D448" s="3" t="str">
        <f>IFERROR(MID(VLOOKUP($B448,Seqs!$A:$B,2,0),E448,1),"")</f>
        <v>H</v>
      </c>
      <c r="E448" s="3">
        <v>117</v>
      </c>
      <c r="F448" s="3" t="str">
        <f>IFERROR(MID(VLOOKUP($B448,Seqs!$A:$B,2,0),G448,1),"")</f>
        <v>L</v>
      </c>
      <c r="G448" s="3">
        <v>144</v>
      </c>
      <c r="H448" s="3" t="str">
        <f>IFERROR(MID(VLOOKUP($B448,Seqs!$A:$B,2,0),I448,1),"")</f>
        <v>R</v>
      </c>
      <c r="I448" s="23">
        <v>145</v>
      </c>
      <c r="J448" s="3" t="str">
        <f>IFERROR(MID(VLOOKUP($B448,Seqs!$A:$B,2,0),K448,1),"")</f>
        <v>R</v>
      </c>
      <c r="K448" s="23">
        <v>148</v>
      </c>
      <c r="L448" s="3" t="str">
        <f>IFERROR(MID(VLOOKUP($B448,Seqs!$A:$B,2,0),M448,1),"")</f>
        <v>C</v>
      </c>
      <c r="M448" s="23">
        <v>149</v>
      </c>
      <c r="N448" s="3" t="str">
        <f>IFERROR(MID(VLOOKUP($B448,Seqs!$A:$B,2,0),O448,1),"")</f>
        <v>T</v>
      </c>
      <c r="O448" s="3">
        <v>175</v>
      </c>
      <c r="P448" s="3" t="str">
        <f>IFERROR(MID(VLOOKUP($B448,Seqs!$A:$B,2,0),Q448,1),"")</f>
        <v/>
      </c>
      <c r="Q448" s="3" t="s">
        <v>23</v>
      </c>
      <c r="R448" s="3" t="str">
        <f>IFERROR(MID(VLOOKUP($B448,Seqs!$A:$B,2,0),S448,1),"")</f>
        <v/>
      </c>
      <c r="S448" s="3" t="s">
        <v>23</v>
      </c>
      <c r="T448" s="3" t="str">
        <f>IFERROR(MID(VLOOKUP($B448,Seqs!$A:$B,2,0),U448,1),"")</f>
        <v>V</v>
      </c>
      <c r="U448" s="3">
        <v>185</v>
      </c>
      <c r="V448" s="3" t="str">
        <f>IFERROR(MID(VLOOKUP($B448,Seqs!$A:$B,2,0),W448,1),"")</f>
        <v>L</v>
      </c>
      <c r="W448" s="3">
        <v>219</v>
      </c>
      <c r="X448" s="3" t="str">
        <f>IFERROR(MID(VLOOKUP($B448,Seqs!$A:$B,2,0),Y448,1),"")</f>
        <v/>
      </c>
      <c r="Y448" s="3" t="s">
        <v>23</v>
      </c>
      <c r="Z448" s="3" t="str">
        <f>IFERROR(MID(VLOOKUP($B448,Seqs!$A:$B,2,0),AA448,1),"")</f>
        <v/>
      </c>
      <c r="AA448" s="3" t="s">
        <v>23</v>
      </c>
      <c r="AB448" s="3" t="str">
        <f>IFERROR(MID(VLOOKUP($B448,Seqs!$A:$B,2,0),AC448,1),"")</f>
        <v>L</v>
      </c>
      <c r="AC448" s="9">
        <v>226</v>
      </c>
      <c r="AD448" s="3" t="str">
        <f>IFERROR(MID(VLOOKUP($B448,Seqs!$A:$B,2,0),AE448,1),"")</f>
        <v>D</v>
      </c>
      <c r="AE448" s="3">
        <v>254</v>
      </c>
      <c r="AF448" s="3" t="str">
        <f>IFERROR(MID(VLOOKUP($B448,Seqs!$A:$B,2,0),AG448,1),"")</f>
        <v>C</v>
      </c>
      <c r="AG448" s="3">
        <v>258</v>
      </c>
      <c r="AH448" s="3" t="str">
        <f>IFERROR(MID(VLOOKUP($B448,Seqs!$A:$B,2,0),AI448,1),"")</f>
        <v>F</v>
      </c>
      <c r="AI448" s="3">
        <v>260</v>
      </c>
      <c r="AJ448" s="3" t="str">
        <f>IFERROR(MID(VLOOKUP($B448,Seqs!$A:$B,2,0),AK448,1),"")</f>
        <v>T</v>
      </c>
      <c r="AK448" s="3">
        <v>268</v>
      </c>
      <c r="AL448" s="3" t="str">
        <f>IFERROR(MID(VLOOKUP($B448,Seqs!$A:$B,2,0),AM448,1),"")</f>
        <v>L</v>
      </c>
      <c r="AM448" s="3">
        <v>298</v>
      </c>
      <c r="AN448" s="3" t="str">
        <f>IFERROR(MID(VLOOKUP($B448,Seqs!$A:$B,2,0),AO448,1),"")</f>
        <v>S</v>
      </c>
      <c r="AO448" s="3">
        <v>304</v>
      </c>
      <c r="AP448" s="3" t="str">
        <f>IFERROR(MID(VLOOKUP($B448,Seqs!$A:$B,2,0),AQ448,1),"")</f>
        <v>V</v>
      </c>
      <c r="AQ448" s="3">
        <v>332</v>
      </c>
      <c r="AR448" s="3" t="str">
        <f>IFERROR(MID(VLOOKUP($B448,Seqs!$A:$B,2,0),AS448,1),"")</f>
        <v>E</v>
      </c>
      <c r="AS448" s="3">
        <v>338</v>
      </c>
      <c r="AT448" s="3" t="str">
        <f>IFERROR(MID(VLOOKUP($B448,Seqs!$A:$B,2,0),AU448,1),"")</f>
        <v>N</v>
      </c>
      <c r="AU448" s="3">
        <v>367</v>
      </c>
      <c r="AV448" s="3" t="str">
        <f>IFERROR(MID(VLOOKUP($B448,Seqs!$A:$B,2,0),AW448,1),"")</f>
        <v/>
      </c>
      <c r="AW448" s="3" t="s">
        <v>23</v>
      </c>
      <c r="AX448" s="3" t="str">
        <f>IFERROR(MID(VLOOKUP($B448,Seqs!$A:$B,2,0),AY448,1),"")</f>
        <v/>
      </c>
      <c r="AY448" s="3" t="s">
        <v>23</v>
      </c>
      <c r="AZ448" s="77" t="str">
        <f>VLOOKUP(B448,Classification!A:D,2,0)</f>
        <v>B1</v>
      </c>
      <c r="BA448" s="94" t="str">
        <f>VLOOKUP(B448,Classification!A:D,4,0)</f>
        <v>Corticotropin-releasingfact</v>
      </c>
      <c r="BB448" s="27" t="b">
        <f t="shared" si="3241"/>
        <v>1</v>
      </c>
      <c r="BC448" s="23">
        <f t="shared" si="4416"/>
        <v>219</v>
      </c>
      <c r="BD448" s="4" t="s">
        <v>23</v>
      </c>
      <c r="BE448" s="3" t="s">
        <v>1368</v>
      </c>
      <c r="BF448" s="118">
        <v>2.98</v>
      </c>
      <c r="BG448" s="49" t="s">
        <v>1371</v>
      </c>
      <c r="BH448" s="49" t="s">
        <v>1371</v>
      </c>
      <c r="BI448" s="1"/>
      <c r="BJ448" s="70" t="s">
        <v>1281</v>
      </c>
      <c r="BK448" s="57" t="s">
        <v>1281</v>
      </c>
      <c r="BL448" s="57" t="s">
        <v>1281</v>
      </c>
      <c r="BM448" s="57" t="s">
        <v>1281</v>
      </c>
      <c r="BN448" s="57" t="s">
        <v>1281</v>
      </c>
      <c r="BO448" s="57" t="s">
        <v>1281</v>
      </c>
      <c r="BP448" s="57" t="s">
        <v>1281</v>
      </c>
      <c r="BQ448" s="57" t="s">
        <v>1281</v>
      </c>
      <c r="BR448" s="57" t="s">
        <v>1281</v>
      </c>
      <c r="BS448" s="57" t="s">
        <v>1281</v>
      </c>
      <c r="BT448" s="57" t="s">
        <v>1281</v>
      </c>
      <c r="BU448" s="57" t="s">
        <v>1281</v>
      </c>
      <c r="BV448" s="70">
        <f t="shared" si="4417"/>
        <v>117</v>
      </c>
      <c r="BW448" s="71">
        <f t="shared" si="4418"/>
        <v>145</v>
      </c>
      <c r="BX448" s="72">
        <f t="shared" si="4419"/>
        <v>149</v>
      </c>
      <c r="BY448" s="71" t="str">
        <f t="shared" si="4420"/>
        <v>-</v>
      </c>
      <c r="BZ448" s="72">
        <f t="shared" si="4421"/>
        <v>185</v>
      </c>
      <c r="CA448" s="71" t="str">
        <f t="shared" si="4422"/>
        <v>-</v>
      </c>
      <c r="CB448" s="72">
        <f t="shared" si="4423"/>
        <v>226</v>
      </c>
      <c r="CC448" s="71">
        <f t="shared" si="4424"/>
        <v>258</v>
      </c>
      <c r="CD448" s="72">
        <f t="shared" si="4425"/>
        <v>268</v>
      </c>
      <c r="CE448" s="71">
        <f t="shared" si="4426"/>
        <v>304</v>
      </c>
      <c r="CF448" s="72">
        <f t="shared" si="4427"/>
        <v>338</v>
      </c>
      <c r="CG448" s="71" t="str">
        <f t="shared" si="4428"/>
        <v>-</v>
      </c>
      <c r="CH448" s="70">
        <f t="shared" si="4429"/>
        <v>144</v>
      </c>
      <c r="CI448" s="71">
        <f t="shared" si="4430"/>
        <v>148</v>
      </c>
      <c r="CJ448" s="72">
        <f t="shared" si="4431"/>
        <v>175</v>
      </c>
      <c r="CK448" s="72" t="str">
        <f t="shared" si="4432"/>
        <v>-</v>
      </c>
      <c r="CL448" s="72">
        <f t="shared" si="4433"/>
        <v>219</v>
      </c>
      <c r="CM448" s="72" t="str">
        <f t="shared" si="4434"/>
        <v>-</v>
      </c>
      <c r="CN448" s="72">
        <f t="shared" si="4435"/>
        <v>254</v>
      </c>
      <c r="CO448" s="72">
        <f t="shared" si="4436"/>
        <v>260</v>
      </c>
      <c r="CP448" s="72">
        <f t="shared" si="4437"/>
        <v>298</v>
      </c>
      <c r="CQ448" s="72">
        <f t="shared" si="4438"/>
        <v>332</v>
      </c>
      <c r="CR448" s="72">
        <f t="shared" si="4439"/>
        <v>367</v>
      </c>
      <c r="CS448" s="72" t="str">
        <f t="shared" si="4440"/>
        <v>-</v>
      </c>
      <c r="CT448" s="23">
        <f t="shared" si="4441"/>
        <v>1</v>
      </c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  <c r="AMK448" s="1"/>
      <c r="AML448" s="1"/>
      <c r="AMM448" s="1"/>
      <c r="AMN448" s="1"/>
      <c r="AMO448" s="1"/>
    </row>
    <row r="449" spans="1:1029" x14ac:dyDescent="0.2">
      <c r="A449" s="3" t="str">
        <f>CONCATENATE(B449,"_",C449)</f>
        <v>crfr1_human_4K5Y_dist</v>
      </c>
      <c r="B449" s="3" t="s">
        <v>38</v>
      </c>
      <c r="C449" s="3" t="s">
        <v>1154</v>
      </c>
      <c r="D449" s="3" t="str">
        <f>IFERROR(MID(VLOOKUP($B449,Seqs!$A:$B,2,0),E449,1),"")</f>
        <v>H</v>
      </c>
      <c r="E449" s="3">
        <v>117</v>
      </c>
      <c r="F449" s="3" t="str">
        <f>IFERROR(MID(VLOOKUP($B449,Seqs!$A:$B,2,0),G449,1),"")</f>
        <v>L</v>
      </c>
      <c r="G449" s="3">
        <v>144</v>
      </c>
      <c r="H449" s="3" t="str">
        <f>IFERROR(MID(VLOOKUP($B449,Seqs!$A:$B,2,0),I449,1),"")</f>
        <v>R</v>
      </c>
      <c r="I449" s="23">
        <v>145</v>
      </c>
      <c r="J449" s="3" t="str">
        <f>IFERROR(MID(VLOOKUP($B449,Seqs!$A:$B,2,0),K449,1),"")</f>
        <v>R</v>
      </c>
      <c r="K449" s="23">
        <v>148</v>
      </c>
      <c r="L449" s="3" t="str">
        <f>IFERROR(MID(VLOOKUP($B449,Seqs!$A:$B,2,0),M449,1),"")</f>
        <v>C</v>
      </c>
      <c r="M449" s="23">
        <v>149</v>
      </c>
      <c r="N449" s="3" t="str">
        <f>IFERROR(MID(VLOOKUP($B449,Seqs!$A:$B,2,0),O449,1),"")</f>
        <v>T</v>
      </c>
      <c r="O449" s="3">
        <v>175</v>
      </c>
      <c r="P449" s="3" t="str">
        <f>IFERROR(MID(VLOOKUP($B449,Seqs!$A:$B,2,0),Q449,1),"")</f>
        <v/>
      </c>
      <c r="Q449" s="3" t="s">
        <v>23</v>
      </c>
      <c r="R449" s="3" t="str">
        <f>IFERROR(MID(VLOOKUP($B449,Seqs!$A:$B,2,0),S449,1),"")</f>
        <v/>
      </c>
      <c r="S449" s="3" t="s">
        <v>23</v>
      </c>
      <c r="T449" s="3" t="str">
        <f>IFERROR(MID(VLOOKUP($B449,Seqs!$A:$B,2,0),U449,1),"")</f>
        <v>V</v>
      </c>
      <c r="U449" s="3">
        <v>185</v>
      </c>
      <c r="V449" s="3" t="str">
        <f>IFERROR(MID(VLOOKUP($B449,Seqs!$A:$B,2,0),W449,1),"")</f>
        <v>L</v>
      </c>
      <c r="W449" s="3">
        <v>219</v>
      </c>
      <c r="X449" s="3" t="str">
        <f>IFERROR(MID(VLOOKUP($B449,Seqs!$A:$B,2,0),Y449,1),"")</f>
        <v/>
      </c>
      <c r="Y449" s="3" t="s">
        <v>23</v>
      </c>
      <c r="Z449" s="3" t="str">
        <f>IFERROR(MID(VLOOKUP($B449,Seqs!$A:$B,2,0),AA449,1),"")</f>
        <v/>
      </c>
      <c r="AA449" s="3" t="s">
        <v>23</v>
      </c>
      <c r="AB449" s="3" t="str">
        <f>IFERROR(MID(VLOOKUP($B449,Seqs!$A:$B,2,0),AC449,1),"")</f>
        <v>L</v>
      </c>
      <c r="AC449" s="9">
        <v>226</v>
      </c>
      <c r="AD449" s="3" t="str">
        <f>IFERROR(MID(VLOOKUP($B449,Seqs!$A:$B,2,0),AE449,1),"")</f>
        <v>D</v>
      </c>
      <c r="AE449" s="3">
        <v>254</v>
      </c>
      <c r="AF449" s="3" t="str">
        <f>IFERROR(MID(VLOOKUP($B449,Seqs!$A:$B,2,0),AG449,1),"")</f>
        <v>C</v>
      </c>
      <c r="AG449" s="3">
        <v>258</v>
      </c>
      <c r="AH449" s="3" t="str">
        <f>IFERROR(MID(VLOOKUP($B449,Seqs!$A:$B,2,0),AI449,1),"")</f>
        <v>F</v>
      </c>
      <c r="AI449" s="3">
        <v>260</v>
      </c>
      <c r="AJ449" s="3" t="str">
        <f>IFERROR(MID(VLOOKUP($B449,Seqs!$A:$B,2,0),AK449,1),"")</f>
        <v>T</v>
      </c>
      <c r="AK449" s="3">
        <v>268</v>
      </c>
      <c r="AL449" s="3" t="str">
        <f>IFERROR(MID(VLOOKUP($B449,Seqs!$A:$B,2,0),AM449,1),"")</f>
        <v>L</v>
      </c>
      <c r="AM449" s="3">
        <v>298</v>
      </c>
      <c r="AN449" s="3" t="str">
        <f>IFERROR(MID(VLOOKUP($B449,Seqs!$A:$B,2,0),AO449,1),"")</f>
        <v>S</v>
      </c>
      <c r="AO449" s="3">
        <v>304</v>
      </c>
      <c r="AP449" s="3" t="str">
        <f>IFERROR(MID(VLOOKUP($B449,Seqs!$A:$B,2,0),AQ449,1),"")</f>
        <v>V</v>
      </c>
      <c r="AQ449" s="3">
        <v>332</v>
      </c>
      <c r="AR449" s="3" t="str">
        <f>IFERROR(MID(VLOOKUP($B449,Seqs!$A:$B,2,0),AS449,1),"")</f>
        <v>E</v>
      </c>
      <c r="AS449" s="3">
        <v>338</v>
      </c>
      <c r="AT449" s="3" t="str">
        <f>IFERROR(MID(VLOOKUP($B449,Seqs!$A:$B,2,0),AU449,1),"")</f>
        <v>L</v>
      </c>
      <c r="AU449" s="3">
        <v>366</v>
      </c>
      <c r="AV449" s="3" t="str">
        <f>IFERROR(MID(VLOOKUP($B449,Seqs!$A:$B,2,0),AW449,1),"")</f>
        <v/>
      </c>
      <c r="AW449" s="3" t="s">
        <v>23</v>
      </c>
      <c r="AX449" s="3" t="str">
        <f>IFERROR(MID(VLOOKUP($B449,Seqs!$A:$B,2,0),AY449,1),"")</f>
        <v/>
      </c>
      <c r="AY449" s="3" t="s">
        <v>23</v>
      </c>
      <c r="AZ449" s="77" t="str">
        <f>VLOOKUP(B449,Classification!A:D,2,0)</f>
        <v>B1</v>
      </c>
      <c r="BA449" s="94" t="str">
        <f>VLOOKUP(B449,Classification!A:D,4,0)</f>
        <v>Corticotropin-releasingfact</v>
      </c>
      <c r="BB449" s="27" t="b">
        <f t="shared" si="3241"/>
        <v>1</v>
      </c>
      <c r="BC449" s="23">
        <f t="shared" si="4416"/>
        <v>218</v>
      </c>
      <c r="BD449" s="56" t="s">
        <v>23</v>
      </c>
      <c r="BE449" s="3" t="s">
        <v>1368</v>
      </c>
      <c r="BF449" s="118">
        <v>2.98</v>
      </c>
      <c r="BG449" s="49" t="s">
        <v>1371</v>
      </c>
      <c r="BH449" s="49" t="s">
        <v>1371</v>
      </c>
      <c r="BI449" s="3" t="s">
        <v>1156</v>
      </c>
      <c r="BJ449" s="70" t="s">
        <v>1281</v>
      </c>
      <c r="BK449" s="57" t="s">
        <v>1281</v>
      </c>
      <c r="BL449" s="57" t="s">
        <v>1281</v>
      </c>
      <c r="BM449" s="57" t="s">
        <v>1281</v>
      </c>
      <c r="BN449" s="57" t="s">
        <v>1281</v>
      </c>
      <c r="BO449" s="57" t="s">
        <v>1281</v>
      </c>
      <c r="BP449" s="57" t="s">
        <v>1281</v>
      </c>
      <c r="BQ449" s="57" t="s">
        <v>1281</v>
      </c>
      <c r="BR449" s="57" t="s">
        <v>1281</v>
      </c>
      <c r="BS449" s="57" t="s">
        <v>1281</v>
      </c>
      <c r="BT449" s="57" t="s">
        <v>1281</v>
      </c>
      <c r="BU449" s="57" t="s">
        <v>1281</v>
      </c>
      <c r="BV449" s="70">
        <f t="shared" si="4417"/>
        <v>117</v>
      </c>
      <c r="BW449" s="71">
        <f t="shared" si="4418"/>
        <v>145</v>
      </c>
      <c r="BX449" s="72">
        <f t="shared" si="4419"/>
        <v>149</v>
      </c>
      <c r="BY449" s="71" t="str">
        <f t="shared" si="4420"/>
        <v>-</v>
      </c>
      <c r="BZ449" s="72">
        <f t="shared" si="4421"/>
        <v>185</v>
      </c>
      <c r="CA449" s="71" t="str">
        <f t="shared" si="4422"/>
        <v>-</v>
      </c>
      <c r="CB449" s="72">
        <f t="shared" si="4423"/>
        <v>226</v>
      </c>
      <c r="CC449" s="71">
        <f t="shared" si="4424"/>
        <v>258</v>
      </c>
      <c r="CD449" s="72">
        <f t="shared" si="4425"/>
        <v>268</v>
      </c>
      <c r="CE449" s="71">
        <f t="shared" si="4426"/>
        <v>304</v>
      </c>
      <c r="CF449" s="72">
        <f t="shared" si="4427"/>
        <v>338</v>
      </c>
      <c r="CG449" s="71" t="str">
        <f t="shared" si="4428"/>
        <v>-</v>
      </c>
      <c r="CH449" s="70">
        <f t="shared" si="4429"/>
        <v>144</v>
      </c>
      <c r="CI449" s="71">
        <f t="shared" si="4430"/>
        <v>148</v>
      </c>
      <c r="CJ449" s="72">
        <f t="shared" si="4431"/>
        <v>175</v>
      </c>
      <c r="CK449" s="72" t="str">
        <f t="shared" si="4432"/>
        <v>-</v>
      </c>
      <c r="CL449" s="72">
        <f t="shared" si="4433"/>
        <v>219</v>
      </c>
      <c r="CM449" s="72" t="str">
        <f t="shared" si="4434"/>
        <v>-</v>
      </c>
      <c r="CN449" s="72">
        <f t="shared" si="4435"/>
        <v>254</v>
      </c>
      <c r="CO449" s="72">
        <f t="shared" si="4436"/>
        <v>260</v>
      </c>
      <c r="CP449" s="72">
        <f t="shared" si="4437"/>
        <v>298</v>
      </c>
      <c r="CQ449" s="72">
        <f t="shared" si="4438"/>
        <v>332</v>
      </c>
      <c r="CR449" s="72">
        <f t="shared" si="4439"/>
        <v>366</v>
      </c>
      <c r="CS449" s="72" t="str">
        <f t="shared" si="4440"/>
        <v>-</v>
      </c>
      <c r="CT449" s="23">
        <f t="shared" si="4441"/>
        <v>1</v>
      </c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  <c r="AMK449" s="1"/>
      <c r="AML449" s="1"/>
      <c r="AMM449" s="1"/>
      <c r="AMN449" s="1"/>
      <c r="AMO449" s="1"/>
    </row>
    <row r="450" spans="1:1029" x14ac:dyDescent="0.2">
      <c r="A450" s="3" t="str">
        <f t="shared" si="3240"/>
        <v>crfr1_human_4Z9G</v>
      </c>
      <c r="B450" s="3" t="s">
        <v>38</v>
      </c>
      <c r="C450" s="3" t="s">
        <v>1053</v>
      </c>
      <c r="D450" s="3" t="str">
        <f>IFERROR(MID(VLOOKUP($B450,Seqs!$A:$B,2,0),E450,1),"")</f>
        <v>S</v>
      </c>
      <c r="E450" s="3">
        <v>112</v>
      </c>
      <c r="F450" s="3" t="str">
        <f>IFERROR(MID(VLOOKUP($B450,Seqs!$A:$B,2,0),G450,1),"")</f>
        <v>L</v>
      </c>
      <c r="G450" s="3">
        <v>144</v>
      </c>
      <c r="H450" s="3" t="str">
        <f>IFERROR(MID(VLOOKUP($B450,Seqs!$A:$B,2,0),I450,1),"")</f>
        <v>R</v>
      </c>
      <c r="I450" s="23">
        <v>145</v>
      </c>
      <c r="J450" s="3" t="str">
        <f>IFERROR(MID(VLOOKUP($B450,Seqs!$A:$B,2,0),K450,1),"")</f>
        <v>R</v>
      </c>
      <c r="K450" s="23">
        <v>148</v>
      </c>
      <c r="L450" s="3" t="str">
        <f>IFERROR(MID(VLOOKUP($B450,Seqs!$A:$B,2,0),M450,1),"")</f>
        <v>C</v>
      </c>
      <c r="M450" s="23">
        <v>149</v>
      </c>
      <c r="N450" s="3" t="str">
        <f>IFERROR(MID(VLOOKUP($B450,Seqs!$A:$B,2,0),O450,1),"")</f>
        <v>T</v>
      </c>
      <c r="O450" s="3">
        <v>175</v>
      </c>
      <c r="P450" s="3" t="str">
        <f>IFERROR(MID(VLOOKUP($B450,Seqs!$A:$B,2,0),Q450,1),"")</f>
        <v/>
      </c>
      <c r="Q450" s="3" t="s">
        <v>23</v>
      </c>
      <c r="R450" s="3" t="str">
        <f>IFERROR(MID(VLOOKUP($B450,Seqs!$A:$B,2,0),S450,1),"")</f>
        <v/>
      </c>
      <c r="S450" s="3" t="s">
        <v>23</v>
      </c>
      <c r="T450" s="3" t="str">
        <f>IFERROR(MID(VLOOKUP($B450,Seqs!$A:$B,2,0),U450,1),"")</f>
        <v>V</v>
      </c>
      <c r="U450" s="3">
        <v>185</v>
      </c>
      <c r="V450" s="3" t="str">
        <f>IFERROR(MID(VLOOKUP($B450,Seqs!$A:$B,2,0),W450,1),"")</f>
        <v>L</v>
      </c>
      <c r="W450" s="3">
        <v>219</v>
      </c>
      <c r="X450" s="3" t="str">
        <f>IFERROR(MID(VLOOKUP($B450,Seqs!$A:$B,2,0),Y450,1),"")</f>
        <v/>
      </c>
      <c r="Y450" s="3" t="s">
        <v>23</v>
      </c>
      <c r="Z450" s="3" t="str">
        <f>IFERROR(MID(VLOOKUP($B450,Seqs!$A:$B,2,0),AA450,1),"")</f>
        <v/>
      </c>
      <c r="AA450" s="3" t="s">
        <v>23</v>
      </c>
      <c r="AB450" s="3" t="str">
        <f>IFERROR(MID(VLOOKUP($B450,Seqs!$A:$B,2,0),AC450,1),"")</f>
        <v>L</v>
      </c>
      <c r="AC450" s="9">
        <v>226</v>
      </c>
      <c r="AD450" s="3" t="str">
        <f>IFERROR(MID(VLOOKUP($B450,Seqs!$A:$B,2,0),AE450,1),"")</f>
        <v>D</v>
      </c>
      <c r="AE450" s="3">
        <v>254</v>
      </c>
      <c r="AF450" s="3" t="str">
        <f>IFERROR(MID(VLOOKUP($B450,Seqs!$A:$B,2,0),AG450,1),"")</f>
        <v>C</v>
      </c>
      <c r="AG450" s="3">
        <v>258</v>
      </c>
      <c r="AH450" s="3" t="str">
        <f>IFERROR(MID(VLOOKUP($B450,Seqs!$A:$B,2,0),AI450,1),"")</f>
        <v>F</v>
      </c>
      <c r="AI450" s="3">
        <v>260</v>
      </c>
      <c r="AJ450" s="3" t="str">
        <f>IFERROR(MID(VLOOKUP($B450,Seqs!$A:$B,2,0),AK450,1),"")</f>
        <v>T</v>
      </c>
      <c r="AK450" s="3">
        <v>268</v>
      </c>
      <c r="AL450" s="3" t="str">
        <f>IFERROR(MID(VLOOKUP($B450,Seqs!$A:$B,2,0),AM450,1),"")</f>
        <v>L</v>
      </c>
      <c r="AM450" s="3">
        <v>298</v>
      </c>
      <c r="AN450" s="3" t="str">
        <f>IFERROR(MID(VLOOKUP($B450,Seqs!$A:$B,2,0),AO450,1),"")</f>
        <v>S</v>
      </c>
      <c r="AO450" s="3">
        <v>304</v>
      </c>
      <c r="AP450" s="3" t="str">
        <f>IFERROR(MID(VLOOKUP($B450,Seqs!$A:$B,2,0),AQ450,1),"")</f>
        <v>V</v>
      </c>
      <c r="AQ450" s="3">
        <v>332</v>
      </c>
      <c r="AR450" s="3" t="str">
        <f>IFERROR(MID(VLOOKUP($B450,Seqs!$A:$B,2,0),AS450,1),"")</f>
        <v>V</v>
      </c>
      <c r="AS450" s="3">
        <v>339</v>
      </c>
      <c r="AT450" s="3" t="str">
        <f>IFERROR(MID(VLOOKUP($B450,Seqs!$A:$B,2,0),AU450,1),"")</f>
        <v>F</v>
      </c>
      <c r="AU450" s="3">
        <v>362</v>
      </c>
      <c r="AV450" s="3" t="str">
        <f>IFERROR(MID(VLOOKUP($B450,Seqs!$A:$B,2,0),AW450,1),"")</f>
        <v/>
      </c>
      <c r="AW450" s="3" t="s">
        <v>23</v>
      </c>
      <c r="AX450" s="3" t="str">
        <f>IFERROR(MID(VLOOKUP($B450,Seqs!$A:$B,2,0),AY450,1),"")</f>
        <v/>
      </c>
      <c r="AY450" s="3" t="s">
        <v>23</v>
      </c>
      <c r="AZ450" s="77" t="str">
        <f>VLOOKUP(B450,Classification!A:D,2,0)</f>
        <v>B1</v>
      </c>
      <c r="BA450" s="94" t="str">
        <f>VLOOKUP(B450,Classification!A:D,4,0)</f>
        <v>Corticotropin-releasingfact</v>
      </c>
      <c r="BB450" s="27" t="b">
        <f t="shared" si="3241"/>
        <v>1</v>
      </c>
      <c r="BC450" s="23">
        <f t="shared" si="4416"/>
        <v>218</v>
      </c>
      <c r="BD450" s="2" t="s">
        <v>1370</v>
      </c>
      <c r="BE450" s="3" t="s">
        <v>1368</v>
      </c>
      <c r="BF450" s="118">
        <v>3.18</v>
      </c>
      <c r="BG450" s="49" t="s">
        <v>1371</v>
      </c>
      <c r="BH450" s="49" t="s">
        <v>1371</v>
      </c>
      <c r="BI450" s="1"/>
      <c r="BJ450" s="70" t="s">
        <v>1281</v>
      </c>
      <c r="BK450" s="57" t="s">
        <v>1281</v>
      </c>
      <c r="BL450" s="57" t="s">
        <v>1281</v>
      </c>
      <c r="BM450" s="57" t="s">
        <v>1281</v>
      </c>
      <c r="BN450" s="57" t="s">
        <v>1281</v>
      </c>
      <c r="BO450" s="57" t="s">
        <v>1281</v>
      </c>
      <c r="BP450" s="57" t="s">
        <v>1281</v>
      </c>
      <c r="BQ450" s="57" t="s">
        <v>1281</v>
      </c>
      <c r="BR450" s="57" t="s">
        <v>1281</v>
      </c>
      <c r="BS450" s="57" t="s">
        <v>1281</v>
      </c>
      <c r="BT450" s="57" t="s">
        <v>1281</v>
      </c>
      <c r="BU450" s="57" t="s">
        <v>1281</v>
      </c>
      <c r="BV450" s="70">
        <f t="shared" si="4417"/>
        <v>112</v>
      </c>
      <c r="BW450" s="71">
        <f t="shared" si="4418"/>
        <v>145</v>
      </c>
      <c r="BX450" s="72">
        <f t="shared" si="4419"/>
        <v>149</v>
      </c>
      <c r="BY450" s="71" t="str">
        <f t="shared" si="4420"/>
        <v>-</v>
      </c>
      <c r="BZ450" s="72">
        <f t="shared" si="4421"/>
        <v>185</v>
      </c>
      <c r="CA450" s="71" t="str">
        <f t="shared" si="4422"/>
        <v>-</v>
      </c>
      <c r="CB450" s="72">
        <f t="shared" si="4423"/>
        <v>226</v>
      </c>
      <c r="CC450" s="71">
        <f t="shared" si="4424"/>
        <v>258</v>
      </c>
      <c r="CD450" s="72">
        <f t="shared" si="4425"/>
        <v>268</v>
      </c>
      <c r="CE450" s="71">
        <f t="shared" si="4426"/>
        <v>304</v>
      </c>
      <c r="CF450" s="72">
        <f t="shared" si="4427"/>
        <v>339</v>
      </c>
      <c r="CG450" s="71" t="str">
        <f t="shared" si="4428"/>
        <v>-</v>
      </c>
      <c r="CH450" s="70">
        <f t="shared" si="4429"/>
        <v>144</v>
      </c>
      <c r="CI450" s="71">
        <f t="shared" si="4430"/>
        <v>148</v>
      </c>
      <c r="CJ450" s="72">
        <f t="shared" si="4431"/>
        <v>175</v>
      </c>
      <c r="CK450" s="72" t="str">
        <f t="shared" si="4432"/>
        <v>-</v>
      </c>
      <c r="CL450" s="72">
        <f t="shared" si="4433"/>
        <v>219</v>
      </c>
      <c r="CM450" s="72" t="str">
        <f t="shared" si="4434"/>
        <v>-</v>
      </c>
      <c r="CN450" s="72">
        <f t="shared" si="4435"/>
        <v>254</v>
      </c>
      <c r="CO450" s="72">
        <f t="shared" si="4436"/>
        <v>260</v>
      </c>
      <c r="CP450" s="72">
        <f t="shared" si="4437"/>
        <v>298</v>
      </c>
      <c r="CQ450" s="72">
        <f t="shared" si="4438"/>
        <v>332</v>
      </c>
      <c r="CR450" s="72">
        <f t="shared" si="4439"/>
        <v>362</v>
      </c>
      <c r="CS450" s="72" t="str">
        <f t="shared" si="4440"/>
        <v>-</v>
      </c>
      <c r="CT450" s="23">
        <f t="shared" si="4441"/>
        <v>1</v>
      </c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  <c r="AMK450" s="1"/>
      <c r="AML450" s="1"/>
      <c r="AMM450" s="1"/>
      <c r="AMN450" s="1"/>
      <c r="AMO450" s="1"/>
    </row>
    <row r="451" spans="1:1029" x14ac:dyDescent="0.2">
      <c r="A451" s="3" t="str">
        <f t="shared" si="3240"/>
        <v>crfr1_human_4Z9G_dist</v>
      </c>
      <c r="B451" s="3" t="s">
        <v>38</v>
      </c>
      <c r="C451" s="3" t="s">
        <v>1155</v>
      </c>
      <c r="D451" s="3" t="str">
        <f>IFERROR(MID(VLOOKUP($B451,Seqs!$A:$B,2,0),E451,1),"")</f>
        <v>S</v>
      </c>
      <c r="E451" s="3">
        <v>112</v>
      </c>
      <c r="F451" s="3" t="str">
        <f>IFERROR(MID(VLOOKUP($B451,Seqs!$A:$B,2,0),G451,1),"")</f>
        <v>L</v>
      </c>
      <c r="G451" s="3">
        <v>144</v>
      </c>
      <c r="H451" s="3" t="str">
        <f>IFERROR(MID(VLOOKUP($B451,Seqs!$A:$B,2,0),I451,1),"")</f>
        <v>R</v>
      </c>
      <c r="I451" s="23">
        <v>145</v>
      </c>
      <c r="J451" s="3" t="str">
        <f>IFERROR(MID(VLOOKUP($B451,Seqs!$A:$B,2,0),K451,1),"")</f>
        <v>R</v>
      </c>
      <c r="K451" s="23">
        <v>148</v>
      </c>
      <c r="L451" s="3" t="str">
        <f>IFERROR(MID(VLOOKUP($B451,Seqs!$A:$B,2,0),M451,1),"")</f>
        <v>C</v>
      </c>
      <c r="M451" s="23">
        <v>149</v>
      </c>
      <c r="N451" s="3" t="str">
        <f>IFERROR(MID(VLOOKUP($B451,Seqs!$A:$B,2,0),O451,1),"")</f>
        <v>T</v>
      </c>
      <c r="O451" s="3">
        <v>175</v>
      </c>
      <c r="P451" s="3" t="str">
        <f>IFERROR(MID(VLOOKUP($B451,Seqs!$A:$B,2,0),Q451,1),"")</f>
        <v/>
      </c>
      <c r="Q451" s="3" t="s">
        <v>23</v>
      </c>
      <c r="R451" s="3" t="str">
        <f>IFERROR(MID(VLOOKUP($B451,Seqs!$A:$B,2,0),S451,1),"")</f>
        <v/>
      </c>
      <c r="S451" s="3" t="s">
        <v>23</v>
      </c>
      <c r="T451" s="3" t="str">
        <f>IFERROR(MID(VLOOKUP($B451,Seqs!$A:$B,2,0),U451,1),"")</f>
        <v>V</v>
      </c>
      <c r="U451" s="3">
        <v>185</v>
      </c>
      <c r="V451" s="3" t="str">
        <f>IFERROR(MID(VLOOKUP($B451,Seqs!$A:$B,2,0),W451,1),"")</f>
        <v>L</v>
      </c>
      <c r="W451" s="3">
        <v>219</v>
      </c>
      <c r="X451" s="3" t="str">
        <f>IFERROR(MID(VLOOKUP($B451,Seqs!$A:$B,2,0),Y451,1),"")</f>
        <v/>
      </c>
      <c r="Y451" s="3" t="s">
        <v>23</v>
      </c>
      <c r="Z451" s="3" t="str">
        <f>IFERROR(MID(VLOOKUP($B451,Seqs!$A:$B,2,0),AA451,1),"")</f>
        <v/>
      </c>
      <c r="AA451" s="3" t="s">
        <v>23</v>
      </c>
      <c r="AB451" s="3" t="str">
        <f>IFERROR(MID(VLOOKUP($B451,Seqs!$A:$B,2,0),AC451,1),"")</f>
        <v>L</v>
      </c>
      <c r="AC451" s="9">
        <v>226</v>
      </c>
      <c r="AD451" s="3" t="str">
        <f>IFERROR(MID(VLOOKUP($B451,Seqs!$A:$B,2,0),AE451,1),"")</f>
        <v>D</v>
      </c>
      <c r="AE451" s="3">
        <v>254</v>
      </c>
      <c r="AF451" s="3" t="str">
        <f>IFERROR(MID(VLOOKUP($B451,Seqs!$A:$B,2,0),AG451,1),"")</f>
        <v>C</v>
      </c>
      <c r="AG451" s="3">
        <v>258</v>
      </c>
      <c r="AH451" s="3" t="str">
        <f>IFERROR(MID(VLOOKUP($B451,Seqs!$A:$B,2,0),AI451,1),"")</f>
        <v>F</v>
      </c>
      <c r="AI451" s="3">
        <v>260</v>
      </c>
      <c r="AJ451" s="3" t="str">
        <f>IFERROR(MID(VLOOKUP($B451,Seqs!$A:$B,2,0),AK451,1),"")</f>
        <v>T</v>
      </c>
      <c r="AK451" s="3">
        <v>268</v>
      </c>
      <c r="AL451" s="3" t="str">
        <f>IFERROR(MID(VLOOKUP($B451,Seqs!$A:$B,2,0),AM451,1),"")</f>
        <v>L</v>
      </c>
      <c r="AM451" s="3">
        <v>298</v>
      </c>
      <c r="AN451" s="3" t="str">
        <f>IFERROR(MID(VLOOKUP($B451,Seqs!$A:$B,2,0),AO451,1),"")</f>
        <v>S</v>
      </c>
      <c r="AO451" s="3">
        <v>304</v>
      </c>
      <c r="AP451" s="3" t="str">
        <f>IFERROR(MID(VLOOKUP($B451,Seqs!$A:$B,2,0),AQ451,1),"")</f>
        <v>V</v>
      </c>
      <c r="AQ451" s="3">
        <v>332</v>
      </c>
      <c r="AR451" s="3" t="str">
        <f>IFERROR(MID(VLOOKUP($B451,Seqs!$A:$B,2,0),AS451,1),"")</f>
        <v>V</v>
      </c>
      <c r="AS451" s="3">
        <v>339</v>
      </c>
      <c r="AT451" s="3" t="str">
        <f>IFERROR(MID(VLOOKUP($B451,Seqs!$A:$B,2,0),AU451,1),"")</f>
        <v>E</v>
      </c>
      <c r="AU451" s="3">
        <v>369</v>
      </c>
      <c r="AV451" s="3" t="str">
        <f>IFERROR(MID(VLOOKUP($B451,Seqs!$A:$B,2,0),AW451,1),"")</f>
        <v/>
      </c>
      <c r="AW451" s="3" t="s">
        <v>23</v>
      </c>
      <c r="AX451" s="3" t="str">
        <f>IFERROR(MID(VLOOKUP($B451,Seqs!$A:$B,2,0),AY451,1),"")</f>
        <v/>
      </c>
      <c r="AY451" s="3" t="s">
        <v>23</v>
      </c>
      <c r="AZ451" s="77" t="str">
        <f>VLOOKUP(B451,Classification!A:D,2,0)</f>
        <v>B1</v>
      </c>
      <c r="BA451" s="94" t="str">
        <f>VLOOKUP(B451,Classification!A:D,4,0)</f>
        <v>Corticotropin-releasingfact</v>
      </c>
      <c r="BB451" s="27" t="b">
        <f t="shared" si="3241"/>
        <v>1</v>
      </c>
      <c r="BC451" s="23">
        <f t="shared" si="4416"/>
        <v>225</v>
      </c>
      <c r="BD451" s="56" t="s">
        <v>23</v>
      </c>
      <c r="BE451" s="3" t="s">
        <v>1368</v>
      </c>
      <c r="BF451" s="118">
        <v>3.18</v>
      </c>
      <c r="BG451" s="49" t="s">
        <v>1371</v>
      </c>
      <c r="BH451" s="49" t="s">
        <v>1371</v>
      </c>
      <c r="BI451" s="3" t="s">
        <v>1156</v>
      </c>
      <c r="BJ451" s="70" t="s">
        <v>1281</v>
      </c>
      <c r="BK451" s="57" t="s">
        <v>1281</v>
      </c>
      <c r="BL451" s="57" t="s">
        <v>1281</v>
      </c>
      <c r="BM451" s="57" t="s">
        <v>1281</v>
      </c>
      <c r="BN451" s="57" t="s">
        <v>1281</v>
      </c>
      <c r="BO451" s="57" t="s">
        <v>1281</v>
      </c>
      <c r="BP451" s="57" t="s">
        <v>1281</v>
      </c>
      <c r="BQ451" s="57" t="s">
        <v>1281</v>
      </c>
      <c r="BR451" s="57" t="s">
        <v>1281</v>
      </c>
      <c r="BS451" s="57" t="s">
        <v>1281</v>
      </c>
      <c r="BT451" s="57" t="s">
        <v>1281</v>
      </c>
      <c r="BU451" s="57" t="s">
        <v>1281</v>
      </c>
      <c r="BV451" s="70">
        <f t="shared" si="4417"/>
        <v>112</v>
      </c>
      <c r="BW451" s="71">
        <f t="shared" si="4418"/>
        <v>145</v>
      </c>
      <c r="BX451" s="72">
        <f t="shared" si="4419"/>
        <v>149</v>
      </c>
      <c r="BY451" s="71" t="str">
        <f t="shared" si="4420"/>
        <v>-</v>
      </c>
      <c r="BZ451" s="72">
        <f t="shared" si="4421"/>
        <v>185</v>
      </c>
      <c r="CA451" s="71" t="str">
        <f t="shared" si="4422"/>
        <v>-</v>
      </c>
      <c r="CB451" s="72">
        <f t="shared" si="4423"/>
        <v>226</v>
      </c>
      <c r="CC451" s="71">
        <f t="shared" si="4424"/>
        <v>258</v>
      </c>
      <c r="CD451" s="72">
        <f t="shared" si="4425"/>
        <v>268</v>
      </c>
      <c r="CE451" s="71">
        <f t="shared" si="4426"/>
        <v>304</v>
      </c>
      <c r="CF451" s="72">
        <f t="shared" si="4427"/>
        <v>339</v>
      </c>
      <c r="CG451" s="71" t="str">
        <f t="shared" si="4428"/>
        <v>-</v>
      </c>
      <c r="CH451" s="70">
        <f t="shared" si="4429"/>
        <v>144</v>
      </c>
      <c r="CI451" s="71">
        <f t="shared" si="4430"/>
        <v>148</v>
      </c>
      <c r="CJ451" s="72">
        <f t="shared" si="4431"/>
        <v>175</v>
      </c>
      <c r="CK451" s="72" t="str">
        <f t="shared" si="4432"/>
        <v>-</v>
      </c>
      <c r="CL451" s="72">
        <f t="shared" si="4433"/>
        <v>219</v>
      </c>
      <c r="CM451" s="72" t="str">
        <f t="shared" si="4434"/>
        <v>-</v>
      </c>
      <c r="CN451" s="72">
        <f t="shared" si="4435"/>
        <v>254</v>
      </c>
      <c r="CO451" s="72">
        <f t="shared" si="4436"/>
        <v>260</v>
      </c>
      <c r="CP451" s="72">
        <f t="shared" si="4437"/>
        <v>298</v>
      </c>
      <c r="CQ451" s="72">
        <f t="shared" si="4438"/>
        <v>332</v>
      </c>
      <c r="CR451" s="72">
        <f t="shared" si="4439"/>
        <v>369</v>
      </c>
      <c r="CS451" s="72" t="str">
        <f t="shared" si="4440"/>
        <v>-</v>
      </c>
      <c r="CT451" s="23">
        <f t="shared" si="4441"/>
        <v>1</v>
      </c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  <c r="AMK451" s="1"/>
      <c r="AML451" s="1"/>
      <c r="AMM451" s="1"/>
      <c r="AMN451" s="1"/>
      <c r="AMO451" s="1"/>
    </row>
    <row r="452" spans="1:1029" s="12" customFormat="1" x14ac:dyDescent="0.2">
      <c r="A452" s="9" t="str">
        <f t="shared" ref="A452" si="4442">CONCATENATE(B452,"_",C452)</f>
        <v>crfr1_human_6PB0</v>
      </c>
      <c r="B452" s="9" t="s">
        <v>38</v>
      </c>
      <c r="C452" s="9" t="s">
        <v>1717</v>
      </c>
      <c r="D452" s="9" t="str">
        <f>IFERROR(MID(VLOOKUP($B452,Seqs!$A:$B,2,0),E452,1),"")</f>
        <v>S</v>
      </c>
      <c r="E452" s="9">
        <v>112</v>
      </c>
      <c r="F452" s="9" t="str">
        <f>IFERROR(MID(VLOOKUP($B452,Seqs!$A:$B,2,0),G452,1),"")</f>
        <v>L</v>
      </c>
      <c r="G452" s="9">
        <v>144</v>
      </c>
      <c r="H452" s="9" t="str">
        <f>IFERROR(MID(VLOOKUP($B452,Seqs!$A:$B,2,0),I452,1),"")</f>
        <v/>
      </c>
      <c r="I452" s="109" t="s">
        <v>23</v>
      </c>
      <c r="J452" s="9" t="str">
        <f>IFERROR(MID(VLOOKUP($B452,Seqs!$A:$B,2,0),K452,1),"")</f>
        <v/>
      </c>
      <c r="K452" s="109" t="s">
        <v>23</v>
      </c>
      <c r="L452" s="9" t="str">
        <f>IFERROR(MID(VLOOKUP($B452,Seqs!$A:$B,2,0),M452,1),"")</f>
        <v>C</v>
      </c>
      <c r="M452" s="109">
        <v>149</v>
      </c>
      <c r="N452" s="9" t="str">
        <f>IFERROR(MID(VLOOKUP($B452,Seqs!$A:$B,2,0),O452,1),"")</f>
        <v>T</v>
      </c>
      <c r="O452" s="9">
        <v>175</v>
      </c>
      <c r="P452" s="9" t="str">
        <f>IFERROR(MID(VLOOKUP($B452,Seqs!$A:$B,2,0),Q452,1),"")</f>
        <v/>
      </c>
      <c r="Q452" s="9" t="s">
        <v>23</v>
      </c>
      <c r="R452" s="9" t="str">
        <f>IFERROR(MID(VLOOKUP($B452,Seqs!$A:$B,2,0),S452,1),"")</f>
        <v/>
      </c>
      <c r="S452" s="9" t="s">
        <v>23</v>
      </c>
      <c r="T452" s="9" t="str">
        <f>IFERROR(MID(VLOOKUP($B452,Seqs!$A:$B,2,0),U452,1),"")</f>
        <v>V</v>
      </c>
      <c r="U452" s="9">
        <v>185</v>
      </c>
      <c r="V452" s="9" t="str">
        <f>IFERROR(MID(VLOOKUP($B452,Seqs!$A:$B,2,0),W452,1),"")</f>
        <v>L</v>
      </c>
      <c r="W452" s="9">
        <v>219</v>
      </c>
      <c r="X452" s="9" t="str">
        <f>IFERROR(MID(VLOOKUP($B452,Seqs!$A:$B,2,0),Y452,1),"")</f>
        <v/>
      </c>
      <c r="Y452" s="9" t="s">
        <v>23</v>
      </c>
      <c r="Z452" s="9" t="str">
        <f>IFERROR(MID(VLOOKUP($B452,Seqs!$A:$B,2,0),AA452,1),"")</f>
        <v/>
      </c>
      <c r="AA452" s="9" t="s">
        <v>23</v>
      </c>
      <c r="AB452" s="9" t="str">
        <f>IFERROR(MID(VLOOKUP($B452,Seqs!$A:$B,2,0),AC452,1),"")</f>
        <v>K</v>
      </c>
      <c r="AC452" s="9">
        <v>228</v>
      </c>
      <c r="AD452" s="9" t="str">
        <f>IFERROR(MID(VLOOKUP($B452,Seqs!$A:$B,2,0),AE452,1),"")</f>
        <v>Y</v>
      </c>
      <c r="AE452" s="9">
        <v>253</v>
      </c>
      <c r="AF452" s="9" t="str">
        <f>IFERROR(MID(VLOOKUP($B452,Seqs!$A:$B,2,0),AG452,1),"")</f>
        <v>C</v>
      </c>
      <c r="AG452" s="9">
        <v>258</v>
      </c>
      <c r="AH452" s="9" t="str">
        <f>IFERROR(MID(VLOOKUP($B452,Seqs!$A:$B,2,0),AI452,1),"")</f>
        <v>F</v>
      </c>
      <c r="AI452" s="9">
        <v>260</v>
      </c>
      <c r="AJ452" s="9" t="str">
        <f>IFERROR(MID(VLOOKUP($B452,Seqs!$A:$B,2,0),AK452,1),"")</f>
        <v>T</v>
      </c>
      <c r="AK452" s="9">
        <v>268</v>
      </c>
      <c r="AL452" s="9" t="str">
        <f>IFERROR(MID(VLOOKUP($B452,Seqs!$A:$B,2,0),AM452,1),"")</f>
        <v>T</v>
      </c>
      <c r="AM452" s="9">
        <v>302</v>
      </c>
      <c r="AN452" s="9" t="str">
        <f>IFERROR(MID(VLOOKUP($B452,Seqs!$A:$B,2,0),AO452,1),"")</f>
        <v>S</v>
      </c>
      <c r="AO452" s="9">
        <v>304</v>
      </c>
      <c r="AP452" s="9" t="str">
        <f>IFERROR(MID(VLOOKUP($B452,Seqs!$A:$B,2,0),AQ452,1),"")</f>
        <v>L</v>
      </c>
      <c r="AQ452" s="9">
        <v>329</v>
      </c>
      <c r="AR452" s="9" t="str">
        <f>IFERROR(MID(VLOOKUP($B452,Seqs!$A:$B,2,0),AS452,1),"")</f>
        <v>E</v>
      </c>
      <c r="AS452" s="9">
        <v>338</v>
      </c>
      <c r="AT452" s="9" t="str">
        <f>IFERROR(MID(VLOOKUP($B452,Seqs!$A:$B,2,0),AU452,1),"")</f>
        <v>L</v>
      </c>
      <c r="AU452" s="9">
        <v>366</v>
      </c>
      <c r="AV452" s="9" t="str">
        <f>IFERROR(MID(VLOOKUP($B452,Seqs!$A:$B,2,0),AW452,1),"")</f>
        <v>N</v>
      </c>
      <c r="AW452" s="9">
        <v>367</v>
      </c>
      <c r="AX452" s="9" t="str">
        <f>IFERROR(MID(VLOOKUP($B452,Seqs!$A:$B,2,0),AY452,1),"")</f>
        <v>S</v>
      </c>
      <c r="AY452" s="9">
        <v>386</v>
      </c>
      <c r="AZ452" s="110" t="str">
        <f>VLOOKUP(B452,Classification!A:D,2,0)</f>
        <v>B1</v>
      </c>
      <c r="BA452" s="98" t="str">
        <f>VLOOKUP(B452,Classification!A:D,4,0)</f>
        <v>Corticotropin-releasingfact</v>
      </c>
      <c r="BB452" s="36" t="b">
        <f t="shared" ref="BB452" si="4443">AND(E452&lt;G452,OR(G452&lt;I452,I452="-"),OR(I452&lt;K452,I452="-"),OR(K452&lt;M452,K452="-"),M452&lt;O452,OR(O452&lt;Q452,Q452="-"),OR(Q452&lt;S452,Q452="-"),OR(S452&lt;U452,S452="-"),U452&lt;W452,OR(W452&lt;Y452,Y452="-"),OR(Y452&lt;AA452,Y452="-"),OR(AA452&lt;AC452,AA452="-"),AC452&lt;AE452,OR(AE452&lt;AG452,AG452="-"),OR(AG452&lt;AI452,AG452="-"),OR(AI452&lt;AK452,AI452="-"),AK452&lt;AM452,AM452&lt;AO452,AO452&lt;AQ452,AQ452&lt;AS452,AS452&lt;AU452,OR(AU452&lt;AW452,AW452="-"),OR(AW452&lt;AY452,AW452="-"))</f>
        <v>1</v>
      </c>
      <c r="BC452" s="109">
        <f t="shared" ref="BC452" si="4444">_xlfn.AGGREGATE(9,6,CH452:CS452)-_xlfn.AGGREGATE(9,6,BV452:CG452)+12</f>
        <v>237</v>
      </c>
      <c r="BD452" s="127" t="s">
        <v>1369</v>
      </c>
      <c r="BE452" s="9" t="s">
        <v>1285</v>
      </c>
      <c r="BF452" s="119">
        <v>3</v>
      </c>
      <c r="BG452" s="51" t="s">
        <v>1416</v>
      </c>
      <c r="BH452" s="51" t="s">
        <v>1416</v>
      </c>
      <c r="BI452" s="9"/>
      <c r="BJ452" s="111" t="s">
        <v>1281</v>
      </c>
      <c r="BK452" s="112" t="s">
        <v>1281</v>
      </c>
      <c r="BL452" s="112" t="s">
        <v>1281</v>
      </c>
      <c r="BM452" s="112" t="s">
        <v>1281</v>
      </c>
      <c r="BN452" s="112" t="s">
        <v>1281</v>
      </c>
      <c r="BO452" s="112" t="s">
        <v>1281</v>
      </c>
      <c r="BP452" s="112" t="s">
        <v>1281</v>
      </c>
      <c r="BQ452" s="112" t="s">
        <v>1281</v>
      </c>
      <c r="BR452" s="112" t="s">
        <v>1281</v>
      </c>
      <c r="BS452" s="112" t="s">
        <v>1281</v>
      </c>
      <c r="BT452" s="112" t="s">
        <v>1281</v>
      </c>
      <c r="BU452" s="112" t="s">
        <v>1281</v>
      </c>
      <c r="BV452" s="111">
        <f t="shared" ref="BV452" si="4445">E452</f>
        <v>112</v>
      </c>
      <c r="BW452" s="113" t="str">
        <f t="shared" ref="BW452" si="4446">I452</f>
        <v>-</v>
      </c>
      <c r="BX452" s="114">
        <f t="shared" ref="BX452" si="4447">M452</f>
        <v>149</v>
      </c>
      <c r="BY452" s="113" t="str">
        <f t="shared" ref="BY452" si="4448">Q452</f>
        <v>-</v>
      </c>
      <c r="BZ452" s="114">
        <f t="shared" ref="BZ452" si="4449">U452</f>
        <v>185</v>
      </c>
      <c r="CA452" s="113" t="str">
        <f t="shared" ref="CA452" si="4450">Y452</f>
        <v>-</v>
      </c>
      <c r="CB452" s="114">
        <f t="shared" ref="CB452" si="4451">AC452</f>
        <v>228</v>
      </c>
      <c r="CC452" s="113">
        <f t="shared" ref="CC452" si="4452">AG452</f>
        <v>258</v>
      </c>
      <c r="CD452" s="114">
        <f t="shared" ref="CD452" si="4453">AK452</f>
        <v>268</v>
      </c>
      <c r="CE452" s="113">
        <f t="shared" ref="CE452" si="4454">AO452</f>
        <v>304</v>
      </c>
      <c r="CF452" s="114">
        <f t="shared" ref="CF452" si="4455">AS452</f>
        <v>338</v>
      </c>
      <c r="CG452" s="113">
        <f t="shared" ref="CG452" si="4456">AW452</f>
        <v>367</v>
      </c>
      <c r="CH452" s="111">
        <f t="shared" ref="CH452" si="4457">G452</f>
        <v>144</v>
      </c>
      <c r="CI452" s="113" t="str">
        <f t="shared" ref="CI452" si="4458">K452</f>
        <v>-</v>
      </c>
      <c r="CJ452" s="114">
        <f t="shared" ref="CJ452" si="4459">O452</f>
        <v>175</v>
      </c>
      <c r="CK452" s="114" t="str">
        <f t="shared" ref="CK452" si="4460">S452</f>
        <v>-</v>
      </c>
      <c r="CL452" s="114">
        <f t="shared" ref="CL452" si="4461">W452</f>
        <v>219</v>
      </c>
      <c r="CM452" s="114" t="str">
        <f t="shared" ref="CM452" si="4462">AA452</f>
        <v>-</v>
      </c>
      <c r="CN452" s="114">
        <f t="shared" ref="CN452" si="4463">AE452</f>
        <v>253</v>
      </c>
      <c r="CO452" s="114">
        <f t="shared" ref="CO452" si="4464">AI452</f>
        <v>260</v>
      </c>
      <c r="CP452" s="114">
        <f t="shared" ref="CP452" si="4465">AM452</f>
        <v>302</v>
      </c>
      <c r="CQ452" s="114">
        <f t="shared" ref="CQ452" si="4466">AQ452</f>
        <v>329</v>
      </c>
      <c r="CR452" s="114">
        <f t="shared" ref="CR452" si="4467">AU452</f>
        <v>366</v>
      </c>
      <c r="CS452" s="114">
        <f t="shared" ref="CS452" si="4468">AY452</f>
        <v>386</v>
      </c>
      <c r="CT452" s="109" t="e">
        <f t="shared" ref="CT452" si="4469">M452-K452</f>
        <v>#VALUE!</v>
      </c>
    </row>
    <row r="453" spans="1:1029" s="12" customFormat="1" x14ac:dyDescent="0.2">
      <c r="A453" s="9" t="str">
        <f t="shared" ref="A453" si="4470">CONCATENATE(B453,"_",C453)</f>
        <v>crfr1_human_6P9X</v>
      </c>
      <c r="B453" s="9" t="s">
        <v>38</v>
      </c>
      <c r="C453" s="9" t="s">
        <v>1718</v>
      </c>
      <c r="D453" s="9" t="str">
        <f>IFERROR(MID(VLOOKUP($B453,Seqs!$A:$B,2,0),E453,1),"")</f>
        <v>V</v>
      </c>
      <c r="E453" s="9">
        <v>114</v>
      </c>
      <c r="F453" s="9" t="str">
        <f>IFERROR(MID(VLOOKUP($B453,Seqs!$A:$B,2,0),G453,1),"")</f>
        <v>L</v>
      </c>
      <c r="G453" s="9">
        <v>144</v>
      </c>
      <c r="H453" s="9" t="str">
        <f>IFERROR(MID(VLOOKUP($B453,Seqs!$A:$B,2,0),I453,1),"")</f>
        <v>R</v>
      </c>
      <c r="I453" s="109">
        <v>145</v>
      </c>
      <c r="J453" s="9" t="str">
        <f>IFERROR(MID(VLOOKUP($B453,Seqs!$A:$B,2,0),K453,1),"")</f>
        <v>R</v>
      </c>
      <c r="K453" s="109">
        <v>148</v>
      </c>
      <c r="L453" s="9" t="str">
        <f>IFERROR(MID(VLOOKUP($B453,Seqs!$A:$B,2,0),M453,1),"")</f>
        <v>C</v>
      </c>
      <c r="M453" s="109">
        <v>149</v>
      </c>
      <c r="N453" s="9" t="str">
        <f>IFERROR(MID(VLOOKUP($B453,Seqs!$A:$B,2,0),O453,1),"")</f>
        <v>T</v>
      </c>
      <c r="O453" s="9">
        <v>175</v>
      </c>
      <c r="P453" s="9" t="str">
        <f>IFERROR(MID(VLOOKUP($B453,Seqs!$A:$B,2,0),Q453,1),"")</f>
        <v/>
      </c>
      <c r="Q453" s="9" t="s">
        <v>23</v>
      </c>
      <c r="R453" s="9" t="str">
        <f>IFERROR(MID(VLOOKUP($B453,Seqs!$A:$B,2,0),S453,1),"")</f>
        <v/>
      </c>
      <c r="S453" s="9" t="s">
        <v>23</v>
      </c>
      <c r="T453" s="9" t="str">
        <f>IFERROR(MID(VLOOKUP($B453,Seqs!$A:$B,2,0),U453,1),"")</f>
        <v>V</v>
      </c>
      <c r="U453" s="9">
        <v>185</v>
      </c>
      <c r="V453" s="9" t="str">
        <f>IFERROR(MID(VLOOKUP($B453,Seqs!$A:$B,2,0),W453,1),"")</f>
        <v>L</v>
      </c>
      <c r="W453" s="9">
        <v>219</v>
      </c>
      <c r="X453" s="9" t="str">
        <f>IFERROR(MID(VLOOKUP($B453,Seqs!$A:$B,2,0),Y453,1),"")</f>
        <v/>
      </c>
      <c r="Y453" s="9" t="s">
        <v>23</v>
      </c>
      <c r="Z453" s="9" t="str">
        <f>IFERROR(MID(VLOOKUP($B453,Seqs!$A:$B,2,0),AA453,1),"")</f>
        <v/>
      </c>
      <c r="AA453" s="9" t="s">
        <v>23</v>
      </c>
      <c r="AB453" s="9" t="str">
        <f>IFERROR(MID(VLOOKUP($B453,Seqs!$A:$B,2,0),AC453,1),"")</f>
        <v>R</v>
      </c>
      <c r="AC453" s="9">
        <v>227</v>
      </c>
      <c r="AD453" s="9" t="str">
        <f>IFERROR(MID(VLOOKUP($B453,Seqs!$A:$B,2,0),AE453,1),"")</f>
        <v>Y</v>
      </c>
      <c r="AE453" s="9">
        <v>253</v>
      </c>
      <c r="AF453" s="9" t="str">
        <f>IFERROR(MID(VLOOKUP($B453,Seqs!$A:$B,2,0),AG453,1),"")</f>
        <v>C</v>
      </c>
      <c r="AG453" s="9">
        <v>258</v>
      </c>
      <c r="AH453" s="9" t="str">
        <f>IFERROR(MID(VLOOKUP($B453,Seqs!$A:$B,2,0),AI453,1),"")</f>
        <v>F</v>
      </c>
      <c r="AI453" s="9">
        <v>260</v>
      </c>
      <c r="AJ453" s="9" t="str">
        <f>IFERROR(MID(VLOOKUP($B453,Seqs!$A:$B,2,0),AK453,1),"")</f>
        <v>T</v>
      </c>
      <c r="AK453" s="9">
        <v>268</v>
      </c>
      <c r="AL453" s="9" t="str">
        <f>IFERROR(MID(VLOOKUP($B453,Seqs!$A:$B,2,0),AM453,1),"")</f>
        <v>T</v>
      </c>
      <c r="AM453" s="9">
        <v>302</v>
      </c>
      <c r="AN453" s="9" t="str">
        <f>IFERROR(MID(VLOOKUP($B453,Seqs!$A:$B,2,0),AO453,1),"")</f>
        <v>S</v>
      </c>
      <c r="AO453" s="9">
        <v>304</v>
      </c>
      <c r="AP453" s="9" t="str">
        <f>IFERROR(MID(VLOOKUP($B453,Seqs!$A:$B,2,0),AQ453,1),"")</f>
        <v>L</v>
      </c>
      <c r="AQ453" s="9">
        <v>329</v>
      </c>
      <c r="AR453" s="9" t="str">
        <f>IFERROR(MID(VLOOKUP($B453,Seqs!$A:$B,2,0),AS453,1),"")</f>
        <v>E</v>
      </c>
      <c r="AS453" s="9">
        <v>338</v>
      </c>
      <c r="AT453" s="9" t="str">
        <f>IFERROR(MID(VLOOKUP($B453,Seqs!$A:$B,2,0),AU453,1),"")</f>
        <v>L</v>
      </c>
      <c r="AU453" s="9">
        <v>366</v>
      </c>
      <c r="AV453" s="9" t="str">
        <f>IFERROR(MID(VLOOKUP($B453,Seqs!$A:$B,2,0),AW453,1),"")</f>
        <v>N</v>
      </c>
      <c r="AW453" s="9">
        <v>367</v>
      </c>
      <c r="AX453" s="9" t="str">
        <f>IFERROR(MID(VLOOKUP($B453,Seqs!$A:$B,2,0),AY453,1),"")</f>
        <v>S</v>
      </c>
      <c r="AY453" s="9">
        <v>386</v>
      </c>
      <c r="AZ453" s="110" t="str">
        <f>VLOOKUP(B453,Classification!A:D,2,0)</f>
        <v>B1</v>
      </c>
      <c r="BA453" s="98" t="str">
        <f>VLOOKUP(B453,Classification!A:D,4,0)</f>
        <v>Corticotropin-releasingfact</v>
      </c>
      <c r="BB453" s="36" t="b">
        <f t="shared" ref="BB453" si="4471">AND(E453&lt;G453,OR(G453&lt;I453,I453="-"),OR(I453&lt;K453,I453="-"),OR(K453&lt;M453,K453="-"),M453&lt;O453,OR(O453&lt;Q453,Q453="-"),OR(Q453&lt;S453,Q453="-"),OR(S453&lt;U453,S453="-"),U453&lt;W453,OR(W453&lt;Y453,Y453="-"),OR(Y453&lt;AA453,Y453="-"),OR(AA453&lt;AC453,AA453="-"),AC453&lt;AE453,OR(AE453&lt;AG453,AG453="-"),OR(AG453&lt;AI453,AG453="-"),OR(AI453&lt;AK453,AI453="-"),AK453&lt;AM453,AM453&lt;AO453,AO453&lt;AQ453,AQ453&lt;AS453,AS453&lt;AU453,OR(AU453&lt;AW453,AW453="-"),OR(AW453&lt;AY453,AW453="-"))</f>
        <v>1</v>
      </c>
      <c r="BC453" s="109">
        <f t="shared" ref="BC453" si="4472">_xlfn.AGGREGATE(9,6,CH453:CS453)-_xlfn.AGGREGATE(9,6,BV453:CG453)+12</f>
        <v>239</v>
      </c>
      <c r="BD453" s="127" t="s">
        <v>23</v>
      </c>
      <c r="BE453" s="9" t="s">
        <v>1285</v>
      </c>
      <c r="BF453" s="119">
        <v>2.91</v>
      </c>
      <c r="BG453" s="51" t="s">
        <v>1416</v>
      </c>
      <c r="BH453" s="51" t="s">
        <v>1416</v>
      </c>
      <c r="BI453" s="9"/>
      <c r="BJ453" s="111" t="s">
        <v>1281</v>
      </c>
      <c r="BK453" s="112" t="s">
        <v>1281</v>
      </c>
      <c r="BL453" s="112" t="s">
        <v>1281</v>
      </c>
      <c r="BM453" s="112" t="s">
        <v>1281</v>
      </c>
      <c r="BN453" s="112" t="s">
        <v>1281</v>
      </c>
      <c r="BO453" s="112" t="s">
        <v>1281</v>
      </c>
      <c r="BP453" s="112" t="s">
        <v>1281</v>
      </c>
      <c r="BQ453" s="112" t="s">
        <v>1281</v>
      </c>
      <c r="BR453" s="112" t="s">
        <v>1281</v>
      </c>
      <c r="BS453" s="112" t="s">
        <v>1281</v>
      </c>
      <c r="BT453" s="112" t="s">
        <v>1281</v>
      </c>
      <c r="BU453" s="112" t="s">
        <v>1281</v>
      </c>
      <c r="BV453" s="111">
        <f t="shared" ref="BV453" si="4473">E453</f>
        <v>114</v>
      </c>
      <c r="BW453" s="113">
        <f t="shared" ref="BW453" si="4474">I453</f>
        <v>145</v>
      </c>
      <c r="BX453" s="114">
        <f t="shared" ref="BX453" si="4475">M453</f>
        <v>149</v>
      </c>
      <c r="BY453" s="113" t="str">
        <f t="shared" ref="BY453" si="4476">Q453</f>
        <v>-</v>
      </c>
      <c r="BZ453" s="114">
        <f t="shared" ref="BZ453" si="4477">U453</f>
        <v>185</v>
      </c>
      <c r="CA453" s="113" t="str">
        <f t="shared" ref="CA453" si="4478">Y453</f>
        <v>-</v>
      </c>
      <c r="CB453" s="114">
        <f t="shared" ref="CB453" si="4479">AC453</f>
        <v>227</v>
      </c>
      <c r="CC453" s="113">
        <f t="shared" ref="CC453" si="4480">AG453</f>
        <v>258</v>
      </c>
      <c r="CD453" s="114">
        <f t="shared" ref="CD453" si="4481">AK453</f>
        <v>268</v>
      </c>
      <c r="CE453" s="113">
        <f t="shared" ref="CE453" si="4482">AO453</f>
        <v>304</v>
      </c>
      <c r="CF453" s="114">
        <f t="shared" ref="CF453" si="4483">AS453</f>
        <v>338</v>
      </c>
      <c r="CG453" s="113">
        <f t="shared" ref="CG453" si="4484">AW453</f>
        <v>367</v>
      </c>
      <c r="CH453" s="111">
        <f t="shared" ref="CH453" si="4485">G453</f>
        <v>144</v>
      </c>
      <c r="CI453" s="113">
        <f t="shared" ref="CI453" si="4486">K453</f>
        <v>148</v>
      </c>
      <c r="CJ453" s="114">
        <f t="shared" ref="CJ453" si="4487">O453</f>
        <v>175</v>
      </c>
      <c r="CK453" s="114" t="str">
        <f t="shared" ref="CK453" si="4488">S453</f>
        <v>-</v>
      </c>
      <c r="CL453" s="114">
        <f t="shared" ref="CL453" si="4489">W453</f>
        <v>219</v>
      </c>
      <c r="CM453" s="114" t="str">
        <f t="shared" ref="CM453" si="4490">AA453</f>
        <v>-</v>
      </c>
      <c r="CN453" s="114">
        <f t="shared" ref="CN453" si="4491">AE453</f>
        <v>253</v>
      </c>
      <c r="CO453" s="114">
        <f t="shared" ref="CO453" si="4492">AI453</f>
        <v>260</v>
      </c>
      <c r="CP453" s="114">
        <f t="shared" ref="CP453" si="4493">AM453</f>
        <v>302</v>
      </c>
      <c r="CQ453" s="114">
        <f t="shared" ref="CQ453" si="4494">AQ453</f>
        <v>329</v>
      </c>
      <c r="CR453" s="114">
        <f t="shared" ref="CR453" si="4495">AU453</f>
        <v>366</v>
      </c>
      <c r="CS453" s="114">
        <f t="shared" ref="CS453" si="4496">AY453</f>
        <v>386</v>
      </c>
      <c r="CT453" s="109">
        <f t="shared" ref="CT453" si="4497">M453-K453</f>
        <v>1</v>
      </c>
    </row>
    <row r="454" spans="1:1029" x14ac:dyDescent="0.2">
      <c r="A454" s="3" t="str">
        <f t="shared" ref="A454:A455" si="4498">CONCATENATE(B454,"_",C454)</f>
        <v>crfr2_human__wt</v>
      </c>
      <c r="B454" s="3" t="s">
        <v>402</v>
      </c>
      <c r="C454" s="3" t="s">
        <v>100</v>
      </c>
      <c r="D454" s="3" t="str">
        <f>IFERROR(MID(VLOOKUP($B454,Seqs!$A:$B,2,0),E454,1),"")</f>
        <v>P</v>
      </c>
      <c r="E454" s="3">
        <v>100</v>
      </c>
      <c r="F454" s="3" t="str">
        <f>IFERROR(MID(VLOOKUP($B454,Seqs!$A:$B,2,0),G454,1),"")</f>
        <v>L</v>
      </c>
      <c r="G454" s="3">
        <v>141</v>
      </c>
      <c r="H454" s="3" t="str">
        <f>IFERROR(MID(VLOOKUP($B454,Seqs!$A:$B,2,0),I454,1),"")</f>
        <v>R</v>
      </c>
      <c r="I454" s="23">
        <v>142</v>
      </c>
      <c r="J454" s="3" t="str">
        <f>IFERROR(MID(VLOOKUP($B454,Seqs!$A:$B,2,0),K454,1),"")</f>
        <v>R</v>
      </c>
      <c r="K454" s="23">
        <v>145</v>
      </c>
      <c r="L454" s="3" t="str">
        <f>IFERROR(MID(VLOOKUP($B454,Seqs!$A:$B,2,0),M454,1),"")</f>
        <v>C</v>
      </c>
      <c r="M454" s="23">
        <v>146</v>
      </c>
      <c r="N454" s="3" t="str">
        <f>IFERROR(MID(VLOOKUP($B454,Seqs!$A:$B,2,0),O454,1),"")</f>
        <v>V</v>
      </c>
      <c r="O454" s="3">
        <v>172</v>
      </c>
      <c r="P454" s="3" t="str">
        <f>IFERROR(MID(VLOOKUP($B454,Seqs!$A:$B,2,0),Q454,1),"")</f>
        <v/>
      </c>
      <c r="Q454" s="3" t="s">
        <v>23</v>
      </c>
      <c r="R454" s="3" t="str">
        <f>IFERROR(MID(VLOOKUP($B454,Seqs!$A:$B,2,0),S454,1),"")</f>
        <v/>
      </c>
      <c r="S454" s="3" t="s">
        <v>23</v>
      </c>
      <c r="T454" s="3" t="str">
        <f>IFERROR(MID(VLOOKUP($B454,Seqs!$A:$B,2,0),U454,1),"")</f>
        <v>E</v>
      </c>
      <c r="U454" s="3">
        <v>181</v>
      </c>
      <c r="V454" s="3" t="str">
        <f>IFERROR(MID(VLOOKUP($B454,Seqs!$A:$B,2,0),W454,1),"")</f>
        <v>M</v>
      </c>
      <c r="W454" s="3">
        <v>215</v>
      </c>
      <c r="X454" s="3" t="str">
        <f>IFERROR(MID(VLOOKUP($B454,Seqs!$A:$B,2,0),Y454,1),"")</f>
        <v/>
      </c>
      <c r="Y454" s="3" t="s">
        <v>23</v>
      </c>
      <c r="Z454" s="3" t="str">
        <f>IFERROR(MID(VLOOKUP($B454,Seqs!$A:$B,2,0),AA454,1),"")</f>
        <v/>
      </c>
      <c r="AA454" s="3" t="s">
        <v>23</v>
      </c>
      <c r="AB454" s="3" t="str">
        <f>IFERROR(MID(VLOOKUP($B454,Seqs!$A:$B,2,0),AC454,1),"")</f>
        <v>R</v>
      </c>
      <c r="AC454" s="3">
        <v>223</v>
      </c>
      <c r="AD454" s="3" t="str">
        <f>IFERROR(MID(VLOOKUP($B454,Seqs!$A:$B,2,0),AE454,1),"")</f>
        <v>E</v>
      </c>
      <c r="AE454" s="3">
        <v>250</v>
      </c>
      <c r="AF454" s="3" t="str">
        <f>IFERROR(MID(VLOOKUP($B454,Seqs!$A:$B,2,0),AG454,1),"")</f>
        <v>C</v>
      </c>
      <c r="AG454" s="3">
        <v>254</v>
      </c>
      <c r="AH454" s="3" t="str">
        <f>IFERROR(MID(VLOOKUP($B454,Seqs!$A:$B,2,0),AI454,1),"")</f>
        <v>F</v>
      </c>
      <c r="AI454" s="3">
        <v>256</v>
      </c>
      <c r="AJ454" s="3" t="str">
        <f>IFERROR(MID(VLOOKUP($B454,Seqs!$A:$B,2,0),AK454,1),"")</f>
        <v>V</v>
      </c>
      <c r="AK454" s="3">
        <v>264</v>
      </c>
      <c r="AL454" s="3" t="str">
        <f>IFERROR(MID(VLOOKUP($B454,Seqs!$A:$B,2,0),AM454,1),"")</f>
        <v>A</v>
      </c>
      <c r="AM454" s="3">
        <v>296</v>
      </c>
      <c r="AN454" s="3" t="str">
        <f>IFERROR(MID(VLOOKUP($B454,Seqs!$A:$B,2,0),AO454,1),"")</f>
        <v>S</v>
      </c>
      <c r="AO454" s="3">
        <v>300</v>
      </c>
      <c r="AP454" s="3" t="str">
        <f>IFERROR(MID(VLOOKUP($B454,Seqs!$A:$B,2,0),AQ454,1),"")</f>
        <v>V</v>
      </c>
      <c r="AQ454" s="3">
        <v>328</v>
      </c>
      <c r="AR454" s="3" t="str">
        <f>IFERROR(MID(VLOOKUP($B454,Seqs!$A:$B,2,0),AS454,1),"")</f>
        <v>D</v>
      </c>
      <c r="AS454" s="3">
        <v>334</v>
      </c>
      <c r="AT454" s="3" t="str">
        <f>IFERROR(MID(VLOOKUP($B454,Seqs!$A:$B,2,0),AU454,1),"")</f>
        <v>F</v>
      </c>
      <c r="AU454" s="3">
        <v>362</v>
      </c>
      <c r="AV454" s="3" t="str">
        <f>IFERROR(MID(VLOOKUP($B454,Seqs!$A:$B,2,0),AW454,1),"")</f>
        <v>N</v>
      </c>
      <c r="AW454" s="3">
        <v>363</v>
      </c>
      <c r="AX454" s="3" t="str">
        <f>IFERROR(MID(VLOOKUP($B454,Seqs!$A:$B,2,0),AY454,1),"")</f>
        <v>A</v>
      </c>
      <c r="AY454" s="3">
        <v>388</v>
      </c>
      <c r="AZ454" s="77" t="str">
        <f>VLOOKUP(B454,Classification!A:D,2,0)</f>
        <v>B1</v>
      </c>
      <c r="BA454" s="94" t="str">
        <f>VLOOKUP(B454,Classification!A:D,4,0)</f>
        <v>Corticotropin-releasingfact</v>
      </c>
      <c r="BB454" s="27" t="b">
        <f t="shared" ref="BB454:BB455" si="4499">AND(E454&lt;G454,OR(G454&lt;I454,I454="-"),OR(I454&lt;K454,I454="-"),OR(K454&lt;M454,K454="-"),M454&lt;O454,OR(O454&lt;Q454,Q454="-"),OR(Q454&lt;S454,Q454="-"),OR(S454&lt;U454,S454="-"),U454&lt;W454,OR(W454&lt;Y454,Y454="-"),OR(Y454&lt;AA454,Y454="-"),OR(AA454&lt;AC454,AA454="-"),AC454&lt;AE454,OR(AE454&lt;AG454,AG454="-"),OR(AG454&lt;AI454,AG454="-"),OR(AI454&lt;AK454,AI454="-"),AK454&lt;AM454,AM454&lt;AO454,AO454&lt;AQ454,AQ454&lt;AS454,AS454&lt;AU454,OR(AU454&lt;AW454,AW454="-"),OR(AW454&lt;AY454,AW454="-"))</f>
        <v>1</v>
      </c>
      <c r="BC454" s="23">
        <f t="shared" ref="BC454:BC455" si="4500">_xlfn.AGGREGATE(9,6,CH454:CS454)-_xlfn.AGGREGATE(9,6,BV454:CG454)+12</f>
        <v>258</v>
      </c>
      <c r="BD454" s="56" t="s">
        <v>23</v>
      </c>
      <c r="BE454" s="3" t="s">
        <v>23</v>
      </c>
      <c r="BF454" s="118" t="s">
        <v>23</v>
      </c>
      <c r="BG454" s="49" t="s">
        <v>1371</v>
      </c>
      <c r="BH454" s="49" t="s">
        <v>1371</v>
      </c>
      <c r="BJ454" s="70" t="s">
        <v>1281</v>
      </c>
      <c r="BK454" s="57" t="s">
        <v>1281</v>
      </c>
      <c r="BL454" s="57" t="s">
        <v>1281</v>
      </c>
      <c r="BM454" s="57" t="s">
        <v>1281</v>
      </c>
      <c r="BN454" s="57" t="s">
        <v>1281</v>
      </c>
      <c r="BO454" s="57" t="s">
        <v>1281</v>
      </c>
      <c r="BP454" s="57" t="s">
        <v>1281</v>
      </c>
      <c r="BQ454" s="57" t="s">
        <v>1281</v>
      </c>
      <c r="BR454" s="57" t="s">
        <v>1281</v>
      </c>
      <c r="BS454" s="57" t="s">
        <v>1281</v>
      </c>
      <c r="BT454" s="57" t="s">
        <v>1281</v>
      </c>
      <c r="BU454" s="57" t="s">
        <v>1281</v>
      </c>
      <c r="BV454" s="70">
        <f t="shared" ref="BV454:BV455" si="4501">E454</f>
        <v>100</v>
      </c>
      <c r="BW454" s="71">
        <f t="shared" ref="BW454:BW455" si="4502">I454</f>
        <v>142</v>
      </c>
      <c r="BX454" s="72">
        <f t="shared" ref="BX454:BX455" si="4503">M454</f>
        <v>146</v>
      </c>
      <c r="BY454" s="71" t="str">
        <f t="shared" ref="BY454:BY455" si="4504">Q454</f>
        <v>-</v>
      </c>
      <c r="BZ454" s="72">
        <f t="shared" ref="BZ454:BZ455" si="4505">U454</f>
        <v>181</v>
      </c>
      <c r="CA454" s="71" t="str">
        <f t="shared" ref="CA454:CA455" si="4506">Y454</f>
        <v>-</v>
      </c>
      <c r="CB454" s="72">
        <f t="shared" ref="CB454:CB455" si="4507">AC454</f>
        <v>223</v>
      </c>
      <c r="CC454" s="71">
        <f t="shared" ref="CC454:CC455" si="4508">AG454</f>
        <v>254</v>
      </c>
      <c r="CD454" s="72">
        <f t="shared" ref="CD454:CD455" si="4509">AK454</f>
        <v>264</v>
      </c>
      <c r="CE454" s="71">
        <f t="shared" ref="CE454:CE455" si="4510">AO454</f>
        <v>300</v>
      </c>
      <c r="CF454" s="72">
        <f t="shared" ref="CF454:CF455" si="4511">AS454</f>
        <v>334</v>
      </c>
      <c r="CG454" s="71">
        <f t="shared" ref="CG454:CG455" si="4512">AW454</f>
        <v>363</v>
      </c>
      <c r="CH454" s="70">
        <f t="shared" ref="CH454:CH455" si="4513">G454</f>
        <v>141</v>
      </c>
      <c r="CI454" s="71">
        <f t="shared" ref="CI454:CI455" si="4514">K454</f>
        <v>145</v>
      </c>
      <c r="CJ454" s="72">
        <f t="shared" ref="CJ454:CJ455" si="4515">O454</f>
        <v>172</v>
      </c>
      <c r="CK454" s="72" t="str">
        <f t="shared" ref="CK454:CK455" si="4516">S454</f>
        <v>-</v>
      </c>
      <c r="CL454" s="72">
        <f t="shared" ref="CL454:CL455" si="4517">W454</f>
        <v>215</v>
      </c>
      <c r="CM454" s="72" t="str">
        <f t="shared" ref="CM454:CM455" si="4518">AA454</f>
        <v>-</v>
      </c>
      <c r="CN454" s="72">
        <f t="shared" ref="CN454:CN455" si="4519">AE454</f>
        <v>250</v>
      </c>
      <c r="CO454" s="72">
        <f t="shared" ref="CO454:CO455" si="4520">AI454</f>
        <v>256</v>
      </c>
      <c r="CP454" s="72">
        <f t="shared" ref="CP454:CP455" si="4521">AM454</f>
        <v>296</v>
      </c>
      <c r="CQ454" s="72">
        <f t="shared" ref="CQ454:CQ455" si="4522">AQ454</f>
        <v>328</v>
      </c>
      <c r="CR454" s="72">
        <f t="shared" ref="CR454:CR455" si="4523">AU454</f>
        <v>362</v>
      </c>
      <c r="CS454" s="72">
        <f t="shared" ref="CS454:CS455" si="4524">AY454</f>
        <v>388</v>
      </c>
      <c r="CT454" s="23">
        <f t="shared" ref="CT454:CT455" si="4525">M454-K454</f>
        <v>1</v>
      </c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  <c r="AMK454" s="1"/>
      <c r="AML454" s="1"/>
      <c r="AMM454" s="1"/>
      <c r="AMN454" s="1"/>
      <c r="AMO454" s="1"/>
    </row>
    <row r="455" spans="1:1029" x14ac:dyDescent="0.2">
      <c r="A455" s="3" t="str">
        <f t="shared" si="4498"/>
        <v>crfr2_human_6PB1</v>
      </c>
      <c r="B455" s="3" t="s">
        <v>402</v>
      </c>
      <c r="C455" s="3" t="s">
        <v>1646</v>
      </c>
      <c r="D455" s="3" t="str">
        <f>IFERROR(MID(VLOOKUP($B455,Seqs!$A:$B,2,0),E455,1),"")</f>
        <v>L</v>
      </c>
      <c r="E455" s="3">
        <v>111</v>
      </c>
      <c r="F455" s="3" t="str">
        <f>IFERROR(MID(VLOOKUP($B455,Seqs!$A:$B,2,0),G455,1),"")</f>
        <v>L</v>
      </c>
      <c r="G455" s="3">
        <v>141</v>
      </c>
      <c r="H455" s="3" t="str">
        <f>IFERROR(MID(VLOOKUP($B455,Seqs!$A:$B,2,0),I455,1),"")</f>
        <v>R</v>
      </c>
      <c r="I455" s="23">
        <v>142</v>
      </c>
      <c r="J455" s="3" t="str">
        <f>IFERROR(MID(VLOOKUP($B455,Seqs!$A:$B,2,0),K455,1),"")</f>
        <v>R</v>
      </c>
      <c r="K455" s="23">
        <v>145</v>
      </c>
      <c r="L455" s="3" t="str">
        <f>IFERROR(MID(VLOOKUP($B455,Seqs!$A:$B,2,0),M455,1),"")</f>
        <v>C</v>
      </c>
      <c r="M455" s="23">
        <v>146</v>
      </c>
      <c r="N455" s="3" t="str">
        <f>IFERROR(MID(VLOOKUP($B455,Seqs!$A:$B,2,0),O455,1),"")</f>
        <v>Q</v>
      </c>
      <c r="O455" s="3">
        <v>170</v>
      </c>
      <c r="P455" s="3" t="str">
        <f>IFERROR(MID(VLOOKUP($B455,Seqs!$A:$B,2,0),Q455,1),"")</f>
        <v/>
      </c>
      <c r="Q455" s="3" t="s">
        <v>23</v>
      </c>
      <c r="R455" s="3" t="str">
        <f>IFERROR(MID(VLOOKUP($B455,Seqs!$A:$B,2,0),S455,1),"")</f>
        <v/>
      </c>
      <c r="S455" s="3" t="s">
        <v>23</v>
      </c>
      <c r="T455" s="3" t="str">
        <f>IFERROR(MID(VLOOKUP($B455,Seqs!$A:$B,2,0),U455,1),"")</f>
        <v>V</v>
      </c>
      <c r="U455" s="3">
        <v>182</v>
      </c>
      <c r="V455" s="3" t="str">
        <f>IFERROR(MID(VLOOKUP($B455,Seqs!$A:$B,2,0),W455,1),"")</f>
        <v>M</v>
      </c>
      <c r="W455" s="3">
        <v>215</v>
      </c>
      <c r="X455" s="3" t="str">
        <f>IFERROR(MID(VLOOKUP($B455,Seqs!$A:$B,2,0),Y455,1),"")</f>
        <v/>
      </c>
      <c r="Y455" s="3" t="s">
        <v>23</v>
      </c>
      <c r="Z455" s="3" t="str">
        <f>IFERROR(MID(VLOOKUP($B455,Seqs!$A:$B,2,0),AA455,1),"")</f>
        <v/>
      </c>
      <c r="AA455" s="3" t="s">
        <v>23</v>
      </c>
      <c r="AB455" s="3" t="str">
        <f>IFERROR(MID(VLOOKUP($B455,Seqs!$A:$B,2,0),AC455,1),"")</f>
        <v>R</v>
      </c>
      <c r="AC455" s="3">
        <v>223</v>
      </c>
      <c r="AD455" s="3" t="str">
        <f>IFERROR(MID(VLOOKUP($B455,Seqs!$A:$B,2,0),AE455,1),"")</f>
        <v>E</v>
      </c>
      <c r="AE455" s="3">
        <v>250</v>
      </c>
      <c r="AF455" s="3" t="str">
        <f>IFERROR(MID(VLOOKUP($B455,Seqs!$A:$B,2,0),AG455,1),"")</f>
        <v>C</v>
      </c>
      <c r="AG455" s="3">
        <v>254</v>
      </c>
      <c r="AH455" s="3" t="str">
        <f>IFERROR(MID(VLOOKUP($B455,Seqs!$A:$B,2,0),AI455,1),"")</f>
        <v>F</v>
      </c>
      <c r="AI455" s="3">
        <v>256</v>
      </c>
      <c r="AJ455" s="3" t="str">
        <f>IFERROR(MID(VLOOKUP($B455,Seqs!$A:$B,2,0),AK455,1),"")</f>
        <v>V</v>
      </c>
      <c r="AK455" s="3">
        <v>264</v>
      </c>
      <c r="AL455" s="3" t="str">
        <f>IFERROR(MID(VLOOKUP($B455,Seqs!$A:$B,2,0),AM455,1),"")</f>
        <v>A</v>
      </c>
      <c r="AM455" s="3">
        <v>296</v>
      </c>
      <c r="AN455" s="3" t="str">
        <f>IFERROR(MID(VLOOKUP($B455,Seqs!$A:$B,2,0),AO455,1),"")</f>
        <v>S</v>
      </c>
      <c r="AO455" s="3">
        <v>300</v>
      </c>
      <c r="AP455" s="3" t="str">
        <f>IFERROR(MID(VLOOKUP($B455,Seqs!$A:$B,2,0),AQ455,1),"")</f>
        <v>L</v>
      </c>
      <c r="AQ455" s="3">
        <v>325</v>
      </c>
      <c r="AR455" s="3" t="str">
        <f>IFERROR(MID(VLOOKUP($B455,Seqs!$A:$B,2,0),AS455,1),"")</f>
        <v>D</v>
      </c>
      <c r="AS455" s="3">
        <v>334</v>
      </c>
      <c r="AT455" s="3" t="str">
        <f>IFERROR(MID(VLOOKUP($B455,Seqs!$A:$B,2,0),AU455,1),"")</f>
        <v>F</v>
      </c>
      <c r="AU455" s="3">
        <v>362</v>
      </c>
      <c r="AV455" s="3" t="str">
        <f>IFERROR(MID(VLOOKUP($B455,Seqs!$A:$B,2,0),AW455,1),"")</f>
        <v>N</v>
      </c>
      <c r="AW455" s="3">
        <v>363</v>
      </c>
      <c r="AX455" s="3" t="str">
        <f>IFERROR(MID(VLOOKUP($B455,Seqs!$A:$B,2,0),AY455,1),"")</f>
        <v>S</v>
      </c>
      <c r="AY455" s="3">
        <v>382</v>
      </c>
      <c r="AZ455" s="77" t="str">
        <f>VLOOKUP(B455,Classification!A:D,2,0)</f>
        <v>B1</v>
      </c>
      <c r="BA455" s="94" t="str">
        <f>VLOOKUP(B455,Classification!A:D,4,0)</f>
        <v>Corticotropin-releasingfact</v>
      </c>
      <c r="BB455" s="27" t="b">
        <f t="shared" si="4499"/>
        <v>1</v>
      </c>
      <c r="BC455" s="23">
        <f t="shared" si="4500"/>
        <v>235</v>
      </c>
      <c r="BD455" s="56" t="s">
        <v>1369</v>
      </c>
      <c r="BE455" s="3" t="s">
        <v>1285</v>
      </c>
      <c r="BF455" s="118">
        <v>2.8</v>
      </c>
      <c r="BG455" s="49" t="s">
        <v>1647</v>
      </c>
      <c r="BH455" s="49" t="s">
        <v>1647</v>
      </c>
      <c r="BJ455" s="70" t="s">
        <v>1281</v>
      </c>
      <c r="BK455" s="57" t="s">
        <v>1281</v>
      </c>
      <c r="BL455" s="57" t="s">
        <v>1281</v>
      </c>
      <c r="BM455" s="57" t="s">
        <v>1281</v>
      </c>
      <c r="BN455" s="57" t="s">
        <v>1281</v>
      </c>
      <c r="BO455" s="57" t="s">
        <v>1281</v>
      </c>
      <c r="BP455" s="57" t="s">
        <v>1281</v>
      </c>
      <c r="BQ455" s="57" t="s">
        <v>1281</v>
      </c>
      <c r="BR455" s="57" t="s">
        <v>1281</v>
      </c>
      <c r="BS455" s="57" t="s">
        <v>1281</v>
      </c>
      <c r="BT455" s="57" t="s">
        <v>1281</v>
      </c>
      <c r="BU455" s="57" t="s">
        <v>1281</v>
      </c>
      <c r="BV455" s="70">
        <f t="shared" si="4501"/>
        <v>111</v>
      </c>
      <c r="BW455" s="71">
        <f t="shared" si="4502"/>
        <v>142</v>
      </c>
      <c r="BX455" s="72">
        <f t="shared" si="4503"/>
        <v>146</v>
      </c>
      <c r="BY455" s="71" t="str">
        <f t="shared" si="4504"/>
        <v>-</v>
      </c>
      <c r="BZ455" s="72">
        <f t="shared" si="4505"/>
        <v>182</v>
      </c>
      <c r="CA455" s="71" t="str">
        <f t="shared" si="4506"/>
        <v>-</v>
      </c>
      <c r="CB455" s="72">
        <f t="shared" si="4507"/>
        <v>223</v>
      </c>
      <c r="CC455" s="71">
        <f t="shared" si="4508"/>
        <v>254</v>
      </c>
      <c r="CD455" s="72">
        <f t="shared" si="4509"/>
        <v>264</v>
      </c>
      <c r="CE455" s="71">
        <f t="shared" si="4510"/>
        <v>300</v>
      </c>
      <c r="CF455" s="72">
        <f t="shared" si="4511"/>
        <v>334</v>
      </c>
      <c r="CG455" s="71">
        <f t="shared" si="4512"/>
        <v>363</v>
      </c>
      <c r="CH455" s="70">
        <f t="shared" si="4513"/>
        <v>141</v>
      </c>
      <c r="CI455" s="71">
        <f t="shared" si="4514"/>
        <v>145</v>
      </c>
      <c r="CJ455" s="72">
        <f t="shared" si="4515"/>
        <v>170</v>
      </c>
      <c r="CK455" s="72" t="str">
        <f t="shared" si="4516"/>
        <v>-</v>
      </c>
      <c r="CL455" s="72">
        <f t="shared" si="4517"/>
        <v>215</v>
      </c>
      <c r="CM455" s="72" t="str">
        <f t="shared" si="4518"/>
        <v>-</v>
      </c>
      <c r="CN455" s="72">
        <f t="shared" si="4519"/>
        <v>250</v>
      </c>
      <c r="CO455" s="72">
        <f t="shared" si="4520"/>
        <v>256</v>
      </c>
      <c r="CP455" s="72">
        <f t="shared" si="4521"/>
        <v>296</v>
      </c>
      <c r="CQ455" s="72">
        <f t="shared" si="4522"/>
        <v>325</v>
      </c>
      <c r="CR455" s="72">
        <f t="shared" si="4523"/>
        <v>362</v>
      </c>
      <c r="CS455" s="72">
        <f t="shared" si="4524"/>
        <v>382</v>
      </c>
      <c r="CT455" s="23">
        <f t="shared" si="4525"/>
        <v>1</v>
      </c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  <c r="AMK455" s="1"/>
      <c r="AML455" s="1"/>
      <c r="AMM455" s="1"/>
      <c r="AMN455" s="1"/>
      <c r="AMO455" s="1"/>
    </row>
    <row r="456" spans="1:1029" x14ac:dyDescent="0.2">
      <c r="A456" s="3" t="str">
        <f t="shared" si="3240"/>
        <v>glr_human__wt</v>
      </c>
      <c r="B456" s="3" t="s">
        <v>32</v>
      </c>
      <c r="C456" s="3" t="s">
        <v>100</v>
      </c>
      <c r="D456" s="3" t="str">
        <f>IFERROR(MID(VLOOKUP($B456,Seqs!$A:$B,2,0),E456,1),"")</f>
        <v>Q</v>
      </c>
      <c r="E456" s="105">
        <v>131</v>
      </c>
      <c r="F456" s="3" t="str">
        <f>IFERROR(MID(VLOOKUP($B456,Seqs!$A:$B,2,0),G456,1),"")</f>
        <v>L</v>
      </c>
      <c r="G456" s="3">
        <v>166</v>
      </c>
      <c r="H456" s="3" t="str">
        <f>IFERROR(MID(VLOOKUP($B456,Seqs!$A:$B,2,0),I456,1),"")</f>
        <v>S</v>
      </c>
      <c r="I456" s="23">
        <v>167</v>
      </c>
      <c r="J456" s="3" t="str">
        <f>IFERROR(MID(VLOOKUP($B456,Seqs!$A:$B,2,0),K456,1),"")</f>
        <v>H</v>
      </c>
      <c r="K456" s="23">
        <v>170</v>
      </c>
      <c r="L456" s="3" t="str">
        <f>IFERROR(MID(VLOOKUP($B456,Seqs!$A:$B,2,0),M456,1),"")</f>
        <v>C</v>
      </c>
      <c r="M456" s="23">
        <v>171</v>
      </c>
      <c r="N456" s="3" t="str">
        <f>IFERROR(MID(VLOOKUP($B456,Seqs!$A:$B,2,0),O456,1),"")</f>
        <v>S</v>
      </c>
      <c r="O456" s="105">
        <v>203</v>
      </c>
      <c r="P456" s="3" t="str">
        <f>IFERROR(MID(VLOOKUP($B456,Seqs!$A:$B,2,0),Q456,1),"")</f>
        <v/>
      </c>
      <c r="Q456" s="3" t="s">
        <v>23</v>
      </c>
      <c r="R456" s="3" t="str">
        <f>IFERROR(MID(VLOOKUP($B456,Seqs!$A:$B,2,0),S456,1),"")</f>
        <v/>
      </c>
      <c r="S456" s="3" t="s">
        <v>23</v>
      </c>
      <c r="T456" s="3" t="str">
        <f>IFERROR(MID(VLOOKUP($B456,Seqs!$A:$B,2,0),U456,1),"")</f>
        <v>A</v>
      </c>
      <c r="U456" s="3">
        <v>220</v>
      </c>
      <c r="V456" s="3" t="str">
        <f>IFERROR(MID(VLOOKUP($B456,Seqs!$A:$B,2,0),W456,1),"")</f>
        <v>L</v>
      </c>
      <c r="W456" s="3">
        <v>255</v>
      </c>
      <c r="X456" s="3" t="str">
        <f>IFERROR(MID(VLOOKUP($B456,Seqs!$A:$B,2,0),Y456,1),"")</f>
        <v/>
      </c>
      <c r="Y456" s="3" t="s">
        <v>23</v>
      </c>
      <c r="Z456" s="3" t="str">
        <f>IFERROR(MID(VLOOKUP($B456,Seqs!$A:$B,2,0),AA456,1),"")</f>
        <v/>
      </c>
      <c r="AA456" s="3" t="s">
        <v>23</v>
      </c>
      <c r="AB456" s="3" t="str">
        <f>IFERROR(MID(VLOOKUP($B456,Seqs!$A:$B,2,0),AC456,1),"")</f>
        <v>S</v>
      </c>
      <c r="AC456" s="9">
        <v>262</v>
      </c>
      <c r="AD456" s="3" t="str">
        <f>IFERROR(MID(VLOOKUP($B456,Seqs!$A:$B,2,0),AE456,1),"")</f>
        <v>E</v>
      </c>
      <c r="AE456" s="3">
        <v>290</v>
      </c>
      <c r="AF456" s="3" t="str">
        <f>IFERROR(MID(VLOOKUP($B456,Seqs!$A:$B,2,0),AG456,1),"")</f>
        <v>C</v>
      </c>
      <c r="AG456" s="3">
        <v>294</v>
      </c>
      <c r="AH456" s="3" t="str">
        <f>IFERROR(MID(VLOOKUP($B456,Seqs!$A:$B,2,0),AI456,1),"")</f>
        <v>T</v>
      </c>
      <c r="AI456" s="3">
        <v>296</v>
      </c>
      <c r="AJ456" s="3" t="str">
        <f>IFERROR(MID(VLOOKUP($B456,Seqs!$A:$B,2,0),AK456,1),"")</f>
        <v>W</v>
      </c>
      <c r="AK456" s="105">
        <v>304</v>
      </c>
      <c r="AL456" s="3" t="str">
        <f>IFERROR(MID(VLOOKUP($B456,Seqs!$A:$B,2,0),AM456,1),"")</f>
        <v>A</v>
      </c>
      <c r="AM456" s="3">
        <v>335</v>
      </c>
      <c r="AN456" s="3" t="str">
        <f>IFERROR(MID(VLOOKUP($B456,Seqs!$A:$B,2,0),AO456,1),"")</f>
        <v>D</v>
      </c>
      <c r="AO456" s="3">
        <v>342</v>
      </c>
      <c r="AP456" s="3" t="str">
        <f>IFERROR(MID(VLOOKUP($B456,Seqs!$A:$B,2,0),AQ456,1),"")</f>
        <v>F</v>
      </c>
      <c r="AQ456" s="3">
        <v>367</v>
      </c>
      <c r="AR456" s="3" t="str">
        <f>IFERROR(MID(VLOOKUP($B456,Seqs!$A:$B,2,0),AS456,1),"")</f>
        <v>Q</v>
      </c>
      <c r="AS456" s="3">
        <v>374</v>
      </c>
      <c r="AT456" s="3" t="str">
        <f>IFERROR(MID(VLOOKUP($B456,Seqs!$A:$B,2,0),AU456,1),"")</f>
        <v>L</v>
      </c>
      <c r="AU456" s="3">
        <v>403</v>
      </c>
      <c r="AV456" s="3" t="str">
        <f>IFERROR(MID(VLOOKUP($B456,Seqs!$A:$B,2,0),AW456,1),"")</f>
        <v>N</v>
      </c>
      <c r="AW456" s="3">
        <v>404</v>
      </c>
      <c r="AX456" s="3" t="str">
        <f>IFERROR(MID(VLOOKUP($B456,Seqs!$A:$B,2,0),AY456,1),"")</f>
        <v>N</v>
      </c>
      <c r="AY456" s="3">
        <v>429</v>
      </c>
      <c r="AZ456" s="77" t="str">
        <f>VLOOKUP(B456,Classification!A:D,2,0)</f>
        <v>B1</v>
      </c>
      <c r="BA456" s="94" t="str">
        <f>VLOOKUP(B456,Classification!A:D,4,0)</f>
        <v>Glucagonreceptorfamily</v>
      </c>
      <c r="BB456" s="27" t="b">
        <f t="shared" si="3241"/>
        <v>1</v>
      </c>
      <c r="BC456" s="23">
        <f t="shared" si="4416"/>
        <v>257</v>
      </c>
      <c r="BD456" s="56" t="s">
        <v>23</v>
      </c>
      <c r="BE456" s="3" t="s">
        <v>23</v>
      </c>
      <c r="BF456" s="118" t="s">
        <v>23</v>
      </c>
      <c r="BG456" s="49" t="s">
        <v>1366</v>
      </c>
      <c r="BH456" s="49" t="s">
        <v>1371</v>
      </c>
      <c r="BI456" s="1"/>
      <c r="BJ456" s="70" t="s">
        <v>1281</v>
      </c>
      <c r="BK456" s="57" t="s">
        <v>1281</v>
      </c>
      <c r="BL456" s="57" t="s">
        <v>1281</v>
      </c>
      <c r="BM456" s="57" t="s">
        <v>1281</v>
      </c>
      <c r="BN456" s="57" t="s">
        <v>1281</v>
      </c>
      <c r="BO456" s="57" t="s">
        <v>1281</v>
      </c>
      <c r="BP456" s="57" t="s">
        <v>1281</v>
      </c>
      <c r="BQ456" s="57" t="s">
        <v>1281</v>
      </c>
      <c r="BR456" s="57" t="s">
        <v>1281</v>
      </c>
      <c r="BS456" s="57" t="s">
        <v>1281</v>
      </c>
      <c r="BT456" s="57" t="s">
        <v>1281</v>
      </c>
      <c r="BU456" s="57" t="s">
        <v>1281</v>
      </c>
      <c r="BV456" s="70">
        <f t="shared" si="4417"/>
        <v>131</v>
      </c>
      <c r="BW456" s="71">
        <f t="shared" si="4418"/>
        <v>167</v>
      </c>
      <c r="BX456" s="72">
        <f t="shared" si="4419"/>
        <v>171</v>
      </c>
      <c r="BY456" s="71" t="str">
        <f t="shared" si="4420"/>
        <v>-</v>
      </c>
      <c r="BZ456" s="72">
        <f t="shared" si="4421"/>
        <v>220</v>
      </c>
      <c r="CA456" s="71" t="str">
        <f t="shared" si="4422"/>
        <v>-</v>
      </c>
      <c r="CB456" s="72">
        <f t="shared" si="4423"/>
        <v>262</v>
      </c>
      <c r="CC456" s="71">
        <f t="shared" si="4424"/>
        <v>294</v>
      </c>
      <c r="CD456" s="72">
        <f t="shared" si="4425"/>
        <v>304</v>
      </c>
      <c r="CE456" s="71">
        <f t="shared" si="4426"/>
        <v>342</v>
      </c>
      <c r="CF456" s="72">
        <f t="shared" si="4427"/>
        <v>374</v>
      </c>
      <c r="CG456" s="71">
        <f t="shared" si="4428"/>
        <v>404</v>
      </c>
      <c r="CH456" s="70">
        <f t="shared" si="4429"/>
        <v>166</v>
      </c>
      <c r="CI456" s="71">
        <f t="shared" si="4430"/>
        <v>170</v>
      </c>
      <c r="CJ456" s="72">
        <f t="shared" si="4431"/>
        <v>203</v>
      </c>
      <c r="CK456" s="72" t="str">
        <f t="shared" si="4432"/>
        <v>-</v>
      </c>
      <c r="CL456" s="72">
        <f t="shared" si="4433"/>
        <v>255</v>
      </c>
      <c r="CM456" s="72" t="str">
        <f t="shared" si="4434"/>
        <v>-</v>
      </c>
      <c r="CN456" s="72">
        <f t="shared" si="4435"/>
        <v>290</v>
      </c>
      <c r="CO456" s="72">
        <f t="shared" si="4436"/>
        <v>296</v>
      </c>
      <c r="CP456" s="72">
        <f t="shared" si="4437"/>
        <v>335</v>
      </c>
      <c r="CQ456" s="72">
        <f t="shared" si="4438"/>
        <v>367</v>
      </c>
      <c r="CR456" s="72">
        <f t="shared" si="4439"/>
        <v>403</v>
      </c>
      <c r="CS456" s="72">
        <f t="shared" si="4440"/>
        <v>429</v>
      </c>
      <c r="CT456" s="23">
        <f t="shared" si="4441"/>
        <v>1</v>
      </c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  <c r="AMK456" s="1"/>
      <c r="AML456" s="1"/>
      <c r="AMM456" s="1"/>
      <c r="AMN456" s="1"/>
      <c r="AMO456" s="1"/>
    </row>
    <row r="457" spans="1:1029" x14ac:dyDescent="0.2">
      <c r="A457" s="3" t="str">
        <f t="shared" si="3240"/>
        <v>glr_human_4L6R</v>
      </c>
      <c r="B457" s="3" t="s">
        <v>32</v>
      </c>
      <c r="C457" s="3" t="s">
        <v>51</v>
      </c>
      <c r="D457" s="3" t="str">
        <f>IFERROR(MID(VLOOKUP($B457,Seqs!$A:$B,2,0),E457,1),"")</f>
        <v>G</v>
      </c>
      <c r="E457" s="3">
        <v>125</v>
      </c>
      <c r="F457" s="3" t="str">
        <f>IFERROR(MID(VLOOKUP($B457,Seqs!$A:$B,2,0),G457,1),"")</f>
        <v>G</v>
      </c>
      <c r="G457" s="3">
        <v>164</v>
      </c>
      <c r="H457" s="3" t="str">
        <f>IFERROR(MID(VLOOKUP($B457,Seqs!$A:$B,2,0),I457,1),"")</f>
        <v>S</v>
      </c>
      <c r="I457" s="23">
        <v>167</v>
      </c>
      <c r="J457" s="3" t="str">
        <f>IFERROR(MID(VLOOKUP($B457,Seqs!$A:$B,2,0),K457,1),"")</f>
        <v>H</v>
      </c>
      <c r="K457" s="23">
        <v>170</v>
      </c>
      <c r="L457" s="3" t="str">
        <f>IFERROR(MID(VLOOKUP($B457,Seqs!$A:$B,2,0),M457,1),"")</f>
        <v>C</v>
      </c>
      <c r="M457" s="23">
        <v>171</v>
      </c>
      <c r="N457" s="3" t="str">
        <f>IFERROR(MID(VLOOKUP($B457,Seqs!$A:$B,2,0),O457,1),"")</f>
        <v>R</v>
      </c>
      <c r="O457" s="3">
        <v>199</v>
      </c>
      <c r="P457" s="3" t="str">
        <f>IFERROR(MID(VLOOKUP($B457,Seqs!$A:$B,2,0),Q457,1),"")</f>
        <v/>
      </c>
      <c r="Q457" s="3" t="s">
        <v>23</v>
      </c>
      <c r="R457" s="3" t="str">
        <f>IFERROR(MID(VLOOKUP($B457,Seqs!$A:$B,2,0),S457,1),"")</f>
        <v/>
      </c>
      <c r="S457" s="3" t="s">
        <v>23</v>
      </c>
      <c r="T457" s="3" t="str">
        <f>IFERROR(MID(VLOOKUP($B457,Seqs!$A:$B,2,0),U457,1),"")</f>
        <v>S</v>
      </c>
      <c r="U457" s="3">
        <v>217</v>
      </c>
      <c r="V457" s="3" t="str">
        <f>IFERROR(MID(VLOOKUP($B457,Seqs!$A:$B,2,0),W457,1),"")</f>
        <v>L</v>
      </c>
      <c r="W457" s="3">
        <v>255</v>
      </c>
      <c r="X457" s="3" t="str">
        <f>IFERROR(MID(VLOOKUP($B457,Seqs!$A:$B,2,0),Y457,1),"")</f>
        <v/>
      </c>
      <c r="Y457" s="3" t="s">
        <v>23</v>
      </c>
      <c r="Z457" s="3" t="str">
        <f>IFERROR(MID(VLOOKUP($B457,Seqs!$A:$B,2,0),AA457,1),"")</f>
        <v/>
      </c>
      <c r="AA457" s="3" t="s">
        <v>23</v>
      </c>
      <c r="AB457" s="3" t="str">
        <f>IFERROR(MID(VLOOKUP($B457,Seqs!$A:$B,2,0),AC457,1),"")</f>
        <v>A</v>
      </c>
      <c r="AC457" s="9">
        <v>274</v>
      </c>
      <c r="AD457" s="3" t="str">
        <f>IFERROR(MID(VLOOKUP($B457,Seqs!$A:$B,2,0),AE457,1),"")</f>
        <v>E</v>
      </c>
      <c r="AE457" s="3">
        <v>290</v>
      </c>
      <c r="AF457" s="3" t="str">
        <f>IFERROR(MID(VLOOKUP($B457,Seqs!$A:$B,2,0),AG457,1),"")</f>
        <v>C</v>
      </c>
      <c r="AG457" s="3">
        <v>294</v>
      </c>
      <c r="AH457" s="3" t="str">
        <f>IFERROR(MID(VLOOKUP($B457,Seqs!$A:$B,2,0),AI457,1),"")</f>
        <v>T</v>
      </c>
      <c r="AI457" s="3">
        <v>296</v>
      </c>
      <c r="AJ457" s="3" t="str">
        <f>IFERROR(MID(VLOOKUP($B457,Seqs!$A:$B,2,0),AK457,1),"")</f>
        <v>N</v>
      </c>
      <c r="AK457" s="3">
        <v>300</v>
      </c>
      <c r="AL457" s="3" t="str">
        <f>IFERROR(MID(VLOOKUP($B457,Seqs!$A:$B,2,0),AM457,1),"")</f>
        <v>A</v>
      </c>
      <c r="AM457" s="3">
        <v>335</v>
      </c>
      <c r="AN457" s="3" t="str">
        <f>IFERROR(MID(VLOOKUP($B457,Seqs!$A:$B,2,0),AO457,1),"")</f>
        <v>D</v>
      </c>
      <c r="AO457" s="3">
        <v>342</v>
      </c>
      <c r="AP457" s="3" t="str">
        <f>IFERROR(MID(VLOOKUP($B457,Seqs!$A:$B,2,0),AQ457,1),"")</f>
        <v>F</v>
      </c>
      <c r="AQ457" s="3">
        <v>367</v>
      </c>
      <c r="AR457" s="3" t="str">
        <f>IFERROR(MID(VLOOKUP($B457,Seqs!$A:$B,2,0),AS457,1),"")</f>
        <v>Q</v>
      </c>
      <c r="AS457" s="3">
        <v>374</v>
      </c>
      <c r="AT457" s="3" t="str">
        <f>IFERROR(MID(VLOOKUP($B457,Seqs!$A:$B,2,0),AU457,1),"")</f>
        <v>L</v>
      </c>
      <c r="AU457" s="3">
        <v>403</v>
      </c>
      <c r="AV457" s="3" t="str">
        <f>IFERROR(MID(VLOOKUP($B457,Seqs!$A:$B,2,0),AW457,1),"")</f>
        <v>N</v>
      </c>
      <c r="AW457" s="3">
        <v>404</v>
      </c>
      <c r="AX457" s="3" t="str">
        <f>IFERROR(MID(VLOOKUP($B457,Seqs!$A:$B,2,0),AY457,1),"")</f>
        <v>N</v>
      </c>
      <c r="AY457" s="3">
        <v>429</v>
      </c>
      <c r="AZ457" s="77" t="str">
        <f>VLOOKUP(B457,Classification!A:D,2,0)</f>
        <v>B1</v>
      </c>
      <c r="BA457" s="94" t="str">
        <f>VLOOKUP(B457,Classification!A:D,4,0)</f>
        <v>Glucagonreceptorfamily</v>
      </c>
      <c r="BB457" s="27" t="b">
        <f t="shared" si="3241"/>
        <v>1</v>
      </c>
      <c r="BC457" s="23">
        <f t="shared" si="4416"/>
        <v>252</v>
      </c>
      <c r="BD457" s="2" t="s">
        <v>23</v>
      </c>
      <c r="BE457" s="3" t="s">
        <v>1368</v>
      </c>
      <c r="BF457" s="118">
        <v>3.3</v>
      </c>
      <c r="BG457" s="49" t="s">
        <v>1371</v>
      </c>
      <c r="BH457" s="49" t="s">
        <v>1371</v>
      </c>
      <c r="BI457" s="1"/>
      <c r="BJ457" s="70" t="s">
        <v>1281</v>
      </c>
      <c r="BK457" s="57" t="s">
        <v>1281</v>
      </c>
      <c r="BL457" s="57" t="s">
        <v>1281</v>
      </c>
      <c r="BM457" s="57" t="s">
        <v>1281</v>
      </c>
      <c r="BN457" s="57" t="s">
        <v>1281</v>
      </c>
      <c r="BO457" s="57" t="s">
        <v>1281</v>
      </c>
      <c r="BP457" s="57" t="s">
        <v>1281</v>
      </c>
      <c r="BQ457" s="57" t="s">
        <v>1281</v>
      </c>
      <c r="BR457" s="57" t="s">
        <v>1281</v>
      </c>
      <c r="BS457" s="57" t="s">
        <v>1281</v>
      </c>
      <c r="BT457" s="57" t="s">
        <v>1281</v>
      </c>
      <c r="BU457" s="57" t="s">
        <v>1281</v>
      </c>
      <c r="BV457" s="70">
        <f t="shared" si="4417"/>
        <v>125</v>
      </c>
      <c r="BW457" s="71">
        <f t="shared" si="4418"/>
        <v>167</v>
      </c>
      <c r="BX457" s="72">
        <f t="shared" si="4419"/>
        <v>171</v>
      </c>
      <c r="BY457" s="71" t="str">
        <f t="shared" si="4420"/>
        <v>-</v>
      </c>
      <c r="BZ457" s="72">
        <f t="shared" si="4421"/>
        <v>217</v>
      </c>
      <c r="CA457" s="71" t="str">
        <f t="shared" si="4422"/>
        <v>-</v>
      </c>
      <c r="CB457" s="72">
        <f t="shared" si="4423"/>
        <v>274</v>
      </c>
      <c r="CC457" s="71">
        <f t="shared" si="4424"/>
        <v>294</v>
      </c>
      <c r="CD457" s="72">
        <f t="shared" si="4425"/>
        <v>300</v>
      </c>
      <c r="CE457" s="71">
        <f t="shared" si="4426"/>
        <v>342</v>
      </c>
      <c r="CF457" s="72">
        <f t="shared" si="4427"/>
        <v>374</v>
      </c>
      <c r="CG457" s="71">
        <f t="shared" si="4428"/>
        <v>404</v>
      </c>
      <c r="CH457" s="70">
        <f t="shared" si="4429"/>
        <v>164</v>
      </c>
      <c r="CI457" s="71">
        <f t="shared" si="4430"/>
        <v>170</v>
      </c>
      <c r="CJ457" s="72">
        <f t="shared" si="4431"/>
        <v>199</v>
      </c>
      <c r="CK457" s="72" t="str">
        <f t="shared" si="4432"/>
        <v>-</v>
      </c>
      <c r="CL457" s="72">
        <f t="shared" si="4433"/>
        <v>255</v>
      </c>
      <c r="CM457" s="72" t="str">
        <f t="shared" si="4434"/>
        <v>-</v>
      </c>
      <c r="CN457" s="72">
        <f t="shared" si="4435"/>
        <v>290</v>
      </c>
      <c r="CO457" s="72">
        <f t="shared" si="4436"/>
        <v>296</v>
      </c>
      <c r="CP457" s="72">
        <f t="shared" si="4437"/>
        <v>335</v>
      </c>
      <c r="CQ457" s="72">
        <f t="shared" si="4438"/>
        <v>367</v>
      </c>
      <c r="CR457" s="72">
        <f t="shared" si="4439"/>
        <v>403</v>
      </c>
      <c r="CS457" s="72">
        <f t="shared" si="4440"/>
        <v>429</v>
      </c>
      <c r="CT457" s="23">
        <f t="shared" si="4441"/>
        <v>1</v>
      </c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  <c r="AMK457" s="1"/>
      <c r="AML457" s="1"/>
      <c r="AMM457" s="1"/>
      <c r="AMN457" s="1"/>
      <c r="AMO457" s="1"/>
    </row>
    <row r="458" spans="1:1029" x14ac:dyDescent="0.2">
      <c r="A458" s="3" t="str">
        <f t="shared" si="3240"/>
        <v>glr_human_4L6R_dist</v>
      </c>
      <c r="B458" s="3" t="s">
        <v>32</v>
      </c>
      <c r="C458" s="3" t="s">
        <v>1270</v>
      </c>
      <c r="D458" s="3" t="str">
        <f>IFERROR(MID(VLOOKUP($B458,Seqs!$A:$B,2,0),E458,1),"")</f>
        <v>G</v>
      </c>
      <c r="E458" s="3">
        <v>125</v>
      </c>
      <c r="F458" s="3" t="str">
        <f>IFERROR(MID(VLOOKUP($B458,Seqs!$A:$B,2,0),G458,1),"")</f>
        <v>G</v>
      </c>
      <c r="G458" s="3">
        <v>164</v>
      </c>
      <c r="H458" s="3" t="str">
        <f>IFERROR(MID(VLOOKUP($B458,Seqs!$A:$B,2,0),I458,1),"")</f>
        <v>S</v>
      </c>
      <c r="I458" s="23">
        <v>167</v>
      </c>
      <c r="J458" s="3" t="str">
        <f>IFERROR(MID(VLOOKUP($B458,Seqs!$A:$B,2,0),K458,1),"")</f>
        <v>H</v>
      </c>
      <c r="K458" s="23">
        <v>170</v>
      </c>
      <c r="L458" s="3" t="str">
        <f>IFERROR(MID(VLOOKUP($B458,Seqs!$A:$B,2,0),M458,1),"")</f>
        <v>C</v>
      </c>
      <c r="M458" s="23">
        <v>171</v>
      </c>
      <c r="N458" s="3" t="str">
        <f>IFERROR(MID(VLOOKUP($B458,Seqs!$A:$B,2,0),O458,1),"")</f>
        <v>R</v>
      </c>
      <c r="O458" s="3">
        <v>199</v>
      </c>
      <c r="P458" s="3" t="str">
        <f>IFERROR(MID(VLOOKUP($B458,Seqs!$A:$B,2,0),Q458,1),"")</f>
        <v/>
      </c>
      <c r="Q458" s="3" t="s">
        <v>23</v>
      </c>
      <c r="R458" s="3" t="str">
        <f>IFERROR(MID(VLOOKUP($B458,Seqs!$A:$B,2,0),S458,1),"")</f>
        <v/>
      </c>
      <c r="S458" s="3" t="s">
        <v>23</v>
      </c>
      <c r="T458" s="3" t="str">
        <f>IFERROR(MID(VLOOKUP($B458,Seqs!$A:$B,2,0),U458,1),"")</f>
        <v>S</v>
      </c>
      <c r="U458" s="3">
        <v>217</v>
      </c>
      <c r="V458" s="3" t="str">
        <f>IFERROR(MID(VLOOKUP($B458,Seqs!$A:$B,2,0),W458,1),"")</f>
        <v>L</v>
      </c>
      <c r="W458" s="3">
        <v>255</v>
      </c>
      <c r="X458" s="3" t="str">
        <f>IFERROR(MID(VLOOKUP($B458,Seqs!$A:$B,2,0),Y458,1),"")</f>
        <v/>
      </c>
      <c r="Y458" s="3" t="s">
        <v>23</v>
      </c>
      <c r="Z458" s="3" t="str">
        <f>IFERROR(MID(VLOOKUP($B458,Seqs!$A:$B,2,0),AA458,1),"")</f>
        <v/>
      </c>
      <c r="AA458" s="3" t="s">
        <v>23</v>
      </c>
      <c r="AB458" s="3" t="str">
        <f>IFERROR(MID(VLOOKUP($B458,Seqs!$A:$B,2,0),AC458,1),"")</f>
        <v>S</v>
      </c>
      <c r="AC458" s="9">
        <v>262</v>
      </c>
      <c r="AD458" s="3" t="str">
        <f>IFERROR(MID(VLOOKUP($B458,Seqs!$A:$B,2,0),AE458,1),"")</f>
        <v>E</v>
      </c>
      <c r="AE458" s="3">
        <v>290</v>
      </c>
      <c r="AF458" s="3" t="str">
        <f>IFERROR(MID(VLOOKUP($B458,Seqs!$A:$B,2,0),AG458,1),"")</f>
        <v>C</v>
      </c>
      <c r="AG458" s="3">
        <v>294</v>
      </c>
      <c r="AH458" s="3" t="str">
        <f>IFERROR(MID(VLOOKUP($B458,Seqs!$A:$B,2,0),AI458,1),"")</f>
        <v>T</v>
      </c>
      <c r="AI458" s="3">
        <v>296</v>
      </c>
      <c r="AJ458" s="3" t="str">
        <f>IFERROR(MID(VLOOKUP($B458,Seqs!$A:$B,2,0),AK458,1),"")</f>
        <v>N</v>
      </c>
      <c r="AK458" s="3">
        <v>300</v>
      </c>
      <c r="AL458" s="3" t="str">
        <f>IFERROR(MID(VLOOKUP($B458,Seqs!$A:$B,2,0),AM458,1),"")</f>
        <v>A</v>
      </c>
      <c r="AM458" s="3">
        <v>335</v>
      </c>
      <c r="AN458" s="3" t="str">
        <f>IFERROR(MID(VLOOKUP($B458,Seqs!$A:$B,2,0),AO458,1),"")</f>
        <v>D</v>
      </c>
      <c r="AO458" s="3">
        <v>342</v>
      </c>
      <c r="AP458" s="3" t="str">
        <f>IFERROR(MID(VLOOKUP($B458,Seqs!$A:$B,2,0),AQ458,1),"")</f>
        <v>F</v>
      </c>
      <c r="AQ458" s="3">
        <v>367</v>
      </c>
      <c r="AR458" s="3" t="str">
        <f>IFERROR(MID(VLOOKUP($B458,Seqs!$A:$B,2,0),AS458,1),"")</f>
        <v>Q</v>
      </c>
      <c r="AS458" s="3">
        <v>374</v>
      </c>
      <c r="AT458" s="3" t="str">
        <f>IFERROR(MID(VLOOKUP($B458,Seqs!$A:$B,2,0),AU458,1),"")</f>
        <v>L</v>
      </c>
      <c r="AU458" s="3">
        <v>403</v>
      </c>
      <c r="AV458" s="3" t="str">
        <f>IFERROR(MID(VLOOKUP($B458,Seqs!$A:$B,2,0),AW458,1),"")</f>
        <v>N</v>
      </c>
      <c r="AW458" s="3">
        <v>404</v>
      </c>
      <c r="AX458" s="3" t="str">
        <f>IFERROR(MID(VLOOKUP($B458,Seqs!$A:$B,2,0),AY458,1),"")</f>
        <v>N</v>
      </c>
      <c r="AY458" s="3">
        <v>429</v>
      </c>
      <c r="AZ458" s="77" t="str">
        <f>VLOOKUP(B458,Classification!A:D,2,0)</f>
        <v>B1</v>
      </c>
      <c r="BA458" s="94" t="str">
        <f>VLOOKUP(B458,Classification!A:D,4,0)</f>
        <v>Glucagonreceptorfamily</v>
      </c>
      <c r="BB458" s="27" t="b">
        <f t="shared" si="3241"/>
        <v>1</v>
      </c>
      <c r="BC458" s="23">
        <f t="shared" si="4416"/>
        <v>264</v>
      </c>
      <c r="BD458" s="56" t="s">
        <v>23</v>
      </c>
      <c r="BE458" s="3" t="s">
        <v>1368</v>
      </c>
      <c r="BF458" s="118">
        <v>3.3</v>
      </c>
      <c r="BG458" s="49" t="s">
        <v>1371</v>
      </c>
      <c r="BH458" s="49" t="s">
        <v>1371</v>
      </c>
      <c r="BI458" s="1"/>
      <c r="BJ458" s="70" t="s">
        <v>1281</v>
      </c>
      <c r="BK458" s="57" t="s">
        <v>1281</v>
      </c>
      <c r="BL458" s="57" t="s">
        <v>1281</v>
      </c>
      <c r="BM458" s="57" t="s">
        <v>1281</v>
      </c>
      <c r="BN458" s="57" t="s">
        <v>1281</v>
      </c>
      <c r="BO458" s="57" t="s">
        <v>1281</v>
      </c>
      <c r="BP458" s="57" t="s">
        <v>1281</v>
      </c>
      <c r="BQ458" s="57" t="s">
        <v>1281</v>
      </c>
      <c r="BR458" s="57" t="s">
        <v>1281</v>
      </c>
      <c r="BS458" s="57" t="s">
        <v>1281</v>
      </c>
      <c r="BT458" s="57" t="s">
        <v>1281</v>
      </c>
      <c r="BU458" s="57" t="s">
        <v>1281</v>
      </c>
      <c r="BV458" s="70">
        <f t="shared" si="4417"/>
        <v>125</v>
      </c>
      <c r="BW458" s="71">
        <f t="shared" si="4418"/>
        <v>167</v>
      </c>
      <c r="BX458" s="72">
        <f t="shared" si="4419"/>
        <v>171</v>
      </c>
      <c r="BY458" s="71" t="str">
        <f t="shared" si="4420"/>
        <v>-</v>
      </c>
      <c r="BZ458" s="72">
        <f t="shared" si="4421"/>
        <v>217</v>
      </c>
      <c r="CA458" s="71" t="str">
        <f t="shared" si="4422"/>
        <v>-</v>
      </c>
      <c r="CB458" s="72">
        <f t="shared" si="4423"/>
        <v>262</v>
      </c>
      <c r="CC458" s="71">
        <f t="shared" si="4424"/>
        <v>294</v>
      </c>
      <c r="CD458" s="72">
        <f t="shared" si="4425"/>
        <v>300</v>
      </c>
      <c r="CE458" s="71">
        <f t="shared" si="4426"/>
        <v>342</v>
      </c>
      <c r="CF458" s="72">
        <f t="shared" si="4427"/>
        <v>374</v>
      </c>
      <c r="CG458" s="71">
        <f t="shared" si="4428"/>
        <v>404</v>
      </c>
      <c r="CH458" s="70">
        <f t="shared" si="4429"/>
        <v>164</v>
      </c>
      <c r="CI458" s="71">
        <f t="shared" si="4430"/>
        <v>170</v>
      </c>
      <c r="CJ458" s="72">
        <f t="shared" si="4431"/>
        <v>199</v>
      </c>
      <c r="CK458" s="72" t="str">
        <f t="shared" si="4432"/>
        <v>-</v>
      </c>
      <c r="CL458" s="72">
        <f t="shared" si="4433"/>
        <v>255</v>
      </c>
      <c r="CM458" s="72" t="str">
        <f t="shared" si="4434"/>
        <v>-</v>
      </c>
      <c r="CN458" s="72">
        <f t="shared" si="4435"/>
        <v>290</v>
      </c>
      <c r="CO458" s="72">
        <f t="shared" si="4436"/>
        <v>296</v>
      </c>
      <c r="CP458" s="72">
        <f t="shared" si="4437"/>
        <v>335</v>
      </c>
      <c r="CQ458" s="72">
        <f t="shared" si="4438"/>
        <v>367</v>
      </c>
      <c r="CR458" s="72">
        <f t="shared" si="4439"/>
        <v>403</v>
      </c>
      <c r="CS458" s="72">
        <f t="shared" si="4440"/>
        <v>429</v>
      </c>
      <c r="CT458" s="23">
        <f t="shared" si="4441"/>
        <v>1</v>
      </c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  <c r="AMK458" s="1"/>
      <c r="AML458" s="1"/>
      <c r="AMM458" s="1"/>
      <c r="AMN458" s="1"/>
      <c r="AMO458" s="1"/>
    </row>
    <row r="459" spans="1:1029" x14ac:dyDescent="0.2">
      <c r="A459" s="3" t="str">
        <f t="shared" ref="A459:A529" si="4526">CONCATENATE(B459,"_",C459)</f>
        <v>glr_human_5EE7</v>
      </c>
      <c r="B459" s="3" t="s">
        <v>32</v>
      </c>
      <c r="C459" s="3" t="s">
        <v>49</v>
      </c>
      <c r="D459" s="3" t="str">
        <f>IFERROR(MID(VLOOKUP($B459,Seqs!$A:$B,2,0),E459,1),"")</f>
        <v>Y</v>
      </c>
      <c r="E459" s="3">
        <v>138</v>
      </c>
      <c r="F459" s="3" t="str">
        <f>IFERROR(MID(VLOOKUP($B459,Seqs!$A:$B,2,0),G459,1),"")</f>
        <v>L</v>
      </c>
      <c r="G459" s="3">
        <v>166</v>
      </c>
      <c r="H459" s="3" t="str">
        <f>IFERROR(MID(VLOOKUP($B459,Seqs!$A:$B,2,0),I459,1),"")</f>
        <v>S</v>
      </c>
      <c r="I459" s="23">
        <v>167</v>
      </c>
      <c r="J459" s="3" t="str">
        <f>IFERROR(MID(VLOOKUP($B459,Seqs!$A:$B,2,0),K459,1),"")</f>
        <v>H</v>
      </c>
      <c r="K459" s="23">
        <v>170</v>
      </c>
      <c r="L459" s="3" t="str">
        <f>IFERROR(MID(VLOOKUP($B459,Seqs!$A:$B,2,0),M459,1),"")</f>
        <v>C</v>
      </c>
      <c r="M459" s="23">
        <v>171</v>
      </c>
      <c r="N459" s="3" t="str">
        <f>IFERROR(MID(VLOOKUP($B459,Seqs!$A:$B,2,0),O459,1),"")</f>
        <v>R</v>
      </c>
      <c r="O459" s="3">
        <v>199</v>
      </c>
      <c r="P459" s="3" t="str">
        <f>IFERROR(MID(VLOOKUP($B459,Seqs!$A:$B,2,0),Q459,1),"")</f>
        <v/>
      </c>
      <c r="Q459" s="3" t="s">
        <v>23</v>
      </c>
      <c r="R459" s="3" t="str">
        <f>IFERROR(MID(VLOOKUP($B459,Seqs!$A:$B,2,0),S459,1),"")</f>
        <v/>
      </c>
      <c r="S459" s="3" t="s">
        <v>23</v>
      </c>
      <c r="T459" s="3" t="str">
        <f>IFERROR(MID(VLOOKUP($B459,Seqs!$A:$B,2,0),U459,1),"")</f>
        <v>D</v>
      </c>
      <c r="U459" s="3">
        <v>218</v>
      </c>
      <c r="V459" s="3" t="str">
        <f>IFERROR(MID(VLOOKUP($B459,Seqs!$A:$B,2,0),W459,1),"")</f>
        <v>G</v>
      </c>
      <c r="W459" s="3">
        <v>254</v>
      </c>
      <c r="X459" s="3" t="str">
        <f>IFERROR(MID(VLOOKUP($B459,Seqs!$A:$B,2,0),Y459,1),"")</f>
        <v/>
      </c>
      <c r="Y459" s="3" t="s">
        <v>23</v>
      </c>
      <c r="Z459" s="3" t="str">
        <f>IFERROR(MID(VLOOKUP($B459,Seqs!$A:$B,2,0),AA459,1),"")</f>
        <v/>
      </c>
      <c r="AA459" s="3" t="s">
        <v>23</v>
      </c>
      <c r="AB459" s="3" t="str">
        <f>IFERROR(MID(VLOOKUP($B459,Seqs!$A:$B,2,0),AC459,1),"")</f>
        <v>S</v>
      </c>
      <c r="AC459" s="9">
        <v>262</v>
      </c>
      <c r="AD459" s="3" t="str">
        <f>IFERROR(MID(VLOOKUP($B459,Seqs!$A:$B,2,0),AE459,1),"")</f>
        <v>E</v>
      </c>
      <c r="AE459" s="3">
        <v>290</v>
      </c>
      <c r="AF459" s="3" t="str">
        <f>IFERROR(MID(VLOOKUP($B459,Seqs!$A:$B,2,0),AG459,1),"")</f>
        <v>C</v>
      </c>
      <c r="AG459" s="3">
        <v>294</v>
      </c>
      <c r="AH459" s="3" t="str">
        <f>IFERROR(MID(VLOOKUP($B459,Seqs!$A:$B,2,0),AI459,1),"")</f>
        <v>T</v>
      </c>
      <c r="AI459" s="3">
        <v>296</v>
      </c>
      <c r="AJ459" s="3" t="str">
        <f>IFERROR(MID(VLOOKUP($B459,Seqs!$A:$B,2,0),AK459,1),"")</f>
        <v>L</v>
      </c>
      <c r="AK459" s="105">
        <v>307</v>
      </c>
      <c r="AL459" s="3" t="str">
        <f>IFERROR(MID(VLOOKUP($B459,Seqs!$A:$B,2,0),AM459,1),"")</f>
        <v>A</v>
      </c>
      <c r="AM459" s="3">
        <v>335</v>
      </c>
      <c r="AN459" s="3" t="str">
        <f>IFERROR(MID(VLOOKUP($B459,Seqs!$A:$B,2,0),AO459,1),"")</f>
        <v>D</v>
      </c>
      <c r="AO459" s="3">
        <v>342</v>
      </c>
      <c r="AP459" s="3" t="str">
        <f>IFERROR(MID(VLOOKUP($B459,Seqs!$A:$B,2,0),AQ459,1),"")</f>
        <v>D</v>
      </c>
      <c r="AQ459" s="3">
        <v>370</v>
      </c>
      <c r="AR459" s="3" t="str">
        <f>IFERROR(MID(VLOOKUP($B459,Seqs!$A:$B,2,0),AS459,1),"")</f>
        <v>S</v>
      </c>
      <c r="AS459" s="3">
        <v>379</v>
      </c>
      <c r="AT459" s="3" t="str">
        <f>IFERROR(MID(VLOOKUP($B459,Seqs!$A:$B,2,0),AU459,1),"")</f>
        <v>F</v>
      </c>
      <c r="AU459" s="3">
        <v>402</v>
      </c>
      <c r="AV459" s="3" t="str">
        <f>IFERROR(MID(VLOOKUP($B459,Seqs!$A:$B,2,0),AW459,1),"")</f>
        <v>N</v>
      </c>
      <c r="AW459" s="3">
        <v>404</v>
      </c>
      <c r="AX459" s="3" t="str">
        <f>IFERROR(MID(VLOOKUP($B459,Seqs!$A:$B,2,0),AY459,1),"")</f>
        <v>R</v>
      </c>
      <c r="AY459" s="3">
        <v>417</v>
      </c>
      <c r="AZ459" s="77" t="str">
        <f>VLOOKUP(B459,Classification!A:D,2,0)</f>
        <v>B1</v>
      </c>
      <c r="BA459" s="94" t="str">
        <f>VLOOKUP(B459,Classification!A:D,4,0)</f>
        <v>Glucagonreceptorfamily</v>
      </c>
      <c r="BB459" s="27" t="b">
        <f t="shared" ref="BB459:BB529" si="4527">AND(E459&lt;G459,OR(G459&lt;I459,I459="-"),OR(I459&lt;K459,I459="-"),OR(K459&lt;M459,K459="-"),M459&lt;O459,OR(O459&lt;Q459,Q459="-"),OR(Q459&lt;S459,Q459="-"),OR(S459&lt;U459,S459="-"),U459&lt;W459,OR(W459&lt;Y459,Y459="-"),OR(Y459&lt;AA459,Y459="-"),OR(AA459&lt;AC459,AA459="-"),AC459&lt;AE459,OR(AE459&lt;AG459,AG459="-"),OR(AG459&lt;AI459,AG459="-"),OR(AI459&lt;AK459,AI459="-"),AK459&lt;AM459,AM459&lt;AO459,AO459&lt;AQ459,AQ459&lt;AS459,AS459&lt;AU459,OR(AU459&lt;AW459,AW459="-"),OR(AW459&lt;AY459,AW459="-"))</f>
        <v>1</v>
      </c>
      <c r="BC459" s="23">
        <f t="shared" si="4416"/>
        <v>229</v>
      </c>
      <c r="BD459" s="4" t="s">
        <v>23</v>
      </c>
      <c r="BE459" s="3" t="s">
        <v>1368</v>
      </c>
      <c r="BF459" s="118">
        <v>2.5</v>
      </c>
      <c r="BG459" s="49" t="s">
        <v>1371</v>
      </c>
      <c r="BH459" s="49" t="s">
        <v>1371</v>
      </c>
      <c r="BI459" s="1"/>
      <c r="BJ459" s="70" t="s">
        <v>1281</v>
      </c>
      <c r="BK459" s="57" t="s">
        <v>1281</v>
      </c>
      <c r="BL459" s="57" t="s">
        <v>1281</v>
      </c>
      <c r="BM459" s="57" t="s">
        <v>1281</v>
      </c>
      <c r="BN459" s="57" t="s">
        <v>1281</v>
      </c>
      <c r="BO459" s="57" t="s">
        <v>1281</v>
      </c>
      <c r="BP459" s="57" t="s">
        <v>1281</v>
      </c>
      <c r="BQ459" s="57" t="s">
        <v>1281</v>
      </c>
      <c r="BR459" s="57" t="s">
        <v>1281</v>
      </c>
      <c r="BS459" s="57" t="s">
        <v>1281</v>
      </c>
      <c r="BT459" s="57" t="s">
        <v>1281</v>
      </c>
      <c r="BU459" s="57" t="s">
        <v>1281</v>
      </c>
      <c r="BV459" s="70">
        <f t="shared" si="4417"/>
        <v>138</v>
      </c>
      <c r="BW459" s="71">
        <f t="shared" si="4418"/>
        <v>167</v>
      </c>
      <c r="BX459" s="72">
        <f t="shared" si="4419"/>
        <v>171</v>
      </c>
      <c r="BY459" s="71" t="str">
        <f t="shared" si="4420"/>
        <v>-</v>
      </c>
      <c r="BZ459" s="72">
        <f t="shared" si="4421"/>
        <v>218</v>
      </c>
      <c r="CA459" s="71" t="str">
        <f t="shared" si="4422"/>
        <v>-</v>
      </c>
      <c r="CB459" s="72">
        <f t="shared" si="4423"/>
        <v>262</v>
      </c>
      <c r="CC459" s="71">
        <f t="shared" si="4424"/>
        <v>294</v>
      </c>
      <c r="CD459" s="72">
        <f t="shared" si="4425"/>
        <v>307</v>
      </c>
      <c r="CE459" s="71">
        <f t="shared" si="4426"/>
        <v>342</v>
      </c>
      <c r="CF459" s="72">
        <f t="shared" si="4427"/>
        <v>379</v>
      </c>
      <c r="CG459" s="71">
        <f t="shared" si="4428"/>
        <v>404</v>
      </c>
      <c r="CH459" s="70">
        <f t="shared" si="4429"/>
        <v>166</v>
      </c>
      <c r="CI459" s="71">
        <f t="shared" si="4430"/>
        <v>170</v>
      </c>
      <c r="CJ459" s="72">
        <f t="shared" si="4431"/>
        <v>199</v>
      </c>
      <c r="CK459" s="72" t="str">
        <f t="shared" si="4432"/>
        <v>-</v>
      </c>
      <c r="CL459" s="72">
        <f t="shared" si="4433"/>
        <v>254</v>
      </c>
      <c r="CM459" s="72" t="str">
        <f t="shared" si="4434"/>
        <v>-</v>
      </c>
      <c r="CN459" s="72">
        <f t="shared" si="4435"/>
        <v>290</v>
      </c>
      <c r="CO459" s="72">
        <f t="shared" si="4436"/>
        <v>296</v>
      </c>
      <c r="CP459" s="72">
        <f t="shared" si="4437"/>
        <v>335</v>
      </c>
      <c r="CQ459" s="72">
        <f t="shared" si="4438"/>
        <v>370</v>
      </c>
      <c r="CR459" s="72">
        <f t="shared" si="4439"/>
        <v>402</v>
      </c>
      <c r="CS459" s="72">
        <f t="shared" si="4440"/>
        <v>417</v>
      </c>
      <c r="CT459" s="23">
        <f t="shared" si="4441"/>
        <v>1</v>
      </c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  <c r="AMK459" s="1"/>
      <c r="AML459" s="1"/>
      <c r="AMM459" s="1"/>
      <c r="AMN459" s="1"/>
      <c r="AMO459" s="1"/>
    </row>
    <row r="460" spans="1:1029" x14ac:dyDescent="0.2">
      <c r="A460" s="3" t="str">
        <f t="shared" ref="A460:A483" si="4528">CONCATENATE(B460,"_",C460)</f>
        <v>glr_human_5XEZ</v>
      </c>
      <c r="B460" s="3" t="s">
        <v>32</v>
      </c>
      <c r="C460" s="3" t="s">
        <v>1403</v>
      </c>
      <c r="D460" s="3" t="str">
        <f>IFERROR(MID(VLOOKUP($B460,Seqs!$A:$B,2,0),E460,1),"")</f>
        <v>Q</v>
      </c>
      <c r="E460" s="3">
        <v>131</v>
      </c>
      <c r="F460" s="3" t="str">
        <f>IFERROR(MID(VLOOKUP($B460,Seqs!$A:$B,2,0),G460,1),"")</f>
        <v>G</v>
      </c>
      <c r="G460" s="3">
        <v>164</v>
      </c>
      <c r="H460" s="3" t="str">
        <f>IFERROR(MID(VLOOKUP($B460,Seqs!$A:$B,2,0),I460,1),"")</f>
        <v>S</v>
      </c>
      <c r="I460" s="23">
        <v>167</v>
      </c>
      <c r="J460" s="3" t="str">
        <f>IFERROR(MID(VLOOKUP($B460,Seqs!$A:$B,2,0),K460,1),"")</f>
        <v>H</v>
      </c>
      <c r="K460" s="23">
        <v>170</v>
      </c>
      <c r="L460" s="3" t="str">
        <f>IFERROR(MID(VLOOKUP($B460,Seqs!$A:$B,2,0),M460,1),"")</f>
        <v>C</v>
      </c>
      <c r="M460" s="23">
        <v>171</v>
      </c>
      <c r="N460" s="3" t="str">
        <f>IFERROR(MID(VLOOKUP($B460,Seqs!$A:$B,2,0),O460,1),"")</f>
        <v>R</v>
      </c>
      <c r="O460" s="3">
        <v>201</v>
      </c>
      <c r="P460" s="3" t="str">
        <f>IFERROR(MID(VLOOKUP($B460,Seqs!$A:$B,2,0),Q460,1),"")</f>
        <v/>
      </c>
      <c r="Q460" s="3" t="s">
        <v>23</v>
      </c>
      <c r="R460" s="3" t="str">
        <f>IFERROR(MID(VLOOKUP($B460,Seqs!$A:$B,2,0),S460,1),"")</f>
        <v/>
      </c>
      <c r="S460" s="3" t="s">
        <v>23</v>
      </c>
      <c r="T460" s="3" t="str">
        <f>IFERROR(MID(VLOOKUP($B460,Seqs!$A:$B,2,0),U460,1),"")</f>
        <v>S</v>
      </c>
      <c r="U460" s="3">
        <v>217</v>
      </c>
      <c r="V460" s="3" t="str">
        <f>IFERROR(MID(VLOOKUP($B460,Seqs!$A:$B,2,0),W460,1),"")</f>
        <v>L</v>
      </c>
      <c r="W460" s="3">
        <v>255</v>
      </c>
      <c r="X460" s="3" t="str">
        <f>IFERROR(MID(VLOOKUP($B460,Seqs!$A:$B,2,0),Y460,1),"")</f>
        <v/>
      </c>
      <c r="Y460" s="3" t="s">
        <v>23</v>
      </c>
      <c r="Z460" s="3" t="str">
        <f>IFERROR(MID(VLOOKUP($B460,Seqs!$A:$B,2,0),AA460,1),"")</f>
        <v/>
      </c>
      <c r="AA460" s="3" t="s">
        <v>23</v>
      </c>
      <c r="AB460" s="3" t="str">
        <f>IFERROR(MID(VLOOKUP($B460,Seqs!$A:$B,2,0),AC460,1),"")</f>
        <v>E</v>
      </c>
      <c r="AC460" s="3">
        <v>260</v>
      </c>
      <c r="AD460" s="3" t="str">
        <f>IFERROR(MID(VLOOKUP($B460,Seqs!$A:$B,2,0),AE460,1),"")</f>
        <v>E</v>
      </c>
      <c r="AE460" s="3">
        <v>290</v>
      </c>
      <c r="AF460" s="3" t="str">
        <f>IFERROR(MID(VLOOKUP($B460,Seqs!$A:$B,2,0),AG460,1),"")</f>
        <v>C</v>
      </c>
      <c r="AG460" s="3">
        <v>294</v>
      </c>
      <c r="AH460" s="3" t="str">
        <f>IFERROR(MID(VLOOKUP($B460,Seqs!$A:$B,2,0),AI460,1),"")</f>
        <v>T</v>
      </c>
      <c r="AI460" s="3">
        <v>296</v>
      </c>
      <c r="AJ460" s="3" t="str">
        <f>IFERROR(MID(VLOOKUP($B460,Seqs!$A:$B,2,0),AK460,1),"")</f>
        <v>D</v>
      </c>
      <c r="AK460" s="3">
        <v>299</v>
      </c>
      <c r="AL460" s="3" t="str">
        <f>IFERROR(MID(VLOOKUP($B460,Seqs!$A:$B,2,0),AM460,1),"")</f>
        <v>R</v>
      </c>
      <c r="AM460" s="3">
        <v>334</v>
      </c>
      <c r="AN460" s="3" t="str">
        <f>IFERROR(MID(VLOOKUP($B460,Seqs!$A:$B,2,0),AO460,1),"")</f>
        <v>D</v>
      </c>
      <c r="AO460" s="3">
        <v>342</v>
      </c>
      <c r="AP460" s="3" t="str">
        <f>IFERROR(MID(VLOOKUP($B460,Seqs!$A:$B,2,0),AQ460,1),"")</f>
        <v>F</v>
      </c>
      <c r="AQ460" s="3">
        <v>367</v>
      </c>
      <c r="AR460" s="3" t="str">
        <f>IFERROR(MID(VLOOKUP($B460,Seqs!$A:$B,2,0),AS460,1),"")</f>
        <v>G</v>
      </c>
      <c r="AS460" s="3">
        <v>375</v>
      </c>
      <c r="AT460" s="3" t="str">
        <f>IFERROR(MID(VLOOKUP($B460,Seqs!$A:$B,2,0),AU460,1),"")</f>
        <v>L</v>
      </c>
      <c r="AU460" s="3">
        <v>403</v>
      </c>
      <c r="AV460" s="3" t="str">
        <f>IFERROR(MID(VLOOKUP($B460,Seqs!$A:$B,2,0),AW460,1),"")</f>
        <v>N</v>
      </c>
      <c r="AW460" s="3">
        <v>404</v>
      </c>
      <c r="AX460" s="3" t="str">
        <f>IFERROR(MID(VLOOKUP($B460,Seqs!$A:$B,2,0),AY460,1),"")</f>
        <v>W</v>
      </c>
      <c r="AY460" s="3">
        <v>415</v>
      </c>
      <c r="AZ460" s="77" t="str">
        <f>VLOOKUP(B460,Classification!A:D,2,0)</f>
        <v>B1</v>
      </c>
      <c r="BA460" s="94" t="str">
        <f>VLOOKUP(B460,Classification!A:D,4,0)</f>
        <v>Glucagonreceptorfamily</v>
      </c>
      <c r="BB460" s="27" t="b">
        <f t="shared" ref="BB460:BB483" si="4529">AND(E460&lt;G460,OR(G460&lt;I460,I460="-"),OR(I460&lt;K460,I460="-"),OR(K460&lt;M460,K460="-"),M460&lt;O460,OR(O460&lt;Q460,Q460="-"),OR(Q460&lt;S460,Q460="-"),OR(S460&lt;U460,S460="-"),U460&lt;W460,OR(W460&lt;Y460,Y460="-"),OR(Y460&lt;AA460,Y460="-"),OR(AA460&lt;AC460,AA460="-"),AC460&lt;AE460,OR(AE460&lt;AG460,AG460="-"),OR(AG460&lt;AI460,AG460="-"),OR(AI460&lt;AK460,AI460="-"),AK460&lt;AM460,AM460&lt;AO460,AO460&lt;AQ460,AQ460&lt;AS460,AS460&lt;AU460,OR(AU460&lt;AW460,AW460="-"),OR(AW460&lt;AY460,AW460="-"))</f>
        <v>1</v>
      </c>
      <c r="BC460" s="23">
        <f t="shared" ref="BC460:BC483" si="4530">_xlfn.AGGREGATE(9,6,CH460:CS460)-_xlfn.AGGREGATE(9,6,BV460:CG460)+12</f>
        <v>247</v>
      </c>
      <c r="BD460" s="4" t="s">
        <v>1370</v>
      </c>
      <c r="BE460" s="3" t="s">
        <v>1368</v>
      </c>
      <c r="BF460" s="118">
        <v>3</v>
      </c>
      <c r="BG460" s="49" t="s">
        <v>1275</v>
      </c>
      <c r="BH460" s="49" t="s">
        <v>1275</v>
      </c>
      <c r="BI460" s="1"/>
      <c r="BJ460" s="70" t="s">
        <v>1281</v>
      </c>
      <c r="BK460" s="57" t="s">
        <v>1281</v>
      </c>
      <c r="BL460" s="57" t="s">
        <v>1281</v>
      </c>
      <c r="BM460" s="57" t="s">
        <v>1281</v>
      </c>
      <c r="BN460" s="57" t="s">
        <v>1281</v>
      </c>
      <c r="BO460" s="57" t="s">
        <v>1281</v>
      </c>
      <c r="BP460" s="57" t="s">
        <v>1281</v>
      </c>
      <c r="BQ460" s="57" t="s">
        <v>1281</v>
      </c>
      <c r="BR460" s="57" t="s">
        <v>1281</v>
      </c>
      <c r="BS460" s="57" t="s">
        <v>1281</v>
      </c>
      <c r="BT460" s="57" t="s">
        <v>1281</v>
      </c>
      <c r="BU460" s="57" t="s">
        <v>1281</v>
      </c>
      <c r="BV460" s="70">
        <f t="shared" ref="BV460:BV483" si="4531">E460</f>
        <v>131</v>
      </c>
      <c r="BW460" s="71">
        <f t="shared" ref="BW460:BW483" si="4532">I460</f>
        <v>167</v>
      </c>
      <c r="BX460" s="72">
        <f t="shared" ref="BX460:BX483" si="4533">M460</f>
        <v>171</v>
      </c>
      <c r="BY460" s="71" t="str">
        <f t="shared" ref="BY460:BY483" si="4534">Q460</f>
        <v>-</v>
      </c>
      <c r="BZ460" s="72">
        <f t="shared" ref="BZ460:BZ483" si="4535">U460</f>
        <v>217</v>
      </c>
      <c r="CA460" s="71" t="str">
        <f t="shared" ref="CA460:CA483" si="4536">Y460</f>
        <v>-</v>
      </c>
      <c r="CB460" s="72">
        <f t="shared" ref="CB460:CB483" si="4537">AC460</f>
        <v>260</v>
      </c>
      <c r="CC460" s="71">
        <f t="shared" ref="CC460:CC483" si="4538">AG460</f>
        <v>294</v>
      </c>
      <c r="CD460" s="72">
        <f t="shared" ref="CD460:CD483" si="4539">AK460</f>
        <v>299</v>
      </c>
      <c r="CE460" s="71">
        <f t="shared" ref="CE460:CE483" si="4540">AO460</f>
        <v>342</v>
      </c>
      <c r="CF460" s="72">
        <f t="shared" ref="CF460:CF483" si="4541">AS460</f>
        <v>375</v>
      </c>
      <c r="CG460" s="71">
        <f t="shared" ref="CG460:CG483" si="4542">AW460</f>
        <v>404</v>
      </c>
      <c r="CH460" s="70">
        <f t="shared" ref="CH460:CH483" si="4543">G460</f>
        <v>164</v>
      </c>
      <c r="CI460" s="71">
        <f t="shared" ref="CI460:CI483" si="4544">K460</f>
        <v>170</v>
      </c>
      <c r="CJ460" s="72">
        <f t="shared" ref="CJ460:CJ483" si="4545">O460</f>
        <v>201</v>
      </c>
      <c r="CK460" s="72" t="str">
        <f t="shared" ref="CK460:CK483" si="4546">S460</f>
        <v>-</v>
      </c>
      <c r="CL460" s="72">
        <f t="shared" ref="CL460:CL483" si="4547">W460</f>
        <v>255</v>
      </c>
      <c r="CM460" s="72" t="str">
        <f t="shared" ref="CM460:CM483" si="4548">AA460</f>
        <v>-</v>
      </c>
      <c r="CN460" s="72">
        <f t="shared" ref="CN460:CN483" si="4549">AE460</f>
        <v>290</v>
      </c>
      <c r="CO460" s="72">
        <f t="shared" ref="CO460:CO483" si="4550">AI460</f>
        <v>296</v>
      </c>
      <c r="CP460" s="72">
        <f t="shared" ref="CP460:CP483" si="4551">AM460</f>
        <v>334</v>
      </c>
      <c r="CQ460" s="72">
        <f t="shared" ref="CQ460:CQ483" si="4552">AQ460</f>
        <v>367</v>
      </c>
      <c r="CR460" s="72">
        <f t="shared" ref="CR460:CR483" si="4553">AU460</f>
        <v>403</v>
      </c>
      <c r="CS460" s="72">
        <f t="shared" ref="CS460:CS483" si="4554">AY460</f>
        <v>415</v>
      </c>
      <c r="CT460" s="23">
        <f t="shared" ref="CT460:CT483" si="4555">M460-K460</f>
        <v>1</v>
      </c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  <c r="AMK460" s="1"/>
      <c r="AML460" s="1"/>
      <c r="AMM460" s="1"/>
      <c r="AMN460" s="1"/>
      <c r="AMO460" s="1"/>
    </row>
    <row r="461" spans="1:1029" x14ac:dyDescent="0.2">
      <c r="A461" s="3" t="str">
        <f t="shared" si="4528"/>
        <v>glr_human_5XF1</v>
      </c>
      <c r="B461" s="3" t="s">
        <v>32</v>
      </c>
      <c r="C461" s="3" t="s">
        <v>1404</v>
      </c>
      <c r="D461" s="3" t="str">
        <f>IFERROR(MID(VLOOKUP($B461,Seqs!$A:$B,2,0),E461,1),"")</f>
        <v>Q</v>
      </c>
      <c r="E461" s="3">
        <v>131</v>
      </c>
      <c r="F461" s="3" t="str">
        <f>IFERROR(MID(VLOOKUP($B461,Seqs!$A:$B,2,0),G461,1),"")</f>
        <v>L</v>
      </c>
      <c r="G461" s="3">
        <v>166</v>
      </c>
      <c r="H461" s="3" t="str">
        <f>IFERROR(MID(VLOOKUP($B461,Seqs!$A:$B,2,0),I461,1),"")</f>
        <v>S</v>
      </c>
      <c r="I461" s="23">
        <v>167</v>
      </c>
      <c r="J461" s="3" t="str">
        <f>IFERROR(MID(VLOOKUP($B461,Seqs!$A:$B,2,0),K461,1),"")</f>
        <v>H</v>
      </c>
      <c r="K461" s="23">
        <v>170</v>
      </c>
      <c r="L461" s="3" t="str">
        <f>IFERROR(MID(VLOOKUP($B461,Seqs!$A:$B,2,0),M461,1),"")</f>
        <v>N</v>
      </c>
      <c r="M461" s="23">
        <v>174</v>
      </c>
      <c r="N461" s="3" t="str">
        <f>IFERROR(MID(VLOOKUP($B461,Seqs!$A:$B,2,0),O461,1),"")</f>
        <v>R</v>
      </c>
      <c r="O461" s="3">
        <v>201</v>
      </c>
      <c r="P461" s="3" t="str">
        <f>IFERROR(MID(VLOOKUP($B461,Seqs!$A:$B,2,0),Q461,1),"")</f>
        <v/>
      </c>
      <c r="Q461" s="3" t="s">
        <v>23</v>
      </c>
      <c r="R461" s="3" t="str">
        <f>IFERROR(MID(VLOOKUP($B461,Seqs!$A:$B,2,0),S461,1),"")</f>
        <v/>
      </c>
      <c r="S461" s="3" t="s">
        <v>23</v>
      </c>
      <c r="T461" s="3" t="str">
        <f>IFERROR(MID(VLOOKUP($B461,Seqs!$A:$B,2,0),U461,1),"")</f>
        <v>S</v>
      </c>
      <c r="U461" s="3">
        <v>217</v>
      </c>
      <c r="V461" s="3" t="str">
        <f>IFERROR(MID(VLOOKUP($B461,Seqs!$A:$B,2,0),W461,1),"")</f>
        <v>L</v>
      </c>
      <c r="W461" s="3">
        <v>255</v>
      </c>
      <c r="X461" s="3" t="str">
        <f>IFERROR(MID(VLOOKUP($B461,Seqs!$A:$B,2,0),Y461,1),"")</f>
        <v/>
      </c>
      <c r="Y461" s="3" t="s">
        <v>23</v>
      </c>
      <c r="Z461" s="3" t="str">
        <f>IFERROR(MID(VLOOKUP($B461,Seqs!$A:$B,2,0),AA461,1),"")</f>
        <v/>
      </c>
      <c r="AA461" s="3" t="s">
        <v>23</v>
      </c>
      <c r="AB461" s="3" t="str">
        <f>IFERROR(MID(VLOOKUP($B461,Seqs!$A:$B,2,0),AC461,1),"")</f>
        <v>R</v>
      </c>
      <c r="AC461" s="3">
        <v>261</v>
      </c>
      <c r="AD461" s="3" t="str">
        <f>IFERROR(MID(VLOOKUP($B461,Seqs!$A:$B,2,0),AE461,1),"")</f>
        <v>F</v>
      </c>
      <c r="AE461" s="3">
        <v>289</v>
      </c>
      <c r="AF461" s="3" t="str">
        <f>IFERROR(MID(VLOOKUP($B461,Seqs!$A:$B,2,0),AG461,1),"")</f>
        <v>C</v>
      </c>
      <c r="AG461" s="3">
        <v>294</v>
      </c>
      <c r="AH461" s="3" t="str">
        <f>IFERROR(MID(VLOOKUP($B461,Seqs!$A:$B,2,0),AI461,1),"")</f>
        <v>T</v>
      </c>
      <c r="AI461" s="3">
        <v>296</v>
      </c>
      <c r="AJ461" s="3" t="str">
        <f>IFERROR(MID(VLOOKUP($B461,Seqs!$A:$B,2,0),AK461,1),"")</f>
        <v>D</v>
      </c>
      <c r="AK461" s="3">
        <v>299</v>
      </c>
      <c r="AL461" s="3" t="str">
        <f>IFERROR(MID(VLOOKUP($B461,Seqs!$A:$B,2,0),AM461,1),"")</f>
        <v>L</v>
      </c>
      <c r="AM461" s="3">
        <v>333</v>
      </c>
      <c r="AN461" s="3" t="str">
        <f>IFERROR(MID(VLOOKUP($B461,Seqs!$A:$B,2,0),AO461,1),"")</f>
        <v>D</v>
      </c>
      <c r="AO461" s="3">
        <v>342</v>
      </c>
      <c r="AP461" s="3" t="str">
        <f>IFERROR(MID(VLOOKUP($B461,Seqs!$A:$B,2,0),AQ461,1),"")</f>
        <v>V</v>
      </c>
      <c r="AQ461" s="3">
        <v>368</v>
      </c>
      <c r="AR461" s="3" t="str">
        <f>IFERROR(MID(VLOOKUP($B461,Seqs!$A:$B,2,0),AS461,1),"")</f>
        <v>L</v>
      </c>
      <c r="AS461" s="3">
        <v>377</v>
      </c>
      <c r="AT461" s="3" t="str">
        <f>IFERROR(MID(VLOOKUP($B461,Seqs!$A:$B,2,0),AU461,1),"")</f>
        <v>L</v>
      </c>
      <c r="AU461" s="3">
        <v>403</v>
      </c>
      <c r="AV461" s="3" t="str">
        <f>IFERROR(MID(VLOOKUP($B461,Seqs!$A:$B,2,0),AW461,1),"")</f>
        <v>N</v>
      </c>
      <c r="AW461" s="3">
        <v>404</v>
      </c>
      <c r="AX461" s="3" t="str">
        <f>IFERROR(MID(VLOOKUP($B461,Seqs!$A:$B,2,0),AY461,1),"")</f>
        <v>W</v>
      </c>
      <c r="AY461" s="3">
        <v>415</v>
      </c>
      <c r="AZ461" s="77" t="str">
        <f>VLOOKUP(B461,Classification!A:D,2,0)</f>
        <v>B1</v>
      </c>
      <c r="BA461" s="94" t="str">
        <f>VLOOKUP(B461,Classification!A:D,4,0)</f>
        <v>Glucagonreceptorfamily</v>
      </c>
      <c r="BB461" s="27" t="b">
        <f t="shared" si="4529"/>
        <v>1</v>
      </c>
      <c r="BC461" s="23">
        <f t="shared" si="4530"/>
        <v>242</v>
      </c>
      <c r="BD461" s="4" t="s">
        <v>23</v>
      </c>
      <c r="BE461" s="3" t="s">
        <v>1368</v>
      </c>
      <c r="BF461" s="118">
        <v>3.19</v>
      </c>
      <c r="BG461" s="49" t="s">
        <v>1275</v>
      </c>
      <c r="BH461" s="49" t="s">
        <v>1275</v>
      </c>
      <c r="BI461" s="1"/>
      <c r="BJ461" s="70" t="s">
        <v>1281</v>
      </c>
      <c r="BK461" s="57" t="s">
        <v>1281</v>
      </c>
      <c r="BL461" s="57" t="s">
        <v>1281</v>
      </c>
      <c r="BM461" s="57" t="s">
        <v>1281</v>
      </c>
      <c r="BN461" s="57" t="s">
        <v>1281</v>
      </c>
      <c r="BO461" s="57" t="s">
        <v>1281</v>
      </c>
      <c r="BP461" s="57" t="s">
        <v>1281</v>
      </c>
      <c r="BQ461" s="57" t="s">
        <v>1281</v>
      </c>
      <c r="BR461" s="57" t="s">
        <v>1281</v>
      </c>
      <c r="BS461" s="57" t="s">
        <v>1281</v>
      </c>
      <c r="BT461" s="57" t="s">
        <v>1281</v>
      </c>
      <c r="BU461" s="57" t="s">
        <v>1281</v>
      </c>
      <c r="BV461" s="70">
        <f t="shared" si="4531"/>
        <v>131</v>
      </c>
      <c r="BW461" s="71">
        <f t="shared" si="4532"/>
        <v>167</v>
      </c>
      <c r="BX461" s="72">
        <f t="shared" si="4533"/>
        <v>174</v>
      </c>
      <c r="BY461" s="71" t="str">
        <f t="shared" si="4534"/>
        <v>-</v>
      </c>
      <c r="BZ461" s="72">
        <f t="shared" si="4535"/>
        <v>217</v>
      </c>
      <c r="CA461" s="71" t="str">
        <f t="shared" si="4536"/>
        <v>-</v>
      </c>
      <c r="CB461" s="72">
        <f t="shared" si="4537"/>
        <v>261</v>
      </c>
      <c r="CC461" s="71">
        <f t="shared" si="4538"/>
        <v>294</v>
      </c>
      <c r="CD461" s="72">
        <f t="shared" si="4539"/>
        <v>299</v>
      </c>
      <c r="CE461" s="71">
        <f t="shared" si="4540"/>
        <v>342</v>
      </c>
      <c r="CF461" s="72">
        <f t="shared" si="4541"/>
        <v>377</v>
      </c>
      <c r="CG461" s="71">
        <f t="shared" si="4542"/>
        <v>404</v>
      </c>
      <c r="CH461" s="70">
        <f t="shared" si="4543"/>
        <v>166</v>
      </c>
      <c r="CI461" s="71">
        <f t="shared" si="4544"/>
        <v>170</v>
      </c>
      <c r="CJ461" s="72">
        <f t="shared" si="4545"/>
        <v>201</v>
      </c>
      <c r="CK461" s="72" t="str">
        <f t="shared" si="4546"/>
        <v>-</v>
      </c>
      <c r="CL461" s="72">
        <f t="shared" si="4547"/>
        <v>255</v>
      </c>
      <c r="CM461" s="72" t="str">
        <f t="shared" si="4548"/>
        <v>-</v>
      </c>
      <c r="CN461" s="72">
        <f t="shared" si="4549"/>
        <v>289</v>
      </c>
      <c r="CO461" s="72">
        <f t="shared" si="4550"/>
        <v>296</v>
      </c>
      <c r="CP461" s="72">
        <f t="shared" si="4551"/>
        <v>333</v>
      </c>
      <c r="CQ461" s="72">
        <f t="shared" si="4552"/>
        <v>368</v>
      </c>
      <c r="CR461" s="72">
        <f t="shared" si="4553"/>
        <v>403</v>
      </c>
      <c r="CS461" s="72">
        <f t="shared" si="4554"/>
        <v>415</v>
      </c>
      <c r="CT461" s="23">
        <f t="shared" si="4555"/>
        <v>4</v>
      </c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</row>
    <row r="462" spans="1:1029" x14ac:dyDescent="0.2">
      <c r="A462" s="3" t="str">
        <f t="shared" si="4528"/>
        <v>glr_human_5YQZ</v>
      </c>
      <c r="B462" s="3" t="s">
        <v>32</v>
      </c>
      <c r="C462" s="3" t="s">
        <v>1456</v>
      </c>
      <c r="D462" s="3" t="str">
        <f>IFERROR(MID(VLOOKUP($B462,Seqs!$A:$B,2,0),E462,1),"")</f>
        <v>D</v>
      </c>
      <c r="E462" s="3">
        <v>124</v>
      </c>
      <c r="F462" s="3" t="str">
        <f>IFERROR(MID(VLOOKUP($B462,Seqs!$A:$B,2,0),G462,1),"")</f>
        <v>L</v>
      </c>
      <c r="G462" s="3">
        <v>166</v>
      </c>
      <c r="H462" s="3" t="str">
        <f>IFERROR(MID(VLOOKUP($B462,Seqs!$A:$B,2,0),I462,1),"")</f>
        <v>S</v>
      </c>
      <c r="I462" s="23">
        <v>167</v>
      </c>
      <c r="J462" s="3" t="str">
        <f>IFERROR(MID(VLOOKUP($B462,Seqs!$A:$B,2,0),K462,1),"")</f>
        <v>H</v>
      </c>
      <c r="K462" s="23">
        <v>170</v>
      </c>
      <c r="L462" s="3" t="str">
        <f>IFERROR(MID(VLOOKUP($B462,Seqs!$A:$B,2,0),M462,1),"")</f>
        <v>C</v>
      </c>
      <c r="M462" s="23">
        <v>171</v>
      </c>
      <c r="N462" s="3" t="str">
        <f>IFERROR(MID(VLOOKUP($B462,Seqs!$A:$B,2,0),O462,1),"")</f>
        <v>S</v>
      </c>
      <c r="O462" s="3">
        <v>203</v>
      </c>
      <c r="P462" s="3" t="str">
        <f>IFERROR(MID(VLOOKUP($B462,Seqs!$A:$B,2,0),Q462,1),"")</f>
        <v/>
      </c>
      <c r="Q462" s="3" t="s">
        <v>23</v>
      </c>
      <c r="R462" s="3" t="str">
        <f>IFERROR(MID(VLOOKUP($B462,Seqs!$A:$B,2,0),S462,1),"")</f>
        <v/>
      </c>
      <c r="S462" s="3" t="s">
        <v>23</v>
      </c>
      <c r="T462" s="3" t="str">
        <f>IFERROR(MID(VLOOKUP($B462,Seqs!$A:$B,2,0),U462,1),"")</f>
        <v>A</v>
      </c>
      <c r="U462" s="3">
        <v>220</v>
      </c>
      <c r="V462" s="3" t="str">
        <f>IFERROR(MID(VLOOKUP($B462,Seqs!$A:$B,2,0),W462,1),"")</f>
        <v>L</v>
      </c>
      <c r="W462" s="3">
        <v>255</v>
      </c>
      <c r="X462" s="3" t="str">
        <f>IFERROR(MID(VLOOKUP($B462,Seqs!$A:$B,2,0),Y462,1),"")</f>
        <v/>
      </c>
      <c r="Y462" s="3" t="s">
        <v>23</v>
      </c>
      <c r="Z462" s="3" t="str">
        <f>IFERROR(MID(VLOOKUP($B462,Seqs!$A:$B,2,0),AA462,1),"")</f>
        <v/>
      </c>
      <c r="AA462" s="3" t="s">
        <v>23</v>
      </c>
      <c r="AB462" s="3" t="str">
        <f>IFERROR(MID(VLOOKUP($B462,Seqs!$A:$B,2,0),AC462,1),"")</f>
        <v>F</v>
      </c>
      <c r="AC462" s="3">
        <v>263</v>
      </c>
      <c r="AD462" s="3" t="str">
        <f>IFERROR(MID(VLOOKUP($B462,Seqs!$A:$B,2,0),AE462,1),"")</f>
        <v>E</v>
      </c>
      <c r="AE462" s="3">
        <v>290</v>
      </c>
      <c r="AF462" s="3" t="str">
        <f>IFERROR(MID(VLOOKUP($B462,Seqs!$A:$B,2,0),AG462,1),"")</f>
        <v>C</v>
      </c>
      <c r="AG462" s="3">
        <v>294</v>
      </c>
      <c r="AH462" s="3" t="str">
        <f>IFERROR(MID(VLOOKUP($B462,Seqs!$A:$B,2,0),AI462,1),"")</f>
        <v>T</v>
      </c>
      <c r="AI462" s="3">
        <v>296</v>
      </c>
      <c r="AJ462" s="3" t="str">
        <f>IFERROR(MID(VLOOKUP($B462,Seqs!$A:$B,2,0),AK462,1),"")</f>
        <v>F</v>
      </c>
      <c r="AK462" s="3">
        <v>303</v>
      </c>
      <c r="AL462" s="3" t="str">
        <f>IFERROR(MID(VLOOKUP($B462,Seqs!$A:$B,2,0),AM462,1),"")</f>
        <v>A</v>
      </c>
      <c r="AM462" s="3">
        <v>335</v>
      </c>
      <c r="AN462" s="3" t="str">
        <f>IFERROR(MID(VLOOKUP($B462,Seqs!$A:$B,2,0),AO462,1),"")</f>
        <v>D</v>
      </c>
      <c r="AO462" s="3">
        <v>342</v>
      </c>
      <c r="AP462" s="3" t="str">
        <f>IFERROR(MID(VLOOKUP($B462,Seqs!$A:$B,2,0),AQ462,1),"")</f>
        <v>T</v>
      </c>
      <c r="AQ462" s="3">
        <v>369</v>
      </c>
      <c r="AR462" s="3" t="str">
        <f>IFERROR(MID(VLOOKUP($B462,Seqs!$A:$B,2,0),AS462,1),"")</f>
        <v>G</v>
      </c>
      <c r="AS462" s="3">
        <v>375</v>
      </c>
      <c r="AT462" s="3" t="str">
        <f>IFERROR(MID(VLOOKUP($B462,Seqs!$A:$B,2,0),AU462,1),"")</f>
        <v>L</v>
      </c>
      <c r="AU462" s="3">
        <v>403</v>
      </c>
      <c r="AV462" s="3" t="str">
        <f>IFERROR(MID(VLOOKUP($B462,Seqs!$A:$B,2,0),AW462,1),"")</f>
        <v>N</v>
      </c>
      <c r="AW462" s="3">
        <v>404</v>
      </c>
      <c r="AX462" s="3" t="str">
        <f>IFERROR(MID(VLOOKUP($B462,Seqs!$A:$B,2,0),AY462,1),"")</f>
        <v>E</v>
      </c>
      <c r="AY462" s="3">
        <v>426</v>
      </c>
      <c r="AZ462" s="77" t="str">
        <f>VLOOKUP(B462,Classification!A:D,2,0)</f>
        <v>B1</v>
      </c>
      <c r="BA462" s="94" t="str">
        <f>VLOOKUP(B462,Classification!A:D,4,0)</f>
        <v>Glucagonreceptorfamily</v>
      </c>
      <c r="BB462" s="27" t="b">
        <f t="shared" si="4529"/>
        <v>1</v>
      </c>
      <c r="BC462" s="23">
        <f t="shared" si="4530"/>
        <v>262</v>
      </c>
      <c r="BD462" s="4" t="s">
        <v>23</v>
      </c>
      <c r="BE462" s="3" t="s">
        <v>1368</v>
      </c>
      <c r="BF462" s="118">
        <v>3</v>
      </c>
      <c r="BG462" s="49" t="s">
        <v>1416</v>
      </c>
      <c r="BH462" s="49" t="s">
        <v>1416</v>
      </c>
      <c r="BI462" s="1"/>
      <c r="BJ462" s="70" t="s">
        <v>1281</v>
      </c>
      <c r="BK462" s="57" t="s">
        <v>1281</v>
      </c>
      <c r="BL462" s="57" t="s">
        <v>1281</v>
      </c>
      <c r="BM462" s="57" t="s">
        <v>1281</v>
      </c>
      <c r="BN462" s="57" t="s">
        <v>1281</v>
      </c>
      <c r="BO462" s="57" t="s">
        <v>1281</v>
      </c>
      <c r="BP462" s="57" t="s">
        <v>1281</v>
      </c>
      <c r="BQ462" s="57" t="s">
        <v>1281</v>
      </c>
      <c r="BR462" s="57" t="s">
        <v>1281</v>
      </c>
      <c r="BS462" s="57" t="s">
        <v>1281</v>
      </c>
      <c r="BT462" s="57" t="s">
        <v>1281</v>
      </c>
      <c r="BU462" s="57" t="s">
        <v>1281</v>
      </c>
      <c r="BV462" s="70">
        <f t="shared" si="4531"/>
        <v>124</v>
      </c>
      <c r="BW462" s="71">
        <f t="shared" si="4532"/>
        <v>167</v>
      </c>
      <c r="BX462" s="72">
        <f t="shared" si="4533"/>
        <v>171</v>
      </c>
      <c r="BY462" s="71" t="str">
        <f t="shared" si="4534"/>
        <v>-</v>
      </c>
      <c r="BZ462" s="72">
        <f t="shared" si="4535"/>
        <v>220</v>
      </c>
      <c r="CA462" s="71" t="str">
        <f t="shared" si="4536"/>
        <v>-</v>
      </c>
      <c r="CB462" s="72">
        <f t="shared" si="4537"/>
        <v>263</v>
      </c>
      <c r="CC462" s="71">
        <f t="shared" si="4538"/>
        <v>294</v>
      </c>
      <c r="CD462" s="72">
        <f t="shared" si="4539"/>
        <v>303</v>
      </c>
      <c r="CE462" s="71">
        <f t="shared" si="4540"/>
        <v>342</v>
      </c>
      <c r="CF462" s="72">
        <f t="shared" si="4541"/>
        <v>375</v>
      </c>
      <c r="CG462" s="71">
        <f t="shared" si="4542"/>
        <v>404</v>
      </c>
      <c r="CH462" s="70">
        <f t="shared" si="4543"/>
        <v>166</v>
      </c>
      <c r="CI462" s="71">
        <f t="shared" si="4544"/>
        <v>170</v>
      </c>
      <c r="CJ462" s="72">
        <f t="shared" si="4545"/>
        <v>203</v>
      </c>
      <c r="CK462" s="72" t="str">
        <f t="shared" si="4546"/>
        <v>-</v>
      </c>
      <c r="CL462" s="72">
        <f t="shared" si="4547"/>
        <v>255</v>
      </c>
      <c r="CM462" s="72" t="str">
        <f t="shared" si="4548"/>
        <v>-</v>
      </c>
      <c r="CN462" s="72">
        <f t="shared" si="4549"/>
        <v>290</v>
      </c>
      <c r="CO462" s="72">
        <f t="shared" si="4550"/>
        <v>296</v>
      </c>
      <c r="CP462" s="72">
        <f t="shared" si="4551"/>
        <v>335</v>
      </c>
      <c r="CQ462" s="72">
        <f t="shared" si="4552"/>
        <v>369</v>
      </c>
      <c r="CR462" s="72">
        <f t="shared" si="4553"/>
        <v>403</v>
      </c>
      <c r="CS462" s="72">
        <f t="shared" si="4554"/>
        <v>426</v>
      </c>
      <c r="CT462" s="23">
        <f t="shared" si="4555"/>
        <v>1</v>
      </c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</row>
    <row r="463" spans="1:1029" x14ac:dyDescent="0.2">
      <c r="A463" s="3" t="str">
        <f t="shared" ref="A463" si="4556">CONCATENATE(B463,"_",C463)</f>
        <v>glr_human_6LMK</v>
      </c>
      <c r="B463" s="3" t="s">
        <v>32</v>
      </c>
      <c r="C463" s="3" t="s">
        <v>1669</v>
      </c>
      <c r="D463" s="3" t="str">
        <f>IFERROR(MID(VLOOKUP($B463,Seqs!$A:$B,2,0),E463,1),"")</f>
        <v>D</v>
      </c>
      <c r="E463" s="3">
        <v>124</v>
      </c>
      <c r="F463" s="3" t="str">
        <f>IFERROR(MID(VLOOKUP($B463,Seqs!$A:$B,2,0),G463,1),"")</f>
        <v>G</v>
      </c>
      <c r="G463" s="3">
        <v>165</v>
      </c>
      <c r="H463" s="3" t="str">
        <f>IFERROR(MID(VLOOKUP($B463,Seqs!$A:$B,2,0),I463,1),"")</f>
        <v/>
      </c>
      <c r="I463" s="23" t="s">
        <v>23</v>
      </c>
      <c r="J463" s="3" t="str">
        <f>IFERROR(MID(VLOOKUP($B463,Seqs!$A:$B,2,0),K463,1),"")</f>
        <v/>
      </c>
      <c r="K463" s="23" t="s">
        <v>23</v>
      </c>
      <c r="L463" s="3" t="str">
        <f>IFERROR(MID(VLOOKUP($B463,Seqs!$A:$B,2,0),M463,1),"")</f>
        <v>C</v>
      </c>
      <c r="M463" s="23">
        <v>171</v>
      </c>
      <c r="N463" s="3" t="str">
        <f>IFERROR(MID(VLOOKUP($B463,Seqs!$A:$B,2,0),O463,1),"")</f>
        <v>S</v>
      </c>
      <c r="O463" s="3">
        <v>203</v>
      </c>
      <c r="P463" s="3" t="str">
        <f>IFERROR(MID(VLOOKUP($B463,Seqs!$A:$B,2,0),Q463,1),"")</f>
        <v/>
      </c>
      <c r="Q463" s="3" t="s">
        <v>23</v>
      </c>
      <c r="R463" s="3" t="str">
        <f>IFERROR(MID(VLOOKUP($B463,Seqs!$A:$B,2,0),S463,1),"")</f>
        <v/>
      </c>
      <c r="S463" s="3" t="s">
        <v>23</v>
      </c>
      <c r="T463" s="3" t="str">
        <f>IFERROR(MID(VLOOKUP($B463,Seqs!$A:$B,2,0),U463,1),"")</f>
        <v>A</v>
      </c>
      <c r="U463" s="3">
        <v>220</v>
      </c>
      <c r="V463" s="3" t="str">
        <f>IFERROR(MID(VLOOKUP($B463,Seqs!$A:$B,2,0),W463,1),"")</f>
        <v>L</v>
      </c>
      <c r="W463" s="3">
        <v>253</v>
      </c>
      <c r="X463" s="3" t="str">
        <f>IFERROR(MID(VLOOKUP($B463,Seqs!$A:$B,2,0),Y463,1),"")</f>
        <v/>
      </c>
      <c r="Y463" s="3" t="s">
        <v>23</v>
      </c>
      <c r="Z463" s="3" t="str">
        <f>IFERROR(MID(VLOOKUP($B463,Seqs!$A:$B,2,0),AA463,1),"")</f>
        <v/>
      </c>
      <c r="AA463" s="3" t="s">
        <v>23</v>
      </c>
      <c r="AB463" s="3" t="str">
        <f>IFERROR(MID(VLOOKUP($B463,Seqs!$A:$B,2,0),AC463,1),"")</f>
        <v>F</v>
      </c>
      <c r="AC463" s="3">
        <v>263</v>
      </c>
      <c r="AD463" s="3" t="str">
        <f>IFERROR(MID(VLOOKUP($B463,Seqs!$A:$B,2,0),AE463,1),"")</f>
        <v>E</v>
      </c>
      <c r="AE463" s="3">
        <v>290</v>
      </c>
      <c r="AF463" s="3" t="str">
        <f>IFERROR(MID(VLOOKUP($B463,Seqs!$A:$B,2,0),AG463,1),"")</f>
        <v>C</v>
      </c>
      <c r="AG463" s="3">
        <v>294</v>
      </c>
      <c r="AH463" s="3" t="str">
        <f>IFERROR(MID(VLOOKUP($B463,Seqs!$A:$B,2,0),AI463,1),"")</f>
        <v>T</v>
      </c>
      <c r="AI463" s="3">
        <v>296</v>
      </c>
      <c r="AJ463" s="3" t="str">
        <f>IFERROR(MID(VLOOKUP($B463,Seqs!$A:$B,2,0),AK463,1),"")</f>
        <v>W</v>
      </c>
      <c r="AK463" s="3">
        <v>304</v>
      </c>
      <c r="AL463" s="3" t="str">
        <f>IFERROR(MID(VLOOKUP($B463,Seqs!$A:$B,2,0),AM463,1),"")</f>
        <v>R</v>
      </c>
      <c r="AM463" s="3">
        <v>334</v>
      </c>
      <c r="AN463" s="3" t="str">
        <f>IFERROR(MID(VLOOKUP($B463,Seqs!$A:$B,2,0),AO463,1),"")</f>
        <v>D</v>
      </c>
      <c r="AO463" s="3">
        <v>342</v>
      </c>
      <c r="AP463" s="3" t="str">
        <f>IFERROR(MID(VLOOKUP($B463,Seqs!$A:$B,2,0),AQ463,1),"")</f>
        <v>A</v>
      </c>
      <c r="AQ463" s="3">
        <v>366</v>
      </c>
      <c r="AR463" s="3" t="str">
        <f>IFERROR(MID(VLOOKUP($B463,Seqs!$A:$B,2,0),AS463,1),"")</f>
        <v>Q</v>
      </c>
      <c r="AS463" s="3">
        <v>374</v>
      </c>
      <c r="AT463" s="3" t="str">
        <f>IFERROR(MID(VLOOKUP($B463,Seqs!$A:$B,2,0),AU463,1),"")</f>
        <v>L</v>
      </c>
      <c r="AU463" s="3">
        <v>403</v>
      </c>
      <c r="AV463" s="3" t="str">
        <f>IFERROR(MID(VLOOKUP($B463,Seqs!$A:$B,2,0),AW463,1),"")</f>
        <v>N</v>
      </c>
      <c r="AW463" s="3">
        <v>404</v>
      </c>
      <c r="AX463" s="3" t="str">
        <f>IFERROR(MID(VLOOKUP($B463,Seqs!$A:$B,2,0),AY463,1),"")</f>
        <v>R</v>
      </c>
      <c r="AY463" s="3">
        <v>419</v>
      </c>
      <c r="AZ463" s="77" t="str">
        <f>VLOOKUP(B463,Classification!A:D,2,0)</f>
        <v>B1</v>
      </c>
      <c r="BA463" s="94" t="str">
        <f>VLOOKUP(B463,Classification!A:D,4,0)</f>
        <v>Glucagonreceptorfamily</v>
      </c>
      <c r="BB463" s="27" t="b">
        <f t="shared" ref="BB463" si="4557">AND(E463&lt;G463,OR(G463&lt;I463,I463="-"),OR(I463&lt;K463,I463="-"),OR(K463&lt;M463,K463="-"),M463&lt;O463,OR(O463&lt;Q463,Q463="-"),OR(Q463&lt;S463,Q463="-"),OR(S463&lt;U463,S463="-"),U463&lt;W463,OR(W463&lt;Y463,Y463="-"),OR(Y463&lt;AA463,Y463="-"),OR(AA463&lt;AC463,AA463="-"),AC463&lt;AE463,OR(AE463&lt;AG463,AG463="-"),OR(AG463&lt;AI463,AG463="-"),OR(AI463&lt;AK463,AI463="-"),AK463&lt;AM463,AM463&lt;AO463,AO463&lt;AQ463,AQ463&lt;AS463,AS463&lt;AU463,OR(AU463&lt;AW463,AW463="-"),OR(AW463&lt;AY463,AW463="-"))</f>
        <v>1</v>
      </c>
      <c r="BC463" s="23">
        <f t="shared" ref="BC463" si="4558">_xlfn.AGGREGATE(9,6,CH463:CS463)-_xlfn.AGGREGATE(9,6,BV463:CG463)+12</f>
        <v>245</v>
      </c>
      <c r="BD463" s="4" t="s">
        <v>23</v>
      </c>
      <c r="BE463" s="3" t="s">
        <v>1285</v>
      </c>
      <c r="BF463" s="118">
        <v>3.7</v>
      </c>
      <c r="BG463" s="49" t="s">
        <v>1416</v>
      </c>
      <c r="BH463" s="49" t="s">
        <v>1416</v>
      </c>
      <c r="BI463" s="1"/>
      <c r="BJ463" s="70" t="s">
        <v>1281</v>
      </c>
      <c r="BK463" s="57" t="s">
        <v>1281</v>
      </c>
      <c r="BL463" s="57" t="s">
        <v>1281</v>
      </c>
      <c r="BM463" s="57" t="s">
        <v>1281</v>
      </c>
      <c r="BN463" s="57" t="s">
        <v>1281</v>
      </c>
      <c r="BO463" s="57" t="s">
        <v>1281</v>
      </c>
      <c r="BP463" s="57" t="s">
        <v>1281</v>
      </c>
      <c r="BQ463" s="57" t="s">
        <v>1281</v>
      </c>
      <c r="BR463" s="57" t="s">
        <v>1281</v>
      </c>
      <c r="BS463" s="57" t="s">
        <v>1281</v>
      </c>
      <c r="BT463" s="57" t="s">
        <v>1281</v>
      </c>
      <c r="BU463" s="57" t="s">
        <v>1281</v>
      </c>
      <c r="BV463" s="70">
        <f t="shared" ref="BV463" si="4559">E463</f>
        <v>124</v>
      </c>
      <c r="BW463" s="71" t="str">
        <f t="shared" ref="BW463" si="4560">I463</f>
        <v>-</v>
      </c>
      <c r="BX463" s="72">
        <f t="shared" ref="BX463" si="4561">M463</f>
        <v>171</v>
      </c>
      <c r="BY463" s="71" t="str">
        <f t="shared" ref="BY463" si="4562">Q463</f>
        <v>-</v>
      </c>
      <c r="BZ463" s="72">
        <f t="shared" ref="BZ463" si="4563">U463</f>
        <v>220</v>
      </c>
      <c r="CA463" s="71" t="str">
        <f t="shared" ref="CA463" si="4564">Y463</f>
        <v>-</v>
      </c>
      <c r="CB463" s="72">
        <f t="shared" ref="CB463" si="4565">AC463</f>
        <v>263</v>
      </c>
      <c r="CC463" s="71">
        <f t="shared" ref="CC463" si="4566">AG463</f>
        <v>294</v>
      </c>
      <c r="CD463" s="72">
        <f t="shared" ref="CD463" si="4567">AK463</f>
        <v>304</v>
      </c>
      <c r="CE463" s="71">
        <f t="shared" ref="CE463" si="4568">AO463</f>
        <v>342</v>
      </c>
      <c r="CF463" s="72">
        <f t="shared" ref="CF463" si="4569">AS463</f>
        <v>374</v>
      </c>
      <c r="CG463" s="71">
        <f t="shared" ref="CG463" si="4570">AW463</f>
        <v>404</v>
      </c>
      <c r="CH463" s="70">
        <f t="shared" ref="CH463" si="4571">G463</f>
        <v>165</v>
      </c>
      <c r="CI463" s="71" t="str">
        <f t="shared" ref="CI463" si="4572">K463</f>
        <v>-</v>
      </c>
      <c r="CJ463" s="72">
        <f t="shared" ref="CJ463" si="4573">O463</f>
        <v>203</v>
      </c>
      <c r="CK463" s="72" t="str">
        <f t="shared" ref="CK463" si="4574">S463</f>
        <v>-</v>
      </c>
      <c r="CL463" s="72">
        <f t="shared" ref="CL463" si="4575">W463</f>
        <v>253</v>
      </c>
      <c r="CM463" s="72" t="str">
        <f t="shared" ref="CM463" si="4576">AA463</f>
        <v>-</v>
      </c>
      <c r="CN463" s="72">
        <f t="shared" ref="CN463" si="4577">AE463</f>
        <v>290</v>
      </c>
      <c r="CO463" s="72">
        <f t="shared" ref="CO463" si="4578">AI463</f>
        <v>296</v>
      </c>
      <c r="CP463" s="72">
        <f t="shared" ref="CP463" si="4579">AM463</f>
        <v>334</v>
      </c>
      <c r="CQ463" s="72">
        <f t="shared" ref="CQ463" si="4580">AQ463</f>
        <v>366</v>
      </c>
      <c r="CR463" s="72">
        <f t="shared" ref="CR463" si="4581">AU463</f>
        <v>403</v>
      </c>
      <c r="CS463" s="72">
        <f t="shared" ref="CS463" si="4582">AY463</f>
        <v>419</v>
      </c>
      <c r="CT463" s="23" t="e">
        <f t="shared" ref="CT463" si="4583">M463-K463</f>
        <v>#VALUE!</v>
      </c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</row>
    <row r="464" spans="1:1029" x14ac:dyDescent="0.2">
      <c r="A464" s="3" t="str">
        <f t="shared" ref="A464" si="4584">CONCATENATE(B464,"_",C464)</f>
        <v>glr_human_6LML</v>
      </c>
      <c r="B464" s="3" t="s">
        <v>32</v>
      </c>
      <c r="C464" s="3" t="s">
        <v>1670</v>
      </c>
      <c r="D464" s="3" t="str">
        <f>IFERROR(MID(VLOOKUP($B464,Seqs!$A:$B,2,0),E464,1),"")</f>
        <v>D</v>
      </c>
      <c r="E464" s="3">
        <v>124</v>
      </c>
      <c r="F464" s="3" t="str">
        <f>IFERROR(MID(VLOOKUP($B464,Seqs!$A:$B,2,0),G464,1),"")</f>
        <v>G</v>
      </c>
      <c r="G464" s="3">
        <v>165</v>
      </c>
      <c r="H464" s="3" t="str">
        <f>IFERROR(MID(VLOOKUP($B464,Seqs!$A:$B,2,0),I464,1),"")</f>
        <v/>
      </c>
      <c r="I464" s="23" t="s">
        <v>23</v>
      </c>
      <c r="J464" s="3" t="str">
        <f>IFERROR(MID(VLOOKUP($B464,Seqs!$A:$B,2,0),K464,1),"")</f>
        <v/>
      </c>
      <c r="K464" s="23" t="s">
        <v>23</v>
      </c>
      <c r="L464" s="3" t="str">
        <f>IFERROR(MID(VLOOKUP($B464,Seqs!$A:$B,2,0),M464,1),"")</f>
        <v>C</v>
      </c>
      <c r="M464" s="23">
        <v>171</v>
      </c>
      <c r="N464" s="3" t="str">
        <f>IFERROR(MID(VLOOKUP($B464,Seqs!$A:$B,2,0),O464,1),"")</f>
        <v>S</v>
      </c>
      <c r="O464" s="3">
        <v>203</v>
      </c>
      <c r="P464" s="3" t="str">
        <f>IFERROR(MID(VLOOKUP($B464,Seqs!$A:$B,2,0),Q464,1),"")</f>
        <v/>
      </c>
      <c r="Q464" s="3" t="s">
        <v>23</v>
      </c>
      <c r="R464" s="3" t="str">
        <f>IFERROR(MID(VLOOKUP($B464,Seqs!$A:$B,2,0),S464,1),"")</f>
        <v/>
      </c>
      <c r="S464" s="3" t="s">
        <v>23</v>
      </c>
      <c r="T464" s="3" t="str">
        <f>IFERROR(MID(VLOOKUP($B464,Seqs!$A:$B,2,0),U464,1),"")</f>
        <v>V</v>
      </c>
      <c r="U464" s="3">
        <v>221</v>
      </c>
      <c r="V464" s="3" t="str">
        <f>IFERROR(MID(VLOOKUP($B464,Seqs!$A:$B,2,0),W464,1),"")</f>
        <v>G</v>
      </c>
      <c r="W464" s="3">
        <v>254</v>
      </c>
      <c r="X464" s="3" t="str">
        <f>IFERROR(MID(VLOOKUP($B464,Seqs!$A:$B,2,0),Y464,1),"")</f>
        <v/>
      </c>
      <c r="Y464" s="3" t="s">
        <v>23</v>
      </c>
      <c r="Z464" s="3" t="str">
        <f>IFERROR(MID(VLOOKUP($B464,Seqs!$A:$B,2,0),AA464,1),"")</f>
        <v/>
      </c>
      <c r="AA464" s="3" t="s">
        <v>23</v>
      </c>
      <c r="AB464" s="3" t="str">
        <f>IFERROR(MID(VLOOKUP($B464,Seqs!$A:$B,2,0),AC464,1),"")</f>
        <v>F</v>
      </c>
      <c r="AC464" s="3">
        <v>263</v>
      </c>
      <c r="AD464" s="3" t="str">
        <f>IFERROR(MID(VLOOKUP($B464,Seqs!$A:$B,2,0),AE464,1),"")</f>
        <v>E</v>
      </c>
      <c r="AE464" s="3">
        <v>290</v>
      </c>
      <c r="AF464" s="3" t="str">
        <f>IFERROR(MID(VLOOKUP($B464,Seqs!$A:$B,2,0),AG464,1),"")</f>
        <v>C</v>
      </c>
      <c r="AG464" s="3">
        <v>294</v>
      </c>
      <c r="AH464" s="3" t="str">
        <f>IFERROR(MID(VLOOKUP($B464,Seqs!$A:$B,2,0),AI464,1),"")</f>
        <v>T</v>
      </c>
      <c r="AI464" s="3">
        <v>296</v>
      </c>
      <c r="AJ464" s="3" t="str">
        <f>IFERROR(MID(VLOOKUP($B464,Seqs!$A:$B,2,0),AK464,1),"")</f>
        <v>N</v>
      </c>
      <c r="AK464" s="3">
        <v>300</v>
      </c>
      <c r="AL464" s="3" t="str">
        <f>IFERROR(MID(VLOOKUP($B464,Seqs!$A:$B,2,0),AM464,1),"")</f>
        <v>L</v>
      </c>
      <c r="AM464" s="3">
        <v>333</v>
      </c>
      <c r="AN464" s="3" t="str">
        <f>IFERROR(MID(VLOOKUP($B464,Seqs!$A:$B,2,0),AO464,1),"")</f>
        <v>Y</v>
      </c>
      <c r="AO464" s="3">
        <v>343</v>
      </c>
      <c r="AP464" s="3" t="str">
        <f>IFERROR(MID(VLOOKUP($B464,Seqs!$A:$B,2,0),AQ464,1),"")</f>
        <v>H</v>
      </c>
      <c r="AQ464" s="3">
        <v>361</v>
      </c>
      <c r="AR464" s="3" t="str">
        <f>IFERROR(MID(VLOOKUP($B464,Seqs!$A:$B,2,0),AS464,1),"")</f>
        <v>L</v>
      </c>
      <c r="AS464" s="3">
        <v>377</v>
      </c>
      <c r="AT464" s="3" t="str">
        <f>IFERROR(MID(VLOOKUP($B464,Seqs!$A:$B,2,0),AU464,1),"")</f>
        <v>L</v>
      </c>
      <c r="AU464" s="3">
        <v>403</v>
      </c>
      <c r="AV464" s="3" t="str">
        <f>IFERROR(MID(VLOOKUP($B464,Seqs!$A:$B,2,0),AW464,1),"")</f>
        <v>N</v>
      </c>
      <c r="AW464" s="3">
        <v>404</v>
      </c>
      <c r="AX464" s="3" t="str">
        <f>IFERROR(MID(VLOOKUP($B464,Seqs!$A:$B,2,0),AY464,1),"")</f>
        <v>R</v>
      </c>
      <c r="AY464" s="3">
        <v>419</v>
      </c>
      <c r="AZ464" s="77" t="str">
        <f>VLOOKUP(B464,Classification!A:D,2,0)</f>
        <v>B1</v>
      </c>
      <c r="BA464" s="94" t="str">
        <f>VLOOKUP(B464,Classification!A:D,4,0)</f>
        <v>Glucagonreceptorfamily</v>
      </c>
      <c r="BB464" s="27" t="b">
        <f t="shared" ref="BB464" si="4585">AND(E464&lt;G464,OR(G464&lt;I464,I464="-"),OR(I464&lt;K464,I464="-"),OR(K464&lt;M464,K464="-"),M464&lt;O464,OR(O464&lt;Q464,Q464="-"),OR(Q464&lt;S464,Q464="-"),OR(S464&lt;U464,S464="-"),U464&lt;W464,OR(W464&lt;Y464,Y464="-"),OR(Y464&lt;AA464,Y464="-"),OR(AA464&lt;AC464,AA464="-"),AC464&lt;AE464,OR(AE464&lt;AG464,AG464="-"),OR(AG464&lt;AI464,AG464="-"),OR(AI464&lt;AK464,AI464="-"),AK464&lt;AM464,AM464&lt;AO464,AO464&lt;AQ464,AQ464&lt;AS464,AS464&lt;AU464,OR(AU464&lt;AW464,AW464="-"),OR(AW464&lt;AY464,AW464="-"))</f>
        <v>1</v>
      </c>
      <c r="BC464" s="23">
        <f t="shared" ref="BC464" si="4586">_xlfn.AGGREGATE(9,6,CH464:CS464)-_xlfn.AGGREGATE(9,6,BV464:CG464)+12</f>
        <v>239</v>
      </c>
      <c r="BD464" s="4" t="s">
        <v>23</v>
      </c>
      <c r="BE464" s="3" t="s">
        <v>1285</v>
      </c>
      <c r="BF464" s="118">
        <v>3.9</v>
      </c>
      <c r="BG464" s="49" t="s">
        <v>1416</v>
      </c>
      <c r="BH464" s="49" t="s">
        <v>1416</v>
      </c>
      <c r="BI464" s="1"/>
      <c r="BJ464" s="70" t="s">
        <v>1281</v>
      </c>
      <c r="BK464" s="57" t="s">
        <v>1281</v>
      </c>
      <c r="BL464" s="57" t="s">
        <v>1281</v>
      </c>
      <c r="BM464" s="57" t="s">
        <v>1281</v>
      </c>
      <c r="BN464" s="57" t="s">
        <v>1281</v>
      </c>
      <c r="BO464" s="57" t="s">
        <v>1281</v>
      </c>
      <c r="BP464" s="57" t="s">
        <v>1281</v>
      </c>
      <c r="BQ464" s="57" t="s">
        <v>1281</v>
      </c>
      <c r="BR464" s="57" t="s">
        <v>1281</v>
      </c>
      <c r="BS464" s="57" t="s">
        <v>1281</v>
      </c>
      <c r="BT464" s="57" t="s">
        <v>1281</v>
      </c>
      <c r="BU464" s="57" t="s">
        <v>1281</v>
      </c>
      <c r="BV464" s="70">
        <f t="shared" ref="BV464" si="4587">E464</f>
        <v>124</v>
      </c>
      <c r="BW464" s="71" t="str">
        <f t="shared" ref="BW464" si="4588">I464</f>
        <v>-</v>
      </c>
      <c r="BX464" s="72">
        <f t="shared" ref="BX464" si="4589">M464</f>
        <v>171</v>
      </c>
      <c r="BY464" s="71" t="str">
        <f t="shared" ref="BY464" si="4590">Q464</f>
        <v>-</v>
      </c>
      <c r="BZ464" s="72">
        <f t="shared" ref="BZ464" si="4591">U464</f>
        <v>221</v>
      </c>
      <c r="CA464" s="71" t="str">
        <f t="shared" ref="CA464" si="4592">Y464</f>
        <v>-</v>
      </c>
      <c r="CB464" s="72">
        <f t="shared" ref="CB464" si="4593">AC464</f>
        <v>263</v>
      </c>
      <c r="CC464" s="71">
        <f t="shared" ref="CC464" si="4594">AG464</f>
        <v>294</v>
      </c>
      <c r="CD464" s="72">
        <f t="shared" ref="CD464" si="4595">AK464</f>
        <v>300</v>
      </c>
      <c r="CE464" s="71">
        <f t="shared" ref="CE464" si="4596">AO464</f>
        <v>343</v>
      </c>
      <c r="CF464" s="72">
        <f t="shared" ref="CF464" si="4597">AS464</f>
        <v>377</v>
      </c>
      <c r="CG464" s="71">
        <f t="shared" ref="CG464" si="4598">AW464</f>
        <v>404</v>
      </c>
      <c r="CH464" s="70">
        <f t="shared" ref="CH464" si="4599">G464</f>
        <v>165</v>
      </c>
      <c r="CI464" s="71" t="str">
        <f t="shared" ref="CI464" si="4600">K464</f>
        <v>-</v>
      </c>
      <c r="CJ464" s="72">
        <f t="shared" ref="CJ464" si="4601">O464</f>
        <v>203</v>
      </c>
      <c r="CK464" s="72" t="str">
        <f t="shared" ref="CK464" si="4602">S464</f>
        <v>-</v>
      </c>
      <c r="CL464" s="72">
        <f t="shared" ref="CL464" si="4603">W464</f>
        <v>254</v>
      </c>
      <c r="CM464" s="72" t="str">
        <f t="shared" ref="CM464" si="4604">AA464</f>
        <v>-</v>
      </c>
      <c r="CN464" s="72">
        <f t="shared" ref="CN464" si="4605">AE464</f>
        <v>290</v>
      </c>
      <c r="CO464" s="72">
        <f t="shared" ref="CO464" si="4606">AI464</f>
        <v>296</v>
      </c>
      <c r="CP464" s="72">
        <f t="shared" ref="CP464" si="4607">AM464</f>
        <v>333</v>
      </c>
      <c r="CQ464" s="72">
        <f t="shared" ref="CQ464" si="4608">AQ464</f>
        <v>361</v>
      </c>
      <c r="CR464" s="72">
        <f t="shared" ref="CR464" si="4609">AU464</f>
        <v>403</v>
      </c>
      <c r="CS464" s="72">
        <f t="shared" ref="CS464" si="4610">AY464</f>
        <v>419</v>
      </c>
      <c r="CT464" s="23" t="e">
        <f t="shared" ref="CT464" si="4611">M464-K464</f>
        <v>#VALUE!</v>
      </c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</row>
    <row r="465" spans="1:1029" s="12" customFormat="1" x14ac:dyDescent="0.2">
      <c r="A465" s="9" t="str">
        <f t="shared" ref="A465" si="4612">CONCATENATE(B465,"_",C465)</f>
        <v>glr_human_6WHC</v>
      </c>
      <c r="B465" s="9" t="s">
        <v>32</v>
      </c>
      <c r="C465" s="9" t="s">
        <v>1699</v>
      </c>
      <c r="D465" s="9" t="str">
        <f>IFERROR(MID(VLOOKUP($B465,Seqs!$A:$B,2,0),E465,1),"")</f>
        <v>V</v>
      </c>
      <c r="E465" s="9">
        <v>134</v>
      </c>
      <c r="F465" s="9" t="str">
        <f>IFERROR(MID(VLOOKUP($B465,Seqs!$A:$B,2,0),G465,1),"")</f>
        <v>G</v>
      </c>
      <c r="G465" s="9">
        <v>165</v>
      </c>
      <c r="H465" s="9" t="str">
        <f>IFERROR(MID(VLOOKUP($B465,Seqs!$A:$B,2,0),I465,1),"")</f>
        <v/>
      </c>
      <c r="I465" s="109" t="s">
        <v>23</v>
      </c>
      <c r="J465" s="9" t="str">
        <f>IFERROR(MID(VLOOKUP($B465,Seqs!$A:$B,2,0),K465,1),"")</f>
        <v/>
      </c>
      <c r="K465" s="109" t="s">
        <v>23</v>
      </c>
      <c r="L465" s="9" t="str">
        <f>IFERROR(MID(VLOOKUP($B465,Seqs!$A:$B,2,0),M465,1),"")</f>
        <v>C</v>
      </c>
      <c r="M465" s="109">
        <v>171</v>
      </c>
      <c r="N465" s="9" t="str">
        <f>IFERROR(MID(VLOOKUP($B465,Seqs!$A:$B,2,0),O465,1),"")</f>
        <v>Y</v>
      </c>
      <c r="O465" s="9">
        <v>202</v>
      </c>
      <c r="P465" s="9" t="str">
        <f>IFERROR(MID(VLOOKUP($B465,Seqs!$A:$B,2,0),Q465,1),"")</f>
        <v/>
      </c>
      <c r="Q465" s="9" t="s">
        <v>23</v>
      </c>
      <c r="R465" s="9" t="str">
        <f>IFERROR(MID(VLOOKUP($B465,Seqs!$A:$B,2,0),S465,1),"")</f>
        <v/>
      </c>
      <c r="S465" s="9" t="s">
        <v>23</v>
      </c>
      <c r="T465" s="9" t="str">
        <f>IFERROR(MID(VLOOKUP($B465,Seqs!$A:$B,2,0),U465,1),"")</f>
        <v>S</v>
      </c>
      <c r="U465" s="9">
        <v>217</v>
      </c>
      <c r="V465" s="9" t="str">
        <f>IFERROR(MID(VLOOKUP($B465,Seqs!$A:$B,2,0),W465,1),"")</f>
        <v>L</v>
      </c>
      <c r="W465" s="9">
        <v>255</v>
      </c>
      <c r="X465" s="9" t="str">
        <f>IFERROR(MID(VLOOKUP($B465,Seqs!$A:$B,2,0),Y465,1),"")</f>
        <v/>
      </c>
      <c r="Y465" s="9" t="s">
        <v>23</v>
      </c>
      <c r="Z465" s="9" t="str">
        <f>IFERROR(MID(VLOOKUP($B465,Seqs!$A:$B,2,0),AA465,1),"")</f>
        <v/>
      </c>
      <c r="AA465" s="9" t="s">
        <v>23</v>
      </c>
      <c r="AB465" s="9" t="str">
        <f>IFERROR(MID(VLOOKUP($B465,Seqs!$A:$B,2,0),AC465,1),"")</f>
        <v>F</v>
      </c>
      <c r="AC465" s="9">
        <v>263</v>
      </c>
      <c r="AD465" s="9" t="str">
        <f>IFERROR(MID(VLOOKUP($B465,Seqs!$A:$B,2,0),AE465,1),"")</f>
        <v>F</v>
      </c>
      <c r="AE465" s="9">
        <v>289</v>
      </c>
      <c r="AF465" s="9" t="str">
        <f>IFERROR(MID(VLOOKUP($B465,Seqs!$A:$B,2,0),AG465,1),"")</f>
        <v>C</v>
      </c>
      <c r="AG465" s="9">
        <v>294</v>
      </c>
      <c r="AH465" s="9" t="str">
        <f>IFERROR(MID(VLOOKUP($B465,Seqs!$A:$B,2,0),AI465,1),"")</f>
        <v>T</v>
      </c>
      <c r="AI465" s="9">
        <v>296</v>
      </c>
      <c r="AJ465" s="9" t="str">
        <f>IFERROR(MID(VLOOKUP($B465,Seqs!$A:$B,2,0),AK465,1),"")</f>
        <v>W</v>
      </c>
      <c r="AK465" s="9">
        <v>304</v>
      </c>
      <c r="AL465" s="9" t="str">
        <f>IFERROR(MID(VLOOKUP($B465,Seqs!$A:$B,2,0),AM465,1),"")</f>
        <v>R</v>
      </c>
      <c r="AM465" s="9">
        <v>334</v>
      </c>
      <c r="AN465" s="9" t="str">
        <f>IFERROR(MID(VLOOKUP($B465,Seqs!$A:$B,2,0),AO465,1),"")</f>
        <v>Y</v>
      </c>
      <c r="AO465" s="9">
        <v>343</v>
      </c>
      <c r="AP465" s="9" t="str">
        <f>IFERROR(MID(VLOOKUP($B465,Seqs!$A:$B,2,0),AQ465,1),"")</f>
        <v>F</v>
      </c>
      <c r="AQ465" s="9">
        <v>365</v>
      </c>
      <c r="AR465" s="9" t="str">
        <f>IFERROR(MID(VLOOKUP($B465,Seqs!$A:$B,2,0),AS465,1),"")</f>
        <v>R</v>
      </c>
      <c r="AS465" s="9">
        <v>378</v>
      </c>
      <c r="AT465" s="9" t="str">
        <f>IFERROR(MID(VLOOKUP($B465,Seqs!$A:$B,2,0),AU465,1),"")</f>
        <v>L</v>
      </c>
      <c r="AU465" s="9">
        <v>403</v>
      </c>
      <c r="AV465" s="9" t="str">
        <f>IFERROR(MID(VLOOKUP($B465,Seqs!$A:$B,2,0),AW465,1),"")</f>
        <v>N</v>
      </c>
      <c r="AW465" s="9">
        <v>404</v>
      </c>
      <c r="AX465" s="9" t="str">
        <f>IFERROR(MID(VLOOKUP($B465,Seqs!$A:$B,2,0),AY465,1),"")</f>
        <v>W</v>
      </c>
      <c r="AY465" s="9">
        <v>418</v>
      </c>
      <c r="AZ465" s="110" t="str">
        <f>VLOOKUP(B465,Classification!A:D,2,0)</f>
        <v>B1</v>
      </c>
      <c r="BA465" s="98" t="str">
        <f>VLOOKUP(B465,Classification!A:D,4,0)</f>
        <v>Glucagonreceptorfamily</v>
      </c>
      <c r="BB465" s="36" t="b">
        <f t="shared" ref="BB465" si="4613">AND(E465&lt;G465,OR(G465&lt;I465,I465="-"),OR(I465&lt;K465,I465="-"),OR(K465&lt;M465,K465="-"),M465&lt;O465,OR(O465&lt;Q465,Q465="-"),OR(Q465&lt;S465,Q465="-"),OR(S465&lt;U465,S465="-"),U465&lt;W465,OR(W465&lt;Y465,Y465="-"),OR(Y465&lt;AA465,Y465="-"),OR(AA465&lt;AC465,AA465="-"),AC465&lt;AE465,OR(AE465&lt;AG465,AG465="-"),OR(AG465&lt;AI465,AG465="-"),OR(AI465&lt;AK465,AI465="-"),AK465&lt;AM465,AM465&lt;AO465,AO465&lt;AQ465,AQ465&lt;AS465,AS465&lt;AU465,OR(AU465&lt;AW465,AW465="-"),OR(AW465&lt;AY465,AW465="-"))</f>
        <v>1</v>
      </c>
      <c r="BC465" s="109">
        <f t="shared" ref="BC465" si="4614">_xlfn.AGGREGATE(9,6,CH465:CS465)-_xlfn.AGGREGATE(9,6,BV465:CG465)+12</f>
        <v>231</v>
      </c>
      <c r="BD465" s="11" t="s">
        <v>23</v>
      </c>
      <c r="BE465" s="9" t="s">
        <v>1285</v>
      </c>
      <c r="BF465" s="119">
        <v>3.4</v>
      </c>
      <c r="BG465" s="51" t="s">
        <v>1416</v>
      </c>
      <c r="BH465" s="51" t="s">
        <v>1416</v>
      </c>
      <c r="BJ465" s="111" t="s">
        <v>1281</v>
      </c>
      <c r="BK465" s="112" t="s">
        <v>1281</v>
      </c>
      <c r="BL465" s="112" t="s">
        <v>1281</v>
      </c>
      <c r="BM465" s="112" t="s">
        <v>1281</v>
      </c>
      <c r="BN465" s="112" t="s">
        <v>1281</v>
      </c>
      <c r="BO465" s="112" t="s">
        <v>1281</v>
      </c>
      <c r="BP465" s="112" t="s">
        <v>1281</v>
      </c>
      <c r="BQ465" s="112" t="s">
        <v>1281</v>
      </c>
      <c r="BR465" s="112" t="s">
        <v>1281</v>
      </c>
      <c r="BS465" s="112" t="s">
        <v>1281</v>
      </c>
      <c r="BT465" s="112" t="s">
        <v>1281</v>
      </c>
      <c r="BU465" s="112" t="s">
        <v>1281</v>
      </c>
      <c r="BV465" s="111">
        <f t="shared" ref="BV465" si="4615">E465</f>
        <v>134</v>
      </c>
      <c r="BW465" s="113" t="str">
        <f t="shared" ref="BW465" si="4616">I465</f>
        <v>-</v>
      </c>
      <c r="BX465" s="114">
        <f t="shared" ref="BX465" si="4617">M465</f>
        <v>171</v>
      </c>
      <c r="BY465" s="113" t="str">
        <f t="shared" ref="BY465" si="4618">Q465</f>
        <v>-</v>
      </c>
      <c r="BZ465" s="114">
        <f t="shared" ref="BZ465" si="4619">U465</f>
        <v>217</v>
      </c>
      <c r="CA465" s="113" t="str">
        <f t="shared" ref="CA465" si="4620">Y465</f>
        <v>-</v>
      </c>
      <c r="CB465" s="114">
        <f t="shared" ref="CB465" si="4621">AC465</f>
        <v>263</v>
      </c>
      <c r="CC465" s="113">
        <f t="shared" ref="CC465" si="4622">AG465</f>
        <v>294</v>
      </c>
      <c r="CD465" s="114">
        <f t="shared" ref="CD465" si="4623">AK465</f>
        <v>304</v>
      </c>
      <c r="CE465" s="113">
        <f t="shared" ref="CE465" si="4624">AO465</f>
        <v>343</v>
      </c>
      <c r="CF465" s="114">
        <f t="shared" ref="CF465" si="4625">AS465</f>
        <v>378</v>
      </c>
      <c r="CG465" s="113">
        <f t="shared" ref="CG465" si="4626">AW465</f>
        <v>404</v>
      </c>
      <c r="CH465" s="111">
        <f t="shared" ref="CH465" si="4627">G465</f>
        <v>165</v>
      </c>
      <c r="CI465" s="113" t="str">
        <f t="shared" ref="CI465" si="4628">K465</f>
        <v>-</v>
      </c>
      <c r="CJ465" s="114">
        <f t="shared" ref="CJ465" si="4629">O465</f>
        <v>202</v>
      </c>
      <c r="CK465" s="114" t="str">
        <f t="shared" ref="CK465" si="4630">S465</f>
        <v>-</v>
      </c>
      <c r="CL465" s="114">
        <f t="shared" ref="CL465" si="4631">W465</f>
        <v>255</v>
      </c>
      <c r="CM465" s="114" t="str">
        <f t="shared" ref="CM465" si="4632">AA465</f>
        <v>-</v>
      </c>
      <c r="CN465" s="114">
        <f t="shared" ref="CN465" si="4633">AE465</f>
        <v>289</v>
      </c>
      <c r="CO465" s="114">
        <f t="shared" ref="CO465" si="4634">AI465</f>
        <v>296</v>
      </c>
      <c r="CP465" s="114">
        <f t="shared" ref="CP465" si="4635">AM465</f>
        <v>334</v>
      </c>
      <c r="CQ465" s="114">
        <f t="shared" ref="CQ465" si="4636">AQ465</f>
        <v>365</v>
      </c>
      <c r="CR465" s="114">
        <f t="shared" ref="CR465" si="4637">AU465</f>
        <v>403</v>
      </c>
      <c r="CS465" s="114">
        <f t="shared" ref="CS465" si="4638">AY465</f>
        <v>418</v>
      </c>
      <c r="CT465" s="109" t="e">
        <f t="shared" ref="CT465" si="4639">M465-K465</f>
        <v>#VALUE!</v>
      </c>
    </row>
    <row r="466" spans="1:1029" s="12" customFormat="1" x14ac:dyDescent="0.2">
      <c r="A466" s="9" t="str">
        <f t="shared" ref="A466" si="4640">CONCATENATE(B466,"_",C466)</f>
        <v>glr_human_6WPW</v>
      </c>
      <c r="B466" s="9" t="s">
        <v>32</v>
      </c>
      <c r="C466" s="9" t="s">
        <v>1700</v>
      </c>
      <c r="D466" s="9" t="str">
        <f>IFERROR(MID(VLOOKUP($B466,Seqs!$A:$B,2,0),E466,1),"")</f>
        <v>D</v>
      </c>
      <c r="E466" s="9">
        <v>124</v>
      </c>
      <c r="F466" s="9" t="str">
        <f>IFERROR(MID(VLOOKUP($B466,Seqs!$A:$B,2,0),G466,1),"")</f>
        <v>L</v>
      </c>
      <c r="G466" s="9">
        <v>166</v>
      </c>
      <c r="H466" s="9" t="str">
        <f>IFERROR(MID(VLOOKUP($B466,Seqs!$A:$B,2,0),I466,1),"")</f>
        <v>S</v>
      </c>
      <c r="I466" s="109">
        <v>167</v>
      </c>
      <c r="J466" s="9" t="str">
        <f>IFERROR(MID(VLOOKUP($B466,Seqs!$A:$B,2,0),K466,1),"")</f>
        <v>H</v>
      </c>
      <c r="K466" s="109">
        <v>170</v>
      </c>
      <c r="L466" s="9" t="str">
        <f>IFERROR(MID(VLOOKUP($B466,Seqs!$A:$B,2,0),M466,1),"")</f>
        <v>T</v>
      </c>
      <c r="M466" s="109">
        <v>172</v>
      </c>
      <c r="N466" s="9" t="str">
        <f>IFERROR(MID(VLOOKUP($B466,Seqs!$A:$B,2,0),O466,1),"")</f>
        <v>S</v>
      </c>
      <c r="O466" s="9">
        <v>203</v>
      </c>
      <c r="P466" s="9" t="str">
        <f>IFERROR(MID(VLOOKUP($B466,Seqs!$A:$B,2,0),Q466,1),"")</f>
        <v/>
      </c>
      <c r="Q466" s="9" t="s">
        <v>23</v>
      </c>
      <c r="R466" s="9" t="str">
        <f>IFERROR(MID(VLOOKUP($B466,Seqs!$A:$B,2,0),S466,1),"")</f>
        <v/>
      </c>
      <c r="S466" s="9" t="s">
        <v>23</v>
      </c>
      <c r="T466" s="9" t="str">
        <f>IFERROR(MID(VLOOKUP($B466,Seqs!$A:$B,2,0),U466,1),"")</f>
        <v>V</v>
      </c>
      <c r="U466" s="9">
        <v>221</v>
      </c>
      <c r="V466" s="9" t="str">
        <f>IFERROR(MID(VLOOKUP($B466,Seqs!$A:$B,2,0),W466,1),"")</f>
        <v>L</v>
      </c>
      <c r="W466" s="9">
        <v>253</v>
      </c>
      <c r="X466" s="9" t="str">
        <f>IFERROR(MID(VLOOKUP($B466,Seqs!$A:$B,2,0),Y466,1),"")</f>
        <v/>
      </c>
      <c r="Y466" s="9" t="s">
        <v>23</v>
      </c>
      <c r="Z466" s="9" t="str">
        <f>IFERROR(MID(VLOOKUP($B466,Seqs!$A:$B,2,0),AA466,1),"")</f>
        <v/>
      </c>
      <c r="AA466" s="9" t="s">
        <v>23</v>
      </c>
      <c r="AB466" s="9" t="str">
        <f>IFERROR(MID(VLOOKUP($B466,Seqs!$A:$B,2,0),AC466,1),"")</f>
        <v>F</v>
      </c>
      <c r="AC466" s="9">
        <v>263</v>
      </c>
      <c r="AD466" s="9" t="str">
        <f>IFERROR(MID(VLOOKUP($B466,Seqs!$A:$B,2,0),AE466,1),"")</f>
        <v>E</v>
      </c>
      <c r="AE466" s="9">
        <v>290</v>
      </c>
      <c r="AF466" s="9" t="str">
        <f>IFERROR(MID(VLOOKUP($B466,Seqs!$A:$B,2,0),AG466,1),"")</f>
        <v>C</v>
      </c>
      <c r="AG466" s="9">
        <v>294</v>
      </c>
      <c r="AH466" s="9" t="str">
        <f>IFERROR(MID(VLOOKUP($B466,Seqs!$A:$B,2,0),AI466,1),"")</f>
        <v>T</v>
      </c>
      <c r="AI466" s="9">
        <v>296</v>
      </c>
      <c r="AJ466" s="9" t="str">
        <f>IFERROR(MID(VLOOKUP($B466,Seqs!$A:$B,2,0),AK466,1),"")</f>
        <v>N</v>
      </c>
      <c r="AK466" s="9">
        <v>300</v>
      </c>
      <c r="AL466" s="9" t="str">
        <f>IFERROR(MID(VLOOKUP($B466,Seqs!$A:$B,2,0),AM466,1),"")</f>
        <v>R</v>
      </c>
      <c r="AM466" s="9">
        <v>334</v>
      </c>
      <c r="AN466" s="9" t="str">
        <f>IFERROR(MID(VLOOKUP($B466,Seqs!$A:$B,2,0),AO466,1),"")</f>
        <v>K</v>
      </c>
      <c r="AO466" s="9">
        <v>344</v>
      </c>
      <c r="AP466" s="9" t="str">
        <f>IFERROR(MID(VLOOKUP($B466,Seqs!$A:$B,2,0),AQ466,1),"")</f>
        <v>A</v>
      </c>
      <c r="AQ466" s="9">
        <v>366</v>
      </c>
      <c r="AR466" s="9" t="str">
        <f>IFERROR(MID(VLOOKUP($B466,Seqs!$A:$B,2,0),AS466,1),"")</f>
        <v>G</v>
      </c>
      <c r="AS466" s="9">
        <v>375</v>
      </c>
      <c r="AT466" s="9" t="str">
        <f>IFERROR(MID(VLOOKUP($B466,Seqs!$A:$B,2,0),AU466,1),"")</f>
        <v>F</v>
      </c>
      <c r="AU466" s="9">
        <v>402</v>
      </c>
      <c r="AV466" s="9" t="str">
        <f>IFERROR(MID(VLOOKUP($B466,Seqs!$A:$B,2,0),AW466,1),"")</f>
        <v>N</v>
      </c>
      <c r="AW466" s="9">
        <v>404</v>
      </c>
      <c r="AX466" s="9" t="str">
        <f>IFERROR(MID(VLOOKUP($B466,Seqs!$A:$B,2,0),AY466,1),"")</f>
        <v>L</v>
      </c>
      <c r="AY466" s="9">
        <v>424</v>
      </c>
      <c r="AZ466" s="110" t="str">
        <f>VLOOKUP(B466,Classification!A:D,2,0)</f>
        <v>B1</v>
      </c>
      <c r="BA466" s="98" t="str">
        <f>VLOOKUP(B466,Classification!A:D,4,0)</f>
        <v>Glucagonreceptorfamily</v>
      </c>
      <c r="BB466" s="36" t="b">
        <f t="shared" ref="BB466" si="4641">AND(E466&lt;G466,OR(G466&lt;I466,I466="-"),OR(I466&lt;K466,I466="-"),OR(K466&lt;M466,K466="-"),M466&lt;O466,OR(O466&lt;Q466,Q466="-"),OR(Q466&lt;S466,Q466="-"),OR(S466&lt;U466,S466="-"),U466&lt;W466,OR(W466&lt;Y466,Y466="-"),OR(Y466&lt;AA466,Y466="-"),OR(AA466&lt;AC466,AA466="-"),AC466&lt;AE466,OR(AE466&lt;AG466,AG466="-"),OR(AG466&lt;AI466,AG466="-"),OR(AI466&lt;AK466,AI466="-"),AK466&lt;AM466,AM466&lt;AO466,AO466&lt;AQ466,AQ466&lt;AS466,AS466&lt;AU466,OR(AU466&lt;AW466,AW466="-"),OR(AW466&lt;AY466,AW466="-"))</f>
        <v>1</v>
      </c>
      <c r="BC466" s="109">
        <f t="shared" ref="BC466" si="4642">_xlfn.AGGREGATE(9,6,CH466:CS466)-_xlfn.AGGREGATE(9,6,BV466:CG466)+12</f>
        <v>252</v>
      </c>
      <c r="BD466" s="11" t="s">
        <v>1369</v>
      </c>
      <c r="BE466" s="9" t="s">
        <v>1285</v>
      </c>
      <c r="BF466" s="119">
        <v>3.1</v>
      </c>
      <c r="BG466" s="51" t="s">
        <v>1416</v>
      </c>
      <c r="BH466" s="51" t="s">
        <v>1416</v>
      </c>
      <c r="BJ466" s="111" t="s">
        <v>1281</v>
      </c>
      <c r="BK466" s="112" t="s">
        <v>1281</v>
      </c>
      <c r="BL466" s="112" t="s">
        <v>1281</v>
      </c>
      <c r="BM466" s="112" t="s">
        <v>1281</v>
      </c>
      <c r="BN466" s="112" t="s">
        <v>1281</v>
      </c>
      <c r="BO466" s="112" t="s">
        <v>1281</v>
      </c>
      <c r="BP466" s="112" t="s">
        <v>1281</v>
      </c>
      <c r="BQ466" s="112" t="s">
        <v>1281</v>
      </c>
      <c r="BR466" s="112" t="s">
        <v>1281</v>
      </c>
      <c r="BS466" s="112" t="s">
        <v>1281</v>
      </c>
      <c r="BT466" s="112" t="s">
        <v>1281</v>
      </c>
      <c r="BU466" s="112" t="s">
        <v>1281</v>
      </c>
      <c r="BV466" s="111">
        <f t="shared" ref="BV466" si="4643">E466</f>
        <v>124</v>
      </c>
      <c r="BW466" s="113">
        <f t="shared" ref="BW466" si="4644">I466</f>
        <v>167</v>
      </c>
      <c r="BX466" s="114">
        <f t="shared" ref="BX466" si="4645">M466</f>
        <v>172</v>
      </c>
      <c r="BY466" s="113" t="str">
        <f t="shared" ref="BY466" si="4646">Q466</f>
        <v>-</v>
      </c>
      <c r="BZ466" s="114">
        <f t="shared" ref="BZ466" si="4647">U466</f>
        <v>221</v>
      </c>
      <c r="CA466" s="113" t="str">
        <f t="shared" ref="CA466" si="4648">Y466</f>
        <v>-</v>
      </c>
      <c r="CB466" s="114">
        <f t="shared" ref="CB466" si="4649">AC466</f>
        <v>263</v>
      </c>
      <c r="CC466" s="113">
        <f t="shared" ref="CC466" si="4650">AG466</f>
        <v>294</v>
      </c>
      <c r="CD466" s="114">
        <f t="shared" ref="CD466" si="4651">AK466</f>
        <v>300</v>
      </c>
      <c r="CE466" s="113">
        <f t="shared" ref="CE466" si="4652">AO466</f>
        <v>344</v>
      </c>
      <c r="CF466" s="114">
        <f t="shared" ref="CF466" si="4653">AS466</f>
        <v>375</v>
      </c>
      <c r="CG466" s="113">
        <f t="shared" ref="CG466" si="4654">AW466</f>
        <v>404</v>
      </c>
      <c r="CH466" s="111">
        <f t="shared" ref="CH466" si="4655">G466</f>
        <v>166</v>
      </c>
      <c r="CI466" s="113">
        <f t="shared" ref="CI466" si="4656">K466</f>
        <v>170</v>
      </c>
      <c r="CJ466" s="114">
        <f t="shared" ref="CJ466" si="4657">O466</f>
        <v>203</v>
      </c>
      <c r="CK466" s="114" t="str">
        <f t="shared" ref="CK466" si="4658">S466</f>
        <v>-</v>
      </c>
      <c r="CL466" s="114">
        <f t="shared" ref="CL466" si="4659">W466</f>
        <v>253</v>
      </c>
      <c r="CM466" s="114" t="str">
        <f t="shared" ref="CM466" si="4660">AA466</f>
        <v>-</v>
      </c>
      <c r="CN466" s="114">
        <f t="shared" ref="CN466" si="4661">AE466</f>
        <v>290</v>
      </c>
      <c r="CO466" s="114">
        <f t="shared" ref="CO466" si="4662">AI466</f>
        <v>296</v>
      </c>
      <c r="CP466" s="114">
        <f t="shared" ref="CP466" si="4663">AM466</f>
        <v>334</v>
      </c>
      <c r="CQ466" s="114">
        <f t="shared" ref="CQ466" si="4664">AQ466</f>
        <v>366</v>
      </c>
      <c r="CR466" s="114">
        <f t="shared" ref="CR466" si="4665">AU466</f>
        <v>402</v>
      </c>
      <c r="CS466" s="114">
        <f t="shared" ref="CS466" si="4666">AY466</f>
        <v>424</v>
      </c>
      <c r="CT466" s="109">
        <f t="shared" ref="CT466" si="4667">M466-K466</f>
        <v>2</v>
      </c>
    </row>
    <row r="467" spans="1:1029" x14ac:dyDescent="0.2">
      <c r="A467" s="3" t="str">
        <f t="shared" si="4528"/>
        <v>glp1r_human__wt</v>
      </c>
      <c r="B467" s="3" t="s">
        <v>405</v>
      </c>
      <c r="C467" s="3" t="s">
        <v>100</v>
      </c>
      <c r="D467" s="3" t="str">
        <f>IFERROR(MID(VLOOKUP($B467,Seqs!$A:$B,2,0),E467,1),"")</f>
        <v>E</v>
      </c>
      <c r="E467" s="3">
        <v>138</v>
      </c>
      <c r="F467" s="3" t="str">
        <f>IFERROR(MID(VLOOKUP($B467,Seqs!$A:$B,2,0),G467,1),"")</f>
        <v>F</v>
      </c>
      <c r="G467" s="3">
        <v>169</v>
      </c>
      <c r="H467" s="3" t="str">
        <f>IFERROR(MID(VLOOKUP($B467,Seqs!$A:$B,2,0),I467,1),"")</f>
        <v>R</v>
      </c>
      <c r="I467" s="23">
        <v>170</v>
      </c>
      <c r="J467" s="3" t="str">
        <f>IFERROR(MID(VLOOKUP($B467,Seqs!$A:$B,2,0),K467,1),"")</f>
        <v>H</v>
      </c>
      <c r="K467" s="23">
        <v>173</v>
      </c>
      <c r="L467" s="3" t="str">
        <f>IFERROR(MID(VLOOKUP($B467,Seqs!$A:$B,2,0),M467,1),"")</f>
        <v>C</v>
      </c>
      <c r="M467" s="23">
        <v>174</v>
      </c>
      <c r="N467" s="3" t="str">
        <f>IFERROR(MID(VLOOKUP($B467,Seqs!$A:$B,2,0),O467,1),"")</f>
        <v>S</v>
      </c>
      <c r="O467" s="3">
        <v>206</v>
      </c>
      <c r="P467" s="3" t="str">
        <f>IFERROR(MID(VLOOKUP($B467,Seqs!$A:$B,2,0),Q467,1),"")</f>
        <v/>
      </c>
      <c r="Q467" s="3" t="s">
        <v>23</v>
      </c>
      <c r="R467" s="3" t="str">
        <f>IFERROR(MID(VLOOKUP($B467,Seqs!$A:$B,2,0),S467,1),"")</f>
        <v/>
      </c>
      <c r="S467" s="3" t="s">
        <v>23</v>
      </c>
      <c r="T467" s="3" t="str">
        <f>IFERROR(MID(VLOOKUP($B467,Seqs!$A:$B,2,0),U467,1),"")</f>
        <v>L</v>
      </c>
      <c r="U467" s="3">
        <v>224</v>
      </c>
      <c r="V467" s="3" t="str">
        <f>IFERROR(MID(VLOOKUP($B467,Seqs!$A:$B,2,0),W467,1),"")</f>
        <v>F</v>
      </c>
      <c r="W467" s="3">
        <v>257</v>
      </c>
      <c r="X467" s="3" t="str">
        <f>IFERROR(MID(VLOOKUP($B467,Seqs!$A:$B,2,0),Y467,1),"")</f>
        <v/>
      </c>
      <c r="Y467" s="3" t="s">
        <v>23</v>
      </c>
      <c r="Z467" s="3" t="str">
        <f>IFERROR(MID(VLOOKUP($B467,Seqs!$A:$B,2,0),AA467,1),"")</f>
        <v/>
      </c>
      <c r="AA467" s="3" t="s">
        <v>23</v>
      </c>
      <c r="AB467" s="3" t="str">
        <f>IFERROR(MID(VLOOKUP($B467,Seqs!$A:$B,2,0),AC467,1),"")</f>
        <v>E</v>
      </c>
      <c r="AC467" s="3">
        <v>262</v>
      </c>
      <c r="AD467" s="3" t="str">
        <f>IFERROR(MID(VLOOKUP($B467,Seqs!$A:$B,2,0),AE467,1),"")</f>
        <v>E</v>
      </c>
      <c r="AE467" s="3">
        <v>292</v>
      </c>
      <c r="AF467" s="3" t="str">
        <f>IFERROR(MID(VLOOKUP($B467,Seqs!$A:$B,2,0),AG467,1),"")</f>
        <v>C</v>
      </c>
      <c r="AG467" s="3">
        <v>296</v>
      </c>
      <c r="AH467" s="3" t="str">
        <f>IFERROR(MID(VLOOKUP($B467,Seqs!$A:$B,2,0),AI467,1),"")</f>
        <v>T</v>
      </c>
      <c r="AI467" s="3">
        <v>298</v>
      </c>
      <c r="AJ467" s="3" t="str">
        <f>IFERROR(MID(VLOOKUP($B467,Seqs!$A:$B,2,0),AK467,1),"")</f>
        <v>N</v>
      </c>
      <c r="AK467" s="3">
        <v>302</v>
      </c>
      <c r="AL467" s="3" t="str">
        <f>IFERROR(MID(VLOOKUP($B467,Seqs!$A:$B,2,0),AM467,1),"")</f>
        <v>L</v>
      </c>
      <c r="AM467" s="3">
        <v>339</v>
      </c>
      <c r="AN467" s="3" t="str">
        <f>IFERROR(MID(VLOOKUP($B467,Seqs!$A:$B,2,0),AO467,1),"")</f>
        <v>C</v>
      </c>
      <c r="AO467" s="3">
        <v>341</v>
      </c>
      <c r="AP467" s="3" t="str">
        <f>IFERROR(MID(VLOOKUP($B467,Seqs!$A:$B,2,0),AQ467,1),"")</f>
        <v>M</v>
      </c>
      <c r="AQ467" s="3">
        <v>371</v>
      </c>
      <c r="AR467" s="3" t="str">
        <f>IFERROR(MID(VLOOKUP($B467,Seqs!$A:$B,2,0),AS467,1),"")</f>
        <v>G</v>
      </c>
      <c r="AS467" s="3">
        <v>377</v>
      </c>
      <c r="AT467" s="3" t="str">
        <f>IFERROR(MID(VLOOKUP($B467,Seqs!$A:$B,2,0),AU467,1),"")</f>
        <v>V</v>
      </c>
      <c r="AU467" s="3">
        <v>405</v>
      </c>
      <c r="AV467" s="3" t="str">
        <f>IFERROR(MID(VLOOKUP($B467,Seqs!$A:$B,2,0),AW467,1),"")</f>
        <v>N</v>
      </c>
      <c r="AW467" s="3">
        <v>406</v>
      </c>
      <c r="AX467" s="3" t="str">
        <f>IFERROR(MID(VLOOKUP($B467,Seqs!$A:$B,2,0),AY467,1),"")</f>
        <v>S</v>
      </c>
      <c r="AY467" s="3">
        <v>431</v>
      </c>
      <c r="AZ467" s="77" t="str">
        <f>VLOOKUP(B467,Classification!A:D,2,0)</f>
        <v>B1</v>
      </c>
      <c r="BA467" s="94" t="str">
        <f>VLOOKUP(B467,Classification!A:D,4,0)</f>
        <v>Glucagonreceptorfamily</v>
      </c>
      <c r="BB467" s="27" t="b">
        <f t="shared" si="4529"/>
        <v>1</v>
      </c>
      <c r="BC467" s="23">
        <f t="shared" si="4530"/>
        <v>263</v>
      </c>
      <c r="BD467" s="4" t="s">
        <v>23</v>
      </c>
      <c r="BE467" s="3" t="s">
        <v>23</v>
      </c>
      <c r="BF467" s="118" t="s">
        <v>23</v>
      </c>
      <c r="BG467" s="49" t="s">
        <v>1371</v>
      </c>
      <c r="BH467" s="49" t="s">
        <v>1371</v>
      </c>
      <c r="BI467" s="1"/>
      <c r="BJ467" s="70" t="s">
        <v>1281</v>
      </c>
      <c r="BK467" s="57" t="s">
        <v>1281</v>
      </c>
      <c r="BL467" s="57" t="s">
        <v>1281</v>
      </c>
      <c r="BM467" s="57" t="s">
        <v>1281</v>
      </c>
      <c r="BN467" s="57" t="s">
        <v>1281</v>
      </c>
      <c r="BO467" s="57" t="s">
        <v>1281</v>
      </c>
      <c r="BP467" s="57" t="s">
        <v>1281</v>
      </c>
      <c r="BQ467" s="57" t="s">
        <v>1281</v>
      </c>
      <c r="BR467" s="57" t="s">
        <v>1281</v>
      </c>
      <c r="BS467" s="57" t="s">
        <v>1281</v>
      </c>
      <c r="BT467" s="57" t="s">
        <v>1281</v>
      </c>
      <c r="BU467" s="57" t="s">
        <v>1281</v>
      </c>
      <c r="BV467" s="70">
        <f t="shared" si="4531"/>
        <v>138</v>
      </c>
      <c r="BW467" s="71">
        <f t="shared" si="4532"/>
        <v>170</v>
      </c>
      <c r="BX467" s="72">
        <f t="shared" si="4533"/>
        <v>174</v>
      </c>
      <c r="BY467" s="71" t="str">
        <f t="shared" si="4534"/>
        <v>-</v>
      </c>
      <c r="BZ467" s="72">
        <f t="shared" si="4535"/>
        <v>224</v>
      </c>
      <c r="CA467" s="71" t="str">
        <f t="shared" si="4536"/>
        <v>-</v>
      </c>
      <c r="CB467" s="72">
        <f t="shared" si="4537"/>
        <v>262</v>
      </c>
      <c r="CC467" s="71">
        <f t="shared" si="4538"/>
        <v>296</v>
      </c>
      <c r="CD467" s="72">
        <f t="shared" si="4539"/>
        <v>302</v>
      </c>
      <c r="CE467" s="71">
        <f t="shared" si="4540"/>
        <v>341</v>
      </c>
      <c r="CF467" s="72">
        <f t="shared" si="4541"/>
        <v>377</v>
      </c>
      <c r="CG467" s="71">
        <f t="shared" si="4542"/>
        <v>406</v>
      </c>
      <c r="CH467" s="70">
        <f t="shared" si="4543"/>
        <v>169</v>
      </c>
      <c r="CI467" s="71">
        <f t="shared" si="4544"/>
        <v>173</v>
      </c>
      <c r="CJ467" s="72">
        <f t="shared" si="4545"/>
        <v>206</v>
      </c>
      <c r="CK467" s="72" t="str">
        <f t="shared" si="4546"/>
        <v>-</v>
      </c>
      <c r="CL467" s="72">
        <f t="shared" si="4547"/>
        <v>257</v>
      </c>
      <c r="CM467" s="72" t="str">
        <f t="shared" si="4548"/>
        <v>-</v>
      </c>
      <c r="CN467" s="72">
        <f t="shared" si="4549"/>
        <v>292</v>
      </c>
      <c r="CO467" s="72">
        <f t="shared" si="4550"/>
        <v>298</v>
      </c>
      <c r="CP467" s="72">
        <f t="shared" si="4551"/>
        <v>339</v>
      </c>
      <c r="CQ467" s="72">
        <f t="shared" si="4552"/>
        <v>371</v>
      </c>
      <c r="CR467" s="72">
        <f t="shared" si="4553"/>
        <v>405</v>
      </c>
      <c r="CS467" s="72">
        <f t="shared" si="4554"/>
        <v>431</v>
      </c>
      <c r="CT467" s="23">
        <f t="shared" si="4555"/>
        <v>1</v>
      </c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</row>
    <row r="468" spans="1:1029" x14ac:dyDescent="0.2">
      <c r="A468" s="3" t="str">
        <f t="shared" si="4528"/>
        <v>glp1r_human_5VEW</v>
      </c>
      <c r="B468" s="3" t="s">
        <v>405</v>
      </c>
      <c r="C468" s="3" t="s">
        <v>1401</v>
      </c>
      <c r="D468" s="3" t="str">
        <f>IFERROR(MID(VLOOKUP($B468,Seqs!$A:$B,2,0),E468,1),"")</f>
        <v>S</v>
      </c>
      <c r="E468" s="3">
        <v>136</v>
      </c>
      <c r="F468" s="3" t="str">
        <f>IFERROR(MID(VLOOKUP($B468,Seqs!$A:$B,2,0),G468,1),"")</f>
        <v>F</v>
      </c>
      <c r="G468" s="3">
        <v>169</v>
      </c>
      <c r="H468" s="3" t="str">
        <f>IFERROR(MID(VLOOKUP($B468,Seqs!$A:$B,2,0),I468,1),"")</f>
        <v>R</v>
      </c>
      <c r="I468" s="23">
        <v>170</v>
      </c>
      <c r="J468" s="3" t="str">
        <f>IFERROR(MID(VLOOKUP($B468,Seqs!$A:$B,2,0),K468,1),"")</f>
        <v>H</v>
      </c>
      <c r="K468" s="23">
        <v>173</v>
      </c>
      <c r="L468" s="3" t="str">
        <f>IFERROR(MID(VLOOKUP($B468,Seqs!$A:$B,2,0),M468,1),"")</f>
        <v>C</v>
      </c>
      <c r="M468" s="23">
        <v>174</v>
      </c>
      <c r="N468" s="3" t="str">
        <f>IFERROR(MID(VLOOKUP($B468,Seqs!$A:$B,2,0),O468,1),"")</f>
        <v>K</v>
      </c>
      <c r="O468" s="3">
        <v>202</v>
      </c>
      <c r="P468" s="3" t="str">
        <f>IFERROR(MID(VLOOKUP($B468,Seqs!$A:$B,2,0),Q468,1),"")</f>
        <v/>
      </c>
      <c r="Q468" s="3" t="s">
        <v>23</v>
      </c>
      <c r="R468" s="3" t="str">
        <f>IFERROR(MID(VLOOKUP($B468,Seqs!$A:$B,2,0),S468,1),"")</f>
        <v/>
      </c>
      <c r="S468" s="3" t="s">
        <v>23</v>
      </c>
      <c r="T468" s="3" t="str">
        <f>IFERROR(MID(VLOOKUP($B468,Seqs!$A:$B,2,0),U468,1),"")</f>
        <v>L</v>
      </c>
      <c r="U468" s="3">
        <v>224</v>
      </c>
      <c r="V468" s="3" t="str">
        <f>IFERROR(MID(VLOOKUP($B468,Seqs!$A:$B,2,0),W468,1),"")</f>
        <v>F</v>
      </c>
      <c r="W468" s="3">
        <v>257</v>
      </c>
      <c r="X468" s="3" t="str">
        <f>IFERROR(MID(VLOOKUP($B468,Seqs!$A:$B,2,0),Y468,1),"")</f>
        <v/>
      </c>
      <c r="Y468" s="3" t="s">
        <v>23</v>
      </c>
      <c r="Z468" s="3" t="str">
        <f>IFERROR(MID(VLOOKUP($B468,Seqs!$A:$B,2,0),AA468,1),"")</f>
        <v/>
      </c>
      <c r="AA468" s="3" t="s">
        <v>23</v>
      </c>
      <c r="AB468" s="3" t="str">
        <f>IFERROR(MID(VLOOKUP($B468,Seqs!$A:$B,2,0),AC468,1),"")</f>
        <v>E</v>
      </c>
      <c r="AC468" s="3">
        <v>262</v>
      </c>
      <c r="AD468" s="3" t="str">
        <f>IFERROR(MID(VLOOKUP($B468,Seqs!$A:$B,2,0),AE468,1),"")</f>
        <v>E</v>
      </c>
      <c r="AE468" s="3">
        <v>292</v>
      </c>
      <c r="AF468" s="3" t="str">
        <f>IFERROR(MID(VLOOKUP($B468,Seqs!$A:$B,2,0),AG468,1),"")</f>
        <v>C</v>
      </c>
      <c r="AG468" s="3">
        <v>296</v>
      </c>
      <c r="AH468" s="3" t="str">
        <f>IFERROR(MID(VLOOKUP($B468,Seqs!$A:$B,2,0),AI468,1),"")</f>
        <v>T</v>
      </c>
      <c r="AI468" s="3">
        <v>298</v>
      </c>
      <c r="AJ468" s="3" t="str">
        <f>IFERROR(MID(VLOOKUP($B468,Seqs!$A:$B,2,0),AK468,1),"")</f>
        <v>M</v>
      </c>
      <c r="AK468" s="3">
        <v>303</v>
      </c>
      <c r="AL468" s="3" t="str">
        <f>IFERROR(MID(VLOOKUP($B468,Seqs!$A:$B,2,0),AM468,1),"")</f>
        <v>A</v>
      </c>
      <c r="AM468" s="3">
        <v>337</v>
      </c>
      <c r="AN468" s="3" t="str">
        <f>IFERROR(MID(VLOOKUP($B468,Seqs!$A:$B,2,0),AO468,1),"")</f>
        <v>D</v>
      </c>
      <c r="AO468" s="3">
        <v>344</v>
      </c>
      <c r="AP468" s="3" t="str">
        <f>IFERROR(MID(VLOOKUP($B468,Seqs!$A:$B,2,0),AQ468,1),"")</f>
        <v>F</v>
      </c>
      <c r="AQ468" s="3">
        <v>367</v>
      </c>
      <c r="AR468" s="3" t="str">
        <f>IFERROR(MID(VLOOKUP($B468,Seqs!$A:$B,2,0),AS468,1),"")</f>
        <v>R</v>
      </c>
      <c r="AS468" s="3">
        <v>380</v>
      </c>
      <c r="AT468" s="3" t="str">
        <f>IFERROR(MID(VLOOKUP($B468,Seqs!$A:$B,2,0),AU468,1),"")</f>
        <v>V</v>
      </c>
      <c r="AU468" s="3">
        <v>405</v>
      </c>
      <c r="AV468" s="3" t="str">
        <f>IFERROR(MID(VLOOKUP($B468,Seqs!$A:$B,2,0),AW468,1),"")</f>
        <v>N</v>
      </c>
      <c r="AW468" s="3">
        <v>406</v>
      </c>
      <c r="AX468" s="3" t="str">
        <f>IFERROR(MID(VLOOKUP($B468,Seqs!$A:$B,2,0),AY468,1),"")</f>
        <v>L</v>
      </c>
      <c r="AY468" s="3">
        <v>422</v>
      </c>
      <c r="AZ468" s="77" t="str">
        <f>VLOOKUP(B468,Classification!A:D,2,0)</f>
        <v>B1</v>
      </c>
      <c r="BA468" s="94" t="str">
        <f>VLOOKUP(B468,Classification!A:D,4,0)</f>
        <v>Glucagonreceptorfamily</v>
      </c>
      <c r="BB468" s="27" t="b">
        <f t="shared" si="4529"/>
        <v>1</v>
      </c>
      <c r="BC468" s="23">
        <f t="shared" si="4530"/>
        <v>239</v>
      </c>
      <c r="BD468" s="4" t="s">
        <v>1370</v>
      </c>
      <c r="BE468" s="3" t="s">
        <v>1368</v>
      </c>
      <c r="BF468" s="118">
        <v>2.7</v>
      </c>
      <c r="BG468" s="49" t="s">
        <v>1275</v>
      </c>
      <c r="BH468" s="49" t="s">
        <v>1275</v>
      </c>
      <c r="BI468" s="1"/>
      <c r="BJ468" s="70" t="s">
        <v>1281</v>
      </c>
      <c r="BK468" s="57" t="s">
        <v>1281</v>
      </c>
      <c r="BL468" s="57" t="s">
        <v>1281</v>
      </c>
      <c r="BM468" s="57" t="s">
        <v>1281</v>
      </c>
      <c r="BN468" s="57" t="s">
        <v>1281</v>
      </c>
      <c r="BO468" s="57" t="s">
        <v>1281</v>
      </c>
      <c r="BP468" s="57" t="s">
        <v>1281</v>
      </c>
      <c r="BQ468" s="57" t="s">
        <v>1281</v>
      </c>
      <c r="BR468" s="57" t="s">
        <v>1281</v>
      </c>
      <c r="BS468" s="57" t="s">
        <v>1281</v>
      </c>
      <c r="BT468" s="57" t="s">
        <v>1281</v>
      </c>
      <c r="BU468" s="57" t="s">
        <v>1281</v>
      </c>
      <c r="BV468" s="70">
        <f t="shared" si="4531"/>
        <v>136</v>
      </c>
      <c r="BW468" s="71">
        <f t="shared" si="4532"/>
        <v>170</v>
      </c>
      <c r="BX468" s="72">
        <f t="shared" si="4533"/>
        <v>174</v>
      </c>
      <c r="BY468" s="71" t="str">
        <f t="shared" si="4534"/>
        <v>-</v>
      </c>
      <c r="BZ468" s="72">
        <f t="shared" si="4535"/>
        <v>224</v>
      </c>
      <c r="CA468" s="71" t="str">
        <f t="shared" si="4536"/>
        <v>-</v>
      </c>
      <c r="CB468" s="72">
        <f t="shared" si="4537"/>
        <v>262</v>
      </c>
      <c r="CC468" s="71">
        <f t="shared" si="4538"/>
        <v>296</v>
      </c>
      <c r="CD468" s="72">
        <f t="shared" si="4539"/>
        <v>303</v>
      </c>
      <c r="CE468" s="71">
        <f t="shared" si="4540"/>
        <v>344</v>
      </c>
      <c r="CF468" s="72">
        <f t="shared" si="4541"/>
        <v>380</v>
      </c>
      <c r="CG468" s="71">
        <f t="shared" si="4542"/>
        <v>406</v>
      </c>
      <c r="CH468" s="70">
        <f t="shared" si="4543"/>
        <v>169</v>
      </c>
      <c r="CI468" s="71">
        <f t="shared" si="4544"/>
        <v>173</v>
      </c>
      <c r="CJ468" s="72">
        <f t="shared" si="4545"/>
        <v>202</v>
      </c>
      <c r="CK468" s="72" t="str">
        <f t="shared" si="4546"/>
        <v>-</v>
      </c>
      <c r="CL468" s="72">
        <f t="shared" si="4547"/>
        <v>257</v>
      </c>
      <c r="CM468" s="72" t="str">
        <f t="shared" si="4548"/>
        <v>-</v>
      </c>
      <c r="CN468" s="72">
        <f t="shared" si="4549"/>
        <v>292</v>
      </c>
      <c r="CO468" s="72">
        <f t="shared" si="4550"/>
        <v>298</v>
      </c>
      <c r="CP468" s="72">
        <f t="shared" si="4551"/>
        <v>337</v>
      </c>
      <c r="CQ468" s="72">
        <f t="shared" si="4552"/>
        <v>367</v>
      </c>
      <c r="CR468" s="72">
        <f t="shared" si="4553"/>
        <v>405</v>
      </c>
      <c r="CS468" s="72">
        <f t="shared" si="4554"/>
        <v>422</v>
      </c>
      <c r="CT468" s="23">
        <f t="shared" si="4555"/>
        <v>1</v>
      </c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</row>
    <row r="469" spans="1:1029" x14ac:dyDescent="0.2">
      <c r="A469" s="3" t="str">
        <f t="shared" si="4528"/>
        <v>glp1r_human_5VEX</v>
      </c>
      <c r="B469" s="3" t="s">
        <v>405</v>
      </c>
      <c r="C469" s="3" t="s">
        <v>1400</v>
      </c>
      <c r="D469" s="3" t="str">
        <f>IFERROR(MID(VLOOKUP($B469,Seqs!$A:$B,2,0),E469,1),"")</f>
        <v>S</v>
      </c>
      <c r="E469" s="3">
        <v>136</v>
      </c>
      <c r="F469" s="3" t="str">
        <f>IFERROR(MID(VLOOKUP($B469,Seqs!$A:$B,2,0),G469,1),"")</f>
        <v>F</v>
      </c>
      <c r="G469" s="3">
        <v>169</v>
      </c>
      <c r="H469" s="3" t="str">
        <f>IFERROR(MID(VLOOKUP($B469,Seqs!$A:$B,2,0),I469,1),"")</f>
        <v>R</v>
      </c>
      <c r="I469" s="23">
        <v>170</v>
      </c>
      <c r="J469" s="3" t="str">
        <f>IFERROR(MID(VLOOKUP($B469,Seqs!$A:$B,2,0),K469,1),"")</f>
        <v>H</v>
      </c>
      <c r="K469" s="23">
        <v>173</v>
      </c>
      <c r="L469" s="3" t="str">
        <f>IFERROR(MID(VLOOKUP($B469,Seqs!$A:$B,2,0),M469,1),"")</f>
        <v>C</v>
      </c>
      <c r="M469" s="23">
        <v>174</v>
      </c>
      <c r="N469" s="3" t="str">
        <f>IFERROR(MID(VLOOKUP($B469,Seqs!$A:$B,2,0),O469,1),"")</f>
        <v>K</v>
      </c>
      <c r="O469" s="3">
        <v>202</v>
      </c>
      <c r="P469" s="3" t="str">
        <f>IFERROR(MID(VLOOKUP($B469,Seqs!$A:$B,2,0),Q469,1),"")</f>
        <v/>
      </c>
      <c r="Q469" s="3" t="s">
        <v>23</v>
      </c>
      <c r="R469" s="3" t="str">
        <f>IFERROR(MID(VLOOKUP($B469,Seqs!$A:$B,2,0),S469,1),"")</f>
        <v/>
      </c>
      <c r="S469" s="3" t="s">
        <v>23</v>
      </c>
      <c r="T469" s="3" t="str">
        <f>IFERROR(MID(VLOOKUP($B469,Seqs!$A:$B,2,0),U469,1),"")</f>
        <v>L</v>
      </c>
      <c r="U469" s="3">
        <v>224</v>
      </c>
      <c r="V469" s="3" t="str">
        <f>IFERROR(MID(VLOOKUP($B469,Seqs!$A:$B,2,0),W469,1),"")</f>
        <v>F</v>
      </c>
      <c r="W469" s="3">
        <v>257</v>
      </c>
      <c r="X469" s="3" t="str">
        <f>IFERROR(MID(VLOOKUP($B469,Seqs!$A:$B,2,0),Y469,1),"")</f>
        <v/>
      </c>
      <c r="Y469" s="3" t="s">
        <v>23</v>
      </c>
      <c r="Z469" s="3" t="str">
        <f>IFERROR(MID(VLOOKUP($B469,Seqs!$A:$B,2,0),AA469,1),"")</f>
        <v/>
      </c>
      <c r="AA469" s="3" t="s">
        <v>23</v>
      </c>
      <c r="AB469" s="3" t="str">
        <f>IFERROR(MID(VLOOKUP($B469,Seqs!$A:$B,2,0),AC469,1),"")</f>
        <v>E</v>
      </c>
      <c r="AC469" s="3">
        <v>262</v>
      </c>
      <c r="AD469" s="3" t="str">
        <f>IFERROR(MID(VLOOKUP($B469,Seqs!$A:$B,2,0),AE469,1),"")</f>
        <v>E</v>
      </c>
      <c r="AE469" s="3">
        <v>292</v>
      </c>
      <c r="AF469" s="3" t="str">
        <f>IFERROR(MID(VLOOKUP($B469,Seqs!$A:$B,2,0),AG469,1),"")</f>
        <v>C</v>
      </c>
      <c r="AG469" s="3">
        <v>296</v>
      </c>
      <c r="AH469" s="3" t="str">
        <f>IFERROR(MID(VLOOKUP($B469,Seqs!$A:$B,2,0),AI469,1),"")</f>
        <v>T</v>
      </c>
      <c r="AI469" s="3">
        <v>298</v>
      </c>
      <c r="AJ469" s="3" t="str">
        <f>IFERROR(MID(VLOOKUP($B469,Seqs!$A:$B,2,0),AK469,1),"")</f>
        <v>N</v>
      </c>
      <c r="AK469" s="3">
        <v>304</v>
      </c>
      <c r="AL469" s="3" t="str">
        <f>IFERROR(MID(VLOOKUP($B469,Seqs!$A:$B,2,0),AM469,1),"")</f>
        <v>A</v>
      </c>
      <c r="AM469" s="3">
        <v>337</v>
      </c>
      <c r="AN469" s="3" t="str">
        <f>IFERROR(MID(VLOOKUP($B469,Seqs!$A:$B,2,0),AO469,1),"")</f>
        <v>D</v>
      </c>
      <c r="AO469" s="3">
        <v>344</v>
      </c>
      <c r="AP469" s="3" t="str">
        <f>IFERROR(MID(VLOOKUP($B469,Seqs!$A:$B,2,0),AQ469,1),"")</f>
        <v>F</v>
      </c>
      <c r="AQ469" s="3">
        <v>367</v>
      </c>
      <c r="AR469" s="3" t="str">
        <f>IFERROR(MID(VLOOKUP($B469,Seqs!$A:$B,2,0),AS469,1),"")</f>
        <v>R</v>
      </c>
      <c r="AS469" s="3">
        <v>380</v>
      </c>
      <c r="AT469" s="3" t="str">
        <f>IFERROR(MID(VLOOKUP($B469,Seqs!$A:$B,2,0),AU469,1),"")</f>
        <v>V</v>
      </c>
      <c r="AU469" s="3">
        <v>405</v>
      </c>
      <c r="AV469" s="3" t="str">
        <f>IFERROR(MID(VLOOKUP($B469,Seqs!$A:$B,2,0),AW469,1),"")</f>
        <v>N</v>
      </c>
      <c r="AW469" s="3">
        <v>406</v>
      </c>
      <c r="AX469" s="3" t="str">
        <f>IFERROR(MID(VLOOKUP($B469,Seqs!$A:$B,2,0),AY469,1),"")</f>
        <v>L</v>
      </c>
      <c r="AY469" s="3">
        <v>422</v>
      </c>
      <c r="AZ469" s="77" t="str">
        <f>VLOOKUP(B469,Classification!A:D,2,0)</f>
        <v>B1</v>
      </c>
      <c r="BA469" s="94" t="str">
        <f>VLOOKUP(B469,Classification!A:D,4,0)</f>
        <v>Glucagonreceptorfamily</v>
      </c>
      <c r="BB469" s="27" t="b">
        <f t="shared" si="4529"/>
        <v>1</v>
      </c>
      <c r="BC469" s="23">
        <f t="shared" si="4530"/>
        <v>238</v>
      </c>
      <c r="BD469" s="4" t="s">
        <v>23</v>
      </c>
      <c r="BE469" s="3" t="s">
        <v>1368</v>
      </c>
      <c r="BF469" s="118">
        <v>3</v>
      </c>
      <c r="BG469" s="49" t="s">
        <v>1</v>
      </c>
      <c r="BH469" s="49" t="s">
        <v>1</v>
      </c>
      <c r="BI469" s="1"/>
      <c r="BJ469" s="70" t="s">
        <v>1281</v>
      </c>
      <c r="BK469" s="57" t="s">
        <v>1281</v>
      </c>
      <c r="BL469" s="57" t="s">
        <v>1281</v>
      </c>
      <c r="BM469" s="57" t="s">
        <v>1281</v>
      </c>
      <c r="BN469" s="57" t="s">
        <v>1281</v>
      </c>
      <c r="BO469" s="57" t="s">
        <v>1281</v>
      </c>
      <c r="BP469" s="57" t="s">
        <v>1281</v>
      </c>
      <c r="BQ469" s="57" t="s">
        <v>1281</v>
      </c>
      <c r="BR469" s="57" t="s">
        <v>1281</v>
      </c>
      <c r="BS469" s="57" t="s">
        <v>1281</v>
      </c>
      <c r="BT469" s="57" t="s">
        <v>1281</v>
      </c>
      <c r="BU469" s="57" t="s">
        <v>1281</v>
      </c>
      <c r="BV469" s="70">
        <f t="shared" si="4531"/>
        <v>136</v>
      </c>
      <c r="BW469" s="71">
        <f t="shared" si="4532"/>
        <v>170</v>
      </c>
      <c r="BX469" s="72">
        <f t="shared" si="4533"/>
        <v>174</v>
      </c>
      <c r="BY469" s="71" t="str">
        <f t="shared" si="4534"/>
        <v>-</v>
      </c>
      <c r="BZ469" s="72">
        <f t="shared" si="4535"/>
        <v>224</v>
      </c>
      <c r="CA469" s="71" t="str">
        <f t="shared" si="4536"/>
        <v>-</v>
      </c>
      <c r="CB469" s="72">
        <f t="shared" si="4537"/>
        <v>262</v>
      </c>
      <c r="CC469" s="71">
        <f t="shared" si="4538"/>
        <v>296</v>
      </c>
      <c r="CD469" s="72">
        <f t="shared" si="4539"/>
        <v>304</v>
      </c>
      <c r="CE469" s="71">
        <f t="shared" si="4540"/>
        <v>344</v>
      </c>
      <c r="CF469" s="72">
        <f t="shared" si="4541"/>
        <v>380</v>
      </c>
      <c r="CG469" s="71">
        <f t="shared" si="4542"/>
        <v>406</v>
      </c>
      <c r="CH469" s="70">
        <f t="shared" si="4543"/>
        <v>169</v>
      </c>
      <c r="CI469" s="71">
        <f t="shared" si="4544"/>
        <v>173</v>
      </c>
      <c r="CJ469" s="72">
        <f t="shared" si="4545"/>
        <v>202</v>
      </c>
      <c r="CK469" s="72" t="str">
        <f t="shared" si="4546"/>
        <v>-</v>
      </c>
      <c r="CL469" s="72">
        <f t="shared" si="4547"/>
        <v>257</v>
      </c>
      <c r="CM469" s="72" t="str">
        <f t="shared" si="4548"/>
        <v>-</v>
      </c>
      <c r="CN469" s="72">
        <f t="shared" si="4549"/>
        <v>292</v>
      </c>
      <c r="CO469" s="72">
        <f t="shared" si="4550"/>
        <v>298</v>
      </c>
      <c r="CP469" s="72">
        <f t="shared" si="4551"/>
        <v>337</v>
      </c>
      <c r="CQ469" s="72">
        <f t="shared" si="4552"/>
        <v>367</v>
      </c>
      <c r="CR469" s="72">
        <f t="shared" si="4553"/>
        <v>405</v>
      </c>
      <c r="CS469" s="72">
        <f t="shared" si="4554"/>
        <v>422</v>
      </c>
      <c r="CT469" s="23">
        <f t="shared" si="4555"/>
        <v>1</v>
      </c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</row>
    <row r="470" spans="1:1029" x14ac:dyDescent="0.2">
      <c r="A470" s="3" t="str">
        <f t="shared" si="4528"/>
        <v>glp1r_human_5NX2</v>
      </c>
      <c r="B470" s="3" t="s">
        <v>405</v>
      </c>
      <c r="C470" s="3" t="s">
        <v>1412</v>
      </c>
      <c r="D470" s="3" t="str">
        <f>IFERROR(MID(VLOOKUP($B470,Seqs!$A:$B,2,0),E470,1),"")</f>
        <v>E</v>
      </c>
      <c r="E470" s="3">
        <v>138</v>
      </c>
      <c r="F470" s="3" t="str">
        <f>IFERROR(MID(VLOOKUP($B470,Seqs!$A:$B,2,0),G470,1),"")</f>
        <v>F</v>
      </c>
      <c r="G470" s="3">
        <v>169</v>
      </c>
      <c r="H470" s="3" t="str">
        <f>IFERROR(MID(VLOOKUP($B470,Seqs!$A:$B,2,0),I470,1),"")</f>
        <v>R</v>
      </c>
      <c r="I470" s="23">
        <v>170</v>
      </c>
      <c r="J470" s="3" t="str">
        <f>IFERROR(MID(VLOOKUP($B470,Seqs!$A:$B,2,0),K470,1),"")</f>
        <v>H</v>
      </c>
      <c r="K470" s="23">
        <v>173</v>
      </c>
      <c r="L470" s="3" t="str">
        <f>IFERROR(MID(VLOOKUP($B470,Seqs!$A:$B,2,0),M470,1),"")</f>
        <v>C</v>
      </c>
      <c r="M470" s="23">
        <v>174</v>
      </c>
      <c r="N470" s="3" t="str">
        <f>IFERROR(MID(VLOOKUP($B470,Seqs!$A:$B,2,0),O470,1),"")</f>
        <v>S</v>
      </c>
      <c r="O470" s="3">
        <v>206</v>
      </c>
      <c r="P470" s="3" t="str">
        <f>IFERROR(MID(VLOOKUP($B470,Seqs!$A:$B,2,0),Q470,1),"")</f>
        <v/>
      </c>
      <c r="Q470" s="3" t="s">
        <v>23</v>
      </c>
      <c r="R470" s="3" t="str">
        <f>IFERROR(MID(VLOOKUP($B470,Seqs!$A:$B,2,0),S470,1),"")</f>
        <v/>
      </c>
      <c r="S470" s="3" t="s">
        <v>23</v>
      </c>
      <c r="T470" s="3" t="str">
        <f>IFERROR(MID(VLOOKUP($B470,Seqs!$A:$B,2,0),U470,1),"")</f>
        <v>L</v>
      </c>
      <c r="U470" s="3">
        <v>224</v>
      </c>
      <c r="V470" s="3" t="str">
        <f>IFERROR(MID(VLOOKUP($B470,Seqs!$A:$B,2,0),W470,1),"")</f>
        <v>F</v>
      </c>
      <c r="W470" s="3">
        <v>257</v>
      </c>
      <c r="X470" s="3" t="str">
        <f>IFERROR(MID(VLOOKUP($B470,Seqs!$A:$B,2,0),Y470,1),"")</f>
        <v/>
      </c>
      <c r="Y470" s="3" t="s">
        <v>23</v>
      </c>
      <c r="Z470" s="3" t="str">
        <f>IFERROR(MID(VLOOKUP($B470,Seqs!$A:$B,2,0),AA470,1),"")</f>
        <v/>
      </c>
      <c r="AA470" s="3" t="s">
        <v>23</v>
      </c>
      <c r="AB470" s="3" t="str">
        <f>IFERROR(MID(VLOOKUP($B470,Seqs!$A:$B,2,0),AC470,1),"")</f>
        <v>E</v>
      </c>
      <c r="AC470" s="3">
        <v>262</v>
      </c>
      <c r="AD470" s="3" t="str">
        <f>IFERROR(MID(VLOOKUP($B470,Seqs!$A:$B,2,0),AE470,1),"")</f>
        <v>Y</v>
      </c>
      <c r="AE470" s="3">
        <v>291</v>
      </c>
      <c r="AF470" s="3" t="str">
        <f>IFERROR(MID(VLOOKUP($B470,Seqs!$A:$B,2,0),AG470,1),"")</f>
        <v>C</v>
      </c>
      <c r="AG470" s="3">
        <v>296</v>
      </c>
      <c r="AH470" s="3" t="str">
        <f>IFERROR(MID(VLOOKUP($B470,Seqs!$A:$B,2,0),AI470,1),"")</f>
        <v>T</v>
      </c>
      <c r="AI470" s="3">
        <v>298</v>
      </c>
      <c r="AJ470" s="3" t="str">
        <f>IFERROR(MID(VLOOKUP($B470,Seqs!$A:$B,2,0),AK470,1),"")</f>
        <v>N</v>
      </c>
      <c r="AK470" s="3">
        <v>302</v>
      </c>
      <c r="AL470" s="3" t="str">
        <f>IFERROR(MID(VLOOKUP($B470,Seqs!$A:$B,2,0),AM470,1),"")</f>
        <v>L</v>
      </c>
      <c r="AM470" s="3">
        <v>335</v>
      </c>
      <c r="AN470" s="3" t="str">
        <f>IFERROR(MID(VLOOKUP($B470,Seqs!$A:$B,2,0),AO470,1),"")</f>
        <v>M</v>
      </c>
      <c r="AO470" s="3">
        <v>340</v>
      </c>
      <c r="AP470" s="3" t="str">
        <f>IFERROR(MID(VLOOKUP($B470,Seqs!$A:$B,2,0),AQ470,1),"")</f>
        <v>F</v>
      </c>
      <c r="AQ470" s="3">
        <v>369</v>
      </c>
      <c r="AR470" s="3" t="str">
        <f>IFERROR(MID(VLOOKUP($B470,Seqs!$A:$B,2,0),AS470,1),"")</f>
        <v>G</v>
      </c>
      <c r="AS470" s="3">
        <v>377</v>
      </c>
      <c r="AT470" s="3" t="str">
        <f>IFERROR(MID(VLOOKUP($B470,Seqs!$A:$B,2,0),AU470,1),"")</f>
        <v>V</v>
      </c>
      <c r="AU470" s="3">
        <v>405</v>
      </c>
      <c r="AV470" s="3" t="str">
        <f>IFERROR(MID(VLOOKUP($B470,Seqs!$A:$B,2,0),AW470,1),"")</f>
        <v>N</v>
      </c>
      <c r="AW470" s="3">
        <v>406</v>
      </c>
      <c r="AX470" s="3" t="str">
        <f>IFERROR(MID(VLOOKUP($B470,Seqs!$A:$B,2,0),AY470,1),"")</f>
        <v>S</v>
      </c>
      <c r="AY470" s="3">
        <v>416</v>
      </c>
      <c r="AZ470" s="77" t="str">
        <f>VLOOKUP(B470,Classification!A:D,2,0)</f>
        <v>B1</v>
      </c>
      <c r="BA470" s="94" t="str">
        <f>VLOOKUP(B470,Classification!A:D,4,0)</f>
        <v>Glucagonreceptorfamily</v>
      </c>
      <c r="BB470" s="27" t="b">
        <f t="shared" si="4529"/>
        <v>1</v>
      </c>
      <c r="BC470" s="23">
        <f t="shared" si="4530"/>
        <v>242</v>
      </c>
      <c r="BD470" s="4" t="s">
        <v>1423</v>
      </c>
      <c r="BE470" s="3" t="s">
        <v>1422</v>
      </c>
      <c r="BF470" s="118">
        <v>3.7</v>
      </c>
      <c r="BG470" s="49" t="s">
        <v>1</v>
      </c>
      <c r="BH470" s="49" t="s">
        <v>1</v>
      </c>
      <c r="BI470" s="1"/>
      <c r="BJ470" s="70" t="s">
        <v>1281</v>
      </c>
      <c r="BK470" s="57" t="s">
        <v>1281</v>
      </c>
      <c r="BL470" s="57" t="s">
        <v>1281</v>
      </c>
      <c r="BM470" s="57" t="s">
        <v>1281</v>
      </c>
      <c r="BN470" s="57" t="s">
        <v>1281</v>
      </c>
      <c r="BO470" s="57" t="s">
        <v>1281</v>
      </c>
      <c r="BP470" s="57" t="s">
        <v>1281</v>
      </c>
      <c r="BQ470" s="57" t="s">
        <v>1281</v>
      </c>
      <c r="BR470" s="57" t="s">
        <v>1281</v>
      </c>
      <c r="BS470" s="57" t="s">
        <v>1281</v>
      </c>
      <c r="BT470" s="57" t="s">
        <v>1281</v>
      </c>
      <c r="BU470" s="57" t="s">
        <v>1281</v>
      </c>
      <c r="BV470" s="70">
        <f t="shared" si="4531"/>
        <v>138</v>
      </c>
      <c r="BW470" s="71">
        <f t="shared" si="4532"/>
        <v>170</v>
      </c>
      <c r="BX470" s="72">
        <f t="shared" si="4533"/>
        <v>174</v>
      </c>
      <c r="BY470" s="71" t="str">
        <f t="shared" si="4534"/>
        <v>-</v>
      </c>
      <c r="BZ470" s="72">
        <f t="shared" si="4535"/>
        <v>224</v>
      </c>
      <c r="CA470" s="71" t="str">
        <f t="shared" si="4536"/>
        <v>-</v>
      </c>
      <c r="CB470" s="72">
        <f t="shared" si="4537"/>
        <v>262</v>
      </c>
      <c r="CC470" s="71">
        <f t="shared" si="4538"/>
        <v>296</v>
      </c>
      <c r="CD470" s="72">
        <f t="shared" si="4539"/>
        <v>302</v>
      </c>
      <c r="CE470" s="71">
        <f t="shared" si="4540"/>
        <v>340</v>
      </c>
      <c r="CF470" s="72">
        <f t="shared" si="4541"/>
        <v>377</v>
      </c>
      <c r="CG470" s="71">
        <f t="shared" si="4542"/>
        <v>406</v>
      </c>
      <c r="CH470" s="70">
        <f t="shared" si="4543"/>
        <v>169</v>
      </c>
      <c r="CI470" s="71">
        <f t="shared" si="4544"/>
        <v>173</v>
      </c>
      <c r="CJ470" s="72">
        <f t="shared" si="4545"/>
        <v>206</v>
      </c>
      <c r="CK470" s="72" t="str">
        <f t="shared" si="4546"/>
        <v>-</v>
      </c>
      <c r="CL470" s="72">
        <f t="shared" si="4547"/>
        <v>257</v>
      </c>
      <c r="CM470" s="72" t="str">
        <f t="shared" si="4548"/>
        <v>-</v>
      </c>
      <c r="CN470" s="72">
        <f t="shared" si="4549"/>
        <v>291</v>
      </c>
      <c r="CO470" s="72">
        <f t="shared" si="4550"/>
        <v>298</v>
      </c>
      <c r="CP470" s="72">
        <f t="shared" si="4551"/>
        <v>335</v>
      </c>
      <c r="CQ470" s="72">
        <f t="shared" si="4552"/>
        <v>369</v>
      </c>
      <c r="CR470" s="72">
        <f t="shared" si="4553"/>
        <v>405</v>
      </c>
      <c r="CS470" s="72">
        <f t="shared" si="4554"/>
        <v>416</v>
      </c>
      <c r="CT470" s="23">
        <f t="shared" si="4555"/>
        <v>1</v>
      </c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</row>
    <row r="471" spans="1:1029" x14ac:dyDescent="0.2">
      <c r="A471" s="3" t="str">
        <f t="shared" si="4528"/>
        <v>glp1r_human_6B3J</v>
      </c>
      <c r="B471" s="3" t="s">
        <v>405</v>
      </c>
      <c r="C471" s="3" t="s">
        <v>1467</v>
      </c>
      <c r="D471" s="3" t="str">
        <f>IFERROR(MID(VLOOKUP($B471,Seqs!$A:$B,2,0),E471,1),"")</f>
        <v>E</v>
      </c>
      <c r="E471" s="3">
        <v>138</v>
      </c>
      <c r="F471" s="3" t="str">
        <f>IFERROR(MID(VLOOKUP($B471,Seqs!$A:$B,2,0),G471,1),"")</f>
        <v>F</v>
      </c>
      <c r="G471" s="3">
        <v>169</v>
      </c>
      <c r="H471" s="3" t="str">
        <f>IFERROR(MID(VLOOKUP($B471,Seqs!$A:$B,2,0),I471,1),"")</f>
        <v/>
      </c>
      <c r="I471" s="23" t="s">
        <v>23</v>
      </c>
      <c r="J471" s="3" t="str">
        <f>IFERROR(MID(VLOOKUP($B471,Seqs!$A:$B,2,0),K471,1),"")</f>
        <v/>
      </c>
      <c r="K471" s="23" t="s">
        <v>23</v>
      </c>
      <c r="L471" s="3" t="str">
        <f>IFERROR(MID(VLOOKUP($B471,Seqs!$A:$B,2,0),M471,1),"")</f>
        <v>C</v>
      </c>
      <c r="M471" s="23">
        <v>174</v>
      </c>
      <c r="N471" s="3" t="str">
        <f>IFERROR(MID(VLOOKUP($B471,Seqs!$A:$B,2,0),O471,1),"")</f>
        <v>Y</v>
      </c>
      <c r="O471" s="3">
        <v>205</v>
      </c>
      <c r="P471" s="3" t="str">
        <f>IFERROR(MID(VLOOKUP($B471,Seqs!$A:$B,2,0),Q471,1),"")</f>
        <v/>
      </c>
      <c r="Q471" s="3" t="s">
        <v>23</v>
      </c>
      <c r="R471" s="3" t="str">
        <f>IFERROR(MID(VLOOKUP($B471,Seqs!$A:$B,2,0),S471,1),"")</f>
        <v/>
      </c>
      <c r="S471" s="3" t="s">
        <v>23</v>
      </c>
      <c r="T471" s="3" t="str">
        <f>IFERROR(MID(VLOOKUP($B471,Seqs!$A:$B,2,0),U471,1),"")</f>
        <v>S</v>
      </c>
      <c r="U471" s="3">
        <v>225</v>
      </c>
      <c r="V471" s="3" t="str">
        <f>IFERROR(MID(VLOOKUP($B471,Seqs!$A:$B,2,0),W471,1),"")</f>
        <v>F</v>
      </c>
      <c r="W471" s="3">
        <v>257</v>
      </c>
      <c r="X471" s="3" t="str">
        <f>IFERROR(MID(VLOOKUP($B471,Seqs!$A:$B,2,0),Y471,1),"")</f>
        <v/>
      </c>
      <c r="Y471" s="3" t="s">
        <v>23</v>
      </c>
      <c r="Z471" s="3" t="str">
        <f>IFERROR(MID(VLOOKUP($B471,Seqs!$A:$B,2,0),AA471,1),"")</f>
        <v/>
      </c>
      <c r="AA471" s="3" t="s">
        <v>23</v>
      </c>
      <c r="AB471" s="3" t="str">
        <f>IFERROR(MID(VLOOKUP($B471,Seqs!$A:$B,2,0),AC471,1),"")</f>
        <v>S</v>
      </c>
      <c r="AC471" s="3">
        <v>261</v>
      </c>
      <c r="AD471" s="3" t="str">
        <f>IFERROR(MID(VLOOKUP($B471,Seqs!$A:$B,2,0),AE471,1),"")</f>
        <v>E</v>
      </c>
      <c r="AE471" s="3">
        <v>292</v>
      </c>
      <c r="AF471" s="3" t="str">
        <f>IFERROR(MID(VLOOKUP($B471,Seqs!$A:$B,2,0),AG471,1),"")</f>
        <v>C</v>
      </c>
      <c r="AG471" s="3">
        <v>296</v>
      </c>
      <c r="AH471" s="3" t="str">
        <f>IFERROR(MID(VLOOKUP($B471,Seqs!$A:$B,2,0),AI471,1),"")</f>
        <v>T</v>
      </c>
      <c r="AI471" s="3">
        <v>298</v>
      </c>
      <c r="AJ471" s="3" t="str">
        <f>IFERROR(MID(VLOOKUP($B471,Seqs!$A:$B,2,0),AK471,1),"")</f>
        <v>N</v>
      </c>
      <c r="AK471" s="3">
        <v>302</v>
      </c>
      <c r="AL471" s="3" t="str">
        <f>IFERROR(MID(VLOOKUP($B471,Seqs!$A:$B,2,0),AM471,1),"")</f>
        <v>A</v>
      </c>
      <c r="AM471" s="3">
        <v>337</v>
      </c>
      <c r="AN471" s="3" t="str">
        <f>IFERROR(MID(VLOOKUP($B471,Seqs!$A:$B,2,0),AO471,1),"")</f>
        <v>D</v>
      </c>
      <c r="AO471" s="3">
        <v>344</v>
      </c>
      <c r="AP471" s="3" t="str">
        <f>IFERROR(MID(VLOOKUP($B471,Seqs!$A:$B,2,0),AQ471,1),"")</f>
        <v>F</v>
      </c>
      <c r="AQ471" s="3">
        <v>369</v>
      </c>
      <c r="AR471" s="3" t="str">
        <f>IFERROR(MID(VLOOKUP($B471,Seqs!$A:$B,2,0),AS471,1),"")</f>
        <v>R</v>
      </c>
      <c r="AS471" s="3">
        <v>380</v>
      </c>
      <c r="AT471" s="3" t="str">
        <f>IFERROR(MID(VLOOKUP($B471,Seqs!$A:$B,2,0),AU471,1),"")</f>
        <v>V</v>
      </c>
      <c r="AU471" s="3">
        <v>405</v>
      </c>
      <c r="AV471" s="3" t="str">
        <f>IFERROR(MID(VLOOKUP($B471,Seqs!$A:$B,2,0),AW471,1),"")</f>
        <v>N</v>
      </c>
      <c r="AW471" s="3">
        <v>406</v>
      </c>
      <c r="AX471" s="3" t="str">
        <f>IFERROR(MID(VLOOKUP($B471,Seqs!$A:$B,2,0),AY471,1),"")</f>
        <v>E</v>
      </c>
      <c r="AY471" s="3">
        <v>423</v>
      </c>
      <c r="AZ471" s="77" t="str">
        <f>VLOOKUP(B471,Classification!A:D,2,0)</f>
        <v>B1</v>
      </c>
      <c r="BA471" s="94" t="str">
        <f>VLOOKUP(B471,Classification!A:D,4,0)</f>
        <v>Glucagonreceptorfamily</v>
      </c>
      <c r="BB471" s="27" t="b">
        <f t="shared" si="4529"/>
        <v>1</v>
      </c>
      <c r="BC471" s="23">
        <f t="shared" si="4530"/>
        <v>241</v>
      </c>
      <c r="BD471" s="4" t="s">
        <v>23</v>
      </c>
      <c r="BE471" s="3" t="s">
        <v>1285</v>
      </c>
      <c r="BF471" s="118">
        <v>3.3</v>
      </c>
      <c r="BG471" s="49" t="s">
        <v>1416</v>
      </c>
      <c r="BH471" s="49" t="s">
        <v>1416</v>
      </c>
      <c r="BI471" s="1"/>
      <c r="BJ471" s="70" t="s">
        <v>1281</v>
      </c>
      <c r="BK471" s="57" t="s">
        <v>1281</v>
      </c>
      <c r="BL471" s="57" t="s">
        <v>1281</v>
      </c>
      <c r="BM471" s="57" t="s">
        <v>1281</v>
      </c>
      <c r="BN471" s="57" t="s">
        <v>1281</v>
      </c>
      <c r="BO471" s="57" t="s">
        <v>1281</v>
      </c>
      <c r="BP471" s="57" t="s">
        <v>1281</v>
      </c>
      <c r="BQ471" s="57" t="s">
        <v>1281</v>
      </c>
      <c r="BR471" s="57" t="s">
        <v>1281</v>
      </c>
      <c r="BS471" s="57" t="s">
        <v>1281</v>
      </c>
      <c r="BT471" s="57" t="s">
        <v>1281</v>
      </c>
      <c r="BU471" s="57" t="s">
        <v>1281</v>
      </c>
      <c r="BV471" s="70">
        <f t="shared" si="4531"/>
        <v>138</v>
      </c>
      <c r="BW471" s="71" t="str">
        <f t="shared" si="4532"/>
        <v>-</v>
      </c>
      <c r="BX471" s="72">
        <f t="shared" si="4533"/>
        <v>174</v>
      </c>
      <c r="BY471" s="71" t="str">
        <f t="shared" si="4534"/>
        <v>-</v>
      </c>
      <c r="BZ471" s="72">
        <f t="shared" si="4535"/>
        <v>225</v>
      </c>
      <c r="CA471" s="71" t="str">
        <f t="shared" si="4536"/>
        <v>-</v>
      </c>
      <c r="CB471" s="72">
        <f t="shared" si="4537"/>
        <v>261</v>
      </c>
      <c r="CC471" s="71">
        <f t="shared" si="4538"/>
        <v>296</v>
      </c>
      <c r="CD471" s="72">
        <f t="shared" si="4539"/>
        <v>302</v>
      </c>
      <c r="CE471" s="71">
        <f t="shared" si="4540"/>
        <v>344</v>
      </c>
      <c r="CF471" s="72">
        <f t="shared" si="4541"/>
        <v>380</v>
      </c>
      <c r="CG471" s="71">
        <f t="shared" si="4542"/>
        <v>406</v>
      </c>
      <c r="CH471" s="70">
        <f t="shared" si="4543"/>
        <v>169</v>
      </c>
      <c r="CI471" s="71" t="str">
        <f t="shared" si="4544"/>
        <v>-</v>
      </c>
      <c r="CJ471" s="72">
        <f t="shared" si="4545"/>
        <v>205</v>
      </c>
      <c r="CK471" s="72" t="str">
        <f t="shared" si="4546"/>
        <v>-</v>
      </c>
      <c r="CL471" s="72">
        <f t="shared" si="4547"/>
        <v>257</v>
      </c>
      <c r="CM471" s="72" t="str">
        <f t="shared" si="4548"/>
        <v>-</v>
      </c>
      <c r="CN471" s="72">
        <f t="shared" si="4549"/>
        <v>292</v>
      </c>
      <c r="CO471" s="72">
        <f t="shared" si="4550"/>
        <v>298</v>
      </c>
      <c r="CP471" s="72">
        <f t="shared" si="4551"/>
        <v>337</v>
      </c>
      <c r="CQ471" s="72">
        <f t="shared" si="4552"/>
        <v>369</v>
      </c>
      <c r="CR471" s="72">
        <f t="shared" si="4553"/>
        <v>405</v>
      </c>
      <c r="CS471" s="72">
        <f t="shared" si="4554"/>
        <v>423</v>
      </c>
      <c r="CT471" s="23" t="e">
        <f t="shared" si="4555"/>
        <v>#VALUE!</v>
      </c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</row>
    <row r="472" spans="1:1029" x14ac:dyDescent="0.2">
      <c r="A472" s="3" t="str">
        <f t="shared" ref="A472" si="4668">CONCATENATE(B472,"_",C472)</f>
        <v>glp1r_human_6KJV</v>
      </c>
      <c r="B472" s="3" t="s">
        <v>405</v>
      </c>
      <c r="C472" s="3" t="s">
        <v>1598</v>
      </c>
      <c r="D472" s="3" t="str">
        <f>IFERROR(MID(VLOOKUP($B472,Seqs!$A:$B,2,0),E472,1),"")</f>
        <v>S</v>
      </c>
      <c r="E472" s="3">
        <v>136</v>
      </c>
      <c r="F472" s="3" t="str">
        <f>IFERROR(MID(VLOOKUP($B472,Seqs!$A:$B,2,0),G472,1),"")</f>
        <v>F</v>
      </c>
      <c r="G472" s="3">
        <v>169</v>
      </c>
      <c r="H472" s="3" t="str">
        <f>IFERROR(MID(VLOOKUP($B472,Seqs!$A:$B,2,0),I472,1),"")</f>
        <v>R</v>
      </c>
      <c r="I472" s="23">
        <v>170</v>
      </c>
      <c r="J472" s="3" t="str">
        <f>IFERROR(MID(VLOOKUP($B472,Seqs!$A:$B,2,0),K472,1),"")</f>
        <v>H</v>
      </c>
      <c r="K472" s="23">
        <v>173</v>
      </c>
      <c r="L472" s="3" t="str">
        <f>IFERROR(MID(VLOOKUP($B472,Seqs!$A:$B,2,0),M472,1),"")</f>
        <v>C</v>
      </c>
      <c r="M472" s="23">
        <v>174</v>
      </c>
      <c r="N472" s="3" t="str">
        <f>IFERROR(MID(VLOOKUP($B472,Seqs!$A:$B,2,0),O472,1),"")</f>
        <v>K</v>
      </c>
      <c r="O472" s="3">
        <v>202</v>
      </c>
      <c r="P472" s="3" t="str">
        <f>IFERROR(MID(VLOOKUP($B472,Seqs!$A:$B,2,0),Q472,1),"")</f>
        <v/>
      </c>
      <c r="Q472" s="3" t="s">
        <v>23</v>
      </c>
      <c r="R472" s="3" t="str">
        <f>IFERROR(MID(VLOOKUP($B472,Seqs!$A:$B,2,0),S472,1),"")</f>
        <v/>
      </c>
      <c r="S472" s="3" t="s">
        <v>23</v>
      </c>
      <c r="T472" s="3" t="str">
        <f>IFERROR(MID(VLOOKUP($B472,Seqs!$A:$B,2,0),U472,1),"")</f>
        <v>L</v>
      </c>
      <c r="U472" s="3">
        <v>224</v>
      </c>
      <c r="V472" s="3" t="str">
        <f>IFERROR(MID(VLOOKUP($B472,Seqs!$A:$B,2,0),W472,1),"")</f>
        <v>F</v>
      </c>
      <c r="W472" s="3">
        <v>257</v>
      </c>
      <c r="X472" s="3" t="str">
        <f>IFERROR(MID(VLOOKUP($B472,Seqs!$A:$B,2,0),Y472,1),"")</f>
        <v/>
      </c>
      <c r="Y472" s="3" t="s">
        <v>23</v>
      </c>
      <c r="Z472" s="3" t="str">
        <f>IFERROR(MID(VLOOKUP($B472,Seqs!$A:$B,2,0),AA472,1),"")</f>
        <v/>
      </c>
      <c r="AA472" s="3" t="s">
        <v>23</v>
      </c>
      <c r="AB472" s="3" t="str">
        <f>IFERROR(MID(VLOOKUP($B472,Seqs!$A:$B,2,0),AC472,1),"")</f>
        <v>E</v>
      </c>
      <c r="AC472" s="3">
        <v>262</v>
      </c>
      <c r="AD472" s="3" t="str">
        <f>IFERROR(MID(VLOOKUP($B472,Seqs!$A:$B,2,0),AE472,1),"")</f>
        <v>E</v>
      </c>
      <c r="AE472" s="3">
        <v>292</v>
      </c>
      <c r="AF472" s="3" t="str">
        <f>IFERROR(MID(VLOOKUP($B472,Seqs!$A:$B,2,0),AG472,1),"")</f>
        <v>C</v>
      </c>
      <c r="AG472" s="3">
        <v>296</v>
      </c>
      <c r="AH472" s="3" t="str">
        <f>IFERROR(MID(VLOOKUP($B472,Seqs!$A:$B,2,0),AI472,1),"")</f>
        <v>T</v>
      </c>
      <c r="AI472" s="3">
        <v>298</v>
      </c>
      <c r="AJ472" s="3" t="str">
        <f>IFERROR(MID(VLOOKUP($B472,Seqs!$A:$B,2,0),AK472,1),"")</f>
        <v>M</v>
      </c>
      <c r="AK472" s="3">
        <v>303</v>
      </c>
      <c r="AL472" s="3" t="str">
        <f>IFERROR(MID(VLOOKUP($B472,Seqs!$A:$B,2,0),AM472,1),"")</f>
        <v>N</v>
      </c>
      <c r="AM472" s="3">
        <v>338</v>
      </c>
      <c r="AN472" s="3" t="str">
        <f>IFERROR(MID(VLOOKUP($B472,Seqs!$A:$B,2,0),AO472,1),"")</f>
        <v>D</v>
      </c>
      <c r="AO472" s="3">
        <v>344</v>
      </c>
      <c r="AP472" s="3" t="str">
        <f>IFERROR(MID(VLOOKUP($B472,Seqs!$A:$B,2,0),AQ472,1),"")</f>
        <v>F</v>
      </c>
      <c r="AQ472" s="3">
        <v>367</v>
      </c>
      <c r="AR472" s="3" t="str">
        <f>IFERROR(MID(VLOOKUP($B472,Seqs!$A:$B,2,0),AS472,1),"")</f>
        <v>R</v>
      </c>
      <c r="AS472" s="3">
        <v>380</v>
      </c>
      <c r="AT472" s="3" t="str">
        <f>IFERROR(MID(VLOOKUP($B472,Seqs!$A:$B,2,0),AU472,1),"")</f>
        <v>V</v>
      </c>
      <c r="AU472" s="3">
        <v>405</v>
      </c>
      <c r="AV472" s="3" t="str">
        <f>IFERROR(MID(VLOOKUP($B472,Seqs!$A:$B,2,0),AW472,1),"")</f>
        <v>N</v>
      </c>
      <c r="AW472" s="3">
        <v>406</v>
      </c>
      <c r="AX472" s="3" t="str">
        <f>IFERROR(MID(VLOOKUP($B472,Seqs!$A:$B,2,0),AY472,1),"")</f>
        <v>L</v>
      </c>
      <c r="AY472" s="3">
        <v>422</v>
      </c>
      <c r="AZ472" s="77" t="str">
        <f>VLOOKUP(B472,Classification!A:D,2,0)</f>
        <v>B1</v>
      </c>
      <c r="BA472" s="94" t="str">
        <f>VLOOKUP(B472,Classification!A:D,4,0)</f>
        <v>Glucagonreceptorfamily</v>
      </c>
      <c r="BB472" s="27" t="b">
        <f t="shared" ref="BB472" si="4669">AND(E472&lt;G472,OR(G472&lt;I472,I472="-"),OR(I472&lt;K472,I472="-"),OR(K472&lt;M472,K472="-"),M472&lt;O472,OR(O472&lt;Q472,Q472="-"),OR(Q472&lt;S472,Q472="-"),OR(S472&lt;U472,S472="-"),U472&lt;W472,OR(W472&lt;Y472,Y472="-"),OR(Y472&lt;AA472,Y472="-"),OR(AA472&lt;AC472,AA472="-"),AC472&lt;AE472,OR(AE472&lt;AG472,AG472="-"),OR(AG472&lt;AI472,AG472="-"),OR(AI472&lt;AK472,AI472="-"),AK472&lt;AM472,AM472&lt;AO472,AO472&lt;AQ472,AQ472&lt;AS472,AS472&lt;AU472,OR(AU472&lt;AW472,AW472="-"),OR(AW472&lt;AY472,AW472="-"))</f>
        <v>1</v>
      </c>
      <c r="BC472" s="23">
        <f t="shared" ref="BC472" si="4670">_xlfn.AGGREGATE(9,6,CH472:CS472)-_xlfn.AGGREGATE(9,6,BV472:CG472)+12</f>
        <v>240</v>
      </c>
      <c r="BD472" s="4" t="s">
        <v>23</v>
      </c>
      <c r="BE472" s="3" t="s">
        <v>1368</v>
      </c>
      <c r="BF472" s="118">
        <v>2.8</v>
      </c>
      <c r="BG472" s="49" t="s">
        <v>1275</v>
      </c>
      <c r="BH472" s="49" t="s">
        <v>1275</v>
      </c>
      <c r="BI472" s="1"/>
      <c r="BJ472" s="70" t="s">
        <v>1281</v>
      </c>
      <c r="BK472" s="57" t="s">
        <v>1281</v>
      </c>
      <c r="BL472" s="57" t="s">
        <v>1281</v>
      </c>
      <c r="BM472" s="57" t="s">
        <v>1281</v>
      </c>
      <c r="BN472" s="57" t="s">
        <v>1281</v>
      </c>
      <c r="BO472" s="57" t="s">
        <v>1281</v>
      </c>
      <c r="BP472" s="57" t="s">
        <v>1281</v>
      </c>
      <c r="BQ472" s="57" t="s">
        <v>1281</v>
      </c>
      <c r="BR472" s="57" t="s">
        <v>1281</v>
      </c>
      <c r="BS472" s="57" t="s">
        <v>1281</v>
      </c>
      <c r="BT472" s="57" t="s">
        <v>1281</v>
      </c>
      <c r="BU472" s="57" t="s">
        <v>1281</v>
      </c>
      <c r="BV472" s="70">
        <f t="shared" ref="BV472" si="4671">E472</f>
        <v>136</v>
      </c>
      <c r="BW472" s="71">
        <f t="shared" ref="BW472" si="4672">I472</f>
        <v>170</v>
      </c>
      <c r="BX472" s="72">
        <f t="shared" ref="BX472" si="4673">M472</f>
        <v>174</v>
      </c>
      <c r="BY472" s="71" t="str">
        <f t="shared" ref="BY472" si="4674">Q472</f>
        <v>-</v>
      </c>
      <c r="BZ472" s="72">
        <f t="shared" ref="BZ472" si="4675">U472</f>
        <v>224</v>
      </c>
      <c r="CA472" s="71" t="str">
        <f t="shared" ref="CA472" si="4676">Y472</f>
        <v>-</v>
      </c>
      <c r="CB472" s="72">
        <f t="shared" ref="CB472" si="4677">AC472</f>
        <v>262</v>
      </c>
      <c r="CC472" s="71">
        <f t="shared" ref="CC472" si="4678">AG472</f>
        <v>296</v>
      </c>
      <c r="CD472" s="72">
        <f t="shared" ref="CD472" si="4679">AK472</f>
        <v>303</v>
      </c>
      <c r="CE472" s="71">
        <f t="shared" ref="CE472" si="4680">AO472</f>
        <v>344</v>
      </c>
      <c r="CF472" s="72">
        <f t="shared" ref="CF472" si="4681">AS472</f>
        <v>380</v>
      </c>
      <c r="CG472" s="71">
        <f t="shared" ref="CG472" si="4682">AW472</f>
        <v>406</v>
      </c>
      <c r="CH472" s="70">
        <f t="shared" ref="CH472" si="4683">G472</f>
        <v>169</v>
      </c>
      <c r="CI472" s="71">
        <f t="shared" ref="CI472" si="4684">K472</f>
        <v>173</v>
      </c>
      <c r="CJ472" s="72">
        <f t="shared" ref="CJ472" si="4685">O472</f>
        <v>202</v>
      </c>
      <c r="CK472" s="72" t="str">
        <f t="shared" ref="CK472" si="4686">S472</f>
        <v>-</v>
      </c>
      <c r="CL472" s="72">
        <f t="shared" ref="CL472" si="4687">W472</f>
        <v>257</v>
      </c>
      <c r="CM472" s="72" t="str">
        <f t="shared" ref="CM472" si="4688">AA472</f>
        <v>-</v>
      </c>
      <c r="CN472" s="72">
        <f t="shared" ref="CN472" si="4689">AE472</f>
        <v>292</v>
      </c>
      <c r="CO472" s="72">
        <f t="shared" ref="CO472" si="4690">AI472</f>
        <v>298</v>
      </c>
      <c r="CP472" s="72">
        <f t="shared" ref="CP472" si="4691">AM472</f>
        <v>338</v>
      </c>
      <c r="CQ472" s="72">
        <f t="shared" ref="CQ472" si="4692">AQ472</f>
        <v>367</v>
      </c>
      <c r="CR472" s="72">
        <f t="shared" ref="CR472" si="4693">AU472</f>
        <v>405</v>
      </c>
      <c r="CS472" s="72">
        <f t="shared" ref="CS472" si="4694">AY472</f>
        <v>422</v>
      </c>
      <c r="CT472" s="23">
        <f t="shared" ref="CT472" si="4695">M472-K472</f>
        <v>1</v>
      </c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  <c r="AMK472" s="1"/>
      <c r="AML472" s="1"/>
      <c r="AMM472" s="1"/>
      <c r="AMN472" s="1"/>
      <c r="AMO472" s="1"/>
    </row>
    <row r="473" spans="1:1029" x14ac:dyDescent="0.2">
      <c r="A473" s="3" t="str">
        <f t="shared" ref="A473" si="4696">CONCATENATE(B473,"_",C473)</f>
        <v>glp1r_human_6KK1</v>
      </c>
      <c r="B473" s="3" t="s">
        <v>405</v>
      </c>
      <c r="C473" s="3" t="s">
        <v>1599</v>
      </c>
      <c r="D473" s="3" t="str">
        <f>IFERROR(MID(VLOOKUP($B473,Seqs!$A:$B,2,0),E473,1),"")</f>
        <v>S</v>
      </c>
      <c r="E473" s="3">
        <v>136</v>
      </c>
      <c r="F473" s="3" t="str">
        <f>IFERROR(MID(VLOOKUP($B473,Seqs!$A:$B,2,0),G473,1),"")</f>
        <v>F</v>
      </c>
      <c r="G473" s="3">
        <v>169</v>
      </c>
      <c r="H473" s="3" t="str">
        <f>IFERROR(MID(VLOOKUP($B473,Seqs!$A:$B,2,0),I473,1),"")</f>
        <v>R</v>
      </c>
      <c r="I473" s="23">
        <v>170</v>
      </c>
      <c r="J473" s="3" t="str">
        <f>IFERROR(MID(VLOOKUP($B473,Seqs!$A:$B,2,0),K473,1),"")</f>
        <v>H</v>
      </c>
      <c r="K473" s="23">
        <v>173</v>
      </c>
      <c r="L473" s="3" t="str">
        <f>IFERROR(MID(VLOOKUP($B473,Seqs!$A:$B,2,0),M473,1),"")</f>
        <v>C</v>
      </c>
      <c r="M473" s="23">
        <v>174</v>
      </c>
      <c r="N473" s="3" t="str">
        <f>IFERROR(MID(VLOOKUP($B473,Seqs!$A:$B,2,0),O473,1),"")</f>
        <v>K</v>
      </c>
      <c r="O473" s="3">
        <v>202</v>
      </c>
      <c r="P473" s="3" t="str">
        <f>IFERROR(MID(VLOOKUP($B473,Seqs!$A:$B,2,0),Q473,1),"")</f>
        <v/>
      </c>
      <c r="Q473" s="3" t="s">
        <v>23</v>
      </c>
      <c r="R473" s="3" t="str">
        <f>IFERROR(MID(VLOOKUP($B473,Seqs!$A:$B,2,0),S473,1),"")</f>
        <v/>
      </c>
      <c r="S473" s="3" t="s">
        <v>23</v>
      </c>
      <c r="T473" s="3" t="str">
        <f>IFERROR(MID(VLOOKUP($B473,Seqs!$A:$B,2,0),U473,1),"")</f>
        <v>L</v>
      </c>
      <c r="U473" s="3">
        <v>224</v>
      </c>
      <c r="V473" s="3" t="str">
        <f>IFERROR(MID(VLOOKUP($B473,Seqs!$A:$B,2,0),W473,1),"")</f>
        <v>F</v>
      </c>
      <c r="W473" s="3">
        <v>257</v>
      </c>
      <c r="X473" s="3" t="str">
        <f>IFERROR(MID(VLOOKUP($B473,Seqs!$A:$B,2,0),Y473,1),"")</f>
        <v/>
      </c>
      <c r="Y473" s="3" t="s">
        <v>23</v>
      </c>
      <c r="Z473" s="3" t="str">
        <f>IFERROR(MID(VLOOKUP($B473,Seqs!$A:$B,2,0),AA473,1),"")</f>
        <v/>
      </c>
      <c r="AA473" s="3" t="s">
        <v>23</v>
      </c>
      <c r="AB473" s="3" t="str">
        <f>IFERROR(MID(VLOOKUP($B473,Seqs!$A:$B,2,0),AC473,1),"")</f>
        <v>E</v>
      </c>
      <c r="AC473" s="3">
        <v>262</v>
      </c>
      <c r="AD473" s="3" t="str">
        <f>IFERROR(MID(VLOOKUP($B473,Seqs!$A:$B,2,0),AE473,1),"")</f>
        <v>E</v>
      </c>
      <c r="AE473" s="3">
        <v>292</v>
      </c>
      <c r="AF473" s="3" t="str">
        <f>IFERROR(MID(VLOOKUP($B473,Seqs!$A:$B,2,0),AG473,1),"")</f>
        <v>C</v>
      </c>
      <c r="AG473" s="3">
        <v>296</v>
      </c>
      <c r="AH473" s="3" t="str">
        <f>IFERROR(MID(VLOOKUP($B473,Seqs!$A:$B,2,0),AI473,1),"")</f>
        <v>T</v>
      </c>
      <c r="AI473" s="3">
        <v>298</v>
      </c>
      <c r="AJ473" s="3" t="str">
        <f>IFERROR(MID(VLOOKUP($B473,Seqs!$A:$B,2,0),AK473,1),"")</f>
        <v>M</v>
      </c>
      <c r="AK473" s="3">
        <v>303</v>
      </c>
      <c r="AL473" s="3" t="str">
        <f>IFERROR(MID(VLOOKUP($B473,Seqs!$A:$B,2,0),AM473,1),"")</f>
        <v>N</v>
      </c>
      <c r="AM473" s="3">
        <v>338</v>
      </c>
      <c r="AN473" s="3" t="str">
        <f>IFERROR(MID(VLOOKUP($B473,Seqs!$A:$B,2,0),AO473,1),"")</f>
        <v>D</v>
      </c>
      <c r="AO473" s="3">
        <v>344</v>
      </c>
      <c r="AP473" s="3" t="str">
        <f>IFERROR(MID(VLOOKUP($B473,Seqs!$A:$B,2,0),AQ473,1),"")</f>
        <v>F</v>
      </c>
      <c r="AQ473" s="3">
        <v>367</v>
      </c>
      <c r="AR473" s="3" t="str">
        <f>IFERROR(MID(VLOOKUP($B473,Seqs!$A:$B,2,0),AS473,1),"")</f>
        <v>R</v>
      </c>
      <c r="AS473" s="3">
        <v>380</v>
      </c>
      <c r="AT473" s="3" t="str">
        <f>IFERROR(MID(VLOOKUP($B473,Seqs!$A:$B,2,0),AU473,1),"")</f>
        <v>V</v>
      </c>
      <c r="AU473" s="3">
        <v>405</v>
      </c>
      <c r="AV473" s="3" t="str">
        <f>IFERROR(MID(VLOOKUP($B473,Seqs!$A:$B,2,0),AW473,1),"")</f>
        <v>N</v>
      </c>
      <c r="AW473" s="3">
        <v>406</v>
      </c>
      <c r="AX473" s="3" t="str">
        <f>IFERROR(MID(VLOOKUP($B473,Seqs!$A:$B,2,0),AY473,1),"")</f>
        <v>L</v>
      </c>
      <c r="AY473" s="3">
        <v>422</v>
      </c>
      <c r="AZ473" s="77" t="str">
        <f>VLOOKUP(B473,Classification!A:D,2,0)</f>
        <v>B1</v>
      </c>
      <c r="BA473" s="94" t="str">
        <f>VLOOKUP(B473,Classification!A:D,4,0)</f>
        <v>Glucagonreceptorfamily</v>
      </c>
      <c r="BB473" s="27" t="b">
        <f t="shared" ref="BB473" si="4697">AND(E473&lt;G473,OR(G473&lt;I473,I473="-"),OR(I473&lt;K473,I473="-"),OR(K473&lt;M473,K473="-"),M473&lt;O473,OR(O473&lt;Q473,Q473="-"),OR(Q473&lt;S473,Q473="-"),OR(S473&lt;U473,S473="-"),U473&lt;W473,OR(W473&lt;Y473,Y473="-"),OR(Y473&lt;AA473,Y473="-"),OR(AA473&lt;AC473,AA473="-"),AC473&lt;AE473,OR(AE473&lt;AG473,AG473="-"),OR(AG473&lt;AI473,AG473="-"),OR(AI473&lt;AK473,AI473="-"),AK473&lt;AM473,AM473&lt;AO473,AO473&lt;AQ473,AQ473&lt;AS473,AS473&lt;AU473,OR(AU473&lt;AW473,AW473="-"),OR(AW473&lt;AY473,AW473="-"))</f>
        <v>1</v>
      </c>
      <c r="BC473" s="23">
        <f t="shared" ref="BC473" si="4698">_xlfn.AGGREGATE(9,6,CH473:CS473)-_xlfn.AGGREGATE(9,6,BV473:CG473)+12</f>
        <v>240</v>
      </c>
      <c r="BD473" s="4" t="s">
        <v>23</v>
      </c>
      <c r="BE473" s="3" t="s">
        <v>1368</v>
      </c>
      <c r="BF473" s="118">
        <v>2.8</v>
      </c>
      <c r="BG473" s="49" t="s">
        <v>1275</v>
      </c>
      <c r="BH473" s="49" t="s">
        <v>1275</v>
      </c>
      <c r="BI473" s="1"/>
      <c r="BJ473" s="70" t="s">
        <v>1281</v>
      </c>
      <c r="BK473" s="57" t="s">
        <v>1281</v>
      </c>
      <c r="BL473" s="57" t="s">
        <v>1281</v>
      </c>
      <c r="BM473" s="57" t="s">
        <v>1281</v>
      </c>
      <c r="BN473" s="57" t="s">
        <v>1281</v>
      </c>
      <c r="BO473" s="57" t="s">
        <v>1281</v>
      </c>
      <c r="BP473" s="57" t="s">
        <v>1281</v>
      </c>
      <c r="BQ473" s="57" t="s">
        <v>1281</v>
      </c>
      <c r="BR473" s="57" t="s">
        <v>1281</v>
      </c>
      <c r="BS473" s="57" t="s">
        <v>1281</v>
      </c>
      <c r="BT473" s="57" t="s">
        <v>1281</v>
      </c>
      <c r="BU473" s="57" t="s">
        <v>1281</v>
      </c>
      <c r="BV473" s="70">
        <f t="shared" ref="BV473" si="4699">E473</f>
        <v>136</v>
      </c>
      <c r="BW473" s="71">
        <f t="shared" ref="BW473" si="4700">I473</f>
        <v>170</v>
      </c>
      <c r="BX473" s="72">
        <f t="shared" ref="BX473" si="4701">M473</f>
        <v>174</v>
      </c>
      <c r="BY473" s="71" t="str">
        <f t="shared" ref="BY473" si="4702">Q473</f>
        <v>-</v>
      </c>
      <c r="BZ473" s="72">
        <f t="shared" ref="BZ473" si="4703">U473</f>
        <v>224</v>
      </c>
      <c r="CA473" s="71" t="str">
        <f t="shared" ref="CA473" si="4704">Y473</f>
        <v>-</v>
      </c>
      <c r="CB473" s="72">
        <f t="shared" ref="CB473" si="4705">AC473</f>
        <v>262</v>
      </c>
      <c r="CC473" s="71">
        <f t="shared" ref="CC473" si="4706">AG473</f>
        <v>296</v>
      </c>
      <c r="CD473" s="72">
        <f t="shared" ref="CD473" si="4707">AK473</f>
        <v>303</v>
      </c>
      <c r="CE473" s="71">
        <f t="shared" ref="CE473" si="4708">AO473</f>
        <v>344</v>
      </c>
      <c r="CF473" s="72">
        <f t="shared" ref="CF473" si="4709">AS473</f>
        <v>380</v>
      </c>
      <c r="CG473" s="71">
        <f t="shared" ref="CG473" si="4710">AW473</f>
        <v>406</v>
      </c>
      <c r="CH473" s="70">
        <f t="shared" ref="CH473" si="4711">G473</f>
        <v>169</v>
      </c>
      <c r="CI473" s="71">
        <f t="shared" ref="CI473" si="4712">K473</f>
        <v>173</v>
      </c>
      <c r="CJ473" s="72">
        <f t="shared" ref="CJ473" si="4713">O473</f>
        <v>202</v>
      </c>
      <c r="CK473" s="72" t="str">
        <f t="shared" ref="CK473" si="4714">S473</f>
        <v>-</v>
      </c>
      <c r="CL473" s="72">
        <f t="shared" ref="CL473" si="4715">W473</f>
        <v>257</v>
      </c>
      <c r="CM473" s="72" t="str">
        <f t="shared" ref="CM473" si="4716">AA473</f>
        <v>-</v>
      </c>
      <c r="CN473" s="72">
        <f t="shared" ref="CN473" si="4717">AE473</f>
        <v>292</v>
      </c>
      <c r="CO473" s="72">
        <f t="shared" ref="CO473" si="4718">AI473</f>
        <v>298</v>
      </c>
      <c r="CP473" s="72">
        <f t="shared" ref="CP473" si="4719">AM473</f>
        <v>338</v>
      </c>
      <c r="CQ473" s="72">
        <f t="shared" ref="CQ473" si="4720">AQ473</f>
        <v>367</v>
      </c>
      <c r="CR473" s="72">
        <f t="shared" ref="CR473" si="4721">AU473</f>
        <v>405</v>
      </c>
      <c r="CS473" s="72">
        <f t="shared" ref="CS473" si="4722">AY473</f>
        <v>422</v>
      </c>
      <c r="CT473" s="23">
        <f t="shared" ref="CT473" si="4723">M473-K473</f>
        <v>1</v>
      </c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  <c r="AMK473" s="1"/>
      <c r="AML473" s="1"/>
      <c r="AMM473" s="1"/>
      <c r="AMN473" s="1"/>
      <c r="AMO473" s="1"/>
    </row>
    <row r="474" spans="1:1029" x14ac:dyDescent="0.2">
      <c r="A474" s="3" t="str">
        <f t="shared" ref="A474" si="4724">CONCATENATE(B474,"_",C474)</f>
        <v>glp1r_human_6KK7</v>
      </c>
      <c r="B474" s="3" t="s">
        <v>405</v>
      </c>
      <c r="C474" s="3" t="s">
        <v>1600</v>
      </c>
      <c r="D474" s="3" t="str">
        <f>IFERROR(MID(VLOOKUP($B474,Seqs!$A:$B,2,0),E474,1),"")</f>
        <v>S</v>
      </c>
      <c r="E474" s="3">
        <v>136</v>
      </c>
      <c r="F474" s="3" t="str">
        <f>IFERROR(MID(VLOOKUP($B474,Seqs!$A:$B,2,0),G474,1),"")</f>
        <v>F</v>
      </c>
      <c r="G474" s="3">
        <v>169</v>
      </c>
      <c r="H474" s="3" t="str">
        <f>IFERROR(MID(VLOOKUP($B474,Seqs!$A:$B,2,0),I474,1),"")</f>
        <v>R</v>
      </c>
      <c r="I474" s="23">
        <v>170</v>
      </c>
      <c r="J474" s="3" t="str">
        <f>IFERROR(MID(VLOOKUP($B474,Seqs!$A:$B,2,0),K474,1),"")</f>
        <v>H</v>
      </c>
      <c r="K474" s="23">
        <v>173</v>
      </c>
      <c r="L474" s="3" t="str">
        <f>IFERROR(MID(VLOOKUP($B474,Seqs!$A:$B,2,0),M474,1),"")</f>
        <v>C</v>
      </c>
      <c r="M474" s="23">
        <v>174</v>
      </c>
      <c r="N474" s="3" t="str">
        <f>IFERROR(MID(VLOOKUP($B474,Seqs!$A:$B,2,0),O474,1),"")</f>
        <v>K</v>
      </c>
      <c r="O474" s="3">
        <v>202</v>
      </c>
      <c r="P474" s="3" t="str">
        <f>IFERROR(MID(VLOOKUP($B474,Seqs!$A:$B,2,0),Q474,1),"")</f>
        <v/>
      </c>
      <c r="Q474" s="3" t="s">
        <v>23</v>
      </c>
      <c r="R474" s="3" t="str">
        <f>IFERROR(MID(VLOOKUP($B474,Seqs!$A:$B,2,0),S474,1),"")</f>
        <v/>
      </c>
      <c r="S474" s="3" t="s">
        <v>23</v>
      </c>
      <c r="T474" s="3" t="str">
        <f>IFERROR(MID(VLOOKUP($B474,Seqs!$A:$B,2,0),U474,1),"")</f>
        <v>L</v>
      </c>
      <c r="U474" s="3">
        <v>224</v>
      </c>
      <c r="V474" s="3" t="str">
        <f>IFERROR(MID(VLOOKUP($B474,Seqs!$A:$B,2,0),W474,1),"")</f>
        <v>F</v>
      </c>
      <c r="W474" s="3">
        <v>257</v>
      </c>
      <c r="X474" s="3" t="str">
        <f>IFERROR(MID(VLOOKUP($B474,Seqs!$A:$B,2,0),Y474,1),"")</f>
        <v/>
      </c>
      <c r="Y474" s="3" t="s">
        <v>23</v>
      </c>
      <c r="Z474" s="3" t="str">
        <f>IFERROR(MID(VLOOKUP($B474,Seqs!$A:$B,2,0),AA474,1),"")</f>
        <v/>
      </c>
      <c r="AA474" s="3" t="s">
        <v>23</v>
      </c>
      <c r="AB474" s="3" t="str">
        <f>IFERROR(MID(VLOOKUP($B474,Seqs!$A:$B,2,0),AC474,1),"")</f>
        <v>E</v>
      </c>
      <c r="AC474" s="3">
        <v>262</v>
      </c>
      <c r="AD474" s="3" t="str">
        <f>IFERROR(MID(VLOOKUP($B474,Seqs!$A:$B,2,0),AE474,1),"")</f>
        <v>E</v>
      </c>
      <c r="AE474" s="3">
        <v>292</v>
      </c>
      <c r="AF474" s="3" t="str">
        <f>IFERROR(MID(VLOOKUP($B474,Seqs!$A:$B,2,0),AG474,1),"")</f>
        <v>C</v>
      </c>
      <c r="AG474" s="3">
        <v>296</v>
      </c>
      <c r="AH474" s="3" t="str">
        <f>IFERROR(MID(VLOOKUP($B474,Seqs!$A:$B,2,0),AI474,1),"")</f>
        <v>T</v>
      </c>
      <c r="AI474" s="3">
        <v>298</v>
      </c>
      <c r="AJ474" s="3" t="str">
        <f>IFERROR(MID(VLOOKUP($B474,Seqs!$A:$B,2,0),AK474,1),"")</f>
        <v>M</v>
      </c>
      <c r="AK474" s="3">
        <v>303</v>
      </c>
      <c r="AL474" s="3" t="str">
        <f>IFERROR(MID(VLOOKUP($B474,Seqs!$A:$B,2,0),AM474,1),"")</f>
        <v>N</v>
      </c>
      <c r="AM474" s="3">
        <v>338</v>
      </c>
      <c r="AN474" s="3" t="str">
        <f>IFERROR(MID(VLOOKUP($B474,Seqs!$A:$B,2,0),AO474,1),"")</f>
        <v>D</v>
      </c>
      <c r="AO474" s="3">
        <v>344</v>
      </c>
      <c r="AP474" s="3" t="str">
        <f>IFERROR(MID(VLOOKUP($B474,Seqs!$A:$B,2,0),AQ474,1),"")</f>
        <v>F</v>
      </c>
      <c r="AQ474" s="3">
        <v>367</v>
      </c>
      <c r="AR474" s="3" t="str">
        <f>IFERROR(MID(VLOOKUP($B474,Seqs!$A:$B,2,0),AS474,1),"")</f>
        <v>R</v>
      </c>
      <c r="AS474" s="3">
        <v>380</v>
      </c>
      <c r="AT474" s="3" t="str">
        <f>IFERROR(MID(VLOOKUP($B474,Seqs!$A:$B,2,0),AU474,1),"")</f>
        <v>V</v>
      </c>
      <c r="AU474" s="3">
        <v>405</v>
      </c>
      <c r="AV474" s="3" t="str">
        <f>IFERROR(MID(VLOOKUP($B474,Seqs!$A:$B,2,0),AW474,1),"")</f>
        <v>N</v>
      </c>
      <c r="AW474" s="3">
        <v>406</v>
      </c>
      <c r="AX474" s="3" t="str">
        <f>IFERROR(MID(VLOOKUP($B474,Seqs!$A:$B,2,0),AY474,1),"")</f>
        <v>L</v>
      </c>
      <c r="AY474" s="3">
        <v>422</v>
      </c>
      <c r="AZ474" s="77" t="str">
        <f>VLOOKUP(B474,Classification!A:D,2,0)</f>
        <v>B1</v>
      </c>
      <c r="BA474" s="94" t="str">
        <f>VLOOKUP(B474,Classification!A:D,4,0)</f>
        <v>Glucagonreceptorfamily</v>
      </c>
      <c r="BB474" s="27" t="b">
        <f t="shared" ref="BB474" si="4725">AND(E474&lt;G474,OR(G474&lt;I474,I474="-"),OR(I474&lt;K474,I474="-"),OR(K474&lt;M474,K474="-"),M474&lt;O474,OR(O474&lt;Q474,Q474="-"),OR(Q474&lt;S474,Q474="-"),OR(S474&lt;U474,S474="-"),U474&lt;W474,OR(W474&lt;Y474,Y474="-"),OR(Y474&lt;AA474,Y474="-"),OR(AA474&lt;AC474,AA474="-"),AC474&lt;AE474,OR(AE474&lt;AG474,AG474="-"),OR(AG474&lt;AI474,AG474="-"),OR(AI474&lt;AK474,AI474="-"),AK474&lt;AM474,AM474&lt;AO474,AO474&lt;AQ474,AQ474&lt;AS474,AS474&lt;AU474,OR(AU474&lt;AW474,AW474="-"),OR(AW474&lt;AY474,AW474="-"))</f>
        <v>1</v>
      </c>
      <c r="BC474" s="23">
        <f t="shared" ref="BC474" si="4726">_xlfn.AGGREGATE(9,6,CH474:CS474)-_xlfn.AGGREGATE(9,6,BV474:CG474)+12</f>
        <v>240</v>
      </c>
      <c r="BD474" s="4" t="s">
        <v>23</v>
      </c>
      <c r="BE474" s="3" t="s">
        <v>1368</v>
      </c>
      <c r="BF474" s="118">
        <v>2.8</v>
      </c>
      <c r="BG474" s="49" t="s">
        <v>1275</v>
      </c>
      <c r="BH474" s="49" t="s">
        <v>1275</v>
      </c>
      <c r="BI474" s="1"/>
      <c r="BJ474" s="70" t="s">
        <v>1281</v>
      </c>
      <c r="BK474" s="57" t="s">
        <v>1281</v>
      </c>
      <c r="BL474" s="57" t="s">
        <v>1281</v>
      </c>
      <c r="BM474" s="57" t="s">
        <v>1281</v>
      </c>
      <c r="BN474" s="57" t="s">
        <v>1281</v>
      </c>
      <c r="BO474" s="57" t="s">
        <v>1281</v>
      </c>
      <c r="BP474" s="57" t="s">
        <v>1281</v>
      </c>
      <c r="BQ474" s="57" t="s">
        <v>1281</v>
      </c>
      <c r="BR474" s="57" t="s">
        <v>1281</v>
      </c>
      <c r="BS474" s="57" t="s">
        <v>1281</v>
      </c>
      <c r="BT474" s="57" t="s">
        <v>1281</v>
      </c>
      <c r="BU474" s="57" t="s">
        <v>1281</v>
      </c>
      <c r="BV474" s="70">
        <f t="shared" ref="BV474" si="4727">E474</f>
        <v>136</v>
      </c>
      <c r="BW474" s="71">
        <f t="shared" ref="BW474" si="4728">I474</f>
        <v>170</v>
      </c>
      <c r="BX474" s="72">
        <f t="shared" ref="BX474" si="4729">M474</f>
        <v>174</v>
      </c>
      <c r="BY474" s="71" t="str">
        <f t="shared" ref="BY474" si="4730">Q474</f>
        <v>-</v>
      </c>
      <c r="BZ474" s="72">
        <f t="shared" ref="BZ474" si="4731">U474</f>
        <v>224</v>
      </c>
      <c r="CA474" s="71" t="str">
        <f t="shared" ref="CA474" si="4732">Y474</f>
        <v>-</v>
      </c>
      <c r="CB474" s="72">
        <f t="shared" ref="CB474" si="4733">AC474</f>
        <v>262</v>
      </c>
      <c r="CC474" s="71">
        <f t="shared" ref="CC474" si="4734">AG474</f>
        <v>296</v>
      </c>
      <c r="CD474" s="72">
        <f t="shared" ref="CD474" si="4735">AK474</f>
        <v>303</v>
      </c>
      <c r="CE474" s="71">
        <f t="shared" ref="CE474" si="4736">AO474</f>
        <v>344</v>
      </c>
      <c r="CF474" s="72">
        <f t="shared" ref="CF474" si="4737">AS474</f>
        <v>380</v>
      </c>
      <c r="CG474" s="71">
        <f t="shared" ref="CG474" si="4738">AW474</f>
        <v>406</v>
      </c>
      <c r="CH474" s="70">
        <f t="shared" ref="CH474" si="4739">G474</f>
        <v>169</v>
      </c>
      <c r="CI474" s="71">
        <f t="shared" ref="CI474" si="4740">K474</f>
        <v>173</v>
      </c>
      <c r="CJ474" s="72">
        <f t="shared" ref="CJ474" si="4741">O474</f>
        <v>202</v>
      </c>
      <c r="CK474" s="72" t="str">
        <f t="shared" ref="CK474" si="4742">S474</f>
        <v>-</v>
      </c>
      <c r="CL474" s="72">
        <f t="shared" ref="CL474" si="4743">W474</f>
        <v>257</v>
      </c>
      <c r="CM474" s="72" t="str">
        <f t="shared" ref="CM474" si="4744">AA474</f>
        <v>-</v>
      </c>
      <c r="CN474" s="72">
        <f t="shared" ref="CN474" si="4745">AE474</f>
        <v>292</v>
      </c>
      <c r="CO474" s="72">
        <f t="shared" ref="CO474" si="4746">AI474</f>
        <v>298</v>
      </c>
      <c r="CP474" s="72">
        <f t="shared" ref="CP474" si="4747">AM474</f>
        <v>338</v>
      </c>
      <c r="CQ474" s="72">
        <f t="shared" ref="CQ474" si="4748">AQ474</f>
        <v>367</v>
      </c>
      <c r="CR474" s="72">
        <f t="shared" ref="CR474" si="4749">AU474</f>
        <v>405</v>
      </c>
      <c r="CS474" s="72">
        <f t="shared" ref="CS474" si="4750">AY474</f>
        <v>422</v>
      </c>
      <c r="CT474" s="23">
        <f t="shared" ref="CT474" si="4751">M474-K474</f>
        <v>1</v>
      </c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  <c r="AMK474" s="1"/>
      <c r="AML474" s="1"/>
      <c r="AMM474" s="1"/>
      <c r="AMN474" s="1"/>
      <c r="AMO474" s="1"/>
    </row>
    <row r="475" spans="1:1029" x14ac:dyDescent="0.2">
      <c r="A475" s="3" t="str">
        <f t="shared" ref="A475" si="4752">CONCATENATE(B475,"_",C475)</f>
        <v>glp1r_human_6LN2</v>
      </c>
      <c r="B475" s="3" t="s">
        <v>405</v>
      </c>
      <c r="C475" s="3" t="s">
        <v>1662</v>
      </c>
      <c r="D475" s="3" t="str">
        <f>IFERROR(MID(VLOOKUP($B475,Seqs!$A:$B,2,0),E475,1),"")</f>
        <v>S</v>
      </c>
      <c r="E475" s="3">
        <v>135</v>
      </c>
      <c r="F475" s="3" t="str">
        <f>IFERROR(MID(VLOOKUP($B475,Seqs!$A:$B,2,0),G475,1),"")</f>
        <v>F</v>
      </c>
      <c r="G475" s="3">
        <v>169</v>
      </c>
      <c r="H475" s="3" t="str">
        <f>IFERROR(MID(VLOOKUP($B475,Seqs!$A:$B,2,0),I475,1),"")</f>
        <v>R</v>
      </c>
      <c r="I475" s="23">
        <v>170</v>
      </c>
      <c r="J475" s="3" t="str">
        <f>IFERROR(MID(VLOOKUP($B475,Seqs!$A:$B,2,0),K475,1),"")</f>
        <v>H</v>
      </c>
      <c r="K475" s="23">
        <v>173</v>
      </c>
      <c r="L475" s="3" t="str">
        <f>IFERROR(MID(VLOOKUP($B475,Seqs!$A:$B,2,0),M475,1),"")</f>
        <v>C</v>
      </c>
      <c r="M475" s="23">
        <v>174</v>
      </c>
      <c r="N475" s="3" t="str">
        <f>IFERROR(MID(VLOOKUP($B475,Seqs!$A:$B,2,0),O475,1),"")</f>
        <v>T</v>
      </c>
      <c r="O475" s="3">
        <v>207</v>
      </c>
      <c r="P475" s="3" t="str">
        <f>IFERROR(MID(VLOOKUP($B475,Seqs!$A:$B,2,0),Q475,1),"")</f>
        <v/>
      </c>
      <c r="Q475" s="3" t="s">
        <v>23</v>
      </c>
      <c r="R475" s="3" t="str">
        <f>IFERROR(MID(VLOOKUP($B475,Seqs!$A:$B,2,0),S475,1),"")</f>
        <v/>
      </c>
      <c r="S475" s="3" t="s">
        <v>23</v>
      </c>
      <c r="T475" s="3" t="str">
        <f>IFERROR(MID(VLOOKUP($B475,Seqs!$A:$B,2,0),U475,1),"")</f>
        <v>L</v>
      </c>
      <c r="U475" s="3">
        <v>224</v>
      </c>
      <c r="V475" s="3" t="str">
        <f>IFERROR(MID(VLOOKUP($B475,Seqs!$A:$B,2,0),W475,1),"")</f>
        <v>F</v>
      </c>
      <c r="W475" s="3">
        <v>257</v>
      </c>
      <c r="X475" s="3" t="str">
        <f>IFERROR(MID(VLOOKUP($B475,Seqs!$A:$B,2,0),Y475,1),"")</f>
        <v/>
      </c>
      <c r="Y475" s="3" t="s">
        <v>23</v>
      </c>
      <c r="Z475" s="3" t="str">
        <f>IFERROR(MID(VLOOKUP($B475,Seqs!$A:$B,2,0),AA475,1),"")</f>
        <v/>
      </c>
      <c r="AA475" s="3" t="s">
        <v>23</v>
      </c>
      <c r="AB475" s="3" t="str">
        <f>IFERROR(MID(VLOOKUP($B475,Seqs!$A:$B,2,0),AC475,1),"")</f>
        <v>Q</v>
      </c>
      <c r="AC475" s="3">
        <v>263</v>
      </c>
      <c r="AD475" s="3" t="str">
        <f>IFERROR(MID(VLOOKUP($B475,Seqs!$A:$B,2,0),AE475,1),"")</f>
        <v>Y</v>
      </c>
      <c r="AE475" s="3">
        <v>291</v>
      </c>
      <c r="AF475" s="3" t="str">
        <f>IFERROR(MID(VLOOKUP($B475,Seqs!$A:$B,2,0),AG475,1),"")</f>
        <v>C</v>
      </c>
      <c r="AG475" s="3">
        <v>296</v>
      </c>
      <c r="AH475" s="3" t="str">
        <f>IFERROR(MID(VLOOKUP($B475,Seqs!$A:$B,2,0),AI475,1),"")</f>
        <v>T</v>
      </c>
      <c r="AI475" s="3">
        <v>298</v>
      </c>
      <c r="AJ475" s="3" t="str">
        <f>IFERROR(MID(VLOOKUP($B475,Seqs!$A:$B,2,0),AK475,1),"")</f>
        <v>W</v>
      </c>
      <c r="AK475" s="3">
        <v>306</v>
      </c>
      <c r="AL475" s="3" t="str">
        <f>IFERROR(MID(VLOOKUP($B475,Seqs!$A:$B,2,0),AM475,1),"")</f>
        <v>N</v>
      </c>
      <c r="AM475" s="3">
        <v>338</v>
      </c>
      <c r="AN475" s="3" t="str">
        <f>IFERROR(MID(VLOOKUP($B475,Seqs!$A:$B,2,0),AO475,1),"")</f>
        <v>D</v>
      </c>
      <c r="AO475" s="3">
        <v>344</v>
      </c>
      <c r="AP475" s="3" t="str">
        <f>IFERROR(MID(VLOOKUP($B475,Seqs!$A:$B,2,0),AQ475,1),"")</f>
        <v>F</v>
      </c>
      <c r="AQ475" s="3">
        <v>367</v>
      </c>
      <c r="AR475" s="3" t="str">
        <f>IFERROR(MID(VLOOKUP($B475,Seqs!$A:$B,2,0),AS475,1),"")</f>
        <v>R</v>
      </c>
      <c r="AS475" s="3">
        <v>376</v>
      </c>
      <c r="AT475" s="3" t="str">
        <f>IFERROR(MID(VLOOKUP($B475,Seqs!$A:$B,2,0),AU475,1),"")</f>
        <v>V</v>
      </c>
      <c r="AU475" s="105">
        <v>405</v>
      </c>
      <c r="AV475" s="3" t="str">
        <f>IFERROR(MID(VLOOKUP($B475,Seqs!$A:$B,2,0),AW475,1),"")</f>
        <v>N</v>
      </c>
      <c r="AW475" s="3">
        <v>406</v>
      </c>
      <c r="AX475" s="3" t="str">
        <f>IFERROR(MID(VLOOKUP($B475,Seqs!$A:$B,2,0),AY475,1),"")</f>
        <v>R</v>
      </c>
      <c r="AY475" s="3">
        <v>421</v>
      </c>
      <c r="AZ475" s="77" t="str">
        <f>VLOOKUP(B475,Classification!A:D,2,0)</f>
        <v>B1</v>
      </c>
      <c r="BA475" s="94" t="str">
        <f>VLOOKUP(B475,Classification!A:D,4,0)</f>
        <v>Glucagonreceptorfamily</v>
      </c>
      <c r="BB475" s="27" t="b">
        <f t="shared" ref="BB475" si="4753">AND(E475&lt;G475,OR(G475&lt;I475,I475="-"),OR(I475&lt;K475,I475="-"),OR(K475&lt;M475,K475="-"),M475&lt;O475,OR(O475&lt;Q475,Q475="-"),OR(Q475&lt;S475,Q475="-"),OR(S475&lt;U475,S475="-"),U475&lt;W475,OR(W475&lt;Y475,Y475="-"),OR(Y475&lt;AA475,Y475="-"),OR(AA475&lt;AC475,AA475="-"),AC475&lt;AE475,OR(AE475&lt;AG475,AG475="-"),OR(AG475&lt;AI475,AG475="-"),OR(AI475&lt;AK475,AI475="-"),AK475&lt;AM475,AM475&lt;AO475,AO475&lt;AQ475,AQ475&lt;AS475,AS475&lt;AU475,OR(AU475&lt;AW475,AW475="-"),OR(AW475&lt;AY475,AW475="-"))</f>
        <v>1</v>
      </c>
      <c r="BC475" s="23">
        <f t="shared" ref="BC475" si="4754">_xlfn.AGGREGATE(9,6,CH475:CS475)-_xlfn.AGGREGATE(9,6,BV475:CG475)+12</f>
        <v>244</v>
      </c>
      <c r="BD475" s="4" t="s">
        <v>23</v>
      </c>
      <c r="BE475" s="3" t="s">
        <v>1368</v>
      </c>
      <c r="BF475" s="118">
        <v>3.2</v>
      </c>
      <c r="BG475" s="49" t="s">
        <v>1</v>
      </c>
      <c r="BH475" s="49" t="s">
        <v>1</v>
      </c>
      <c r="BI475" s="1"/>
      <c r="BJ475" s="70" t="s">
        <v>1281</v>
      </c>
      <c r="BK475" s="57" t="s">
        <v>1281</v>
      </c>
      <c r="BL475" s="57" t="s">
        <v>1281</v>
      </c>
      <c r="BM475" s="57" t="s">
        <v>1281</v>
      </c>
      <c r="BN475" s="57" t="s">
        <v>1281</v>
      </c>
      <c r="BO475" s="57" t="s">
        <v>1281</v>
      </c>
      <c r="BP475" s="57" t="s">
        <v>1281</v>
      </c>
      <c r="BQ475" s="57" t="s">
        <v>1281</v>
      </c>
      <c r="BR475" s="57" t="s">
        <v>1281</v>
      </c>
      <c r="BS475" s="57" t="s">
        <v>1281</v>
      </c>
      <c r="BT475" s="57" t="s">
        <v>1281</v>
      </c>
      <c r="BU475" s="57" t="s">
        <v>1281</v>
      </c>
      <c r="BV475" s="70">
        <f t="shared" ref="BV475" si="4755">E475</f>
        <v>135</v>
      </c>
      <c r="BW475" s="71">
        <f t="shared" ref="BW475" si="4756">I475</f>
        <v>170</v>
      </c>
      <c r="BX475" s="72">
        <f t="shared" ref="BX475" si="4757">M475</f>
        <v>174</v>
      </c>
      <c r="BY475" s="71" t="str">
        <f t="shared" ref="BY475" si="4758">Q475</f>
        <v>-</v>
      </c>
      <c r="BZ475" s="72">
        <f t="shared" ref="BZ475" si="4759">U475</f>
        <v>224</v>
      </c>
      <c r="CA475" s="71" t="str">
        <f t="shared" ref="CA475" si="4760">Y475</f>
        <v>-</v>
      </c>
      <c r="CB475" s="72">
        <f t="shared" ref="CB475" si="4761">AC475</f>
        <v>263</v>
      </c>
      <c r="CC475" s="71">
        <f t="shared" ref="CC475" si="4762">AG475</f>
        <v>296</v>
      </c>
      <c r="CD475" s="72">
        <f t="shared" ref="CD475" si="4763">AK475</f>
        <v>306</v>
      </c>
      <c r="CE475" s="71">
        <f t="shared" ref="CE475" si="4764">AO475</f>
        <v>344</v>
      </c>
      <c r="CF475" s="72">
        <f t="shared" ref="CF475" si="4765">AS475</f>
        <v>376</v>
      </c>
      <c r="CG475" s="71">
        <f t="shared" ref="CG475" si="4766">AW475</f>
        <v>406</v>
      </c>
      <c r="CH475" s="70">
        <f t="shared" ref="CH475" si="4767">G475</f>
        <v>169</v>
      </c>
      <c r="CI475" s="71">
        <f t="shared" ref="CI475" si="4768">K475</f>
        <v>173</v>
      </c>
      <c r="CJ475" s="72">
        <f t="shared" ref="CJ475" si="4769">O475</f>
        <v>207</v>
      </c>
      <c r="CK475" s="72" t="str">
        <f t="shared" ref="CK475" si="4770">S475</f>
        <v>-</v>
      </c>
      <c r="CL475" s="72">
        <f t="shared" ref="CL475" si="4771">W475</f>
        <v>257</v>
      </c>
      <c r="CM475" s="72" t="str">
        <f t="shared" ref="CM475" si="4772">AA475</f>
        <v>-</v>
      </c>
      <c r="CN475" s="72">
        <f t="shared" ref="CN475" si="4773">AE475</f>
        <v>291</v>
      </c>
      <c r="CO475" s="72">
        <f t="shared" ref="CO475" si="4774">AI475</f>
        <v>298</v>
      </c>
      <c r="CP475" s="72">
        <f t="shared" ref="CP475" si="4775">AM475</f>
        <v>338</v>
      </c>
      <c r="CQ475" s="72">
        <f t="shared" ref="CQ475" si="4776">AQ475</f>
        <v>367</v>
      </c>
      <c r="CR475" s="72">
        <f t="shared" ref="CR475" si="4777">AU475</f>
        <v>405</v>
      </c>
      <c r="CS475" s="72">
        <f t="shared" ref="CS475" si="4778">AY475</f>
        <v>421</v>
      </c>
      <c r="CT475" s="23">
        <f t="shared" ref="CT475" si="4779">M475-K475</f>
        <v>1</v>
      </c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  <c r="AMK475" s="1"/>
      <c r="AML475" s="1"/>
      <c r="AMM475" s="1"/>
      <c r="AMN475" s="1"/>
      <c r="AMO475" s="1"/>
    </row>
    <row r="476" spans="1:1029" s="12" customFormat="1" x14ac:dyDescent="0.2">
      <c r="A476" s="9" t="str">
        <f t="shared" ref="A476" si="4780">CONCATENATE(B476,"_",C476)</f>
        <v>glp1r_human_6ORV</v>
      </c>
      <c r="B476" s="9" t="s">
        <v>405</v>
      </c>
      <c r="C476" s="9" t="s">
        <v>1722</v>
      </c>
      <c r="D476" s="9" t="str">
        <f>IFERROR(MID(VLOOKUP($B476,Seqs!$A:$B,2,0),E476,1),"")</f>
        <v>P</v>
      </c>
      <c r="E476" s="9">
        <v>137</v>
      </c>
      <c r="F476" s="9" t="str">
        <f>IFERROR(MID(VLOOKUP($B476,Seqs!$A:$B,2,0),G476,1),"")</f>
        <v>F</v>
      </c>
      <c r="G476" s="9">
        <v>169</v>
      </c>
      <c r="H476" s="9" t="str">
        <f>IFERROR(MID(VLOOKUP($B476,Seqs!$A:$B,2,0),I476,1),"")</f>
        <v>R</v>
      </c>
      <c r="I476" s="109">
        <v>170</v>
      </c>
      <c r="J476" s="9" t="str">
        <f>IFERROR(MID(VLOOKUP($B476,Seqs!$A:$B,2,0),K476,1),"")</f>
        <v>H</v>
      </c>
      <c r="K476" s="109">
        <v>173</v>
      </c>
      <c r="L476" s="9" t="str">
        <f>IFERROR(MID(VLOOKUP($B476,Seqs!$A:$B,2,0),M476,1),"")</f>
        <v>C</v>
      </c>
      <c r="M476" s="109">
        <v>174</v>
      </c>
      <c r="N476" s="9" t="str">
        <f>IFERROR(MID(VLOOKUP($B476,Seqs!$A:$B,2,0),O476,1),"")</f>
        <v>A</v>
      </c>
      <c r="O476" s="9">
        <v>208</v>
      </c>
      <c r="P476" s="9" t="str">
        <f>IFERROR(MID(VLOOKUP($B476,Seqs!$A:$B,2,0),Q476,1),"")</f>
        <v/>
      </c>
      <c r="Q476" s="9" t="s">
        <v>23</v>
      </c>
      <c r="R476" s="9" t="str">
        <f>IFERROR(MID(VLOOKUP($B476,Seqs!$A:$B,2,0),S476,1),"")</f>
        <v/>
      </c>
      <c r="S476" s="9" t="s">
        <v>23</v>
      </c>
      <c r="T476" s="9" t="str">
        <f>IFERROR(MID(VLOOKUP($B476,Seqs!$A:$B,2,0),U476,1),"")</f>
        <v>S</v>
      </c>
      <c r="U476" s="9">
        <v>223</v>
      </c>
      <c r="V476" s="9" t="str">
        <f>IFERROR(MID(VLOOKUP($B476,Seqs!$A:$B,2,0),W476,1),"")</f>
        <v>A</v>
      </c>
      <c r="W476" s="9">
        <v>256</v>
      </c>
      <c r="X476" s="9" t="str">
        <f>IFERROR(MID(VLOOKUP($B476,Seqs!$A:$B,2,0),Y476,1),"")</f>
        <v/>
      </c>
      <c r="Y476" s="9" t="s">
        <v>23</v>
      </c>
      <c r="Z476" s="9" t="str">
        <f>IFERROR(MID(VLOOKUP($B476,Seqs!$A:$B,2,0),AA476,1),"")</f>
        <v/>
      </c>
      <c r="AA476" s="9" t="s">
        <v>23</v>
      </c>
      <c r="AB476" s="9" t="str">
        <f>IFERROR(MID(VLOOKUP($B476,Seqs!$A:$B,2,0),AC476,1),"")</f>
        <v>S</v>
      </c>
      <c r="AC476" s="9">
        <v>261</v>
      </c>
      <c r="AD476" s="9" t="str">
        <f>IFERROR(MID(VLOOKUP($B476,Seqs!$A:$B,2,0),AE476,1),"")</f>
        <v>L</v>
      </c>
      <c r="AE476" s="9">
        <v>290</v>
      </c>
      <c r="AF476" s="9" t="str">
        <f>IFERROR(MID(VLOOKUP($B476,Seqs!$A:$B,2,0),AG476,1),"")</f>
        <v>C</v>
      </c>
      <c r="AG476" s="9">
        <v>296</v>
      </c>
      <c r="AH476" s="9" t="str">
        <f>IFERROR(MID(VLOOKUP($B476,Seqs!$A:$B,2,0),AI476,1),"")</f>
        <v>T</v>
      </c>
      <c r="AI476" s="9">
        <v>298</v>
      </c>
      <c r="AJ476" s="9" t="str">
        <f>IFERROR(MID(VLOOKUP($B476,Seqs!$A:$B,2,0),AK476,1),"")</f>
        <v>I</v>
      </c>
      <c r="AK476" s="9">
        <v>309</v>
      </c>
      <c r="AL476" s="9" t="str">
        <f>IFERROR(MID(VLOOKUP($B476,Seqs!$A:$B,2,0),AM476,1),"")</f>
        <v>K</v>
      </c>
      <c r="AM476" s="9">
        <v>336</v>
      </c>
      <c r="AN476" s="9" t="str">
        <f>IFERROR(MID(VLOOKUP($B476,Seqs!$A:$B,2,0),AO476,1),"")</f>
        <v>I</v>
      </c>
      <c r="AO476" s="9">
        <v>345</v>
      </c>
      <c r="AP476" s="9" t="str">
        <f>IFERROR(MID(VLOOKUP($B476,Seqs!$A:$B,2,0),AQ476,1),"")</f>
        <v>V</v>
      </c>
      <c r="AQ476" s="9">
        <v>370</v>
      </c>
      <c r="AR476" s="9" t="str">
        <f>IFERROR(MID(VLOOKUP($B476,Seqs!$A:$B,2,0),AS476,1),"")</f>
        <v>I</v>
      </c>
      <c r="AS476" s="9">
        <v>382</v>
      </c>
      <c r="AT476" s="9" t="str">
        <f>IFERROR(MID(VLOOKUP($B476,Seqs!$A:$B,2,0),AU476,1),"")</f>
        <v>V</v>
      </c>
      <c r="AU476" s="9">
        <v>405</v>
      </c>
      <c r="AV476" s="9" t="str">
        <f>IFERROR(MID(VLOOKUP($B476,Seqs!$A:$B,2,0),AW476,1),"")</f>
        <v>N</v>
      </c>
      <c r="AW476" s="9">
        <v>406</v>
      </c>
      <c r="AX476" s="9" t="str">
        <f>IFERROR(MID(VLOOKUP($B476,Seqs!$A:$B,2,0),AY476,1),"")</f>
        <v>L</v>
      </c>
      <c r="AY476" s="9">
        <v>422</v>
      </c>
      <c r="AZ476" s="110" t="str">
        <f>VLOOKUP(B476,Classification!A:D,2,0)</f>
        <v>B1</v>
      </c>
      <c r="BA476" s="98" t="str">
        <f>VLOOKUP(B476,Classification!A:D,4,0)</f>
        <v>Glucagonreceptorfamily</v>
      </c>
      <c r="BB476" s="36" t="b">
        <f t="shared" ref="BB476" si="4781">AND(E476&lt;G476,OR(G476&lt;I476,I476="-"),OR(I476&lt;K476,I476="-"),OR(K476&lt;M476,K476="-"),M476&lt;O476,OR(O476&lt;Q476,Q476="-"),OR(Q476&lt;S476,Q476="-"),OR(S476&lt;U476,S476="-"),U476&lt;W476,OR(W476&lt;Y476,Y476="-"),OR(Y476&lt;AA476,Y476="-"),OR(AA476&lt;AC476,AA476="-"),AC476&lt;AE476,OR(AE476&lt;AG476,AG476="-"),OR(AG476&lt;AI476,AG476="-"),OR(AI476&lt;AK476,AI476="-"),AK476&lt;AM476,AM476&lt;AO476,AO476&lt;AQ476,AQ476&lt;AS476,AS476&lt;AU476,OR(AU476&lt;AW476,AW476="-"),OR(AW476&lt;AY476,AW476="-"))</f>
        <v>1</v>
      </c>
      <c r="BC476" s="109">
        <f t="shared" ref="BC476" si="4782">_xlfn.AGGREGATE(9,6,CH476:CS476)-_xlfn.AGGREGATE(9,6,BV476:CG476)+12</f>
        <v>236</v>
      </c>
      <c r="BD476" s="11" t="s">
        <v>23</v>
      </c>
      <c r="BE476" s="9" t="s">
        <v>1285</v>
      </c>
      <c r="BF476" s="119">
        <v>3</v>
      </c>
      <c r="BG476" s="51" t="s">
        <v>1015</v>
      </c>
      <c r="BH476" s="51" t="s">
        <v>1015</v>
      </c>
      <c r="BJ476" s="111" t="s">
        <v>1281</v>
      </c>
      <c r="BK476" s="112" t="s">
        <v>1281</v>
      </c>
      <c r="BL476" s="112" t="s">
        <v>1281</v>
      </c>
      <c r="BM476" s="112" t="s">
        <v>1281</v>
      </c>
      <c r="BN476" s="112" t="s">
        <v>1281</v>
      </c>
      <c r="BO476" s="112" t="s">
        <v>1281</v>
      </c>
      <c r="BP476" s="112" t="s">
        <v>1281</v>
      </c>
      <c r="BQ476" s="112" t="s">
        <v>1281</v>
      </c>
      <c r="BR476" s="112" t="s">
        <v>1281</v>
      </c>
      <c r="BS476" s="112" t="s">
        <v>1281</v>
      </c>
      <c r="BT476" s="112" t="s">
        <v>1281</v>
      </c>
      <c r="BU476" s="112" t="s">
        <v>1281</v>
      </c>
      <c r="BV476" s="111">
        <f t="shared" ref="BV476" si="4783">E476</f>
        <v>137</v>
      </c>
      <c r="BW476" s="113">
        <f t="shared" ref="BW476" si="4784">I476</f>
        <v>170</v>
      </c>
      <c r="BX476" s="114">
        <f t="shared" ref="BX476" si="4785">M476</f>
        <v>174</v>
      </c>
      <c r="BY476" s="113" t="str">
        <f t="shared" ref="BY476" si="4786">Q476</f>
        <v>-</v>
      </c>
      <c r="BZ476" s="114">
        <f t="shared" ref="BZ476" si="4787">U476</f>
        <v>223</v>
      </c>
      <c r="CA476" s="113" t="str">
        <f t="shared" ref="CA476" si="4788">Y476</f>
        <v>-</v>
      </c>
      <c r="CB476" s="114">
        <f t="shared" ref="CB476" si="4789">AC476</f>
        <v>261</v>
      </c>
      <c r="CC476" s="113">
        <f t="shared" ref="CC476" si="4790">AG476</f>
        <v>296</v>
      </c>
      <c r="CD476" s="114">
        <f t="shared" ref="CD476" si="4791">AK476</f>
        <v>309</v>
      </c>
      <c r="CE476" s="113">
        <f t="shared" ref="CE476" si="4792">AO476</f>
        <v>345</v>
      </c>
      <c r="CF476" s="114">
        <f t="shared" ref="CF476" si="4793">AS476</f>
        <v>382</v>
      </c>
      <c r="CG476" s="113">
        <f t="shared" ref="CG476" si="4794">AW476</f>
        <v>406</v>
      </c>
      <c r="CH476" s="111">
        <f t="shared" ref="CH476" si="4795">G476</f>
        <v>169</v>
      </c>
      <c r="CI476" s="113">
        <f t="shared" ref="CI476" si="4796">K476</f>
        <v>173</v>
      </c>
      <c r="CJ476" s="114">
        <f t="shared" ref="CJ476" si="4797">O476</f>
        <v>208</v>
      </c>
      <c r="CK476" s="114" t="str">
        <f t="shared" ref="CK476" si="4798">S476</f>
        <v>-</v>
      </c>
      <c r="CL476" s="114">
        <f t="shared" ref="CL476" si="4799">W476</f>
        <v>256</v>
      </c>
      <c r="CM476" s="114" t="str">
        <f t="shared" ref="CM476" si="4800">AA476</f>
        <v>-</v>
      </c>
      <c r="CN476" s="114">
        <f t="shared" ref="CN476" si="4801">AE476</f>
        <v>290</v>
      </c>
      <c r="CO476" s="114">
        <f t="shared" ref="CO476" si="4802">AI476</f>
        <v>298</v>
      </c>
      <c r="CP476" s="114">
        <f t="shared" ref="CP476" si="4803">AM476</f>
        <v>336</v>
      </c>
      <c r="CQ476" s="114">
        <f t="shared" ref="CQ476" si="4804">AQ476</f>
        <v>370</v>
      </c>
      <c r="CR476" s="114">
        <f t="shared" ref="CR476" si="4805">AU476</f>
        <v>405</v>
      </c>
      <c r="CS476" s="114">
        <f t="shared" ref="CS476" si="4806">AY476</f>
        <v>422</v>
      </c>
      <c r="CT476" s="109">
        <f t="shared" ref="CT476" si="4807">M476-K476</f>
        <v>1</v>
      </c>
    </row>
    <row r="477" spans="1:1029" s="12" customFormat="1" x14ac:dyDescent="0.2">
      <c r="A477" s="9" t="str">
        <f t="shared" ref="A477" si="4808">CONCATENATE(B477,"_",C477)</f>
        <v>glp1r_human_6VCB</v>
      </c>
      <c r="B477" s="9" t="s">
        <v>405</v>
      </c>
      <c r="C477" s="9" t="s">
        <v>1698</v>
      </c>
      <c r="D477" s="9" t="str">
        <f>IFERROR(MID(VLOOKUP($B477,Seqs!$A:$B,2,0),E477,1),"")</f>
        <v>P</v>
      </c>
      <c r="E477" s="9">
        <v>137</v>
      </c>
      <c r="F477" s="9" t="str">
        <f>IFERROR(MID(VLOOKUP($B477,Seqs!$A:$B,2,0),G477,1),"")</f>
        <v>G</v>
      </c>
      <c r="G477" s="9">
        <v>168</v>
      </c>
      <c r="H477" s="9" t="str">
        <f>IFERROR(MID(VLOOKUP($B477,Seqs!$A:$B,2,0),I477,1),"")</f>
        <v/>
      </c>
      <c r="I477" s="109" t="s">
        <v>23</v>
      </c>
      <c r="J477" s="9" t="str">
        <f>IFERROR(MID(VLOOKUP($B477,Seqs!$A:$B,2,0),K477,1),"")</f>
        <v/>
      </c>
      <c r="K477" s="109" t="s">
        <v>23</v>
      </c>
      <c r="L477" s="9" t="str">
        <f>IFERROR(MID(VLOOKUP($B477,Seqs!$A:$B,2,0),M477,1),"")</f>
        <v>C</v>
      </c>
      <c r="M477" s="109">
        <v>174</v>
      </c>
      <c r="N477" s="9" t="str">
        <f>IFERROR(MID(VLOOKUP($B477,Seqs!$A:$B,2,0),O477,1),"")</f>
        <v>T</v>
      </c>
      <c r="O477" s="9">
        <v>207</v>
      </c>
      <c r="P477" s="9" t="str">
        <f>IFERROR(MID(VLOOKUP($B477,Seqs!$A:$B,2,0),Q477,1),"")</f>
        <v/>
      </c>
      <c r="Q477" s="9" t="s">
        <v>23</v>
      </c>
      <c r="R477" s="9" t="str">
        <f>IFERROR(MID(VLOOKUP($B477,Seqs!$A:$B,2,0),S477,1),"")</f>
        <v/>
      </c>
      <c r="S477" s="9" t="s">
        <v>23</v>
      </c>
      <c r="T477" s="9" t="str">
        <f>IFERROR(MID(VLOOKUP($B477,Seqs!$A:$B,2,0),U477,1),"")</f>
        <v>L</v>
      </c>
      <c r="U477" s="9">
        <v>224</v>
      </c>
      <c r="V477" s="9" t="str">
        <f>IFERROR(MID(VLOOKUP($B477,Seqs!$A:$B,2,0),W477,1),"")</f>
        <v>A</v>
      </c>
      <c r="W477" s="9">
        <v>256</v>
      </c>
      <c r="X477" s="9" t="str">
        <f>IFERROR(MID(VLOOKUP($B477,Seqs!$A:$B,2,0),Y477,1),"")</f>
        <v/>
      </c>
      <c r="Y477" s="9" t="s">
        <v>23</v>
      </c>
      <c r="Z477" s="9" t="str">
        <f>IFERROR(MID(VLOOKUP($B477,Seqs!$A:$B,2,0),AA477,1),"")</f>
        <v/>
      </c>
      <c r="AA477" s="9" t="s">
        <v>23</v>
      </c>
      <c r="AB477" s="9" t="str">
        <f>IFERROR(MID(VLOOKUP($B477,Seqs!$A:$B,2,0),AC477,1),"")</f>
        <v>S</v>
      </c>
      <c r="AC477" s="9">
        <v>261</v>
      </c>
      <c r="AD477" s="9" t="str">
        <f>IFERROR(MID(VLOOKUP($B477,Seqs!$A:$B,2,0),AE477,1),"")</f>
        <v>E</v>
      </c>
      <c r="AE477" s="9">
        <v>292</v>
      </c>
      <c r="AF477" s="9" t="str">
        <f>IFERROR(MID(VLOOKUP($B477,Seqs!$A:$B,2,0),AG477,1),"")</f>
        <v>C</v>
      </c>
      <c r="AG477" s="9">
        <v>296</v>
      </c>
      <c r="AH477" s="9" t="str">
        <f>IFERROR(MID(VLOOKUP($B477,Seqs!$A:$B,2,0),AI477,1),"")</f>
        <v>T</v>
      </c>
      <c r="AI477" s="9">
        <v>298</v>
      </c>
      <c r="AJ477" s="9" t="str">
        <f>IFERROR(MID(VLOOKUP($B477,Seqs!$A:$B,2,0),AK477,1),"")</f>
        <v>M</v>
      </c>
      <c r="AK477" s="9">
        <v>303</v>
      </c>
      <c r="AL477" s="9" t="str">
        <f>IFERROR(MID(VLOOKUP($B477,Seqs!$A:$B,2,0),AM477,1),"")</f>
        <v>A</v>
      </c>
      <c r="AM477" s="9">
        <v>337</v>
      </c>
      <c r="AN477" s="9" t="str">
        <f>IFERROR(MID(VLOOKUP($B477,Seqs!$A:$B,2,0),AO477,1),"")</f>
        <v>I</v>
      </c>
      <c r="AO477" s="9">
        <v>345</v>
      </c>
      <c r="AP477" s="9" t="str">
        <f>IFERROR(MID(VLOOKUP($B477,Seqs!$A:$B,2,0),AQ477,1),"")</f>
        <v>F</v>
      </c>
      <c r="AQ477" s="9">
        <v>367</v>
      </c>
      <c r="AR477" s="9" t="str">
        <f>IFERROR(MID(VLOOKUP($B477,Seqs!$A:$B,2,0),AS477,1),"")</f>
        <v>G</v>
      </c>
      <c r="AS477" s="9">
        <v>377</v>
      </c>
      <c r="AT477" s="9" t="str">
        <f>IFERROR(MID(VLOOKUP($B477,Seqs!$A:$B,2,0),AU477,1),"")</f>
        <v>V</v>
      </c>
      <c r="AU477" s="9">
        <v>405</v>
      </c>
      <c r="AV477" s="9" t="str">
        <f>IFERROR(MID(VLOOKUP($B477,Seqs!$A:$B,2,0),AW477,1),"")</f>
        <v>N</v>
      </c>
      <c r="AW477" s="9">
        <v>406</v>
      </c>
      <c r="AX477" s="9" t="str">
        <f>IFERROR(MID(VLOOKUP($B477,Seqs!$A:$B,2,0),AY477,1),"")</f>
        <v>R</v>
      </c>
      <c r="AY477" s="9">
        <v>421</v>
      </c>
      <c r="AZ477" s="110" t="str">
        <f>VLOOKUP(B477,Classification!A:D,2,0)</f>
        <v>B1</v>
      </c>
      <c r="BA477" s="98" t="str">
        <f>VLOOKUP(B477,Classification!A:D,4,0)</f>
        <v>Glucagonreceptorfamily</v>
      </c>
      <c r="BB477" s="36" t="b">
        <f t="shared" ref="BB477" si="4809">AND(E477&lt;G477,OR(G477&lt;I477,I477="-"),OR(I477&lt;K477,I477="-"),OR(K477&lt;M477,K477="-"),M477&lt;O477,OR(O477&lt;Q477,Q477="-"),OR(Q477&lt;S477,Q477="-"),OR(S477&lt;U477,S477="-"),U477&lt;W477,OR(W477&lt;Y477,Y477="-"),OR(Y477&lt;AA477,Y477="-"),OR(AA477&lt;AC477,AA477="-"),AC477&lt;AE477,OR(AE477&lt;AG477,AG477="-"),OR(AG477&lt;AI477,AG477="-"),OR(AI477&lt;AK477,AI477="-"),AK477&lt;AM477,AM477&lt;AO477,AO477&lt;AQ477,AQ477&lt;AS477,AS477&lt;AU477,OR(AU477&lt;AW477,AW477="-"),OR(AW477&lt;AY477,AW477="-"))</f>
        <v>1</v>
      </c>
      <c r="BC477" s="109">
        <f t="shared" ref="BC477" si="4810">_xlfn.AGGREGATE(9,6,CH477:CS477)-_xlfn.AGGREGATE(9,6,BV477:CG477)+12</f>
        <v>240</v>
      </c>
      <c r="BD477" s="11" t="s">
        <v>23</v>
      </c>
      <c r="BE477" s="9" t="s">
        <v>1285</v>
      </c>
      <c r="BF477" s="119">
        <v>3.3</v>
      </c>
      <c r="BG477" s="51" t="s">
        <v>1416</v>
      </c>
      <c r="BH477" s="51" t="s">
        <v>1416</v>
      </c>
      <c r="BJ477" s="111" t="s">
        <v>1281</v>
      </c>
      <c r="BK477" s="112" t="s">
        <v>1281</v>
      </c>
      <c r="BL477" s="112" t="s">
        <v>1281</v>
      </c>
      <c r="BM477" s="112" t="s">
        <v>1281</v>
      </c>
      <c r="BN477" s="112" t="s">
        <v>1281</v>
      </c>
      <c r="BO477" s="112" t="s">
        <v>1281</v>
      </c>
      <c r="BP477" s="112" t="s">
        <v>1281</v>
      </c>
      <c r="BQ477" s="112" t="s">
        <v>1281</v>
      </c>
      <c r="BR477" s="112" t="s">
        <v>1281</v>
      </c>
      <c r="BS477" s="112" t="s">
        <v>1281</v>
      </c>
      <c r="BT477" s="112" t="s">
        <v>1281</v>
      </c>
      <c r="BU477" s="112" t="s">
        <v>1281</v>
      </c>
      <c r="BV477" s="111">
        <f t="shared" ref="BV477" si="4811">E477</f>
        <v>137</v>
      </c>
      <c r="BW477" s="113" t="str">
        <f t="shared" ref="BW477" si="4812">I477</f>
        <v>-</v>
      </c>
      <c r="BX477" s="114">
        <f t="shared" ref="BX477" si="4813">M477</f>
        <v>174</v>
      </c>
      <c r="BY477" s="113" t="str">
        <f t="shared" ref="BY477" si="4814">Q477</f>
        <v>-</v>
      </c>
      <c r="BZ477" s="114">
        <f t="shared" ref="BZ477" si="4815">U477</f>
        <v>224</v>
      </c>
      <c r="CA477" s="113" t="str">
        <f t="shared" ref="CA477" si="4816">Y477</f>
        <v>-</v>
      </c>
      <c r="CB477" s="114">
        <f t="shared" ref="CB477" si="4817">AC477</f>
        <v>261</v>
      </c>
      <c r="CC477" s="113">
        <f t="shared" ref="CC477" si="4818">AG477</f>
        <v>296</v>
      </c>
      <c r="CD477" s="114">
        <f t="shared" ref="CD477" si="4819">AK477</f>
        <v>303</v>
      </c>
      <c r="CE477" s="113">
        <f t="shared" ref="CE477" si="4820">AO477</f>
        <v>345</v>
      </c>
      <c r="CF477" s="114">
        <f t="shared" ref="CF477" si="4821">AS477</f>
        <v>377</v>
      </c>
      <c r="CG477" s="113">
        <f t="shared" ref="CG477" si="4822">AW477</f>
        <v>406</v>
      </c>
      <c r="CH477" s="111">
        <f t="shared" ref="CH477" si="4823">G477</f>
        <v>168</v>
      </c>
      <c r="CI477" s="113" t="str">
        <f t="shared" ref="CI477" si="4824">K477</f>
        <v>-</v>
      </c>
      <c r="CJ477" s="114">
        <f t="shared" ref="CJ477" si="4825">O477</f>
        <v>207</v>
      </c>
      <c r="CK477" s="114" t="str">
        <f t="shared" ref="CK477" si="4826">S477</f>
        <v>-</v>
      </c>
      <c r="CL477" s="114">
        <f t="shared" ref="CL477" si="4827">W477</f>
        <v>256</v>
      </c>
      <c r="CM477" s="114" t="str">
        <f t="shared" ref="CM477" si="4828">AA477</f>
        <v>-</v>
      </c>
      <c r="CN477" s="114">
        <f t="shared" ref="CN477" si="4829">AE477</f>
        <v>292</v>
      </c>
      <c r="CO477" s="114">
        <f t="shared" ref="CO477" si="4830">AI477</f>
        <v>298</v>
      </c>
      <c r="CP477" s="114">
        <f t="shared" ref="CP477" si="4831">AM477</f>
        <v>337</v>
      </c>
      <c r="CQ477" s="114">
        <f t="shared" ref="CQ477" si="4832">AQ477</f>
        <v>367</v>
      </c>
      <c r="CR477" s="114">
        <f t="shared" ref="CR477" si="4833">AU477</f>
        <v>405</v>
      </c>
      <c r="CS477" s="114">
        <f t="shared" ref="CS477" si="4834">AY477</f>
        <v>421</v>
      </c>
      <c r="CT477" s="109" t="e">
        <f t="shared" ref="CT477" si="4835">M477-K477</f>
        <v>#VALUE!</v>
      </c>
    </row>
    <row r="478" spans="1:1029" s="12" customFormat="1" x14ac:dyDescent="0.2">
      <c r="A478" s="9" t="str">
        <f t="shared" ref="A478" si="4836">CONCATENATE(B478,"_",C478)</f>
        <v>glp1r_human_7C2E</v>
      </c>
      <c r="B478" s="9" t="s">
        <v>405</v>
      </c>
      <c r="C478" s="9" t="s">
        <v>1716</v>
      </c>
      <c r="D478" s="9" t="str">
        <f>IFERROR(MID(VLOOKUP($B478,Seqs!$A:$B,2,0),E478,1),"")</f>
        <v>P</v>
      </c>
      <c r="E478" s="9">
        <v>137</v>
      </c>
      <c r="F478" s="9" t="str">
        <f>IFERROR(MID(VLOOKUP($B478,Seqs!$A:$B,2,0),G478,1),"")</f>
        <v>F</v>
      </c>
      <c r="G478" s="9">
        <v>169</v>
      </c>
      <c r="H478" s="9" t="str">
        <f>IFERROR(MID(VLOOKUP($B478,Seqs!$A:$B,2,0),I478,1),"")</f>
        <v/>
      </c>
      <c r="I478" s="109" t="s">
        <v>23</v>
      </c>
      <c r="J478" s="9" t="str">
        <f>IFERROR(MID(VLOOKUP($B478,Seqs!$A:$B,2,0),K478,1),"")</f>
        <v/>
      </c>
      <c r="K478" s="109" t="s">
        <v>23</v>
      </c>
      <c r="L478" s="9" t="str">
        <f>IFERROR(MID(VLOOKUP($B478,Seqs!$A:$B,2,0),M478,1),"")</f>
        <v>C</v>
      </c>
      <c r="M478" s="109">
        <v>174</v>
      </c>
      <c r="N478" s="9" t="str">
        <f>IFERROR(MID(VLOOKUP($B478,Seqs!$A:$B,2,0),O478,1),"")</f>
        <v>D</v>
      </c>
      <c r="O478" s="9">
        <v>198</v>
      </c>
      <c r="P478" s="9" t="str">
        <f>IFERROR(MID(VLOOKUP($B478,Seqs!$A:$B,2,0),Q478,1),"")</f>
        <v/>
      </c>
      <c r="Q478" s="9" t="s">
        <v>23</v>
      </c>
      <c r="R478" s="9" t="str">
        <f>IFERROR(MID(VLOOKUP($B478,Seqs!$A:$B,2,0),S478,1),"")</f>
        <v/>
      </c>
      <c r="S478" s="9" t="s">
        <v>23</v>
      </c>
      <c r="T478" s="9" t="str">
        <f>IFERROR(MID(VLOOKUP($B478,Seqs!$A:$B,2,0),U478,1),"")</f>
        <v>S</v>
      </c>
      <c r="U478" s="9">
        <v>223</v>
      </c>
      <c r="V478" s="9" t="str">
        <f>IFERROR(MID(VLOOKUP($B478,Seqs!$A:$B,2,0),W478,1),"")</f>
        <v>F</v>
      </c>
      <c r="W478" s="9">
        <v>257</v>
      </c>
      <c r="X478" s="9" t="str">
        <f>IFERROR(MID(VLOOKUP($B478,Seqs!$A:$B,2,0),Y478,1),"")</f>
        <v/>
      </c>
      <c r="Y478" s="9" t="s">
        <v>23</v>
      </c>
      <c r="Z478" s="9" t="str">
        <f>IFERROR(MID(VLOOKUP($B478,Seqs!$A:$B,2,0),AA478,1),"")</f>
        <v/>
      </c>
      <c r="AA478" s="9" t="s">
        <v>23</v>
      </c>
      <c r="AB478" s="9" t="str">
        <f>IFERROR(MID(VLOOKUP($B478,Seqs!$A:$B,2,0),AC478,1),"")</f>
        <v>S</v>
      </c>
      <c r="AC478" s="9">
        <v>261</v>
      </c>
      <c r="AD478" s="9" t="str">
        <f>IFERROR(MID(VLOOKUP($B478,Seqs!$A:$B,2,0),AE478,1),"")</f>
        <v>E</v>
      </c>
      <c r="AE478" s="9">
        <v>292</v>
      </c>
      <c r="AF478" s="9" t="str">
        <f>IFERROR(MID(VLOOKUP($B478,Seqs!$A:$B,2,0),AG478,1),"")</f>
        <v>C</v>
      </c>
      <c r="AG478" s="9">
        <v>296</v>
      </c>
      <c r="AH478" s="9" t="str">
        <f>IFERROR(MID(VLOOKUP($B478,Seqs!$A:$B,2,0),AI478,1),"")</f>
        <v>T</v>
      </c>
      <c r="AI478" s="9">
        <v>298</v>
      </c>
      <c r="AJ478" s="9" t="str">
        <f>IFERROR(MID(VLOOKUP($B478,Seqs!$A:$B,2,0),AK478,1),"")</f>
        <v>M</v>
      </c>
      <c r="AK478" s="9">
        <v>303</v>
      </c>
      <c r="AL478" s="9" t="str">
        <f>IFERROR(MID(VLOOKUP($B478,Seqs!$A:$B,2,0),AM478,1),"")</f>
        <v>A</v>
      </c>
      <c r="AM478" s="9">
        <v>337</v>
      </c>
      <c r="AN478" s="9" t="str">
        <f>IFERROR(MID(VLOOKUP($B478,Seqs!$A:$B,2,0),AO478,1),"")</f>
        <v>D</v>
      </c>
      <c r="AO478" s="9">
        <v>344</v>
      </c>
      <c r="AP478" s="9" t="str">
        <f>IFERROR(MID(VLOOKUP($B478,Seqs!$A:$B,2,0),AQ478,1),"")</f>
        <v>M</v>
      </c>
      <c r="AQ478" s="9">
        <v>371</v>
      </c>
      <c r="AR478" s="9" t="str">
        <f>IFERROR(MID(VLOOKUP($B478,Seqs!$A:$B,2,0),AS478,1),"")</f>
        <v>R</v>
      </c>
      <c r="AS478" s="9">
        <v>380</v>
      </c>
      <c r="AT478" s="9" t="str">
        <f>IFERROR(MID(VLOOKUP($B478,Seqs!$A:$B,2,0),AU478,1),"")</f>
        <v>V</v>
      </c>
      <c r="AU478" s="9">
        <v>405</v>
      </c>
      <c r="AV478" s="9" t="str">
        <f>IFERROR(MID(VLOOKUP($B478,Seqs!$A:$B,2,0),AW478,1),"")</f>
        <v>N</v>
      </c>
      <c r="AW478" s="9">
        <v>406</v>
      </c>
      <c r="AX478" s="9" t="str">
        <f>IFERROR(MID(VLOOKUP($B478,Seqs!$A:$B,2,0),AY478,1),"")</f>
        <v>E</v>
      </c>
      <c r="AY478" s="9">
        <v>423</v>
      </c>
      <c r="AZ478" s="110" t="str">
        <f>VLOOKUP(B478,Classification!A:D,2,0)</f>
        <v>B1</v>
      </c>
      <c r="BA478" s="98" t="str">
        <f>VLOOKUP(B478,Classification!A:D,4,0)</f>
        <v>Glucagonreceptorfamily</v>
      </c>
      <c r="BB478" s="36" t="b">
        <f t="shared" ref="BB478" si="4837">AND(E478&lt;G478,OR(G478&lt;I478,I478="-"),OR(I478&lt;K478,I478="-"),OR(K478&lt;M478,K478="-"),M478&lt;O478,OR(O478&lt;Q478,Q478="-"),OR(Q478&lt;S478,Q478="-"),OR(S478&lt;U478,S478="-"),U478&lt;W478,OR(W478&lt;Y478,Y478="-"),OR(Y478&lt;AA478,Y478="-"),OR(AA478&lt;AC478,AA478="-"),AC478&lt;AE478,OR(AE478&lt;AG478,AG478="-"),OR(AG478&lt;AI478,AG478="-"),OR(AI478&lt;AK478,AI478="-"),AK478&lt;AM478,AM478&lt;AO478,AO478&lt;AQ478,AQ478&lt;AS478,AS478&lt;AU478,OR(AU478&lt;AW478,AW478="-"),OR(AW478&lt;AY478,AW478="-"))</f>
        <v>1</v>
      </c>
      <c r="BC478" s="109">
        <f t="shared" ref="BC478" si="4838">_xlfn.AGGREGATE(9,6,CH478:CS478)-_xlfn.AGGREGATE(9,6,BV478:CG478)+12</f>
        <v>238</v>
      </c>
      <c r="BD478" s="11" t="s">
        <v>23</v>
      </c>
      <c r="BE478" s="9" t="s">
        <v>1285</v>
      </c>
      <c r="BF478" s="119">
        <v>4.2</v>
      </c>
      <c r="BG478" s="51" t="s">
        <v>1416</v>
      </c>
      <c r="BH478" s="51" t="s">
        <v>1416</v>
      </c>
      <c r="BJ478" s="111" t="s">
        <v>1281</v>
      </c>
      <c r="BK478" s="112" t="s">
        <v>1281</v>
      </c>
      <c r="BL478" s="112" t="s">
        <v>1281</v>
      </c>
      <c r="BM478" s="112" t="s">
        <v>1281</v>
      </c>
      <c r="BN478" s="112" t="s">
        <v>1281</v>
      </c>
      <c r="BO478" s="112" t="s">
        <v>1281</v>
      </c>
      <c r="BP478" s="112" t="s">
        <v>1281</v>
      </c>
      <c r="BQ478" s="112" t="s">
        <v>1281</v>
      </c>
      <c r="BR478" s="112" t="s">
        <v>1281</v>
      </c>
      <c r="BS478" s="112" t="s">
        <v>1281</v>
      </c>
      <c r="BT478" s="112" t="s">
        <v>1281</v>
      </c>
      <c r="BU478" s="112" t="s">
        <v>1281</v>
      </c>
      <c r="BV478" s="111">
        <f t="shared" ref="BV478" si="4839">E478</f>
        <v>137</v>
      </c>
      <c r="BW478" s="113" t="str">
        <f t="shared" ref="BW478" si="4840">I478</f>
        <v>-</v>
      </c>
      <c r="BX478" s="114">
        <f t="shared" ref="BX478" si="4841">M478</f>
        <v>174</v>
      </c>
      <c r="BY478" s="113" t="str">
        <f t="shared" ref="BY478" si="4842">Q478</f>
        <v>-</v>
      </c>
      <c r="BZ478" s="114">
        <f t="shared" ref="BZ478" si="4843">U478</f>
        <v>223</v>
      </c>
      <c r="CA478" s="113" t="str">
        <f t="shared" ref="CA478" si="4844">Y478</f>
        <v>-</v>
      </c>
      <c r="CB478" s="114">
        <f t="shared" ref="CB478" si="4845">AC478</f>
        <v>261</v>
      </c>
      <c r="CC478" s="113">
        <f t="shared" ref="CC478" si="4846">AG478</f>
        <v>296</v>
      </c>
      <c r="CD478" s="114">
        <f t="shared" ref="CD478" si="4847">AK478</f>
        <v>303</v>
      </c>
      <c r="CE478" s="113">
        <f t="shared" ref="CE478" si="4848">AO478</f>
        <v>344</v>
      </c>
      <c r="CF478" s="114">
        <f t="shared" ref="CF478" si="4849">AS478</f>
        <v>380</v>
      </c>
      <c r="CG478" s="113">
        <f t="shared" ref="CG478" si="4850">AW478</f>
        <v>406</v>
      </c>
      <c r="CH478" s="111">
        <f t="shared" ref="CH478" si="4851">G478</f>
        <v>169</v>
      </c>
      <c r="CI478" s="113" t="str">
        <f t="shared" ref="CI478" si="4852">K478</f>
        <v>-</v>
      </c>
      <c r="CJ478" s="114">
        <f t="shared" ref="CJ478" si="4853">O478</f>
        <v>198</v>
      </c>
      <c r="CK478" s="114" t="str">
        <f t="shared" ref="CK478" si="4854">S478</f>
        <v>-</v>
      </c>
      <c r="CL478" s="114">
        <f t="shared" ref="CL478" si="4855">W478</f>
        <v>257</v>
      </c>
      <c r="CM478" s="114" t="str">
        <f t="shared" ref="CM478" si="4856">AA478</f>
        <v>-</v>
      </c>
      <c r="CN478" s="114">
        <f t="shared" ref="CN478" si="4857">AE478</f>
        <v>292</v>
      </c>
      <c r="CO478" s="114">
        <f t="shared" ref="CO478" si="4858">AI478</f>
        <v>298</v>
      </c>
      <c r="CP478" s="114">
        <f t="shared" ref="CP478" si="4859">AM478</f>
        <v>337</v>
      </c>
      <c r="CQ478" s="114">
        <f t="shared" ref="CQ478" si="4860">AQ478</f>
        <v>371</v>
      </c>
      <c r="CR478" s="114">
        <f t="shared" ref="CR478" si="4861">AU478</f>
        <v>405</v>
      </c>
      <c r="CS478" s="114">
        <f t="shared" ref="CS478" si="4862">AY478</f>
        <v>423</v>
      </c>
      <c r="CT478" s="109" t="e">
        <f t="shared" ref="CT478" si="4863">M478-K478</f>
        <v>#VALUE!</v>
      </c>
    </row>
    <row r="479" spans="1:1029" s="12" customFormat="1" x14ac:dyDescent="0.2">
      <c r="A479" s="9" t="str">
        <f t="shared" ref="A479" si="4864">CONCATENATE(B479,"_",C479)</f>
        <v>glp1r_human_6X1A</v>
      </c>
      <c r="B479" s="9" t="s">
        <v>405</v>
      </c>
      <c r="C479" s="9" t="s">
        <v>1736</v>
      </c>
      <c r="D479" s="9" t="str">
        <f>IFERROR(MID(VLOOKUP($B479,Seqs!$A:$B,2,0),E479,1),"")</f>
        <v>S</v>
      </c>
      <c r="E479" s="9">
        <v>136</v>
      </c>
      <c r="F479" s="9" t="str">
        <f>IFERROR(MID(VLOOKUP($B479,Seqs!$A:$B,2,0),G479,1),"")</f>
        <v>F</v>
      </c>
      <c r="G479" s="9">
        <v>169</v>
      </c>
      <c r="H479" s="9" t="str">
        <f>IFERROR(MID(VLOOKUP($B479,Seqs!$A:$B,2,0),I479,1),"")</f>
        <v>R</v>
      </c>
      <c r="I479" s="109">
        <v>170</v>
      </c>
      <c r="J479" s="9" t="str">
        <f>IFERROR(MID(VLOOKUP($B479,Seqs!$A:$B,2,0),K479,1),"")</f>
        <v>H</v>
      </c>
      <c r="K479" s="109">
        <v>173</v>
      </c>
      <c r="L479" s="9" t="str">
        <f>IFERROR(MID(VLOOKUP($B479,Seqs!$A:$B,2,0),M479,1),"")</f>
        <v>C</v>
      </c>
      <c r="M479" s="109">
        <v>174</v>
      </c>
      <c r="N479" s="9" t="str">
        <f>IFERROR(MID(VLOOKUP($B479,Seqs!$A:$B,2,0),O479,1),"")</f>
        <v>L</v>
      </c>
      <c r="O479" s="9">
        <v>201</v>
      </c>
      <c r="P479" s="9" t="str">
        <f>IFERROR(MID(VLOOKUP($B479,Seqs!$A:$B,2,0),Q479,1),"")</f>
        <v/>
      </c>
      <c r="Q479" s="9" t="s">
        <v>23</v>
      </c>
      <c r="R479" s="9" t="str">
        <f>IFERROR(MID(VLOOKUP($B479,Seqs!$A:$B,2,0),S479,1),"")</f>
        <v/>
      </c>
      <c r="S479" s="9" t="s">
        <v>23</v>
      </c>
      <c r="T479" s="9" t="str">
        <f>IFERROR(MID(VLOOKUP($B479,Seqs!$A:$B,2,0),U479,1),"")</f>
        <v>S</v>
      </c>
      <c r="U479" s="9">
        <v>223</v>
      </c>
      <c r="V479" s="9" t="str">
        <f>IFERROR(MID(VLOOKUP($B479,Seqs!$A:$B,2,0),W479,1),"")</f>
        <v>A</v>
      </c>
      <c r="W479" s="9">
        <v>256</v>
      </c>
      <c r="X479" s="9" t="str">
        <f>IFERROR(MID(VLOOKUP($B479,Seqs!$A:$B,2,0),Y479,1),"")</f>
        <v/>
      </c>
      <c r="Y479" s="9" t="s">
        <v>23</v>
      </c>
      <c r="Z479" s="9" t="str">
        <f>IFERROR(MID(VLOOKUP($B479,Seqs!$A:$B,2,0),AA479,1),"")</f>
        <v/>
      </c>
      <c r="AA479" s="9" t="s">
        <v>23</v>
      </c>
      <c r="AB479" s="9" t="str">
        <f>IFERROR(MID(VLOOKUP($B479,Seqs!$A:$B,2,0),AC479,1),"")</f>
        <v>S</v>
      </c>
      <c r="AC479" s="9">
        <v>261</v>
      </c>
      <c r="AD479" s="9" t="str">
        <f>IFERROR(MID(VLOOKUP($B479,Seqs!$A:$B,2,0),AE479,1),"")</f>
        <v>Y</v>
      </c>
      <c r="AE479" s="9">
        <v>291</v>
      </c>
      <c r="AF479" s="9" t="str">
        <f>IFERROR(MID(VLOOKUP($B479,Seqs!$A:$B,2,0),AG479,1),"")</f>
        <v>C</v>
      </c>
      <c r="AG479" s="9">
        <v>296</v>
      </c>
      <c r="AH479" s="9" t="str">
        <f>IFERROR(MID(VLOOKUP($B479,Seqs!$A:$B,2,0),AI479,1),"")</f>
        <v>T</v>
      </c>
      <c r="AI479" s="9">
        <v>298</v>
      </c>
      <c r="AJ479" s="9" t="str">
        <f>IFERROR(MID(VLOOKUP($B479,Seqs!$A:$B,2,0),AK479,1),"")</f>
        <v>N</v>
      </c>
      <c r="AK479" s="9">
        <v>304</v>
      </c>
      <c r="AL479" s="9" t="str">
        <f>IFERROR(MID(VLOOKUP($B479,Seqs!$A:$B,2,0),AM479,1),"")</f>
        <v>A</v>
      </c>
      <c r="AM479" s="9">
        <v>337</v>
      </c>
      <c r="AN479" s="9" t="str">
        <f>IFERROR(MID(VLOOKUP($B479,Seqs!$A:$B,2,0),AO479,1),"")</f>
        <v>C</v>
      </c>
      <c r="AO479" s="9">
        <v>341</v>
      </c>
      <c r="AP479" s="9" t="str">
        <f>IFERROR(MID(VLOOKUP($B479,Seqs!$A:$B,2,0),AQ479,1),"")</f>
        <v>M</v>
      </c>
      <c r="AQ479" s="9">
        <v>371</v>
      </c>
      <c r="AR479" s="9" t="str">
        <f>IFERROR(MID(VLOOKUP($B479,Seqs!$A:$B,2,0),AS479,1),"")</f>
        <v>G</v>
      </c>
      <c r="AS479" s="9">
        <v>377</v>
      </c>
      <c r="AT479" s="9" t="str">
        <f>IFERROR(MID(VLOOKUP($B479,Seqs!$A:$B,2,0),AU479,1),"")</f>
        <v>V</v>
      </c>
      <c r="AU479" s="9">
        <v>405</v>
      </c>
      <c r="AV479" s="9" t="str">
        <f>IFERROR(MID(VLOOKUP($B479,Seqs!$A:$B,2,0),AW479,1),"")</f>
        <v>N</v>
      </c>
      <c r="AW479" s="9">
        <v>406</v>
      </c>
      <c r="AX479" s="9" t="str">
        <f>IFERROR(MID(VLOOKUP($B479,Seqs!$A:$B,2,0),AY479,1),"")</f>
        <v>E</v>
      </c>
      <c r="AY479" s="9">
        <v>423</v>
      </c>
      <c r="AZ479" s="110" t="str">
        <f>VLOOKUP(B479,Classification!A:D,2,0)</f>
        <v>B1</v>
      </c>
      <c r="BA479" s="98" t="str">
        <f>VLOOKUP(B479,Classification!A:D,4,0)</f>
        <v>Glucagonreceptorfamily</v>
      </c>
      <c r="BB479" s="36" t="b">
        <f t="shared" ref="BB479" si="4865">AND(E479&lt;G479,OR(G479&lt;I479,I479="-"),OR(I479&lt;K479,I479="-"),OR(K479&lt;M479,K479="-"),M479&lt;O479,OR(O479&lt;Q479,Q479="-"),OR(Q479&lt;S479,Q479="-"),OR(S479&lt;U479,S479="-"),U479&lt;W479,OR(W479&lt;Y479,Y479="-"),OR(Y479&lt;AA479,Y479="-"),OR(AA479&lt;AC479,AA479="-"),AC479&lt;AE479,OR(AE479&lt;AG479,AG479="-"),OR(AG479&lt;AI479,AG479="-"),OR(AI479&lt;AK479,AI479="-"),AK479&lt;AM479,AM479&lt;AO479,AO479&lt;AQ479,AQ479&lt;AS479,AS479&lt;AU479,OR(AU479&lt;AW479,AW479="-"),OR(AW479&lt;AY479,AW479="-"))</f>
        <v>1</v>
      </c>
      <c r="BC479" s="109">
        <f t="shared" ref="BC479" si="4866">_xlfn.AGGREGATE(9,6,CH479:CS479)-_xlfn.AGGREGATE(9,6,BV479:CG479)+12</f>
        <v>248</v>
      </c>
      <c r="BD479" s="11" t="s">
        <v>1369</v>
      </c>
      <c r="BE479" s="9" t="s">
        <v>1285</v>
      </c>
      <c r="BF479" s="119">
        <v>2.5</v>
      </c>
      <c r="BG479" s="51" t="s">
        <v>1416</v>
      </c>
      <c r="BH479" s="51" t="s">
        <v>1416</v>
      </c>
      <c r="BJ479" s="111" t="s">
        <v>1281</v>
      </c>
      <c r="BK479" s="112" t="s">
        <v>1281</v>
      </c>
      <c r="BL479" s="112" t="s">
        <v>1281</v>
      </c>
      <c r="BM479" s="112" t="s">
        <v>1281</v>
      </c>
      <c r="BN479" s="112" t="s">
        <v>1281</v>
      </c>
      <c r="BO479" s="112" t="s">
        <v>1281</v>
      </c>
      <c r="BP479" s="112" t="s">
        <v>1281</v>
      </c>
      <c r="BQ479" s="112" t="s">
        <v>1281</v>
      </c>
      <c r="BR479" s="112" t="s">
        <v>1281</v>
      </c>
      <c r="BS479" s="112" t="s">
        <v>1281</v>
      </c>
      <c r="BT479" s="112" t="s">
        <v>1281</v>
      </c>
      <c r="BU479" s="112" t="s">
        <v>1281</v>
      </c>
      <c r="BV479" s="111">
        <f t="shared" ref="BV479" si="4867">E479</f>
        <v>136</v>
      </c>
      <c r="BW479" s="113">
        <f t="shared" ref="BW479" si="4868">I479</f>
        <v>170</v>
      </c>
      <c r="BX479" s="114">
        <f t="shared" ref="BX479" si="4869">M479</f>
        <v>174</v>
      </c>
      <c r="BY479" s="113" t="str">
        <f t="shared" ref="BY479" si="4870">Q479</f>
        <v>-</v>
      </c>
      <c r="BZ479" s="114">
        <f t="shared" ref="BZ479" si="4871">U479</f>
        <v>223</v>
      </c>
      <c r="CA479" s="113" t="str">
        <f t="shared" ref="CA479" si="4872">Y479</f>
        <v>-</v>
      </c>
      <c r="CB479" s="114">
        <f t="shared" ref="CB479" si="4873">AC479</f>
        <v>261</v>
      </c>
      <c r="CC479" s="113">
        <f t="shared" ref="CC479" si="4874">AG479</f>
        <v>296</v>
      </c>
      <c r="CD479" s="114">
        <f t="shared" ref="CD479" si="4875">AK479</f>
        <v>304</v>
      </c>
      <c r="CE479" s="113">
        <f t="shared" ref="CE479" si="4876">AO479</f>
        <v>341</v>
      </c>
      <c r="CF479" s="114">
        <f t="shared" ref="CF479" si="4877">AS479</f>
        <v>377</v>
      </c>
      <c r="CG479" s="113">
        <f t="shared" ref="CG479" si="4878">AW479</f>
        <v>406</v>
      </c>
      <c r="CH479" s="111">
        <f t="shared" ref="CH479" si="4879">G479</f>
        <v>169</v>
      </c>
      <c r="CI479" s="113">
        <f t="shared" ref="CI479" si="4880">K479</f>
        <v>173</v>
      </c>
      <c r="CJ479" s="114">
        <f t="shared" ref="CJ479" si="4881">O479</f>
        <v>201</v>
      </c>
      <c r="CK479" s="114" t="str">
        <f t="shared" ref="CK479" si="4882">S479</f>
        <v>-</v>
      </c>
      <c r="CL479" s="114">
        <f t="shared" ref="CL479" si="4883">W479</f>
        <v>256</v>
      </c>
      <c r="CM479" s="114" t="str">
        <f t="shared" ref="CM479" si="4884">AA479</f>
        <v>-</v>
      </c>
      <c r="CN479" s="114">
        <f t="shared" ref="CN479" si="4885">AE479</f>
        <v>291</v>
      </c>
      <c r="CO479" s="114">
        <f t="shared" ref="CO479" si="4886">AI479</f>
        <v>298</v>
      </c>
      <c r="CP479" s="114">
        <f t="shared" ref="CP479" si="4887">AM479</f>
        <v>337</v>
      </c>
      <c r="CQ479" s="114">
        <f t="shared" ref="CQ479" si="4888">AQ479</f>
        <v>371</v>
      </c>
      <c r="CR479" s="114">
        <f t="shared" ref="CR479" si="4889">AU479</f>
        <v>405</v>
      </c>
      <c r="CS479" s="114">
        <f t="shared" ref="CS479" si="4890">AY479</f>
        <v>423</v>
      </c>
      <c r="CT479" s="109">
        <f t="shared" ref="CT479" si="4891">M479-K479</f>
        <v>1</v>
      </c>
    </row>
    <row r="480" spans="1:1029" s="12" customFormat="1" ht="15" customHeight="1" x14ac:dyDescent="0.2">
      <c r="A480" s="9" t="str">
        <f t="shared" ref="A480" si="4892">CONCATENATE(B480,"_",C480)</f>
        <v>glp1r_human_6X18</v>
      </c>
      <c r="B480" s="9" t="s">
        <v>405</v>
      </c>
      <c r="C480" s="9" t="s">
        <v>1737</v>
      </c>
      <c r="D480" s="9" t="str">
        <f>IFERROR(MID(VLOOKUP($B480,Seqs!$A:$B,2,0),E480,1),"")</f>
        <v>P</v>
      </c>
      <c r="E480" s="9">
        <v>137</v>
      </c>
      <c r="F480" s="9" t="str">
        <f>IFERROR(MID(VLOOKUP($B480,Seqs!$A:$B,2,0),G480,1),"")</f>
        <v>F</v>
      </c>
      <c r="G480" s="9">
        <v>169</v>
      </c>
      <c r="H480" s="9" t="str">
        <f>IFERROR(MID(VLOOKUP($B480,Seqs!$A:$B,2,0),I480,1),"")</f>
        <v>R</v>
      </c>
      <c r="I480" s="109">
        <v>170</v>
      </c>
      <c r="J480" s="9" t="str">
        <f>IFERROR(MID(VLOOKUP($B480,Seqs!$A:$B,2,0),K480,1),"")</f>
        <v>H</v>
      </c>
      <c r="K480" s="109">
        <v>173</v>
      </c>
      <c r="L480" s="9" t="str">
        <f>IFERROR(MID(VLOOKUP($B480,Seqs!$A:$B,2,0),M480,1),"")</f>
        <v>C</v>
      </c>
      <c r="M480" s="109">
        <v>174</v>
      </c>
      <c r="N480" s="9" t="str">
        <f>IFERROR(MID(VLOOKUP($B480,Seqs!$A:$B,2,0),O480,1),"")</f>
        <v>M</v>
      </c>
      <c r="O480" s="9">
        <v>204</v>
      </c>
      <c r="P480" s="9" t="str">
        <f>IFERROR(MID(VLOOKUP($B480,Seqs!$A:$B,2,0),Q480,1),"")</f>
        <v/>
      </c>
      <c r="Q480" s="9" t="s">
        <v>23</v>
      </c>
      <c r="R480" s="9" t="str">
        <f>IFERROR(MID(VLOOKUP($B480,Seqs!$A:$B,2,0),S480,1),"")</f>
        <v/>
      </c>
      <c r="S480" s="9" t="s">
        <v>23</v>
      </c>
      <c r="T480" s="9" t="str">
        <f>IFERROR(MID(VLOOKUP($B480,Seqs!$A:$B,2,0),U480,1),"")</f>
        <v>S</v>
      </c>
      <c r="U480" s="9">
        <v>223</v>
      </c>
      <c r="V480" s="9" t="str">
        <f>IFERROR(MID(VLOOKUP($B480,Seqs!$A:$B,2,0),W480,1),"")</f>
        <v>F</v>
      </c>
      <c r="W480" s="9">
        <v>257</v>
      </c>
      <c r="X480" s="9" t="str">
        <f>IFERROR(MID(VLOOKUP($B480,Seqs!$A:$B,2,0),Y480,1),"")</f>
        <v/>
      </c>
      <c r="Y480" s="9" t="s">
        <v>23</v>
      </c>
      <c r="Z480" s="9" t="str">
        <f>IFERROR(MID(VLOOKUP($B480,Seqs!$A:$B,2,0),AA480,1),"")</f>
        <v/>
      </c>
      <c r="AA480" s="9" t="s">
        <v>23</v>
      </c>
      <c r="AB480" s="9" t="str">
        <f>IFERROR(MID(VLOOKUP($B480,Seqs!$A:$B,2,0),AC480,1),"")</f>
        <v>S</v>
      </c>
      <c r="AC480" s="9">
        <v>261</v>
      </c>
      <c r="AD480" s="9" t="str">
        <f>IFERROR(MID(VLOOKUP($B480,Seqs!$A:$B,2,0),AE480,1),"")</f>
        <v>E</v>
      </c>
      <c r="AE480" s="9">
        <v>292</v>
      </c>
      <c r="AF480" s="9" t="str">
        <f>IFERROR(MID(VLOOKUP($B480,Seqs!$A:$B,2,0),AG480,1),"")</f>
        <v>C</v>
      </c>
      <c r="AG480" s="9">
        <v>296</v>
      </c>
      <c r="AH480" s="9" t="str">
        <f>IFERROR(MID(VLOOKUP($B480,Seqs!$A:$B,2,0),AI480,1),"")</f>
        <v>T</v>
      </c>
      <c r="AI480" s="9">
        <v>298</v>
      </c>
      <c r="AJ480" s="9" t="str">
        <f>IFERROR(MID(VLOOKUP($B480,Seqs!$A:$B,2,0),AK480,1),"")</f>
        <v>N</v>
      </c>
      <c r="AK480" s="9">
        <v>302</v>
      </c>
      <c r="AL480" s="9" t="str">
        <f>IFERROR(MID(VLOOKUP($B480,Seqs!$A:$B,2,0),AM480,1),"")</f>
        <v>N</v>
      </c>
      <c r="AM480" s="9">
        <v>338</v>
      </c>
      <c r="AN480" s="9" t="str">
        <f>IFERROR(MID(VLOOKUP($B480,Seqs!$A:$B,2,0),AO480,1),"")</f>
        <v>D</v>
      </c>
      <c r="AO480" s="9">
        <v>344</v>
      </c>
      <c r="AP480" s="9" t="str">
        <f>IFERROR(MID(VLOOKUP($B480,Seqs!$A:$B,2,0),AQ480,1),"")</f>
        <v>V</v>
      </c>
      <c r="AQ480" s="9">
        <v>370</v>
      </c>
      <c r="AR480" s="9" t="str">
        <f>IFERROR(MID(VLOOKUP($B480,Seqs!$A:$B,2,0),AS480,1),"")</f>
        <v>G</v>
      </c>
      <c r="AS480" s="9">
        <v>377</v>
      </c>
      <c r="AT480" s="9" t="str">
        <f>IFERROR(MID(VLOOKUP($B480,Seqs!$A:$B,2,0),AU480,1),"")</f>
        <v>V</v>
      </c>
      <c r="AU480" s="9">
        <v>405</v>
      </c>
      <c r="AV480" s="9" t="str">
        <f>IFERROR(MID(VLOOKUP($B480,Seqs!$A:$B,2,0),AW480,1),"")</f>
        <v>N</v>
      </c>
      <c r="AW480" s="9">
        <v>406</v>
      </c>
      <c r="AX480" s="9" t="str">
        <f>IFERROR(MID(VLOOKUP($B480,Seqs!$A:$B,2,0),AY480,1),"")</f>
        <v>R</v>
      </c>
      <c r="AY480" s="9">
        <v>419</v>
      </c>
      <c r="AZ480" s="110" t="str">
        <f>VLOOKUP(B480,Classification!A:D,2,0)</f>
        <v>B1</v>
      </c>
      <c r="BA480" s="98" t="str">
        <f>VLOOKUP(B480,Classification!A:D,4,0)</f>
        <v>Glucagonreceptorfamily</v>
      </c>
      <c r="BB480" s="36" t="b">
        <f t="shared" ref="BB480" si="4893">AND(E480&lt;G480,OR(G480&lt;I480,I480="-"),OR(I480&lt;K480,I480="-"),OR(K480&lt;M480,K480="-"),M480&lt;O480,OR(O480&lt;Q480,Q480="-"),OR(Q480&lt;S480,Q480="-"),OR(S480&lt;U480,S480="-"),U480&lt;W480,OR(W480&lt;Y480,Y480="-"),OR(Y480&lt;AA480,Y480="-"),OR(AA480&lt;AC480,AA480="-"),AC480&lt;AE480,OR(AE480&lt;AG480,AG480="-"),OR(AG480&lt;AI480,AG480="-"),OR(AI480&lt;AK480,AI480="-"),AK480&lt;AM480,AM480&lt;AO480,AO480&lt;AQ480,AQ480&lt;AS480,AS480&lt;AU480,OR(AU480&lt;AW480,AW480="-"),OR(AW480&lt;AY480,AW480="-"))</f>
        <v>1</v>
      </c>
      <c r="BC480" s="109">
        <f t="shared" ref="BC480" si="4894">_xlfn.AGGREGATE(9,6,CH480:CS480)-_xlfn.AGGREGATE(9,6,BV480:CG480)+12</f>
        <v>247</v>
      </c>
      <c r="BD480" s="11" t="s">
        <v>23</v>
      </c>
      <c r="BE480" s="9" t="s">
        <v>1285</v>
      </c>
      <c r="BF480" s="119">
        <v>2.1</v>
      </c>
      <c r="BG480" s="51" t="s">
        <v>1416</v>
      </c>
      <c r="BH480" s="51" t="s">
        <v>1416</v>
      </c>
      <c r="BJ480" s="111" t="s">
        <v>1281</v>
      </c>
      <c r="BK480" s="112" t="s">
        <v>1281</v>
      </c>
      <c r="BL480" s="112" t="s">
        <v>1281</v>
      </c>
      <c r="BM480" s="112" t="s">
        <v>1281</v>
      </c>
      <c r="BN480" s="112" t="s">
        <v>1281</v>
      </c>
      <c r="BO480" s="112" t="s">
        <v>1281</v>
      </c>
      <c r="BP480" s="112" t="s">
        <v>1281</v>
      </c>
      <c r="BQ480" s="112" t="s">
        <v>1281</v>
      </c>
      <c r="BR480" s="112" t="s">
        <v>1281</v>
      </c>
      <c r="BS480" s="112" t="s">
        <v>1281</v>
      </c>
      <c r="BT480" s="112" t="s">
        <v>1281</v>
      </c>
      <c r="BU480" s="112" t="s">
        <v>1281</v>
      </c>
      <c r="BV480" s="111">
        <f t="shared" ref="BV480" si="4895">E480</f>
        <v>137</v>
      </c>
      <c r="BW480" s="113">
        <f t="shared" ref="BW480" si="4896">I480</f>
        <v>170</v>
      </c>
      <c r="BX480" s="114">
        <f t="shared" ref="BX480" si="4897">M480</f>
        <v>174</v>
      </c>
      <c r="BY480" s="113" t="str">
        <f t="shared" ref="BY480" si="4898">Q480</f>
        <v>-</v>
      </c>
      <c r="BZ480" s="114">
        <f t="shared" ref="BZ480" si="4899">U480</f>
        <v>223</v>
      </c>
      <c r="CA480" s="113" t="str">
        <f t="shared" ref="CA480" si="4900">Y480</f>
        <v>-</v>
      </c>
      <c r="CB480" s="114">
        <f t="shared" ref="CB480" si="4901">AC480</f>
        <v>261</v>
      </c>
      <c r="CC480" s="113">
        <f t="shared" ref="CC480" si="4902">AG480</f>
        <v>296</v>
      </c>
      <c r="CD480" s="114">
        <f t="shared" ref="CD480" si="4903">AK480</f>
        <v>302</v>
      </c>
      <c r="CE480" s="113">
        <f t="shared" ref="CE480" si="4904">AO480</f>
        <v>344</v>
      </c>
      <c r="CF480" s="114">
        <f t="shared" ref="CF480" si="4905">AS480</f>
        <v>377</v>
      </c>
      <c r="CG480" s="113">
        <f t="shared" ref="CG480" si="4906">AW480</f>
        <v>406</v>
      </c>
      <c r="CH480" s="111">
        <f t="shared" ref="CH480" si="4907">G480</f>
        <v>169</v>
      </c>
      <c r="CI480" s="113">
        <f t="shared" ref="CI480" si="4908">K480</f>
        <v>173</v>
      </c>
      <c r="CJ480" s="114">
        <f t="shared" ref="CJ480" si="4909">O480</f>
        <v>204</v>
      </c>
      <c r="CK480" s="114" t="str">
        <f t="shared" ref="CK480" si="4910">S480</f>
        <v>-</v>
      </c>
      <c r="CL480" s="114">
        <f t="shared" ref="CL480" si="4911">W480</f>
        <v>257</v>
      </c>
      <c r="CM480" s="114" t="str">
        <f t="shared" ref="CM480" si="4912">AA480</f>
        <v>-</v>
      </c>
      <c r="CN480" s="114">
        <f t="shared" ref="CN480" si="4913">AE480</f>
        <v>292</v>
      </c>
      <c r="CO480" s="114">
        <f t="shared" ref="CO480" si="4914">AI480</f>
        <v>298</v>
      </c>
      <c r="CP480" s="114">
        <f t="shared" ref="CP480" si="4915">AM480</f>
        <v>338</v>
      </c>
      <c r="CQ480" s="114">
        <f t="shared" ref="CQ480" si="4916">AQ480</f>
        <v>370</v>
      </c>
      <c r="CR480" s="114">
        <f t="shared" ref="CR480" si="4917">AU480</f>
        <v>405</v>
      </c>
      <c r="CS480" s="114">
        <f t="shared" ref="CS480" si="4918">AY480</f>
        <v>419</v>
      </c>
      <c r="CT480" s="109">
        <f t="shared" ref="CT480" si="4919">M480-K480</f>
        <v>1</v>
      </c>
    </row>
    <row r="481" spans="1:1029" s="12" customFormat="1" ht="15" customHeight="1" x14ac:dyDescent="0.2">
      <c r="A481" s="9" t="str">
        <f t="shared" ref="A481" si="4920">CONCATENATE(B481,"_",C481)</f>
        <v>glp1r_human_6X19</v>
      </c>
      <c r="B481" s="9" t="s">
        <v>405</v>
      </c>
      <c r="C481" s="9" t="s">
        <v>1738</v>
      </c>
      <c r="D481" s="9" t="str">
        <f>IFERROR(MID(VLOOKUP($B481,Seqs!$A:$B,2,0),E481,1),"")</f>
        <v>L</v>
      </c>
      <c r="E481" s="9">
        <v>141</v>
      </c>
      <c r="F481" s="9" t="str">
        <f>IFERROR(MID(VLOOKUP($B481,Seqs!$A:$B,2,0),G481,1),"")</f>
        <v>F</v>
      </c>
      <c r="G481" s="9">
        <v>169</v>
      </c>
      <c r="H481" s="9" t="str">
        <f>IFERROR(MID(VLOOKUP($B481,Seqs!$A:$B,2,0),I481,1),"")</f>
        <v>R</v>
      </c>
      <c r="I481" s="109">
        <v>170</v>
      </c>
      <c r="J481" s="9" t="str">
        <f>IFERROR(MID(VLOOKUP($B481,Seqs!$A:$B,2,0),K481,1),"")</f>
        <v>H</v>
      </c>
      <c r="K481" s="109">
        <v>173</v>
      </c>
      <c r="L481" s="9" t="str">
        <f>IFERROR(MID(VLOOKUP($B481,Seqs!$A:$B,2,0),M481,1),"")</f>
        <v>C</v>
      </c>
      <c r="M481" s="109">
        <v>174</v>
      </c>
      <c r="N481" s="9" t="str">
        <f>IFERROR(MID(VLOOKUP($B481,Seqs!$A:$B,2,0),O481,1),"")</f>
        <v>A</v>
      </c>
      <c r="O481" s="9">
        <v>208</v>
      </c>
      <c r="P481" s="9" t="str">
        <f>IFERROR(MID(VLOOKUP($B481,Seqs!$A:$B,2,0),Q481,1),"")</f>
        <v/>
      </c>
      <c r="Q481" s="9" t="s">
        <v>23</v>
      </c>
      <c r="R481" s="9" t="str">
        <f>IFERROR(MID(VLOOKUP($B481,Seqs!$A:$B,2,0),S481,1),"")</f>
        <v/>
      </c>
      <c r="S481" s="9" t="s">
        <v>23</v>
      </c>
      <c r="T481" s="9" t="str">
        <f>IFERROR(MID(VLOOKUP($B481,Seqs!$A:$B,2,0),U481,1),"")</f>
        <v>S</v>
      </c>
      <c r="U481" s="9">
        <v>223</v>
      </c>
      <c r="V481" s="9" t="str">
        <f>IFERROR(MID(VLOOKUP($B481,Seqs!$A:$B,2,0),W481,1),"")</f>
        <v>F</v>
      </c>
      <c r="W481" s="9">
        <v>257</v>
      </c>
      <c r="X481" s="9" t="str">
        <f>IFERROR(MID(VLOOKUP($B481,Seqs!$A:$B,2,0),Y481,1),"")</f>
        <v/>
      </c>
      <c r="Y481" s="9" t="s">
        <v>23</v>
      </c>
      <c r="Z481" s="9" t="str">
        <f>IFERROR(MID(VLOOKUP($B481,Seqs!$A:$B,2,0),AA481,1),"")</f>
        <v/>
      </c>
      <c r="AA481" s="9" t="s">
        <v>23</v>
      </c>
      <c r="AB481" s="9" t="str">
        <f>IFERROR(MID(VLOOKUP($B481,Seqs!$A:$B,2,0),AC481,1),"")</f>
        <v>S</v>
      </c>
      <c r="AC481" s="9">
        <v>261</v>
      </c>
      <c r="AD481" s="9" t="str">
        <f>IFERROR(MID(VLOOKUP($B481,Seqs!$A:$B,2,0),AE481,1),"")</f>
        <v>E</v>
      </c>
      <c r="AE481" s="9">
        <v>292</v>
      </c>
      <c r="AF481" s="9" t="str">
        <f>IFERROR(MID(VLOOKUP($B481,Seqs!$A:$B,2,0),AG481,1),"")</f>
        <v>C</v>
      </c>
      <c r="AG481" s="9">
        <v>296</v>
      </c>
      <c r="AH481" s="9" t="str">
        <f>IFERROR(MID(VLOOKUP($B481,Seqs!$A:$B,2,0),AI481,1),"")</f>
        <v>T</v>
      </c>
      <c r="AI481" s="9">
        <v>298</v>
      </c>
      <c r="AJ481" s="9" t="str">
        <f>IFERROR(MID(VLOOKUP($B481,Seqs!$A:$B,2,0),AK481,1),"")</f>
        <v>N</v>
      </c>
      <c r="AK481" s="9">
        <v>304</v>
      </c>
      <c r="AL481" s="9" t="str">
        <f>IFERROR(MID(VLOOKUP($B481,Seqs!$A:$B,2,0),AM481,1),"")</f>
        <v>L</v>
      </c>
      <c r="AM481" s="9">
        <v>339</v>
      </c>
      <c r="AN481" s="9" t="str">
        <f>IFERROR(MID(VLOOKUP($B481,Seqs!$A:$B,2,0),AO481,1),"")</f>
        <v>C</v>
      </c>
      <c r="AO481" s="9">
        <v>341</v>
      </c>
      <c r="AP481" s="9" t="str">
        <f>IFERROR(MID(VLOOKUP($B481,Seqs!$A:$B,2,0),AQ481,1),"")</f>
        <v>F</v>
      </c>
      <c r="AQ481" s="9">
        <v>369</v>
      </c>
      <c r="AR481" s="9" t="str">
        <f>IFERROR(MID(VLOOKUP($B481,Seqs!$A:$B,2,0),AS481,1),"")</f>
        <v>T</v>
      </c>
      <c r="AS481" s="9">
        <v>378</v>
      </c>
      <c r="AT481" s="9" t="str">
        <f>IFERROR(MID(VLOOKUP($B481,Seqs!$A:$B,2,0),AU481,1),"")</f>
        <v>V</v>
      </c>
      <c r="AU481" s="9">
        <v>405</v>
      </c>
      <c r="AV481" s="9" t="str">
        <f>IFERROR(MID(VLOOKUP($B481,Seqs!$A:$B,2,0),AW481,1),"")</f>
        <v>N</v>
      </c>
      <c r="AW481" s="9">
        <v>406</v>
      </c>
      <c r="AX481" s="9" t="str">
        <f>IFERROR(MID(VLOOKUP($B481,Seqs!$A:$B,2,0),AY481,1),"")</f>
        <v>E</v>
      </c>
      <c r="AY481" s="9">
        <v>423</v>
      </c>
      <c r="AZ481" s="110" t="str">
        <f>VLOOKUP(B481,Classification!A:D,2,0)</f>
        <v>B1</v>
      </c>
      <c r="BA481" s="98" t="str">
        <f>VLOOKUP(B481,Classification!A:D,4,0)</f>
        <v>Glucagonreceptorfamily</v>
      </c>
      <c r="BB481" s="36" t="b">
        <f t="shared" ref="BB481" si="4921">AND(E481&lt;G481,OR(G481&lt;I481,I481="-"),OR(I481&lt;K481,I481="-"),OR(K481&lt;M481,K481="-"),M481&lt;O481,OR(O481&lt;Q481,Q481="-"),OR(Q481&lt;S481,Q481="-"),OR(S481&lt;U481,S481="-"),U481&lt;W481,OR(W481&lt;Y481,Y481="-"),OR(Y481&lt;AA481,Y481="-"),OR(AA481&lt;AC481,AA481="-"),AC481&lt;AE481,OR(AE481&lt;AG481,AG481="-"),OR(AG481&lt;AI481,AG481="-"),OR(AI481&lt;AK481,AI481="-"),AK481&lt;AM481,AM481&lt;AO481,AO481&lt;AQ481,AQ481&lt;AS481,AS481&lt;AU481,OR(AU481&lt;AW481,AW481="-"),OR(AW481&lt;AY481,AW481="-"))</f>
        <v>1</v>
      </c>
      <c r="BC481" s="109">
        <f t="shared" ref="BC481" si="4922">_xlfn.AGGREGATE(9,6,CH481:CS481)-_xlfn.AGGREGATE(9,6,BV481:CG481)+12</f>
        <v>251</v>
      </c>
      <c r="BD481" s="11" t="s">
        <v>23</v>
      </c>
      <c r="BE481" s="9" t="s">
        <v>1285</v>
      </c>
      <c r="BF481" s="119">
        <v>2.1</v>
      </c>
      <c r="BG481" s="51" t="s">
        <v>1416</v>
      </c>
      <c r="BH481" s="51" t="s">
        <v>1416</v>
      </c>
      <c r="BJ481" s="111" t="s">
        <v>1281</v>
      </c>
      <c r="BK481" s="112" t="s">
        <v>1281</v>
      </c>
      <c r="BL481" s="112" t="s">
        <v>1281</v>
      </c>
      <c r="BM481" s="112" t="s">
        <v>1281</v>
      </c>
      <c r="BN481" s="112" t="s">
        <v>1281</v>
      </c>
      <c r="BO481" s="112" t="s">
        <v>1281</v>
      </c>
      <c r="BP481" s="112" t="s">
        <v>1281</v>
      </c>
      <c r="BQ481" s="112" t="s">
        <v>1281</v>
      </c>
      <c r="BR481" s="112" t="s">
        <v>1281</v>
      </c>
      <c r="BS481" s="112" t="s">
        <v>1281</v>
      </c>
      <c r="BT481" s="112" t="s">
        <v>1281</v>
      </c>
      <c r="BU481" s="112" t="s">
        <v>1281</v>
      </c>
      <c r="BV481" s="111">
        <f t="shared" ref="BV481" si="4923">E481</f>
        <v>141</v>
      </c>
      <c r="BW481" s="113">
        <f t="shared" ref="BW481" si="4924">I481</f>
        <v>170</v>
      </c>
      <c r="BX481" s="114">
        <f t="shared" ref="BX481" si="4925">M481</f>
        <v>174</v>
      </c>
      <c r="BY481" s="113" t="str">
        <f t="shared" ref="BY481" si="4926">Q481</f>
        <v>-</v>
      </c>
      <c r="BZ481" s="114">
        <f t="shared" ref="BZ481" si="4927">U481</f>
        <v>223</v>
      </c>
      <c r="CA481" s="113" t="str">
        <f t="shared" ref="CA481" si="4928">Y481</f>
        <v>-</v>
      </c>
      <c r="CB481" s="114">
        <f t="shared" ref="CB481" si="4929">AC481</f>
        <v>261</v>
      </c>
      <c r="CC481" s="113">
        <f t="shared" ref="CC481" si="4930">AG481</f>
        <v>296</v>
      </c>
      <c r="CD481" s="114">
        <f t="shared" ref="CD481" si="4931">AK481</f>
        <v>304</v>
      </c>
      <c r="CE481" s="113">
        <f t="shared" ref="CE481" si="4932">AO481</f>
        <v>341</v>
      </c>
      <c r="CF481" s="114">
        <f t="shared" ref="CF481" si="4933">AS481</f>
        <v>378</v>
      </c>
      <c r="CG481" s="113">
        <f t="shared" ref="CG481" si="4934">AW481</f>
        <v>406</v>
      </c>
      <c r="CH481" s="111">
        <f t="shared" ref="CH481" si="4935">G481</f>
        <v>169</v>
      </c>
      <c r="CI481" s="113">
        <f t="shared" ref="CI481" si="4936">K481</f>
        <v>173</v>
      </c>
      <c r="CJ481" s="114">
        <f t="shared" ref="CJ481" si="4937">O481</f>
        <v>208</v>
      </c>
      <c r="CK481" s="114" t="str">
        <f t="shared" ref="CK481" si="4938">S481</f>
        <v>-</v>
      </c>
      <c r="CL481" s="114">
        <f t="shared" ref="CL481" si="4939">W481</f>
        <v>257</v>
      </c>
      <c r="CM481" s="114" t="str">
        <f t="shared" ref="CM481" si="4940">AA481</f>
        <v>-</v>
      </c>
      <c r="CN481" s="114">
        <f t="shared" ref="CN481" si="4941">AE481</f>
        <v>292</v>
      </c>
      <c r="CO481" s="114">
        <f t="shared" ref="CO481" si="4942">AI481</f>
        <v>298</v>
      </c>
      <c r="CP481" s="114">
        <f t="shared" ref="CP481" si="4943">AM481</f>
        <v>339</v>
      </c>
      <c r="CQ481" s="114">
        <f t="shared" ref="CQ481" si="4944">AQ481</f>
        <v>369</v>
      </c>
      <c r="CR481" s="114">
        <f t="shared" ref="CR481" si="4945">AU481</f>
        <v>405</v>
      </c>
      <c r="CS481" s="114">
        <f t="shared" ref="CS481" si="4946">AY481</f>
        <v>423</v>
      </c>
      <c r="CT481" s="109">
        <f t="shared" ref="CT481" si="4947">M481-K481</f>
        <v>1</v>
      </c>
    </row>
    <row r="482" spans="1:1029" x14ac:dyDescent="0.2">
      <c r="A482" s="3" t="str">
        <f t="shared" si="4528"/>
        <v>g1sgd4_rabit__wt</v>
      </c>
      <c r="B482" s="3" t="s">
        <v>1414</v>
      </c>
      <c r="C482" s="3" t="s">
        <v>100</v>
      </c>
      <c r="D482" s="3" t="str">
        <f>IFERROR(MID(VLOOKUP($B482,Seqs!$A:$B,2,0),E482,1),"")</f>
        <v>P</v>
      </c>
      <c r="E482" s="3">
        <v>137</v>
      </c>
      <c r="F482" s="3" t="str">
        <f>IFERROR(MID(VLOOKUP($B482,Seqs!$A:$B,2,0),G482,1),"")</f>
        <v>F</v>
      </c>
      <c r="G482" s="3">
        <v>169</v>
      </c>
      <c r="H482" s="3" t="str">
        <f>IFERROR(MID(VLOOKUP($B482,Seqs!$A:$B,2,0),I482,1),"")</f>
        <v>R</v>
      </c>
      <c r="I482" s="23">
        <v>170</v>
      </c>
      <c r="J482" s="3" t="str">
        <f>IFERROR(MID(VLOOKUP($B482,Seqs!$A:$B,2,0),K482,1),"")</f>
        <v>H</v>
      </c>
      <c r="K482" s="23">
        <v>173</v>
      </c>
      <c r="L482" s="3" t="str">
        <f>IFERROR(MID(VLOOKUP($B482,Seqs!$A:$B,2,0),M482,1),"")</f>
        <v>C</v>
      </c>
      <c r="M482" s="23">
        <v>174</v>
      </c>
      <c r="N482" s="3" t="str">
        <f>IFERROR(MID(VLOOKUP($B482,Seqs!$A:$B,2,0),O482,1),"")</f>
        <v>Q</v>
      </c>
      <c r="O482" s="3">
        <v>211</v>
      </c>
      <c r="P482" s="3" t="str">
        <f>IFERROR(MID(VLOOKUP($B482,Seqs!$A:$B,2,0),Q482,1),"")</f>
        <v/>
      </c>
      <c r="Q482" s="3" t="s">
        <v>23</v>
      </c>
      <c r="R482" s="3" t="str">
        <f>IFERROR(MID(VLOOKUP($B482,Seqs!$A:$B,2,0),S482,1),"")</f>
        <v/>
      </c>
      <c r="S482" s="3" t="s">
        <v>23</v>
      </c>
      <c r="T482" s="3" t="str">
        <f>IFERROR(MID(VLOOKUP($B482,Seqs!$A:$B,2,0),U482,1),"")</f>
        <v>L</v>
      </c>
      <c r="U482" s="3">
        <v>224</v>
      </c>
      <c r="V482" s="3" t="str">
        <f>IFERROR(MID(VLOOKUP($B482,Seqs!$A:$B,2,0),W482,1),"")</f>
        <v>F</v>
      </c>
      <c r="W482" s="3">
        <v>257</v>
      </c>
      <c r="X482" s="3" t="str">
        <f>IFERROR(MID(VLOOKUP($B482,Seqs!$A:$B,2,0),Y482,1),"")</f>
        <v/>
      </c>
      <c r="Y482" s="3" t="s">
        <v>23</v>
      </c>
      <c r="Z482" s="3" t="str">
        <f>IFERROR(MID(VLOOKUP($B482,Seqs!$A:$B,2,0),AA482,1),"")</f>
        <v/>
      </c>
      <c r="AA482" s="3" t="s">
        <v>23</v>
      </c>
      <c r="AB482" s="3" t="str">
        <f>IFERROR(MID(VLOOKUP($B482,Seqs!$A:$B,2,0),AC482,1),"")</f>
        <v>S</v>
      </c>
      <c r="AC482" s="3">
        <v>261</v>
      </c>
      <c r="AD482" s="3" t="str">
        <f>IFERROR(MID(VLOOKUP($B482,Seqs!$A:$B,2,0),AE482,1),"")</f>
        <v>E</v>
      </c>
      <c r="AE482" s="3">
        <v>292</v>
      </c>
      <c r="AF482" s="3" t="str">
        <f>IFERROR(MID(VLOOKUP($B482,Seqs!$A:$B,2,0),AG482,1),"")</f>
        <v>C</v>
      </c>
      <c r="AG482" s="3">
        <v>296</v>
      </c>
      <c r="AH482" s="3" t="str">
        <f>IFERROR(MID(VLOOKUP($B482,Seqs!$A:$B,2,0),AI482,1),"")</f>
        <v>T</v>
      </c>
      <c r="AI482" s="3">
        <v>298</v>
      </c>
      <c r="AJ482" s="3" t="str">
        <f>IFERROR(MID(VLOOKUP($B482,Seqs!$A:$B,2,0),AK482,1),"")</f>
        <v>N</v>
      </c>
      <c r="AK482" s="105">
        <v>302</v>
      </c>
      <c r="AL482" s="3" t="str">
        <f>IFERROR(MID(VLOOKUP($B482,Seqs!$A:$B,2,0),AM482,1),"")</f>
        <v>A</v>
      </c>
      <c r="AM482" s="3">
        <v>337</v>
      </c>
      <c r="AN482" s="3" t="str">
        <f>IFERROR(MID(VLOOKUP($B482,Seqs!$A:$B,2,0),AO482,1),"")</f>
        <v>K</v>
      </c>
      <c r="AO482" s="3">
        <v>346</v>
      </c>
      <c r="AP482" s="3" t="str">
        <f>IFERROR(MID(VLOOKUP($B482,Seqs!$A:$B,2,0),AQ482,1),"")</f>
        <v>F</v>
      </c>
      <c r="AQ482" s="3">
        <v>369</v>
      </c>
      <c r="AR482" s="3" t="str">
        <f>IFERROR(MID(VLOOKUP($B482,Seqs!$A:$B,2,0),AS482,1),"")</f>
        <v>L</v>
      </c>
      <c r="AS482" s="3">
        <v>379</v>
      </c>
      <c r="AT482" s="3" t="str">
        <f>IFERROR(MID(VLOOKUP($B482,Seqs!$A:$B,2,0),AU482,1),"")</f>
        <v>V</v>
      </c>
      <c r="AU482" s="3">
        <v>405</v>
      </c>
      <c r="AV482" s="3" t="str">
        <f>IFERROR(MID(VLOOKUP($B482,Seqs!$A:$B,2,0),AW482,1),"")</f>
        <v>N</v>
      </c>
      <c r="AW482" s="3">
        <v>406</v>
      </c>
      <c r="AX482" s="3" t="str">
        <f>IFERROR(MID(VLOOKUP($B482,Seqs!$A:$B,2,0),AY482,1),"")</f>
        <v>S</v>
      </c>
      <c r="AY482" s="3">
        <v>431</v>
      </c>
      <c r="AZ482" s="77" t="str">
        <f>VLOOKUP(B482,Classification!A:D,2,0)</f>
        <v>B1</v>
      </c>
      <c r="BA482" s="94" t="str">
        <f>VLOOKUP(B482,Classification!A:D,4,0)</f>
        <v>Glucagonreceptorfamily</v>
      </c>
      <c r="BB482" s="27" t="b">
        <f t="shared" si="4529"/>
        <v>1</v>
      </c>
      <c r="BC482" s="23">
        <f t="shared" si="4530"/>
        <v>259</v>
      </c>
      <c r="BD482" s="4" t="s">
        <v>23</v>
      </c>
      <c r="BE482" s="3" t="s">
        <v>23</v>
      </c>
      <c r="BF482" s="118" t="s">
        <v>23</v>
      </c>
      <c r="BI482" s="1"/>
      <c r="BJ482" s="70" t="s">
        <v>1281</v>
      </c>
      <c r="BK482" s="57" t="s">
        <v>1281</v>
      </c>
      <c r="BL482" s="57" t="s">
        <v>1281</v>
      </c>
      <c r="BM482" s="57" t="s">
        <v>1281</v>
      </c>
      <c r="BN482" s="57" t="s">
        <v>1281</v>
      </c>
      <c r="BO482" s="57" t="s">
        <v>1281</v>
      </c>
      <c r="BP482" s="57" t="s">
        <v>1281</v>
      </c>
      <c r="BQ482" s="57" t="s">
        <v>1281</v>
      </c>
      <c r="BR482" s="57" t="s">
        <v>1281</v>
      </c>
      <c r="BS482" s="57" t="s">
        <v>1281</v>
      </c>
      <c r="BT482" s="57" t="s">
        <v>1281</v>
      </c>
      <c r="BU482" s="57" t="s">
        <v>1281</v>
      </c>
      <c r="BV482" s="70">
        <f t="shared" si="4531"/>
        <v>137</v>
      </c>
      <c r="BW482" s="71">
        <f t="shared" si="4532"/>
        <v>170</v>
      </c>
      <c r="BX482" s="72">
        <f t="shared" si="4533"/>
        <v>174</v>
      </c>
      <c r="BY482" s="71" t="str">
        <f t="shared" si="4534"/>
        <v>-</v>
      </c>
      <c r="BZ482" s="72">
        <f t="shared" si="4535"/>
        <v>224</v>
      </c>
      <c r="CA482" s="71" t="str">
        <f t="shared" si="4536"/>
        <v>-</v>
      </c>
      <c r="CB482" s="72">
        <f t="shared" si="4537"/>
        <v>261</v>
      </c>
      <c r="CC482" s="71">
        <f t="shared" si="4538"/>
        <v>296</v>
      </c>
      <c r="CD482" s="72">
        <f t="shared" si="4539"/>
        <v>302</v>
      </c>
      <c r="CE482" s="71">
        <f t="shared" si="4540"/>
        <v>346</v>
      </c>
      <c r="CF482" s="72">
        <f t="shared" si="4541"/>
        <v>379</v>
      </c>
      <c r="CG482" s="71">
        <f t="shared" si="4542"/>
        <v>406</v>
      </c>
      <c r="CH482" s="70">
        <f t="shared" si="4543"/>
        <v>169</v>
      </c>
      <c r="CI482" s="71">
        <f t="shared" si="4544"/>
        <v>173</v>
      </c>
      <c r="CJ482" s="72">
        <f t="shared" si="4545"/>
        <v>211</v>
      </c>
      <c r="CK482" s="72" t="str">
        <f t="shared" si="4546"/>
        <v>-</v>
      </c>
      <c r="CL482" s="72">
        <f t="shared" si="4547"/>
        <v>257</v>
      </c>
      <c r="CM482" s="72" t="str">
        <f t="shared" si="4548"/>
        <v>-</v>
      </c>
      <c r="CN482" s="72">
        <f t="shared" si="4549"/>
        <v>292</v>
      </c>
      <c r="CO482" s="72">
        <f t="shared" si="4550"/>
        <v>298</v>
      </c>
      <c r="CP482" s="72">
        <f t="shared" si="4551"/>
        <v>337</v>
      </c>
      <c r="CQ482" s="72">
        <f t="shared" si="4552"/>
        <v>369</v>
      </c>
      <c r="CR482" s="72">
        <f t="shared" si="4553"/>
        <v>405</v>
      </c>
      <c r="CS482" s="72">
        <f t="shared" si="4554"/>
        <v>431</v>
      </c>
      <c r="CT482" s="23">
        <f t="shared" si="4555"/>
        <v>1</v>
      </c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</row>
    <row r="483" spans="1:1029" x14ac:dyDescent="0.2">
      <c r="A483" s="3" t="str">
        <f t="shared" si="4528"/>
        <v>g1sgd4_rabit_5VAI</v>
      </c>
      <c r="B483" s="3" t="s">
        <v>1414</v>
      </c>
      <c r="C483" s="3" t="s">
        <v>1415</v>
      </c>
      <c r="D483" s="3" t="str">
        <f>IFERROR(MID(VLOOKUP($B483,Seqs!$A:$B,2,0),E483,1),"")</f>
        <v>P</v>
      </c>
      <c r="E483" s="3">
        <v>137</v>
      </c>
      <c r="F483" s="3" t="str">
        <f>IFERROR(MID(VLOOKUP($B483,Seqs!$A:$B,2,0),G483,1),"")</f>
        <v>G</v>
      </c>
      <c r="G483" s="3">
        <v>168</v>
      </c>
      <c r="H483" s="3" t="str">
        <f>IFERROR(MID(VLOOKUP($B483,Seqs!$A:$B,2,0),I483,1),"")</f>
        <v>R</v>
      </c>
      <c r="I483" s="23">
        <v>170</v>
      </c>
      <c r="J483" s="3" t="str">
        <f>IFERROR(MID(VLOOKUP($B483,Seqs!$A:$B,2,0),K483,1),"")</f>
        <v>H</v>
      </c>
      <c r="K483" s="23">
        <v>173</v>
      </c>
      <c r="L483" s="3" t="str">
        <f>IFERROR(MID(VLOOKUP($B483,Seqs!$A:$B,2,0),M483,1),"")</f>
        <v>C</v>
      </c>
      <c r="M483" s="23">
        <v>174</v>
      </c>
      <c r="N483" s="3" t="str">
        <f>IFERROR(MID(VLOOKUP($B483,Seqs!$A:$B,2,0),O483,1),"")</f>
        <v>Q</v>
      </c>
      <c r="O483" s="3">
        <v>211</v>
      </c>
      <c r="P483" s="3" t="str">
        <f>IFERROR(MID(VLOOKUP($B483,Seqs!$A:$B,2,0),Q483,1),"")</f>
        <v/>
      </c>
      <c r="Q483" s="3" t="s">
        <v>23</v>
      </c>
      <c r="R483" s="3" t="str">
        <f>IFERROR(MID(VLOOKUP($B483,Seqs!$A:$B,2,0),S483,1),"")</f>
        <v/>
      </c>
      <c r="S483" s="3" t="s">
        <v>23</v>
      </c>
      <c r="T483" s="3" t="str">
        <f>IFERROR(MID(VLOOKUP($B483,Seqs!$A:$B,2,0),U483,1),"")</f>
        <v>L</v>
      </c>
      <c r="U483" s="3">
        <v>224</v>
      </c>
      <c r="V483" s="3" t="str">
        <f>IFERROR(MID(VLOOKUP($B483,Seqs!$A:$B,2,0),W483,1),"")</f>
        <v>F</v>
      </c>
      <c r="W483" s="3">
        <v>257</v>
      </c>
      <c r="X483" s="3" t="str">
        <f>IFERROR(MID(VLOOKUP($B483,Seqs!$A:$B,2,0),Y483,1),"")</f>
        <v/>
      </c>
      <c r="Y483" s="3" t="s">
        <v>23</v>
      </c>
      <c r="Z483" s="3" t="str">
        <f>IFERROR(MID(VLOOKUP($B483,Seqs!$A:$B,2,0),AA483,1),"")</f>
        <v/>
      </c>
      <c r="AA483" s="3" t="s">
        <v>23</v>
      </c>
      <c r="AB483" s="3" t="str">
        <f>IFERROR(MID(VLOOKUP($B483,Seqs!$A:$B,2,0),AC483,1),"")</f>
        <v>S</v>
      </c>
      <c r="AC483" s="3">
        <v>261</v>
      </c>
      <c r="AD483" s="3" t="str">
        <f>IFERROR(MID(VLOOKUP($B483,Seqs!$A:$B,2,0),AE483,1),"")</f>
        <v>E</v>
      </c>
      <c r="AE483" s="3">
        <v>292</v>
      </c>
      <c r="AF483" s="3" t="str">
        <f>IFERROR(MID(VLOOKUP($B483,Seqs!$A:$B,2,0),AG483,1),"")</f>
        <v>C</v>
      </c>
      <c r="AG483" s="3">
        <v>296</v>
      </c>
      <c r="AH483" s="3" t="str">
        <f>IFERROR(MID(VLOOKUP($B483,Seqs!$A:$B,2,0),AI483,1),"")</f>
        <v>T</v>
      </c>
      <c r="AI483" s="3">
        <v>298</v>
      </c>
      <c r="AJ483" s="3" t="str">
        <f>IFERROR(MID(VLOOKUP($B483,Seqs!$A:$B,2,0),AK483,1),"")</f>
        <v>Y</v>
      </c>
      <c r="AK483" s="3">
        <v>305</v>
      </c>
      <c r="AL483" s="3" t="str">
        <f>IFERROR(MID(VLOOKUP($B483,Seqs!$A:$B,2,0),AM483,1),"")</f>
        <v>A</v>
      </c>
      <c r="AM483" s="3">
        <v>337</v>
      </c>
      <c r="AN483" s="3" t="str">
        <f>IFERROR(MID(VLOOKUP($B483,Seqs!$A:$B,2,0),AO483,1),"")</f>
        <v>K</v>
      </c>
      <c r="AO483" s="3">
        <v>346</v>
      </c>
      <c r="AP483" s="3" t="str">
        <f>IFERROR(MID(VLOOKUP($B483,Seqs!$A:$B,2,0),AQ483,1),"")</f>
        <v>F</v>
      </c>
      <c r="AQ483" s="3">
        <v>369</v>
      </c>
      <c r="AR483" s="3" t="str">
        <f>IFERROR(MID(VLOOKUP($B483,Seqs!$A:$B,2,0),AS483,1),"")</f>
        <v>L</v>
      </c>
      <c r="AS483" s="3">
        <v>379</v>
      </c>
      <c r="AT483" s="3" t="str">
        <f>IFERROR(MID(VLOOKUP($B483,Seqs!$A:$B,2,0),AU483,1),"")</f>
        <v>V</v>
      </c>
      <c r="AU483" s="3">
        <v>405</v>
      </c>
      <c r="AV483" s="3" t="str">
        <f>IFERROR(MID(VLOOKUP($B483,Seqs!$A:$B,2,0),AW483,1),"")</f>
        <v>N</v>
      </c>
      <c r="AW483" s="3">
        <v>406</v>
      </c>
      <c r="AX483" s="3" t="str">
        <f>IFERROR(MID(VLOOKUP($B483,Seqs!$A:$B,2,0),AY483,1),"")</f>
        <v>R</v>
      </c>
      <c r="AY483" s="3">
        <v>421</v>
      </c>
      <c r="AZ483" s="77" t="str">
        <f>VLOOKUP(B483,Classification!A:D,2,0)</f>
        <v>B1</v>
      </c>
      <c r="BA483" s="94" t="str">
        <f>VLOOKUP(B483,Classification!A:D,4,0)</f>
        <v>Glucagonreceptorfamily</v>
      </c>
      <c r="BB483" s="27" t="b">
        <f t="shared" si="4529"/>
        <v>1</v>
      </c>
      <c r="BC483" s="23">
        <f t="shared" si="4530"/>
        <v>245</v>
      </c>
      <c r="BD483" s="4" t="s">
        <v>23</v>
      </c>
      <c r="BE483" s="3" t="s">
        <v>1285</v>
      </c>
      <c r="BF483" s="118">
        <v>4.0999999999999996</v>
      </c>
      <c r="BG483" s="49" t="s">
        <v>1416</v>
      </c>
      <c r="BH483" s="49" t="s">
        <v>1416</v>
      </c>
      <c r="BI483" s="1"/>
      <c r="BJ483" s="70" t="s">
        <v>1281</v>
      </c>
      <c r="BK483" s="57" t="s">
        <v>1281</v>
      </c>
      <c r="BL483" s="57" t="s">
        <v>1281</v>
      </c>
      <c r="BM483" s="57" t="s">
        <v>1281</v>
      </c>
      <c r="BN483" s="57" t="s">
        <v>1281</v>
      </c>
      <c r="BO483" s="57" t="s">
        <v>1281</v>
      </c>
      <c r="BP483" s="57" t="s">
        <v>1281</v>
      </c>
      <c r="BQ483" s="57" t="s">
        <v>1281</v>
      </c>
      <c r="BR483" s="57" t="s">
        <v>1281</v>
      </c>
      <c r="BS483" s="57" t="s">
        <v>1281</v>
      </c>
      <c r="BT483" s="57" t="s">
        <v>1281</v>
      </c>
      <c r="BU483" s="57" t="s">
        <v>1281</v>
      </c>
      <c r="BV483" s="70">
        <f t="shared" si="4531"/>
        <v>137</v>
      </c>
      <c r="BW483" s="71">
        <f t="shared" si="4532"/>
        <v>170</v>
      </c>
      <c r="BX483" s="72">
        <f t="shared" si="4533"/>
        <v>174</v>
      </c>
      <c r="BY483" s="71" t="str">
        <f t="shared" si="4534"/>
        <v>-</v>
      </c>
      <c r="BZ483" s="72">
        <f t="shared" si="4535"/>
        <v>224</v>
      </c>
      <c r="CA483" s="71" t="str">
        <f t="shared" si="4536"/>
        <v>-</v>
      </c>
      <c r="CB483" s="72">
        <f t="shared" si="4537"/>
        <v>261</v>
      </c>
      <c r="CC483" s="71">
        <f t="shared" si="4538"/>
        <v>296</v>
      </c>
      <c r="CD483" s="72">
        <f t="shared" si="4539"/>
        <v>305</v>
      </c>
      <c r="CE483" s="71">
        <f t="shared" si="4540"/>
        <v>346</v>
      </c>
      <c r="CF483" s="72">
        <f t="shared" si="4541"/>
        <v>379</v>
      </c>
      <c r="CG483" s="71">
        <f t="shared" si="4542"/>
        <v>406</v>
      </c>
      <c r="CH483" s="70">
        <f t="shared" si="4543"/>
        <v>168</v>
      </c>
      <c r="CI483" s="71">
        <f t="shared" si="4544"/>
        <v>173</v>
      </c>
      <c r="CJ483" s="72">
        <f t="shared" si="4545"/>
        <v>211</v>
      </c>
      <c r="CK483" s="72" t="str">
        <f t="shared" si="4546"/>
        <v>-</v>
      </c>
      <c r="CL483" s="72">
        <f t="shared" si="4547"/>
        <v>257</v>
      </c>
      <c r="CM483" s="72" t="str">
        <f t="shared" si="4548"/>
        <v>-</v>
      </c>
      <c r="CN483" s="72">
        <f t="shared" si="4549"/>
        <v>292</v>
      </c>
      <c r="CO483" s="72">
        <f t="shared" si="4550"/>
        <v>298</v>
      </c>
      <c r="CP483" s="72">
        <f t="shared" si="4551"/>
        <v>337</v>
      </c>
      <c r="CQ483" s="72">
        <f t="shared" si="4552"/>
        <v>369</v>
      </c>
      <c r="CR483" s="72">
        <f t="shared" si="4553"/>
        <v>405</v>
      </c>
      <c r="CS483" s="72">
        <f t="shared" si="4554"/>
        <v>421</v>
      </c>
      <c r="CT483" s="23">
        <f t="shared" si="4555"/>
        <v>1</v>
      </c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</row>
    <row r="484" spans="1:1029" x14ac:dyDescent="0.2">
      <c r="A484" s="3" t="str">
        <f t="shared" ref="A484:A485" si="4948">CONCATENATE(B484,"_",C484)</f>
        <v>pacr_human__wt</v>
      </c>
      <c r="B484" s="3" t="s">
        <v>407</v>
      </c>
      <c r="C484" s="3" t="s">
        <v>100</v>
      </c>
      <c r="D484" s="3" t="str">
        <f>IFERROR(MID(VLOOKUP($B484,Seqs!$A:$B,2,0),E484,1),"")</f>
        <v>Y</v>
      </c>
      <c r="E484" s="3">
        <v>139</v>
      </c>
      <c r="F484" s="3" t="str">
        <f>IFERROR(MID(VLOOKUP($B484,Seqs!$A:$B,2,0),G484,1),"")</f>
        <v>F</v>
      </c>
      <c r="G484" s="3">
        <v>178</v>
      </c>
      <c r="H484" s="3" t="str">
        <f>IFERROR(MID(VLOOKUP($B484,Seqs!$A:$B,2,0),I484,1),"")</f>
        <v>R</v>
      </c>
      <c r="I484" s="23">
        <v>179</v>
      </c>
      <c r="J484" s="3" t="str">
        <f>IFERROR(MID(VLOOKUP($B484,Seqs!$A:$B,2,0),K484,1),"")</f>
        <v>H</v>
      </c>
      <c r="K484" s="23">
        <v>182</v>
      </c>
      <c r="L484" s="3" t="str">
        <f>IFERROR(MID(VLOOKUP($B484,Seqs!$A:$B,2,0),M484,1),"")</f>
        <v>C</v>
      </c>
      <c r="M484" s="23">
        <v>183</v>
      </c>
      <c r="N484" s="3" t="str">
        <f>IFERROR(MID(VLOOKUP($B484,Seqs!$A:$B,2,0),O484,1),"")</f>
        <v>L</v>
      </c>
      <c r="O484" s="3">
        <v>210</v>
      </c>
      <c r="P484" s="3" t="str">
        <f>IFERROR(MID(VLOOKUP($B484,Seqs!$A:$B,2,0),Q484,1),"")</f>
        <v/>
      </c>
      <c r="Q484" s="3" t="s">
        <v>23</v>
      </c>
      <c r="R484" s="3" t="str">
        <f>IFERROR(MID(VLOOKUP($B484,Seqs!$A:$B,2,0),S484,1),"")</f>
        <v/>
      </c>
      <c r="S484" s="3" t="s">
        <v>23</v>
      </c>
      <c r="T484" s="3" t="str">
        <f>IFERROR(MID(VLOOKUP($B484,Seqs!$A:$B,2,0),U484,1),"")</f>
        <v>T</v>
      </c>
      <c r="U484" s="3">
        <v>223</v>
      </c>
      <c r="V484" s="3" t="str">
        <f>IFERROR(MID(VLOOKUP($B484,Seqs!$A:$B,2,0),W484,1),"")</f>
        <v>E</v>
      </c>
      <c r="W484" s="3">
        <v>257</v>
      </c>
      <c r="X484" s="3" t="str">
        <f>IFERROR(MID(VLOOKUP($B484,Seqs!$A:$B,2,0),Y484,1),"")</f>
        <v/>
      </c>
      <c r="Y484" s="3" t="s">
        <v>23</v>
      </c>
      <c r="Z484" s="3" t="str">
        <f>IFERROR(MID(VLOOKUP($B484,Seqs!$A:$B,2,0),AA484,1),"")</f>
        <v/>
      </c>
      <c r="AA484" s="3" t="s">
        <v>23</v>
      </c>
      <c r="AB484" s="3" t="str">
        <f>IFERROR(MID(VLOOKUP($B484,Seqs!$A:$B,2,0),AC484,1),"")</f>
        <v>R</v>
      </c>
      <c r="AC484" s="3">
        <v>264</v>
      </c>
      <c r="AD484" s="3" t="str">
        <f>IFERROR(MID(VLOOKUP($B484,Seqs!$A:$B,2,0),AE484,1),"")</f>
        <v>D</v>
      </c>
      <c r="AE484" s="3">
        <v>292</v>
      </c>
      <c r="AF484" s="3" t="str">
        <f>IFERROR(MID(VLOOKUP($B484,Seqs!$A:$B,2,0),AG484,1),"")</f>
        <v>C</v>
      </c>
      <c r="AG484" s="3">
        <v>296</v>
      </c>
      <c r="AH484" s="3" t="str">
        <f>IFERROR(MID(VLOOKUP($B484,Seqs!$A:$B,2,0),AI484,1),"")</f>
        <v>D</v>
      </c>
      <c r="AI484" s="3">
        <v>298</v>
      </c>
      <c r="AJ484" s="3" t="str">
        <f>IFERROR(MID(VLOOKUP($B484,Seqs!$A:$B,2,0),AK484,1),"")</f>
        <v>S</v>
      </c>
      <c r="AK484" s="3">
        <v>302</v>
      </c>
      <c r="AL484" s="3" t="str">
        <f>IFERROR(MID(VLOOKUP($B484,Seqs!$A:$B,2,0),AM484,1),"")</f>
        <v>L</v>
      </c>
      <c r="AM484" s="3">
        <v>335</v>
      </c>
      <c r="AN484" s="3" t="str">
        <f>IFERROR(MID(VLOOKUP($B484,Seqs!$A:$B,2,0),AO484,1),"")</f>
        <v>N</v>
      </c>
      <c r="AO484" s="3">
        <v>343</v>
      </c>
      <c r="AP484" s="3" t="str">
        <f>IFERROR(MID(VLOOKUP($B484,Seqs!$A:$B,2,0),AQ484,1),"")</f>
        <v>S</v>
      </c>
      <c r="AQ484" s="3">
        <v>372</v>
      </c>
      <c r="AR484" s="3" t="str">
        <f>IFERROR(MID(VLOOKUP($B484,Seqs!$A:$B,2,0),AS484,1),"")</f>
        <v>K</v>
      </c>
      <c r="AS484" s="3">
        <v>378</v>
      </c>
      <c r="AT484" s="3" t="str">
        <f>IFERROR(MID(VLOOKUP($B484,Seqs!$A:$B,2,0),AU484,1),"")</f>
        <v>L</v>
      </c>
      <c r="AU484" s="3">
        <v>403</v>
      </c>
      <c r="AV484" s="3" t="str">
        <f>IFERROR(MID(VLOOKUP($B484,Seqs!$A:$B,2,0),AW484,1),"")</f>
        <v>N</v>
      </c>
      <c r="AW484" s="3">
        <v>404</v>
      </c>
      <c r="AX484" s="3" t="str">
        <f>IFERROR(MID(VLOOKUP($B484,Seqs!$A:$B,2,0),AY484,1),"")</f>
        <v>K</v>
      </c>
      <c r="AY484" s="3">
        <v>429</v>
      </c>
      <c r="AZ484" s="77" t="str">
        <f>VLOOKUP(B484,Classification!A:D,2,0)</f>
        <v>B1</v>
      </c>
      <c r="BA484" s="94" t="str">
        <f>VLOOKUP(B484,Classification!A:D,4,0)</f>
        <v>VIPandPACAP</v>
      </c>
      <c r="BB484" s="27" t="b">
        <f t="shared" ref="BB484:BB485" si="4949">AND(E484&lt;G484,OR(G484&lt;I484,I484="-"),OR(I484&lt;K484,I484="-"),OR(K484&lt;M484,K484="-"),M484&lt;O484,OR(O484&lt;Q484,Q484="-"),OR(Q484&lt;S484,Q484="-"),OR(S484&lt;U484,S484="-"),U484&lt;W484,OR(W484&lt;Y484,Y484="-"),OR(Y484&lt;AA484,Y484="-"),OR(AA484&lt;AC484,AA484="-"),AC484&lt;AE484,OR(AE484&lt;AG484,AG484="-"),OR(AG484&lt;AI484,AG484="-"),OR(AI484&lt;AK484,AI484="-"),AK484&lt;AM484,AM484&lt;AO484,AO484&lt;AQ484,AQ484&lt;AS484,AS484&lt;AU484,OR(AU484&lt;AW484,AW484="-"),OR(AW484&lt;AY484,AW484="-"))</f>
        <v>1</v>
      </c>
      <c r="BC484" s="23">
        <f t="shared" ref="BC484:BC485" si="4950">_xlfn.AGGREGATE(9,6,CH484:CS484)-_xlfn.AGGREGATE(9,6,BV484:CG484)+12</f>
        <v>257</v>
      </c>
      <c r="BD484" s="4" t="s">
        <v>23</v>
      </c>
      <c r="BE484" s="3" t="s">
        <v>23</v>
      </c>
      <c r="BF484" s="118" t="s">
        <v>23</v>
      </c>
      <c r="BG484" s="49" t="s">
        <v>23</v>
      </c>
      <c r="BH484" s="49" t="s">
        <v>23</v>
      </c>
      <c r="BI484" s="1"/>
      <c r="BJ484" s="70" t="s">
        <v>1281</v>
      </c>
      <c r="BK484" s="57" t="s">
        <v>1281</v>
      </c>
      <c r="BL484" s="57" t="s">
        <v>1281</v>
      </c>
      <c r="BM484" s="57" t="s">
        <v>1281</v>
      </c>
      <c r="BN484" s="57" t="s">
        <v>1281</v>
      </c>
      <c r="BO484" s="57" t="s">
        <v>1281</v>
      </c>
      <c r="BP484" s="57" t="s">
        <v>1281</v>
      </c>
      <c r="BQ484" s="57" t="s">
        <v>1281</v>
      </c>
      <c r="BR484" s="57" t="s">
        <v>1281</v>
      </c>
      <c r="BS484" s="57" t="s">
        <v>1281</v>
      </c>
      <c r="BT484" s="57" t="s">
        <v>1281</v>
      </c>
      <c r="BU484" s="57" t="s">
        <v>1281</v>
      </c>
      <c r="BV484" s="70">
        <f t="shared" ref="BV484:BV485" si="4951">E484</f>
        <v>139</v>
      </c>
      <c r="BW484" s="71">
        <f t="shared" ref="BW484:BW485" si="4952">I484</f>
        <v>179</v>
      </c>
      <c r="BX484" s="72">
        <f t="shared" ref="BX484:BX485" si="4953">M484</f>
        <v>183</v>
      </c>
      <c r="BY484" s="71" t="str">
        <f t="shared" ref="BY484:BY485" si="4954">Q484</f>
        <v>-</v>
      </c>
      <c r="BZ484" s="72">
        <f t="shared" ref="BZ484:BZ485" si="4955">U484</f>
        <v>223</v>
      </c>
      <c r="CA484" s="71" t="str">
        <f t="shared" ref="CA484:CA485" si="4956">Y484</f>
        <v>-</v>
      </c>
      <c r="CB484" s="72">
        <f t="shared" ref="CB484:CB485" si="4957">AC484</f>
        <v>264</v>
      </c>
      <c r="CC484" s="71">
        <f t="shared" ref="CC484:CC485" si="4958">AG484</f>
        <v>296</v>
      </c>
      <c r="CD484" s="72">
        <f t="shared" ref="CD484:CD485" si="4959">AK484</f>
        <v>302</v>
      </c>
      <c r="CE484" s="71">
        <f t="shared" ref="CE484:CE485" si="4960">AO484</f>
        <v>343</v>
      </c>
      <c r="CF484" s="72">
        <f t="shared" ref="CF484:CF485" si="4961">AS484</f>
        <v>378</v>
      </c>
      <c r="CG484" s="71">
        <f t="shared" ref="CG484:CG485" si="4962">AW484</f>
        <v>404</v>
      </c>
      <c r="CH484" s="70">
        <f t="shared" ref="CH484:CH485" si="4963">G484</f>
        <v>178</v>
      </c>
      <c r="CI484" s="71">
        <f t="shared" ref="CI484:CI485" si="4964">K484</f>
        <v>182</v>
      </c>
      <c r="CJ484" s="72">
        <f t="shared" ref="CJ484:CJ485" si="4965">O484</f>
        <v>210</v>
      </c>
      <c r="CK484" s="72" t="str">
        <f t="shared" ref="CK484:CK485" si="4966">S484</f>
        <v>-</v>
      </c>
      <c r="CL484" s="72">
        <f t="shared" ref="CL484:CL485" si="4967">W484</f>
        <v>257</v>
      </c>
      <c r="CM484" s="72" t="str">
        <f t="shared" ref="CM484:CM485" si="4968">AA484</f>
        <v>-</v>
      </c>
      <c r="CN484" s="72">
        <f t="shared" ref="CN484:CN485" si="4969">AE484</f>
        <v>292</v>
      </c>
      <c r="CO484" s="72">
        <f t="shared" ref="CO484:CO485" si="4970">AI484</f>
        <v>298</v>
      </c>
      <c r="CP484" s="72">
        <f t="shared" ref="CP484:CP485" si="4971">AM484</f>
        <v>335</v>
      </c>
      <c r="CQ484" s="72">
        <f t="shared" ref="CQ484:CQ485" si="4972">AQ484</f>
        <v>372</v>
      </c>
      <c r="CR484" s="72">
        <f t="shared" ref="CR484:CR485" si="4973">AU484</f>
        <v>403</v>
      </c>
      <c r="CS484" s="72">
        <f t="shared" ref="CS484:CS485" si="4974">AY484</f>
        <v>429</v>
      </c>
      <c r="CT484" s="23">
        <f t="shared" ref="CT484:CT485" si="4975">M484-K484</f>
        <v>1</v>
      </c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</row>
    <row r="485" spans="1:1029" x14ac:dyDescent="0.2">
      <c r="A485" s="3" t="str">
        <f t="shared" si="4948"/>
        <v>pacr_human_6P9Y</v>
      </c>
      <c r="B485" s="3" t="s">
        <v>407</v>
      </c>
      <c r="C485" s="3" t="s">
        <v>1639</v>
      </c>
      <c r="D485" s="3" t="str">
        <f>IFERROR(MID(VLOOKUP($B485,Seqs!$A:$B,2,0),E485,1),"")</f>
        <v>Y</v>
      </c>
      <c r="E485" s="3">
        <v>149</v>
      </c>
      <c r="F485" s="3" t="str">
        <f>IFERROR(MID(VLOOKUP($B485,Seqs!$A:$B,2,0),G485,1),"")</f>
        <v>F</v>
      </c>
      <c r="G485" s="3">
        <v>178</v>
      </c>
      <c r="H485" s="3" t="str">
        <f>IFERROR(MID(VLOOKUP($B485,Seqs!$A:$B,2,0),I485,1),"")</f>
        <v/>
      </c>
      <c r="I485" s="23" t="s">
        <v>23</v>
      </c>
      <c r="J485" s="3" t="str">
        <f>IFERROR(MID(VLOOKUP($B485,Seqs!$A:$B,2,0),K485,1),"")</f>
        <v/>
      </c>
      <c r="K485" s="23" t="s">
        <v>23</v>
      </c>
      <c r="L485" s="3" t="str">
        <f>IFERROR(MID(VLOOKUP($B485,Seqs!$A:$B,2,0),M485,1),"")</f>
        <v>C</v>
      </c>
      <c r="M485" s="23">
        <v>183</v>
      </c>
      <c r="N485" s="3" t="str">
        <f>IFERROR(MID(VLOOKUP($B485,Seqs!$A:$B,2,0),O485,1),"")</f>
        <v>Y</v>
      </c>
      <c r="O485" s="3">
        <v>211</v>
      </c>
      <c r="P485" s="3" t="str">
        <f>IFERROR(MID(VLOOKUP($B485,Seqs!$A:$B,2,0),Q485,1),"")</f>
        <v/>
      </c>
      <c r="Q485" s="3" t="s">
        <v>23</v>
      </c>
      <c r="R485" s="3" t="str">
        <f>IFERROR(MID(VLOOKUP($B485,Seqs!$A:$B,2,0),S485,1),"")</f>
        <v/>
      </c>
      <c r="S485" s="3" t="s">
        <v>23</v>
      </c>
      <c r="T485" s="3" t="str">
        <f>IFERROR(MID(VLOOKUP($B485,Seqs!$A:$B,2,0),U485,1),"")</f>
        <v>T</v>
      </c>
      <c r="U485" s="3">
        <v>223</v>
      </c>
      <c r="V485" s="3" t="str">
        <f>IFERROR(MID(VLOOKUP($B485,Seqs!$A:$B,2,0),W485,1),"")</f>
        <v>V</v>
      </c>
      <c r="W485" s="3">
        <v>256</v>
      </c>
      <c r="X485" s="3" t="str">
        <f>IFERROR(MID(VLOOKUP($B485,Seqs!$A:$B,2,0),Y485,1),"")</f>
        <v/>
      </c>
      <c r="Y485" s="3" t="s">
        <v>23</v>
      </c>
      <c r="Z485" s="3" t="str">
        <f>IFERROR(MID(VLOOKUP($B485,Seqs!$A:$B,2,0),AA485,1),"")</f>
        <v/>
      </c>
      <c r="AA485" s="3" t="s">
        <v>23</v>
      </c>
      <c r="AB485" s="3" t="str">
        <f>IFERROR(MID(VLOOKUP($B485,Seqs!$A:$B,2,0),AC485,1),"")</f>
        <v>R</v>
      </c>
      <c r="AC485" s="3">
        <v>264</v>
      </c>
      <c r="AD485" s="3" t="str">
        <f>IFERROR(MID(VLOOKUP($B485,Seqs!$A:$B,2,0),AE485,1),"")</f>
        <v>F</v>
      </c>
      <c r="AE485" s="3">
        <v>291</v>
      </c>
      <c r="AF485" s="3" t="str">
        <f>IFERROR(MID(VLOOKUP($B485,Seqs!$A:$B,2,0),AG485,1),"")</f>
        <v>C</v>
      </c>
      <c r="AG485" s="3">
        <v>296</v>
      </c>
      <c r="AH485" s="3" t="str">
        <f>IFERROR(MID(VLOOKUP($B485,Seqs!$A:$B,2,0),AI485,1),"")</f>
        <v>D</v>
      </c>
      <c r="AI485" s="3">
        <v>298</v>
      </c>
      <c r="AJ485" s="3" t="str">
        <f>IFERROR(MID(VLOOKUP($B485,Seqs!$A:$B,2,0),AK485,1),"")</f>
        <v>S</v>
      </c>
      <c r="AK485" s="3">
        <v>302</v>
      </c>
      <c r="AL485" s="3" t="str">
        <f>IFERROR(MID(VLOOKUP($B485,Seqs!$A:$B,2,0),AM485,1),"")</f>
        <v>S</v>
      </c>
      <c r="AM485" s="3">
        <v>337</v>
      </c>
      <c r="AN485" s="3" t="str">
        <f>IFERROR(MID(VLOOKUP($B485,Seqs!$A:$B,2,0),AO485,1),"")</f>
        <v>S</v>
      </c>
      <c r="AO485" s="3">
        <v>346</v>
      </c>
      <c r="AP485" s="3" t="str">
        <f>IFERROR(MID(VLOOKUP($B485,Seqs!$A:$B,2,0),AQ485,1),"")</f>
        <v>A</v>
      </c>
      <c r="AQ485" s="3">
        <v>370</v>
      </c>
      <c r="AR485" s="3" t="str">
        <f>IFERROR(MID(VLOOKUP($B485,Seqs!$A:$B,2,0),AS485,1),"")</f>
        <v>K</v>
      </c>
      <c r="AS485" s="3">
        <v>378</v>
      </c>
      <c r="AT485" s="3" t="str">
        <f>IFERROR(MID(VLOOKUP($B485,Seqs!$A:$B,2,0),AU485,1),"")</f>
        <v>L</v>
      </c>
      <c r="AU485" s="3">
        <v>403</v>
      </c>
      <c r="AV485" s="3" t="str">
        <f>IFERROR(MID(VLOOKUP($B485,Seqs!$A:$B,2,0),AW485,1),"")</f>
        <v>N</v>
      </c>
      <c r="AW485" s="3">
        <v>404</v>
      </c>
      <c r="AX485" s="3" t="str">
        <f>IFERROR(MID(VLOOKUP($B485,Seqs!$A:$B,2,0),AY485,1),"")</f>
        <v>W</v>
      </c>
      <c r="AY485" s="3">
        <v>418</v>
      </c>
      <c r="AZ485" s="77" t="str">
        <f>VLOOKUP(B485,Classification!A:D,2,0)</f>
        <v>B1</v>
      </c>
      <c r="BA485" s="94" t="str">
        <f>VLOOKUP(B485,Classification!A:D,4,0)</f>
        <v>VIPandPACAP</v>
      </c>
      <c r="BB485" s="27" t="b">
        <f t="shared" si="4949"/>
        <v>1</v>
      </c>
      <c r="BC485" s="23">
        <f t="shared" si="4950"/>
        <v>229</v>
      </c>
      <c r="BD485" s="4" t="s">
        <v>1369</v>
      </c>
      <c r="BE485" s="3" t="s">
        <v>1285</v>
      </c>
      <c r="BF485" s="118">
        <v>3.01</v>
      </c>
      <c r="BG485" s="49" t="s">
        <v>1416</v>
      </c>
      <c r="BH485" s="49" t="s">
        <v>1416</v>
      </c>
      <c r="BI485" s="1"/>
      <c r="BJ485" s="70" t="s">
        <v>1281</v>
      </c>
      <c r="BK485" s="57" t="s">
        <v>1281</v>
      </c>
      <c r="BL485" s="57" t="s">
        <v>1281</v>
      </c>
      <c r="BM485" s="57" t="s">
        <v>1281</v>
      </c>
      <c r="BN485" s="57" t="s">
        <v>1281</v>
      </c>
      <c r="BO485" s="57" t="s">
        <v>1281</v>
      </c>
      <c r="BP485" s="57" t="s">
        <v>1281</v>
      </c>
      <c r="BQ485" s="57" t="s">
        <v>1281</v>
      </c>
      <c r="BR485" s="57" t="s">
        <v>1281</v>
      </c>
      <c r="BS485" s="57" t="s">
        <v>1281</v>
      </c>
      <c r="BT485" s="57" t="s">
        <v>1281</v>
      </c>
      <c r="BU485" s="57" t="s">
        <v>1281</v>
      </c>
      <c r="BV485" s="70">
        <f t="shared" si="4951"/>
        <v>149</v>
      </c>
      <c r="BW485" s="71" t="str">
        <f t="shared" si="4952"/>
        <v>-</v>
      </c>
      <c r="BX485" s="72">
        <f t="shared" si="4953"/>
        <v>183</v>
      </c>
      <c r="BY485" s="71" t="str">
        <f t="shared" si="4954"/>
        <v>-</v>
      </c>
      <c r="BZ485" s="72">
        <f t="shared" si="4955"/>
        <v>223</v>
      </c>
      <c r="CA485" s="71" t="str">
        <f t="shared" si="4956"/>
        <v>-</v>
      </c>
      <c r="CB485" s="72">
        <f t="shared" si="4957"/>
        <v>264</v>
      </c>
      <c r="CC485" s="71">
        <f t="shared" si="4958"/>
        <v>296</v>
      </c>
      <c r="CD485" s="72">
        <f t="shared" si="4959"/>
        <v>302</v>
      </c>
      <c r="CE485" s="71">
        <f t="shared" si="4960"/>
        <v>346</v>
      </c>
      <c r="CF485" s="72">
        <f t="shared" si="4961"/>
        <v>378</v>
      </c>
      <c r="CG485" s="71">
        <f t="shared" si="4962"/>
        <v>404</v>
      </c>
      <c r="CH485" s="70">
        <f t="shared" si="4963"/>
        <v>178</v>
      </c>
      <c r="CI485" s="71" t="str">
        <f t="shared" si="4964"/>
        <v>-</v>
      </c>
      <c r="CJ485" s="72">
        <f t="shared" si="4965"/>
        <v>211</v>
      </c>
      <c r="CK485" s="72" t="str">
        <f t="shared" si="4966"/>
        <v>-</v>
      </c>
      <c r="CL485" s="72">
        <f t="shared" si="4967"/>
        <v>256</v>
      </c>
      <c r="CM485" s="72" t="str">
        <f t="shared" si="4968"/>
        <v>-</v>
      </c>
      <c r="CN485" s="72">
        <f t="shared" si="4969"/>
        <v>291</v>
      </c>
      <c r="CO485" s="72">
        <f t="shared" si="4970"/>
        <v>298</v>
      </c>
      <c r="CP485" s="72">
        <f t="shared" si="4971"/>
        <v>337</v>
      </c>
      <c r="CQ485" s="72">
        <f t="shared" si="4972"/>
        <v>370</v>
      </c>
      <c r="CR485" s="72">
        <f t="shared" si="4973"/>
        <v>403</v>
      </c>
      <c r="CS485" s="72">
        <f t="shared" si="4974"/>
        <v>418</v>
      </c>
      <c r="CT485" s="23" t="e">
        <f t="shared" si="4975"/>
        <v>#VALUE!</v>
      </c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</row>
    <row r="486" spans="1:1029" x14ac:dyDescent="0.2">
      <c r="A486" s="3" t="str">
        <f t="shared" ref="A486" si="4976">CONCATENATE(B486,"_",C486)</f>
        <v>pacr_human_6LPB</v>
      </c>
      <c r="B486" s="3" t="s">
        <v>407</v>
      </c>
      <c r="C486" s="3" t="s">
        <v>1671</v>
      </c>
      <c r="D486" s="3" t="str">
        <f>IFERROR(MID(VLOOKUP($B486,Seqs!$A:$B,2,0),E486,1),"")</f>
        <v>Q</v>
      </c>
      <c r="E486" s="3">
        <v>146</v>
      </c>
      <c r="F486" s="3" t="str">
        <f>IFERROR(MID(VLOOKUP($B486,Seqs!$A:$B,2,0),G486,1),"")</f>
        <v>C</v>
      </c>
      <c r="G486" s="3">
        <v>176</v>
      </c>
      <c r="H486" s="3" t="str">
        <f>IFERROR(MID(VLOOKUP($B486,Seqs!$A:$B,2,0),I486,1),"")</f>
        <v/>
      </c>
      <c r="I486" s="23" t="s">
        <v>23</v>
      </c>
      <c r="J486" s="3" t="str">
        <f>IFERROR(MID(VLOOKUP($B486,Seqs!$A:$B,2,0),K486,1),"")</f>
        <v/>
      </c>
      <c r="K486" s="23" t="s">
        <v>23</v>
      </c>
      <c r="L486" s="3" t="str">
        <f>IFERROR(MID(VLOOKUP($B486,Seqs!$A:$B,2,0),M486,1),"")</f>
        <v>T</v>
      </c>
      <c r="M486" s="23">
        <v>184</v>
      </c>
      <c r="N486" s="3" t="str">
        <f>IFERROR(MID(VLOOKUP($B486,Seqs!$A:$B,2,0),O486,1),"")</f>
        <v>Y</v>
      </c>
      <c r="O486" s="3">
        <v>211</v>
      </c>
      <c r="P486" s="3" t="str">
        <f>IFERROR(MID(VLOOKUP($B486,Seqs!$A:$B,2,0),Q486,1),"")</f>
        <v/>
      </c>
      <c r="Q486" s="3" t="s">
        <v>23</v>
      </c>
      <c r="R486" s="3" t="str">
        <f>IFERROR(MID(VLOOKUP($B486,Seqs!$A:$B,2,0),S486,1),"")</f>
        <v/>
      </c>
      <c r="S486" s="3" t="s">
        <v>23</v>
      </c>
      <c r="T486" s="3" t="str">
        <f>IFERROR(MID(VLOOKUP($B486,Seqs!$A:$B,2,0),U486,1),"")</f>
        <v>T</v>
      </c>
      <c r="U486" s="3">
        <v>223</v>
      </c>
      <c r="V486" s="3" t="str">
        <f>IFERROR(MID(VLOOKUP($B486,Seqs!$A:$B,2,0),W486,1),"")</f>
        <v>E</v>
      </c>
      <c r="W486" s="3">
        <v>257</v>
      </c>
      <c r="X486" s="3" t="str">
        <f>IFERROR(MID(VLOOKUP($B486,Seqs!$A:$B,2,0),Y486,1),"")</f>
        <v/>
      </c>
      <c r="Y486" s="3" t="s">
        <v>23</v>
      </c>
      <c r="Z486" s="3" t="str">
        <f>IFERROR(MID(VLOOKUP($B486,Seqs!$A:$B,2,0),AA486,1),"")</f>
        <v/>
      </c>
      <c r="AA486" s="3" t="s">
        <v>23</v>
      </c>
      <c r="AB486" s="3" t="str">
        <f>IFERROR(MID(VLOOKUP($B486,Seqs!$A:$B,2,0),AC486,1),"")</f>
        <v>E</v>
      </c>
      <c r="AC486" s="3">
        <v>262</v>
      </c>
      <c r="AD486" s="3" t="str">
        <f>IFERROR(MID(VLOOKUP($B486,Seqs!$A:$B,2,0),AE486,1),"")</f>
        <v>Y</v>
      </c>
      <c r="AE486" s="3">
        <v>290</v>
      </c>
      <c r="AF486" s="3" t="str">
        <f>IFERROR(MID(VLOOKUP($B486,Seqs!$A:$B,2,0),AG486,1),"")</f>
        <v>C</v>
      </c>
      <c r="AG486" s="3">
        <v>296</v>
      </c>
      <c r="AH486" s="3" t="str">
        <f>IFERROR(MID(VLOOKUP($B486,Seqs!$A:$B,2,0),AI486,1),"")</f>
        <v>D</v>
      </c>
      <c r="AI486" s="3">
        <v>298</v>
      </c>
      <c r="AJ486" s="3" t="str">
        <f>IFERROR(MID(VLOOKUP($B486,Seqs!$A:$B,2,0),AK486,1),"")</f>
        <v>S</v>
      </c>
      <c r="AK486" s="3">
        <v>302</v>
      </c>
      <c r="AL486" s="3" t="str">
        <f>IFERROR(MID(VLOOKUP($B486,Seqs!$A:$B,2,0),AM486,1),"")</f>
        <v>Q</v>
      </c>
      <c r="AM486" s="3">
        <v>336</v>
      </c>
      <c r="AN486" s="3" t="str">
        <f>IFERROR(MID(VLOOKUP($B486,Seqs!$A:$B,2,0),AO486,1),"")</f>
        <v>I</v>
      </c>
      <c r="AO486" s="3">
        <v>347</v>
      </c>
      <c r="AP486" s="3" t="str">
        <f>IFERROR(MID(VLOOKUP($B486,Seqs!$A:$B,2,0),AQ486,1),"")</f>
        <v>V</v>
      </c>
      <c r="AQ486" s="3">
        <v>368</v>
      </c>
      <c r="AR486" s="3" t="str">
        <f>IFERROR(MID(VLOOKUP($B486,Seqs!$A:$B,2,0),AS486,1),"")</f>
        <v>S</v>
      </c>
      <c r="AS486" s="3">
        <v>377</v>
      </c>
      <c r="AT486" s="3" t="str">
        <f>IFERROR(MID(VLOOKUP($B486,Seqs!$A:$B,2,0),AU486,1),"")</f>
        <v>F</v>
      </c>
      <c r="AU486" s="3">
        <v>402</v>
      </c>
      <c r="AV486" s="3" t="str">
        <f>IFERROR(MID(VLOOKUP($B486,Seqs!$A:$B,2,0),AW486,1),"")</f>
        <v>G</v>
      </c>
      <c r="AW486" s="3">
        <v>405</v>
      </c>
      <c r="AX486" s="3" t="str">
        <f>IFERROR(MID(VLOOKUP($B486,Seqs!$A:$B,2,0),AY486,1),"")</f>
        <v>K</v>
      </c>
      <c r="AY486" s="3">
        <v>414</v>
      </c>
      <c r="AZ486" s="77" t="str">
        <f>VLOOKUP(B486,Classification!A:D,2,0)</f>
        <v>B1</v>
      </c>
      <c r="BA486" s="94" t="str">
        <f>VLOOKUP(B486,Classification!A:D,4,0)</f>
        <v>VIPandPACAP</v>
      </c>
      <c r="BB486" s="27" t="b">
        <f t="shared" ref="BB486" si="4977">AND(E486&lt;G486,OR(G486&lt;I486,I486="-"),OR(I486&lt;K486,I486="-"),OR(K486&lt;M486,K486="-"),M486&lt;O486,OR(O486&lt;Q486,Q486="-"),OR(Q486&lt;S486,Q486="-"),OR(S486&lt;U486,S486="-"),U486&lt;W486,OR(W486&lt;Y486,Y486="-"),OR(Y486&lt;AA486,Y486="-"),OR(AA486&lt;AC486,AA486="-"),AC486&lt;AE486,OR(AE486&lt;AG486,AG486="-"),OR(AG486&lt;AI486,AG486="-"),OR(AI486&lt;AK486,AI486="-"),AK486&lt;AM486,AM486&lt;AO486,AO486&lt;AQ486,AQ486&lt;AS486,AS486&lt;AU486,OR(AU486&lt;AW486,AW486="-"),OR(AW486&lt;AY486,AW486="-"))</f>
        <v>1</v>
      </c>
      <c r="BC486" s="23">
        <f t="shared" ref="BC486" si="4978">_xlfn.AGGREGATE(9,6,CH486:CS486)-_xlfn.AGGREGATE(9,6,BV486:CG486)+12</f>
        <v>222</v>
      </c>
      <c r="BD486" s="4" t="s">
        <v>23</v>
      </c>
      <c r="BE486" s="3" t="s">
        <v>1285</v>
      </c>
      <c r="BF486" s="118">
        <v>3.9</v>
      </c>
      <c r="BG486" s="49" t="s">
        <v>1416</v>
      </c>
      <c r="BH486" s="49" t="s">
        <v>1416</v>
      </c>
      <c r="BI486" s="1"/>
      <c r="BJ486" s="70" t="s">
        <v>1281</v>
      </c>
      <c r="BK486" s="57" t="s">
        <v>1281</v>
      </c>
      <c r="BL486" s="57" t="s">
        <v>1281</v>
      </c>
      <c r="BM486" s="57" t="s">
        <v>1281</v>
      </c>
      <c r="BN486" s="57" t="s">
        <v>1281</v>
      </c>
      <c r="BO486" s="57" t="s">
        <v>1281</v>
      </c>
      <c r="BP486" s="57" t="s">
        <v>1281</v>
      </c>
      <c r="BQ486" s="57" t="s">
        <v>1281</v>
      </c>
      <c r="BR486" s="57" t="s">
        <v>1281</v>
      </c>
      <c r="BS486" s="57" t="s">
        <v>1281</v>
      </c>
      <c r="BT486" s="57" t="s">
        <v>1281</v>
      </c>
      <c r="BU486" s="57" t="s">
        <v>1281</v>
      </c>
      <c r="BV486" s="70">
        <f t="shared" ref="BV486" si="4979">E486</f>
        <v>146</v>
      </c>
      <c r="BW486" s="71" t="str">
        <f t="shared" ref="BW486" si="4980">I486</f>
        <v>-</v>
      </c>
      <c r="BX486" s="72">
        <f t="shared" ref="BX486" si="4981">M486</f>
        <v>184</v>
      </c>
      <c r="BY486" s="71" t="str">
        <f t="shared" ref="BY486" si="4982">Q486</f>
        <v>-</v>
      </c>
      <c r="BZ486" s="72">
        <f t="shared" ref="BZ486" si="4983">U486</f>
        <v>223</v>
      </c>
      <c r="CA486" s="71" t="str">
        <f t="shared" ref="CA486" si="4984">Y486</f>
        <v>-</v>
      </c>
      <c r="CB486" s="72">
        <f t="shared" ref="CB486" si="4985">AC486</f>
        <v>262</v>
      </c>
      <c r="CC486" s="71">
        <f t="shared" ref="CC486" si="4986">AG486</f>
        <v>296</v>
      </c>
      <c r="CD486" s="72">
        <f t="shared" ref="CD486" si="4987">AK486</f>
        <v>302</v>
      </c>
      <c r="CE486" s="71">
        <f t="shared" ref="CE486" si="4988">AO486</f>
        <v>347</v>
      </c>
      <c r="CF486" s="72">
        <f t="shared" ref="CF486" si="4989">AS486</f>
        <v>377</v>
      </c>
      <c r="CG486" s="71">
        <f t="shared" ref="CG486" si="4990">AW486</f>
        <v>405</v>
      </c>
      <c r="CH486" s="70">
        <f t="shared" ref="CH486" si="4991">G486</f>
        <v>176</v>
      </c>
      <c r="CI486" s="71" t="str">
        <f t="shared" ref="CI486" si="4992">K486</f>
        <v>-</v>
      </c>
      <c r="CJ486" s="72">
        <f t="shared" ref="CJ486" si="4993">O486</f>
        <v>211</v>
      </c>
      <c r="CK486" s="72" t="str">
        <f t="shared" ref="CK486" si="4994">S486</f>
        <v>-</v>
      </c>
      <c r="CL486" s="72">
        <f t="shared" ref="CL486" si="4995">W486</f>
        <v>257</v>
      </c>
      <c r="CM486" s="72" t="str">
        <f t="shared" ref="CM486" si="4996">AA486</f>
        <v>-</v>
      </c>
      <c r="CN486" s="72">
        <f t="shared" ref="CN486" si="4997">AE486</f>
        <v>290</v>
      </c>
      <c r="CO486" s="72">
        <f t="shared" ref="CO486" si="4998">AI486</f>
        <v>298</v>
      </c>
      <c r="CP486" s="72">
        <f t="shared" ref="CP486" si="4999">AM486</f>
        <v>336</v>
      </c>
      <c r="CQ486" s="72">
        <f t="shared" ref="CQ486" si="5000">AQ486</f>
        <v>368</v>
      </c>
      <c r="CR486" s="72">
        <f t="shared" ref="CR486" si="5001">AU486</f>
        <v>402</v>
      </c>
      <c r="CS486" s="72">
        <f t="shared" ref="CS486" si="5002">AY486</f>
        <v>414</v>
      </c>
      <c r="CT486" s="23" t="e">
        <f t="shared" ref="CT486" si="5003">M486-K486</f>
        <v>#VALUE!</v>
      </c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</row>
    <row r="487" spans="1:1029" s="12" customFormat="1" x14ac:dyDescent="0.2">
      <c r="A487" s="9" t="str">
        <f t="shared" ref="A487" si="5004">CONCATENATE(B487,"_",C487)</f>
        <v>pacr_human_6M1H</v>
      </c>
      <c r="B487" s="9" t="s">
        <v>407</v>
      </c>
      <c r="C487" s="9" t="s">
        <v>1703</v>
      </c>
      <c r="D487" s="9" t="str">
        <f>IFERROR(MID(VLOOKUP($B487,Seqs!$A:$B,2,0),E487,1),"")</f>
        <v>Q</v>
      </c>
      <c r="E487" s="9">
        <v>146</v>
      </c>
      <c r="F487" s="9" t="str">
        <f>IFERROR(MID(VLOOKUP($B487,Seqs!$A:$B,2,0),G487,1),"")</f>
        <v>R</v>
      </c>
      <c r="G487" s="9">
        <v>177</v>
      </c>
      <c r="H487" s="9" t="str">
        <f>IFERROR(MID(VLOOKUP($B487,Seqs!$A:$B,2,0),I487,1),"")</f>
        <v/>
      </c>
      <c r="I487" s="109" t="s">
        <v>23</v>
      </c>
      <c r="J487" s="9" t="str">
        <f>IFERROR(MID(VLOOKUP($B487,Seqs!$A:$B,2,0),K487,1),"")</f>
        <v/>
      </c>
      <c r="K487" s="109" t="s">
        <v>23</v>
      </c>
      <c r="L487" s="9" t="str">
        <f>IFERROR(MID(VLOOKUP($B487,Seqs!$A:$B,2,0),M487,1),"")</f>
        <v>C</v>
      </c>
      <c r="M487" s="109">
        <v>183</v>
      </c>
      <c r="N487" s="9" t="str">
        <f>IFERROR(MID(VLOOKUP($B487,Seqs!$A:$B,2,0),O487,1),"")</f>
        <v>N</v>
      </c>
      <c r="O487" s="9">
        <v>217</v>
      </c>
      <c r="P487" s="9" t="str">
        <f>IFERROR(MID(VLOOKUP($B487,Seqs!$A:$B,2,0),Q487,1),"")</f>
        <v/>
      </c>
      <c r="Q487" s="9" t="s">
        <v>23</v>
      </c>
      <c r="R487" s="9" t="str">
        <f>IFERROR(MID(VLOOKUP($B487,Seqs!$A:$B,2,0),S487,1),"")</f>
        <v/>
      </c>
      <c r="S487" s="9" t="s">
        <v>23</v>
      </c>
      <c r="T487" s="9" t="str">
        <f>IFERROR(MID(VLOOKUP($B487,Seqs!$A:$B,2,0),U487,1),"")</f>
        <v>V</v>
      </c>
      <c r="U487" s="9">
        <v>224</v>
      </c>
      <c r="V487" s="9" t="str">
        <f>IFERROR(MID(VLOOKUP($B487,Seqs!$A:$B,2,0),W487,1),"")</f>
        <v>L</v>
      </c>
      <c r="W487" s="9">
        <v>255</v>
      </c>
      <c r="X487" s="9" t="str">
        <f>IFERROR(MID(VLOOKUP($B487,Seqs!$A:$B,2,0),Y487,1),"")</f>
        <v/>
      </c>
      <c r="Y487" s="9" t="s">
        <v>23</v>
      </c>
      <c r="Z487" s="9" t="str">
        <f>IFERROR(MID(VLOOKUP($B487,Seqs!$A:$B,2,0),AA487,1),"")</f>
        <v/>
      </c>
      <c r="AA487" s="9" t="s">
        <v>23</v>
      </c>
      <c r="AB487" s="9" t="str">
        <f>IFERROR(MID(VLOOKUP($B487,Seqs!$A:$B,2,0),AC487,1),"")</f>
        <v>P</v>
      </c>
      <c r="AC487" s="9">
        <v>261</v>
      </c>
      <c r="AD487" s="9" t="str">
        <f>IFERROR(MID(VLOOKUP($B487,Seqs!$A:$B,2,0),AE487,1),"")</f>
        <v>L</v>
      </c>
      <c r="AE487" s="9">
        <v>289</v>
      </c>
      <c r="AF487" s="9" t="str">
        <f>IFERROR(MID(VLOOKUP($B487,Seqs!$A:$B,2,0),AG487,1),"")</f>
        <v>C</v>
      </c>
      <c r="AG487" s="9">
        <v>296</v>
      </c>
      <c r="AH487" s="9" t="str">
        <f>IFERROR(MID(VLOOKUP($B487,Seqs!$A:$B,2,0),AI487,1),"")</f>
        <v>D</v>
      </c>
      <c r="AI487" s="9">
        <v>298</v>
      </c>
      <c r="AJ487" s="9" t="str">
        <f>IFERROR(MID(VLOOKUP($B487,Seqs!$A:$B,2,0),AK487,1),"")</f>
        <v>A</v>
      </c>
      <c r="AK487" s="9">
        <v>304</v>
      </c>
      <c r="AL487" s="9" t="str">
        <f>IFERROR(MID(VLOOKUP($B487,Seqs!$A:$B,2,0),AM487,1),"")</f>
        <v>Q</v>
      </c>
      <c r="AM487" s="9">
        <v>336</v>
      </c>
      <c r="AN487" s="9" t="str">
        <f>IFERROR(MID(VLOOKUP($B487,Seqs!$A:$B,2,0),AO487,1),"")</f>
        <v>I</v>
      </c>
      <c r="AO487" s="9">
        <v>347</v>
      </c>
      <c r="AP487" s="9" t="str">
        <f>IFERROR(MID(VLOOKUP($B487,Seqs!$A:$B,2,0),AQ487,1),"")</f>
        <v>S</v>
      </c>
      <c r="AQ487" s="9">
        <v>372</v>
      </c>
      <c r="AR487" s="9" t="str">
        <f>IFERROR(MID(VLOOKUP($B487,Seqs!$A:$B,2,0),AS487,1),"")</f>
        <v>L</v>
      </c>
      <c r="AS487" s="9">
        <v>382</v>
      </c>
      <c r="AT487" s="9" t="str">
        <f>IFERROR(MID(VLOOKUP($B487,Seqs!$A:$B,2,0),AU487,1),"")</f>
        <v>Y</v>
      </c>
      <c r="AU487" s="9">
        <v>400</v>
      </c>
      <c r="AV487" s="9" t="str">
        <f>IFERROR(MID(VLOOKUP($B487,Seqs!$A:$B,2,0),AW487,1),"")</f>
        <v>N</v>
      </c>
      <c r="AW487" s="9">
        <v>404</v>
      </c>
      <c r="AX487" s="9" t="str">
        <f>IFERROR(MID(VLOOKUP($B487,Seqs!$A:$B,2,0),AY487,1),"")</f>
        <v>W</v>
      </c>
      <c r="AY487" s="9">
        <v>418</v>
      </c>
      <c r="AZ487" s="110" t="str">
        <f>VLOOKUP(B487,Classification!A:D,2,0)</f>
        <v>B1</v>
      </c>
      <c r="BA487" s="98" t="str">
        <f>VLOOKUP(B487,Classification!A:D,4,0)</f>
        <v>VIPandPACAP</v>
      </c>
      <c r="BB487" s="36" t="b">
        <f t="shared" ref="BB487" si="5005">AND(E487&lt;G487,OR(G487&lt;I487,I487="-"),OR(I487&lt;K487,I487="-"),OR(K487&lt;M487,K487="-"),M487&lt;O487,OR(O487&lt;Q487,Q487="-"),OR(Q487&lt;S487,Q487="-"),OR(S487&lt;U487,S487="-"),U487&lt;W487,OR(W487&lt;Y487,Y487="-"),OR(Y487&lt;AA487,Y487="-"),OR(AA487&lt;AC487,AA487="-"),AC487&lt;AE487,OR(AE487&lt;AG487,AG487="-"),OR(AG487&lt;AI487,AG487="-"),OR(AI487&lt;AK487,AI487="-"),AK487&lt;AM487,AM487&lt;AO487,AO487&lt;AQ487,AQ487&lt;AS487,AS487&lt;AU487,OR(AU487&lt;AW487,AW487="-"),OR(AW487&lt;AY487,AW487="-"))</f>
        <v>1</v>
      </c>
      <c r="BC487" s="109">
        <f t="shared" ref="BC487" si="5006">_xlfn.AGGREGATE(9,6,CH487:CS487)-_xlfn.AGGREGATE(9,6,BV487:CG487)+12</f>
        <v>227</v>
      </c>
      <c r="BD487" s="11" t="s">
        <v>23</v>
      </c>
      <c r="BE487" s="9" t="s">
        <v>1285</v>
      </c>
      <c r="BF487" s="119">
        <v>3.6</v>
      </c>
      <c r="BG487" s="51" t="s">
        <v>1</v>
      </c>
      <c r="BH487" s="51" t="s">
        <v>1</v>
      </c>
      <c r="BJ487" s="111" t="s">
        <v>1281</v>
      </c>
      <c r="BK487" s="112" t="s">
        <v>1281</v>
      </c>
      <c r="BL487" s="112" t="s">
        <v>1281</v>
      </c>
      <c r="BM487" s="112" t="s">
        <v>1281</v>
      </c>
      <c r="BN487" s="112" t="s">
        <v>1281</v>
      </c>
      <c r="BO487" s="112" t="s">
        <v>1281</v>
      </c>
      <c r="BP487" s="112" t="s">
        <v>1281</v>
      </c>
      <c r="BQ487" s="112" t="s">
        <v>1281</v>
      </c>
      <c r="BR487" s="112" t="s">
        <v>1281</v>
      </c>
      <c r="BS487" s="112" t="s">
        <v>1281</v>
      </c>
      <c r="BT487" s="112" t="s">
        <v>1281</v>
      </c>
      <c r="BU487" s="112" t="s">
        <v>1281</v>
      </c>
      <c r="BV487" s="111">
        <f t="shared" ref="BV487" si="5007">E487</f>
        <v>146</v>
      </c>
      <c r="BW487" s="113" t="str">
        <f t="shared" ref="BW487" si="5008">I487</f>
        <v>-</v>
      </c>
      <c r="BX487" s="114">
        <f t="shared" ref="BX487" si="5009">M487</f>
        <v>183</v>
      </c>
      <c r="BY487" s="113" t="str">
        <f t="shared" ref="BY487" si="5010">Q487</f>
        <v>-</v>
      </c>
      <c r="BZ487" s="114">
        <f t="shared" ref="BZ487" si="5011">U487</f>
        <v>224</v>
      </c>
      <c r="CA487" s="113" t="str">
        <f t="shared" ref="CA487" si="5012">Y487</f>
        <v>-</v>
      </c>
      <c r="CB487" s="114">
        <f t="shared" ref="CB487" si="5013">AC487</f>
        <v>261</v>
      </c>
      <c r="CC487" s="113">
        <f t="shared" ref="CC487" si="5014">AG487</f>
        <v>296</v>
      </c>
      <c r="CD487" s="114">
        <f t="shared" ref="CD487" si="5015">AK487</f>
        <v>304</v>
      </c>
      <c r="CE487" s="113">
        <f t="shared" ref="CE487" si="5016">AO487</f>
        <v>347</v>
      </c>
      <c r="CF487" s="114">
        <f t="shared" ref="CF487" si="5017">AS487</f>
        <v>382</v>
      </c>
      <c r="CG487" s="113">
        <f t="shared" ref="CG487" si="5018">AW487</f>
        <v>404</v>
      </c>
      <c r="CH487" s="111">
        <f t="shared" ref="CH487" si="5019">G487</f>
        <v>177</v>
      </c>
      <c r="CI487" s="113" t="str">
        <f t="shared" ref="CI487" si="5020">K487</f>
        <v>-</v>
      </c>
      <c r="CJ487" s="114">
        <f t="shared" ref="CJ487" si="5021">O487</f>
        <v>217</v>
      </c>
      <c r="CK487" s="114" t="str">
        <f t="shared" ref="CK487" si="5022">S487</f>
        <v>-</v>
      </c>
      <c r="CL487" s="114">
        <f t="shared" ref="CL487" si="5023">W487</f>
        <v>255</v>
      </c>
      <c r="CM487" s="114" t="str">
        <f t="shared" ref="CM487" si="5024">AA487</f>
        <v>-</v>
      </c>
      <c r="CN487" s="114">
        <f t="shared" ref="CN487" si="5025">AE487</f>
        <v>289</v>
      </c>
      <c r="CO487" s="114">
        <f t="shared" ref="CO487" si="5026">AI487</f>
        <v>298</v>
      </c>
      <c r="CP487" s="114">
        <f t="shared" ref="CP487" si="5027">AM487</f>
        <v>336</v>
      </c>
      <c r="CQ487" s="114">
        <f t="shared" ref="CQ487" si="5028">AQ487</f>
        <v>372</v>
      </c>
      <c r="CR487" s="114">
        <f t="shared" ref="CR487" si="5029">AU487</f>
        <v>400</v>
      </c>
      <c r="CS487" s="114">
        <f t="shared" ref="CS487" si="5030">AY487</f>
        <v>418</v>
      </c>
      <c r="CT487" s="109" t="e">
        <f t="shared" ref="CT487" si="5031">M487-K487</f>
        <v>#VALUE!</v>
      </c>
    </row>
    <row r="488" spans="1:1029" s="12" customFormat="1" x14ac:dyDescent="0.2">
      <c r="A488" s="9" t="str">
        <f t="shared" ref="A488" si="5032">CONCATENATE(B488,"_",C488)</f>
        <v>pacr_human_6M1I</v>
      </c>
      <c r="B488" s="9" t="s">
        <v>407</v>
      </c>
      <c r="C488" s="9" t="s">
        <v>1704</v>
      </c>
      <c r="D488" s="9" t="str">
        <f>IFERROR(MID(VLOOKUP($B488,Seqs!$A:$B,2,0),E488,1),"")</f>
        <v>Q</v>
      </c>
      <c r="E488" s="9">
        <v>146</v>
      </c>
      <c r="F488" s="9" t="str">
        <f>IFERROR(MID(VLOOKUP($B488,Seqs!$A:$B,2,0),G488,1),"")</f>
        <v>F</v>
      </c>
      <c r="G488" s="9">
        <v>178</v>
      </c>
      <c r="H488" s="9" t="str">
        <f>IFERROR(MID(VLOOKUP($B488,Seqs!$A:$B,2,0),I488,1),"")</f>
        <v/>
      </c>
      <c r="I488" s="109" t="s">
        <v>23</v>
      </c>
      <c r="J488" s="9" t="str">
        <f>IFERROR(MID(VLOOKUP($B488,Seqs!$A:$B,2,0),K488,1),"")</f>
        <v/>
      </c>
      <c r="K488" s="109" t="s">
        <v>23</v>
      </c>
      <c r="L488" s="9" t="str">
        <f>IFERROR(MID(VLOOKUP($B488,Seqs!$A:$B,2,0),M488,1),"")</f>
        <v>C</v>
      </c>
      <c r="M488" s="109">
        <v>183</v>
      </c>
      <c r="N488" s="9" t="str">
        <f>IFERROR(MID(VLOOKUP($B488,Seqs!$A:$B,2,0),O488,1),"")</f>
        <v>L</v>
      </c>
      <c r="O488" s="9">
        <v>210</v>
      </c>
      <c r="P488" s="9" t="str">
        <f>IFERROR(MID(VLOOKUP($B488,Seqs!$A:$B,2,0),Q488,1),"")</f>
        <v/>
      </c>
      <c r="Q488" s="9" t="s">
        <v>23</v>
      </c>
      <c r="R488" s="9" t="str">
        <f>IFERROR(MID(VLOOKUP($B488,Seqs!$A:$B,2,0),S488,1),"")</f>
        <v/>
      </c>
      <c r="S488" s="9" t="s">
        <v>23</v>
      </c>
      <c r="T488" s="9" t="str">
        <f>IFERROR(MID(VLOOKUP($B488,Seqs!$A:$B,2,0),U488,1),"")</f>
        <v>V</v>
      </c>
      <c r="U488" s="9">
        <v>224</v>
      </c>
      <c r="V488" s="9" t="str">
        <f>IFERROR(MID(VLOOKUP($B488,Seqs!$A:$B,2,0),W488,1),"")</f>
        <v>L</v>
      </c>
      <c r="W488" s="9">
        <v>255</v>
      </c>
      <c r="X488" s="9" t="str">
        <f>IFERROR(MID(VLOOKUP($B488,Seqs!$A:$B,2,0),Y488,1),"")</f>
        <v/>
      </c>
      <c r="Y488" s="9" t="s">
        <v>23</v>
      </c>
      <c r="Z488" s="9" t="str">
        <f>IFERROR(MID(VLOOKUP($B488,Seqs!$A:$B,2,0),AA488,1),"")</f>
        <v/>
      </c>
      <c r="AA488" s="9" t="s">
        <v>23</v>
      </c>
      <c r="AB488" s="9" t="str">
        <f>IFERROR(MID(VLOOKUP($B488,Seqs!$A:$B,2,0),AC488,1),"")</f>
        <v>E</v>
      </c>
      <c r="AC488" s="9">
        <v>262</v>
      </c>
      <c r="AD488" s="9" t="str">
        <f>IFERROR(MID(VLOOKUP($B488,Seqs!$A:$B,2,0),AE488,1),"")</f>
        <v>L</v>
      </c>
      <c r="AE488" s="9">
        <v>289</v>
      </c>
      <c r="AF488" s="9" t="str">
        <f>IFERROR(MID(VLOOKUP($B488,Seqs!$A:$B,2,0),AG488,1),"")</f>
        <v>C</v>
      </c>
      <c r="AG488" s="9">
        <v>296</v>
      </c>
      <c r="AH488" s="9" t="str">
        <f>IFERROR(MID(VLOOKUP($B488,Seqs!$A:$B,2,0),AI488,1),"")</f>
        <v>D</v>
      </c>
      <c r="AI488" s="9">
        <v>298</v>
      </c>
      <c r="AJ488" s="9" t="str">
        <f>IFERROR(MID(VLOOKUP($B488,Seqs!$A:$B,2,0),AK488,1),"")</f>
        <v>W</v>
      </c>
      <c r="AK488" s="9">
        <v>306</v>
      </c>
      <c r="AL488" s="9" t="str">
        <f>IFERROR(MID(VLOOKUP($B488,Seqs!$A:$B,2,0),AM488,1),"")</f>
        <v>Q</v>
      </c>
      <c r="AM488" s="9">
        <v>336</v>
      </c>
      <c r="AN488" s="9" t="str">
        <f>IFERROR(MID(VLOOKUP($B488,Seqs!$A:$B,2,0),AO488,1),"")</f>
        <v>S</v>
      </c>
      <c r="AO488" s="9">
        <v>346</v>
      </c>
      <c r="AP488" s="9" t="str">
        <f>IFERROR(MID(VLOOKUP($B488,Seqs!$A:$B,2,0),AQ488,1),"")</f>
        <v>A</v>
      </c>
      <c r="AQ488" s="9">
        <v>370</v>
      </c>
      <c r="AR488" s="9" t="str">
        <f>IFERROR(MID(VLOOKUP($B488,Seqs!$A:$B,2,0),AS488,1),"")</f>
        <v>E</v>
      </c>
      <c r="AS488" s="9">
        <v>380</v>
      </c>
      <c r="AT488" s="9" t="str">
        <f>IFERROR(MID(VLOOKUP($B488,Seqs!$A:$B,2,0),AU488,1),"")</f>
        <v>Y</v>
      </c>
      <c r="AU488" s="9">
        <v>400</v>
      </c>
      <c r="AV488" s="9" t="str">
        <f>IFERROR(MID(VLOOKUP($B488,Seqs!$A:$B,2,0),AW488,1),"")</f>
        <v>V</v>
      </c>
      <c r="AW488" s="9">
        <v>407</v>
      </c>
      <c r="AX488" s="9" t="str">
        <f>IFERROR(MID(VLOOKUP($B488,Seqs!$A:$B,2,0),AY488,1),"")</f>
        <v>K</v>
      </c>
      <c r="AY488" s="9">
        <v>419</v>
      </c>
      <c r="AZ488" s="110" t="str">
        <f>VLOOKUP(B488,Classification!A:D,2,0)</f>
        <v>B1</v>
      </c>
      <c r="BA488" s="98" t="str">
        <f>VLOOKUP(B488,Classification!A:D,4,0)</f>
        <v>VIPandPACAP</v>
      </c>
      <c r="BB488" s="36" t="b">
        <f t="shared" ref="BB488" si="5033">AND(E488&lt;G488,OR(G488&lt;I488,I488="-"),OR(I488&lt;K488,I488="-"),OR(K488&lt;M488,K488="-"),M488&lt;O488,OR(O488&lt;Q488,Q488="-"),OR(Q488&lt;S488,Q488="-"),OR(S488&lt;U488,S488="-"),U488&lt;W488,OR(W488&lt;Y488,Y488="-"),OR(Y488&lt;AA488,Y488="-"),OR(AA488&lt;AC488,AA488="-"),AC488&lt;AE488,OR(AE488&lt;AG488,AG488="-"),OR(AG488&lt;AI488,AG488="-"),OR(AI488&lt;AK488,AI488="-"),AK488&lt;AM488,AM488&lt;AO488,AO488&lt;AQ488,AQ488&lt;AS488,AS488&lt;AU488,OR(AU488&lt;AW488,AW488="-"),OR(AW488&lt;AY488,AW488="-"))</f>
        <v>1</v>
      </c>
      <c r="BC488" s="109">
        <f t="shared" ref="BC488" si="5034">_xlfn.AGGREGATE(9,6,CH488:CS488)-_xlfn.AGGREGATE(9,6,BV488:CG488)+12</f>
        <v>217</v>
      </c>
      <c r="BD488" s="11" t="s">
        <v>23</v>
      </c>
      <c r="BE488" s="9" t="s">
        <v>1285</v>
      </c>
      <c r="BF488" s="119">
        <v>3.5</v>
      </c>
      <c r="BG488" s="51" t="s">
        <v>1</v>
      </c>
      <c r="BH488" s="51" t="s">
        <v>1</v>
      </c>
      <c r="BJ488" s="111" t="s">
        <v>1281</v>
      </c>
      <c r="BK488" s="112" t="s">
        <v>1281</v>
      </c>
      <c r="BL488" s="112" t="s">
        <v>1281</v>
      </c>
      <c r="BM488" s="112" t="s">
        <v>1281</v>
      </c>
      <c r="BN488" s="112" t="s">
        <v>1281</v>
      </c>
      <c r="BO488" s="112" t="s">
        <v>1281</v>
      </c>
      <c r="BP488" s="112" t="s">
        <v>1281</v>
      </c>
      <c r="BQ488" s="112" t="s">
        <v>1281</v>
      </c>
      <c r="BR488" s="112" t="s">
        <v>1281</v>
      </c>
      <c r="BS488" s="112" t="s">
        <v>1281</v>
      </c>
      <c r="BT488" s="112" t="s">
        <v>1281</v>
      </c>
      <c r="BU488" s="112" t="s">
        <v>1281</v>
      </c>
      <c r="BV488" s="111">
        <f t="shared" ref="BV488" si="5035">E488</f>
        <v>146</v>
      </c>
      <c r="BW488" s="113" t="str">
        <f t="shared" ref="BW488" si="5036">I488</f>
        <v>-</v>
      </c>
      <c r="BX488" s="114">
        <f t="shared" ref="BX488" si="5037">M488</f>
        <v>183</v>
      </c>
      <c r="BY488" s="113" t="str">
        <f t="shared" ref="BY488" si="5038">Q488</f>
        <v>-</v>
      </c>
      <c r="BZ488" s="114">
        <f t="shared" ref="BZ488" si="5039">U488</f>
        <v>224</v>
      </c>
      <c r="CA488" s="113" t="str">
        <f t="shared" ref="CA488" si="5040">Y488</f>
        <v>-</v>
      </c>
      <c r="CB488" s="114">
        <f t="shared" ref="CB488" si="5041">AC488</f>
        <v>262</v>
      </c>
      <c r="CC488" s="113">
        <f t="shared" ref="CC488" si="5042">AG488</f>
        <v>296</v>
      </c>
      <c r="CD488" s="114">
        <f t="shared" ref="CD488" si="5043">AK488</f>
        <v>306</v>
      </c>
      <c r="CE488" s="113">
        <f t="shared" ref="CE488" si="5044">AO488</f>
        <v>346</v>
      </c>
      <c r="CF488" s="114">
        <f t="shared" ref="CF488" si="5045">AS488</f>
        <v>380</v>
      </c>
      <c r="CG488" s="113">
        <f t="shared" ref="CG488" si="5046">AW488</f>
        <v>407</v>
      </c>
      <c r="CH488" s="111">
        <f t="shared" ref="CH488" si="5047">G488</f>
        <v>178</v>
      </c>
      <c r="CI488" s="113" t="str">
        <f t="shared" ref="CI488" si="5048">K488</f>
        <v>-</v>
      </c>
      <c r="CJ488" s="114">
        <f t="shared" ref="CJ488" si="5049">O488</f>
        <v>210</v>
      </c>
      <c r="CK488" s="114" t="str">
        <f t="shared" ref="CK488" si="5050">S488</f>
        <v>-</v>
      </c>
      <c r="CL488" s="114">
        <f t="shared" ref="CL488" si="5051">W488</f>
        <v>255</v>
      </c>
      <c r="CM488" s="114" t="str">
        <f t="shared" ref="CM488" si="5052">AA488</f>
        <v>-</v>
      </c>
      <c r="CN488" s="114">
        <f t="shared" ref="CN488" si="5053">AE488</f>
        <v>289</v>
      </c>
      <c r="CO488" s="114">
        <f t="shared" ref="CO488" si="5054">AI488</f>
        <v>298</v>
      </c>
      <c r="CP488" s="114">
        <f t="shared" ref="CP488" si="5055">AM488</f>
        <v>336</v>
      </c>
      <c r="CQ488" s="114">
        <f t="shared" ref="CQ488" si="5056">AQ488</f>
        <v>370</v>
      </c>
      <c r="CR488" s="114">
        <f t="shared" ref="CR488" si="5057">AU488</f>
        <v>400</v>
      </c>
      <c r="CS488" s="114">
        <f t="shared" ref="CS488" si="5058">AY488</f>
        <v>419</v>
      </c>
      <c r="CT488" s="109" t="e">
        <f t="shared" ref="CT488" si="5059">M488-K488</f>
        <v>#VALUE!</v>
      </c>
    </row>
    <row r="489" spans="1:1029" x14ac:dyDescent="0.2">
      <c r="A489" s="3" t="str">
        <f t="shared" ref="A489" si="5060">CONCATENATE(B489,"_",C489)</f>
        <v>pth1r_human__wt</v>
      </c>
      <c r="B489" s="3" t="s">
        <v>408</v>
      </c>
      <c r="C489" s="3" t="s">
        <v>100</v>
      </c>
      <c r="D489" s="3" t="str">
        <f>IFERROR(MID(VLOOKUP($B489,Seqs!$A:$B,2,0),E489,1),"")</f>
        <v>F</v>
      </c>
      <c r="E489" s="105">
        <v>173</v>
      </c>
      <c r="F489" s="3" t="str">
        <f>IFERROR(MID(VLOOKUP($B489,Seqs!$A:$B,2,0),G489,1),"")</f>
        <v>F</v>
      </c>
      <c r="G489" s="3">
        <v>212</v>
      </c>
      <c r="H489" s="3" t="str">
        <f>IFERROR(MID(VLOOKUP($B489,Seqs!$A:$B,2,0),I489,1),"")</f>
        <v>R</v>
      </c>
      <c r="I489" s="23">
        <v>213</v>
      </c>
      <c r="J489" s="3" t="str">
        <f>IFERROR(MID(VLOOKUP($B489,Seqs!$A:$B,2,0),K489,1),"")</f>
        <v>H</v>
      </c>
      <c r="K489" s="23">
        <v>216</v>
      </c>
      <c r="L489" s="3" t="str">
        <f>IFERROR(MID(VLOOKUP($B489,Seqs!$A:$B,2,0),M489,1),"")</f>
        <v>C</v>
      </c>
      <c r="M489" s="23">
        <v>217</v>
      </c>
      <c r="N489" s="3" t="str">
        <f>IFERROR(MID(VLOOKUP($B489,Seqs!$A:$B,2,0),O489,1),"")</f>
        <v>T</v>
      </c>
      <c r="O489" s="3">
        <v>249</v>
      </c>
      <c r="P489" s="3" t="str">
        <f>IFERROR(MID(VLOOKUP($B489,Seqs!$A:$B,2,0),Q489,1),"")</f>
        <v/>
      </c>
      <c r="Q489" s="3" t="s">
        <v>23</v>
      </c>
      <c r="R489" s="3" t="str">
        <f>IFERROR(MID(VLOOKUP($B489,Seqs!$A:$B,2,0),S489,1),"")</f>
        <v/>
      </c>
      <c r="S489" s="3" t="s">
        <v>23</v>
      </c>
      <c r="T489" s="3" t="str">
        <f>IFERROR(MID(VLOOKUP($B489,Seqs!$A:$B,2,0),U489,1),"")</f>
        <v>G</v>
      </c>
      <c r="U489" s="3">
        <v>277</v>
      </c>
      <c r="V489" s="3" t="str">
        <f>IFERROR(MID(VLOOKUP($B489,Seqs!$A:$B,2,0),W489,1),"")</f>
        <v>M</v>
      </c>
      <c r="W489" s="3">
        <v>312</v>
      </c>
      <c r="X489" s="3" t="str">
        <f>IFERROR(MID(VLOOKUP($B489,Seqs!$A:$B,2,0),Y489,1),"")</f>
        <v/>
      </c>
      <c r="Y489" s="3" t="s">
        <v>23</v>
      </c>
      <c r="Z489" s="3" t="str">
        <f>IFERROR(MID(VLOOKUP($B489,Seqs!$A:$B,2,0),AA489,1),"")</f>
        <v/>
      </c>
      <c r="AA489" s="3" t="s">
        <v>23</v>
      </c>
      <c r="AB489" s="3" t="str">
        <f>IFERROR(MID(VLOOKUP($B489,Seqs!$A:$B,2,0),AC489,1),"")</f>
        <v>S</v>
      </c>
      <c r="AC489" s="3">
        <v>316</v>
      </c>
      <c r="AD489" s="3" t="str">
        <f>IFERROR(MID(VLOOKUP($B489,Seqs!$A:$B,2,0),AE489,1),"")</f>
        <v>A</v>
      </c>
      <c r="AE489" s="3">
        <v>347</v>
      </c>
      <c r="AF489" s="3" t="str">
        <f>IFERROR(MID(VLOOKUP($B489,Seqs!$A:$B,2,0),AG489,1),"")</f>
        <v>C</v>
      </c>
      <c r="AG489" s="3">
        <v>351</v>
      </c>
      <c r="AH489" s="3" t="str">
        <f>IFERROR(MID(VLOOKUP($B489,Seqs!$A:$B,2,0),AI489,1),"")</f>
        <v>D</v>
      </c>
      <c r="AI489" s="3">
        <v>353</v>
      </c>
      <c r="AJ489" s="3" t="str">
        <f>IFERROR(MID(VLOOKUP($B489,Seqs!$A:$B,2,0),AK489,1),"")</f>
        <v>G</v>
      </c>
      <c r="AK489" s="105">
        <v>357</v>
      </c>
      <c r="AL489" s="3" t="str">
        <f>IFERROR(MID(VLOOKUP($B489,Seqs!$A:$B,2,0),AM489,1),"")</f>
        <v>L</v>
      </c>
      <c r="AM489" s="3">
        <v>389</v>
      </c>
      <c r="AN489" s="3" t="str">
        <f>IFERROR(MID(VLOOKUP($B489,Seqs!$A:$B,2,0),AO489,1),"")</f>
        <v>D</v>
      </c>
      <c r="AO489" s="3">
        <v>398</v>
      </c>
      <c r="AP489" s="3" t="str">
        <f>IFERROR(MID(VLOOKUP($B489,Seqs!$A:$B,2,0),AQ489,1),"")</f>
        <v>T</v>
      </c>
      <c r="AQ489" s="3">
        <v>427</v>
      </c>
      <c r="AR489" s="3" t="str">
        <f>IFERROR(MID(VLOOKUP($B489,Seqs!$A:$B,2,0),AS489,1),"")</f>
        <v>G</v>
      </c>
      <c r="AS489" s="3">
        <v>434</v>
      </c>
      <c r="AT489" s="3" t="str">
        <f>IFERROR(MID(VLOOKUP($B489,Seqs!$A:$B,2,0),AU489,1),"")</f>
        <v>C</v>
      </c>
      <c r="AU489" s="3">
        <v>462</v>
      </c>
      <c r="AV489" s="3" t="str">
        <f>IFERROR(MID(VLOOKUP($B489,Seqs!$A:$B,2,0),AW489,1),"")</f>
        <v>N</v>
      </c>
      <c r="AW489" s="3">
        <v>463</v>
      </c>
      <c r="AX489" s="3" t="str">
        <f>IFERROR(MID(VLOOKUP($B489,Seqs!$A:$B,2,0),AY489,1),"")</f>
        <v>R</v>
      </c>
      <c r="AY489" s="3">
        <v>488</v>
      </c>
      <c r="AZ489" s="77" t="str">
        <f>VLOOKUP(B489,Classification!A:D,2,0)</f>
        <v>B1</v>
      </c>
      <c r="BA489" s="94" t="str">
        <f>VLOOKUP(B489,Classification!A:D,4,0)</f>
        <v>Parathyroidhormone</v>
      </c>
      <c r="BB489" s="27" t="b">
        <f t="shared" ref="BB489" si="5061">AND(E489&lt;G489,OR(G489&lt;I489,I489="-"),OR(I489&lt;K489,I489="-"),OR(K489&lt;M489,K489="-"),M489&lt;O489,OR(O489&lt;Q489,Q489="-"),OR(Q489&lt;S489,Q489="-"),OR(S489&lt;U489,S489="-"),U489&lt;W489,OR(W489&lt;Y489,Y489="-"),OR(Y489&lt;AA489,Y489="-"),OR(AA489&lt;AC489,AA489="-"),AC489&lt;AE489,OR(AE489&lt;AG489,AG489="-"),OR(AG489&lt;AI489,AG489="-"),OR(AI489&lt;AK489,AI489="-"),AK489&lt;AM489,AM489&lt;AO489,AO489&lt;AQ489,AQ489&lt;AS489,AS489&lt;AU489,OR(AU489&lt;AW489,AW489="-"),OR(AW489&lt;AY489,AW489="-"))</f>
        <v>1</v>
      </c>
      <c r="BC489" s="23">
        <f t="shared" ref="BC489" si="5062">_xlfn.AGGREGATE(9,6,CH489:CS489)-_xlfn.AGGREGATE(9,6,BV489:CG489)+12</f>
        <v>268</v>
      </c>
      <c r="BD489" s="4" t="s">
        <v>23</v>
      </c>
      <c r="BE489" s="3" t="s">
        <v>23</v>
      </c>
      <c r="BF489" s="118" t="s">
        <v>23</v>
      </c>
      <c r="BG489" s="49" t="s">
        <v>23</v>
      </c>
      <c r="BH489" s="49" t="s">
        <v>23</v>
      </c>
      <c r="BI489" s="1"/>
      <c r="BJ489" s="70" t="s">
        <v>1281</v>
      </c>
      <c r="BK489" s="57" t="s">
        <v>1281</v>
      </c>
      <c r="BL489" s="57" t="s">
        <v>1281</v>
      </c>
      <c r="BM489" s="57" t="s">
        <v>1281</v>
      </c>
      <c r="BN489" s="57" t="s">
        <v>1281</v>
      </c>
      <c r="BO489" s="57" t="s">
        <v>1281</v>
      </c>
      <c r="BP489" s="57" t="s">
        <v>1281</v>
      </c>
      <c r="BQ489" s="57" t="s">
        <v>1281</v>
      </c>
      <c r="BR489" s="57" t="s">
        <v>1281</v>
      </c>
      <c r="BS489" s="57" t="s">
        <v>1281</v>
      </c>
      <c r="BT489" s="57" t="s">
        <v>1281</v>
      </c>
      <c r="BU489" s="57" t="s">
        <v>1281</v>
      </c>
      <c r="BV489" s="70">
        <f t="shared" ref="BV489" si="5063">E489</f>
        <v>173</v>
      </c>
      <c r="BW489" s="71">
        <f t="shared" ref="BW489" si="5064">I489</f>
        <v>213</v>
      </c>
      <c r="BX489" s="72">
        <f t="shared" ref="BX489" si="5065">M489</f>
        <v>217</v>
      </c>
      <c r="BY489" s="71" t="str">
        <f t="shared" ref="BY489" si="5066">Q489</f>
        <v>-</v>
      </c>
      <c r="BZ489" s="72">
        <f t="shared" ref="BZ489" si="5067">U489</f>
        <v>277</v>
      </c>
      <c r="CA489" s="71" t="str">
        <f t="shared" ref="CA489" si="5068">Y489</f>
        <v>-</v>
      </c>
      <c r="CB489" s="72">
        <f t="shared" ref="CB489" si="5069">AC489</f>
        <v>316</v>
      </c>
      <c r="CC489" s="71">
        <f t="shared" ref="CC489" si="5070">AG489</f>
        <v>351</v>
      </c>
      <c r="CD489" s="72">
        <f t="shared" ref="CD489" si="5071">AK489</f>
        <v>357</v>
      </c>
      <c r="CE489" s="71">
        <f t="shared" ref="CE489" si="5072">AO489</f>
        <v>398</v>
      </c>
      <c r="CF489" s="72">
        <f t="shared" ref="CF489" si="5073">AS489</f>
        <v>434</v>
      </c>
      <c r="CG489" s="71">
        <f t="shared" ref="CG489" si="5074">AW489</f>
        <v>463</v>
      </c>
      <c r="CH489" s="70">
        <f t="shared" ref="CH489" si="5075">G489</f>
        <v>212</v>
      </c>
      <c r="CI489" s="71">
        <f t="shared" ref="CI489" si="5076">K489</f>
        <v>216</v>
      </c>
      <c r="CJ489" s="72">
        <f t="shared" ref="CJ489" si="5077">O489</f>
        <v>249</v>
      </c>
      <c r="CK489" s="72" t="str">
        <f t="shared" ref="CK489" si="5078">S489</f>
        <v>-</v>
      </c>
      <c r="CL489" s="72">
        <f t="shared" ref="CL489" si="5079">W489</f>
        <v>312</v>
      </c>
      <c r="CM489" s="72" t="str">
        <f t="shared" ref="CM489" si="5080">AA489</f>
        <v>-</v>
      </c>
      <c r="CN489" s="72">
        <f t="shared" ref="CN489" si="5081">AE489</f>
        <v>347</v>
      </c>
      <c r="CO489" s="72">
        <f t="shared" ref="CO489" si="5082">AI489</f>
        <v>353</v>
      </c>
      <c r="CP489" s="72">
        <f t="shared" ref="CP489" si="5083">AM489</f>
        <v>389</v>
      </c>
      <c r="CQ489" s="72">
        <f t="shared" ref="CQ489" si="5084">AQ489</f>
        <v>427</v>
      </c>
      <c r="CR489" s="72">
        <f t="shared" ref="CR489" si="5085">AU489</f>
        <v>462</v>
      </c>
      <c r="CS489" s="72">
        <f t="shared" ref="CS489" si="5086">AY489</f>
        <v>488</v>
      </c>
      <c r="CT489" s="23">
        <f t="shared" ref="CT489" si="5087">M489-K489</f>
        <v>1</v>
      </c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  <c r="ALO489" s="1"/>
      <c r="ALP489" s="1"/>
      <c r="ALQ489" s="1"/>
      <c r="ALR489" s="1"/>
      <c r="ALS489" s="1"/>
      <c r="ALT489" s="1"/>
      <c r="ALU489" s="1"/>
      <c r="ALV489" s="1"/>
      <c r="ALW489" s="1"/>
      <c r="ALX489" s="1"/>
      <c r="ALY489" s="1"/>
      <c r="ALZ489" s="1"/>
      <c r="AMA489" s="1"/>
      <c r="AMB489" s="1"/>
      <c r="AMC489" s="1"/>
      <c r="AMD489" s="1"/>
      <c r="AME489" s="1"/>
      <c r="AMF489" s="1"/>
      <c r="AMG489" s="1"/>
      <c r="AMH489" s="1"/>
      <c r="AMI489" s="1"/>
      <c r="AMJ489" s="1"/>
      <c r="AMK489" s="1"/>
      <c r="AML489" s="1"/>
      <c r="AMM489" s="1"/>
      <c r="AMN489" s="1"/>
      <c r="AMO489" s="1"/>
    </row>
    <row r="490" spans="1:1029" x14ac:dyDescent="0.2">
      <c r="A490" s="3" t="str">
        <f t="shared" ref="A490" si="5088">CONCATENATE(B490,"_",C490)</f>
        <v>pth1r_human_6FJ3</v>
      </c>
      <c r="B490" s="3" t="s">
        <v>408</v>
      </c>
      <c r="C490" s="3" t="s">
        <v>1521</v>
      </c>
      <c r="D490" s="3" t="str">
        <f>IFERROR(MID(VLOOKUP($B490,Seqs!$A:$B,2,0),E490,1),"")</f>
        <v>R</v>
      </c>
      <c r="E490" s="3">
        <v>179</v>
      </c>
      <c r="F490" s="3" t="str">
        <f>IFERROR(MID(VLOOKUP($B490,Seqs!$A:$B,2,0),G490,1),"")</f>
        <v>F</v>
      </c>
      <c r="G490" s="3">
        <v>212</v>
      </c>
      <c r="H490" s="3" t="str">
        <f>IFERROR(MID(VLOOKUP($B490,Seqs!$A:$B,2,0),I490,1),"")</f>
        <v>R</v>
      </c>
      <c r="I490" s="23">
        <v>213</v>
      </c>
      <c r="J490" s="3" t="str">
        <f>IFERROR(MID(VLOOKUP($B490,Seqs!$A:$B,2,0),K490,1),"")</f>
        <v>H</v>
      </c>
      <c r="K490" s="23">
        <v>216</v>
      </c>
      <c r="L490" s="3" t="str">
        <f>IFERROR(MID(VLOOKUP($B490,Seqs!$A:$B,2,0),M490,1),"")</f>
        <v>C</v>
      </c>
      <c r="M490" s="23">
        <v>217</v>
      </c>
      <c r="N490" s="3" t="str">
        <f>IFERROR(MID(VLOOKUP($B490,Seqs!$A:$B,2,0),O490,1),"")</f>
        <v>Y</v>
      </c>
      <c r="O490" s="3">
        <v>245</v>
      </c>
      <c r="P490" s="3" t="str">
        <f>IFERROR(MID(VLOOKUP($B490,Seqs!$A:$B,2,0),Q490,1),"")</f>
        <v/>
      </c>
      <c r="Q490" s="3" t="s">
        <v>23</v>
      </c>
      <c r="R490" s="3" t="str">
        <f>IFERROR(MID(VLOOKUP($B490,Seqs!$A:$B,2,0),S490,1),"")</f>
        <v/>
      </c>
      <c r="S490" s="3" t="s">
        <v>23</v>
      </c>
      <c r="T490" s="3" t="str">
        <f>IFERROR(MID(VLOOKUP($B490,Seqs!$A:$B,2,0),U490,1),"")</f>
        <v>Y</v>
      </c>
      <c r="U490" s="3">
        <v>278</v>
      </c>
      <c r="V490" s="3" t="str">
        <f>IFERROR(MID(VLOOKUP($B490,Seqs!$A:$B,2,0),W490,1),"")</f>
        <v>M</v>
      </c>
      <c r="W490" s="3">
        <v>312</v>
      </c>
      <c r="X490" s="3" t="str">
        <f>IFERROR(MID(VLOOKUP($B490,Seqs!$A:$B,2,0),Y490,1),"")</f>
        <v/>
      </c>
      <c r="Y490" s="3" t="s">
        <v>23</v>
      </c>
      <c r="Z490" s="3" t="str">
        <f>IFERROR(MID(VLOOKUP($B490,Seqs!$A:$B,2,0),AA490,1),"")</f>
        <v/>
      </c>
      <c r="AA490" s="3" t="s">
        <v>23</v>
      </c>
      <c r="AB490" s="3" t="str">
        <f>IFERROR(MID(VLOOKUP($B490,Seqs!$A:$B,2,0),AC490,1),"")</f>
        <v>S</v>
      </c>
      <c r="AC490" s="3">
        <v>316</v>
      </c>
      <c r="AD490" s="3" t="str">
        <f>IFERROR(MID(VLOOKUP($B490,Seqs!$A:$B,2,0),AE490,1),"")</f>
        <v>A</v>
      </c>
      <c r="AE490" s="3">
        <v>347</v>
      </c>
      <c r="AF490" s="3" t="str">
        <f>IFERROR(MID(VLOOKUP($B490,Seqs!$A:$B,2,0),AG490,1),"")</f>
        <v>C</v>
      </c>
      <c r="AG490" s="3">
        <v>351</v>
      </c>
      <c r="AH490" s="3" t="str">
        <f>IFERROR(MID(VLOOKUP($B490,Seqs!$A:$B,2,0),AI490,1),"")</f>
        <v>D</v>
      </c>
      <c r="AI490" s="3">
        <v>353</v>
      </c>
      <c r="AJ490" s="3" t="str">
        <f>IFERROR(MID(VLOOKUP($B490,Seqs!$A:$B,2,0),AK490,1),"")</f>
        <v>G</v>
      </c>
      <c r="AK490" s="3">
        <v>357</v>
      </c>
      <c r="AL490" s="3" t="str">
        <f>IFERROR(MID(VLOOKUP($B490,Seqs!$A:$B,2,0),AM490,1),"")</f>
        <v>R</v>
      </c>
      <c r="AM490" s="3">
        <v>383</v>
      </c>
      <c r="AN490" s="3" t="str">
        <f>IFERROR(MID(VLOOKUP($B490,Seqs!$A:$B,2,0),AO490,1),"")</f>
        <v>D</v>
      </c>
      <c r="AO490" s="3">
        <v>398</v>
      </c>
      <c r="AP490" s="3" t="str">
        <f>IFERROR(MID(VLOOKUP($B490,Seqs!$A:$B,2,0),AQ490,1),"")</f>
        <v>T</v>
      </c>
      <c r="AQ490" s="3">
        <v>427</v>
      </c>
      <c r="AR490" s="3" t="str">
        <f>IFERROR(MID(VLOOKUP($B490,Seqs!$A:$B,2,0),AS490,1),"")</f>
        <v>G</v>
      </c>
      <c r="AS490" s="3">
        <v>434</v>
      </c>
      <c r="AT490" s="3" t="str">
        <f>IFERROR(MID(VLOOKUP($B490,Seqs!$A:$B,2,0),AU490,1),"")</f>
        <v>C</v>
      </c>
      <c r="AU490" s="3">
        <v>462</v>
      </c>
      <c r="AV490" s="3" t="str">
        <f>IFERROR(MID(VLOOKUP($B490,Seqs!$A:$B,2,0),AW490,1),"")</f>
        <v>N</v>
      </c>
      <c r="AW490" s="3">
        <v>463</v>
      </c>
      <c r="AX490" s="3" t="str">
        <f>IFERROR(MID(VLOOKUP($B490,Seqs!$A:$B,2,0),AY490,1),"")</f>
        <v>W</v>
      </c>
      <c r="AY490" s="3">
        <v>477</v>
      </c>
      <c r="AZ490" s="77" t="str">
        <f>VLOOKUP(B490,Classification!A:D,2,0)</f>
        <v>B1</v>
      </c>
      <c r="BA490" s="94" t="str">
        <f>VLOOKUP(B490,Classification!A:D,4,0)</f>
        <v>Parathyroidhormone</v>
      </c>
      <c r="BB490" s="27" t="b">
        <f t="shared" ref="BB490" si="5089">AND(E490&lt;G490,OR(G490&lt;I490,I490="-"),OR(I490&lt;K490,I490="-"),OR(K490&lt;M490,K490="-"),M490&lt;O490,OR(O490&lt;Q490,Q490="-"),OR(Q490&lt;S490,Q490="-"),OR(S490&lt;U490,S490="-"),U490&lt;W490,OR(W490&lt;Y490,Y490="-"),OR(Y490&lt;AA490,Y490="-"),OR(AA490&lt;AC490,AA490="-"),AC490&lt;AE490,OR(AE490&lt;AG490,AG490="-"),OR(AG490&lt;AI490,AG490="-"),OR(AI490&lt;AK490,AI490="-"),AK490&lt;AM490,AM490&lt;AO490,AO490&lt;AQ490,AQ490&lt;AS490,AS490&lt;AU490,OR(AU490&lt;AW490,AW490="-"),OR(AW490&lt;AY490,AW490="-"))</f>
        <v>1</v>
      </c>
      <c r="BC490" s="23">
        <f t="shared" ref="BC490" si="5090">_xlfn.AGGREGATE(9,6,CH490:CS490)-_xlfn.AGGREGATE(9,6,BV490:CG490)+12</f>
        <v>240</v>
      </c>
      <c r="BD490" s="4" t="s">
        <v>1370</v>
      </c>
      <c r="BE490" s="3" t="s">
        <v>1368</v>
      </c>
      <c r="BF490" s="118">
        <v>2.5</v>
      </c>
      <c r="BG490" s="49" t="s">
        <v>1</v>
      </c>
      <c r="BH490" s="49" t="s">
        <v>1</v>
      </c>
      <c r="BI490" s="1"/>
      <c r="BJ490" s="70" t="s">
        <v>1281</v>
      </c>
      <c r="BK490" s="57" t="s">
        <v>1281</v>
      </c>
      <c r="BL490" s="57" t="s">
        <v>1281</v>
      </c>
      <c r="BM490" s="57" t="s">
        <v>1281</v>
      </c>
      <c r="BN490" s="57" t="s">
        <v>1281</v>
      </c>
      <c r="BO490" s="57" t="s">
        <v>1281</v>
      </c>
      <c r="BP490" s="57" t="s">
        <v>1281</v>
      </c>
      <c r="BQ490" s="57" t="s">
        <v>1281</v>
      </c>
      <c r="BR490" s="57" t="s">
        <v>1281</v>
      </c>
      <c r="BS490" s="57" t="s">
        <v>1281</v>
      </c>
      <c r="BT490" s="57" t="s">
        <v>1281</v>
      </c>
      <c r="BU490" s="57" t="s">
        <v>1281</v>
      </c>
      <c r="BV490" s="70">
        <f t="shared" ref="BV490" si="5091">E490</f>
        <v>179</v>
      </c>
      <c r="BW490" s="71">
        <f t="shared" ref="BW490" si="5092">I490</f>
        <v>213</v>
      </c>
      <c r="BX490" s="72">
        <f t="shared" ref="BX490" si="5093">M490</f>
        <v>217</v>
      </c>
      <c r="BY490" s="71" t="str">
        <f t="shared" ref="BY490" si="5094">Q490</f>
        <v>-</v>
      </c>
      <c r="BZ490" s="72">
        <f t="shared" ref="BZ490" si="5095">U490</f>
        <v>278</v>
      </c>
      <c r="CA490" s="71" t="str">
        <f t="shared" ref="CA490" si="5096">Y490</f>
        <v>-</v>
      </c>
      <c r="CB490" s="72">
        <f t="shared" ref="CB490" si="5097">AC490</f>
        <v>316</v>
      </c>
      <c r="CC490" s="71">
        <f t="shared" ref="CC490" si="5098">AG490</f>
        <v>351</v>
      </c>
      <c r="CD490" s="72">
        <f t="shared" ref="CD490" si="5099">AK490</f>
        <v>357</v>
      </c>
      <c r="CE490" s="71">
        <f t="shared" ref="CE490" si="5100">AO490</f>
        <v>398</v>
      </c>
      <c r="CF490" s="72">
        <f t="shared" ref="CF490" si="5101">AS490</f>
        <v>434</v>
      </c>
      <c r="CG490" s="71">
        <f t="shared" ref="CG490" si="5102">AW490</f>
        <v>463</v>
      </c>
      <c r="CH490" s="70">
        <f t="shared" ref="CH490" si="5103">G490</f>
        <v>212</v>
      </c>
      <c r="CI490" s="71">
        <f t="shared" ref="CI490" si="5104">K490</f>
        <v>216</v>
      </c>
      <c r="CJ490" s="72">
        <f t="shared" ref="CJ490" si="5105">O490</f>
        <v>245</v>
      </c>
      <c r="CK490" s="72" t="str">
        <f t="shared" ref="CK490" si="5106">S490</f>
        <v>-</v>
      </c>
      <c r="CL490" s="72">
        <f t="shared" ref="CL490" si="5107">W490</f>
        <v>312</v>
      </c>
      <c r="CM490" s="72" t="str">
        <f t="shared" ref="CM490" si="5108">AA490</f>
        <v>-</v>
      </c>
      <c r="CN490" s="72">
        <f t="shared" ref="CN490" si="5109">AE490</f>
        <v>347</v>
      </c>
      <c r="CO490" s="72">
        <f t="shared" ref="CO490" si="5110">AI490</f>
        <v>353</v>
      </c>
      <c r="CP490" s="72">
        <f t="shared" ref="CP490" si="5111">AM490</f>
        <v>383</v>
      </c>
      <c r="CQ490" s="72">
        <f t="shared" ref="CQ490" si="5112">AQ490</f>
        <v>427</v>
      </c>
      <c r="CR490" s="72">
        <f t="shared" ref="CR490" si="5113">AU490</f>
        <v>462</v>
      </c>
      <c r="CS490" s="72">
        <f t="shared" ref="CS490" si="5114">AY490</f>
        <v>477</v>
      </c>
      <c r="CT490" s="23">
        <f t="shared" ref="CT490" si="5115">M490-K490</f>
        <v>1</v>
      </c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  <c r="AMK490" s="1"/>
      <c r="AML490" s="1"/>
      <c r="AMM490" s="1"/>
      <c r="AMN490" s="1"/>
      <c r="AMO490" s="1"/>
    </row>
    <row r="491" spans="1:1029" x14ac:dyDescent="0.2">
      <c r="A491" s="3" t="str">
        <f t="shared" ref="A491" si="5116">CONCATENATE(B491,"_",C491)</f>
        <v>pth1r_human_6NBF</v>
      </c>
      <c r="B491" s="3" t="s">
        <v>408</v>
      </c>
      <c r="C491" s="3" t="s">
        <v>1567</v>
      </c>
      <c r="D491" s="3" t="str">
        <f>IFERROR(MID(VLOOKUP($B491,Seqs!$A:$B,2,0),E491,1),"")</f>
        <v>T</v>
      </c>
      <c r="E491" s="3">
        <v>178</v>
      </c>
      <c r="F491" s="3" t="str">
        <f>IFERROR(MID(VLOOKUP($B491,Seqs!$A:$B,2,0),G491,1),"")</f>
        <v>F</v>
      </c>
      <c r="G491" s="3">
        <v>212</v>
      </c>
      <c r="H491" s="3" t="str">
        <f>IFERROR(MID(VLOOKUP($B491,Seqs!$A:$B,2,0),I491,1),"")</f>
        <v>R</v>
      </c>
      <c r="I491" s="23">
        <v>213</v>
      </c>
      <c r="J491" s="3" t="str">
        <f>IFERROR(MID(VLOOKUP($B491,Seqs!$A:$B,2,0),K491,1),"")</f>
        <v>H</v>
      </c>
      <c r="K491" s="23">
        <v>216</v>
      </c>
      <c r="L491" s="3" t="str">
        <f>IFERROR(MID(VLOOKUP($B491,Seqs!$A:$B,2,0),M491,1),"")</f>
        <v>C</v>
      </c>
      <c r="M491" s="23">
        <v>217</v>
      </c>
      <c r="N491" s="3" t="str">
        <f>IFERROR(MID(VLOOKUP($B491,Seqs!$A:$B,2,0),O491,1),"")</f>
        <v>S</v>
      </c>
      <c r="O491" s="3">
        <v>246</v>
      </c>
      <c r="P491" s="3" t="str">
        <f>IFERROR(MID(VLOOKUP($B491,Seqs!$A:$B,2,0),Q491,1),"")</f>
        <v/>
      </c>
      <c r="Q491" s="3" t="s">
        <v>23</v>
      </c>
      <c r="R491" s="3" t="str">
        <f>IFERROR(MID(VLOOKUP($B491,Seqs!$A:$B,2,0),S491,1),"")</f>
        <v/>
      </c>
      <c r="S491" s="3" t="s">
        <v>23</v>
      </c>
      <c r="T491" s="3" t="str">
        <f>IFERROR(MID(VLOOKUP($B491,Seqs!$A:$B,2,0),U491,1),"")</f>
        <v>Y</v>
      </c>
      <c r="U491" s="3">
        <v>278</v>
      </c>
      <c r="V491" s="3" t="str">
        <f>IFERROR(MID(VLOOKUP($B491,Seqs!$A:$B,2,0),W491,1),"")</f>
        <v>M</v>
      </c>
      <c r="W491" s="3">
        <v>312</v>
      </c>
      <c r="X491" s="3" t="str">
        <f>IFERROR(MID(VLOOKUP($B491,Seqs!$A:$B,2,0),Y491,1),"")</f>
        <v/>
      </c>
      <c r="Y491" s="3" t="s">
        <v>23</v>
      </c>
      <c r="Z491" s="3" t="str">
        <f>IFERROR(MID(VLOOKUP($B491,Seqs!$A:$B,2,0),AA491,1),"")</f>
        <v/>
      </c>
      <c r="AA491" s="3" t="s">
        <v>23</v>
      </c>
      <c r="AB491" s="3" t="str">
        <f>IFERROR(MID(VLOOKUP($B491,Seqs!$A:$B,2,0),AC491,1),"")</f>
        <v>S</v>
      </c>
      <c r="AC491" s="3">
        <v>316</v>
      </c>
      <c r="AD491" s="3" t="str">
        <f>IFERROR(MID(VLOOKUP($B491,Seqs!$A:$B,2,0),AE491,1),"")</f>
        <v>L</v>
      </c>
      <c r="AE491" s="3">
        <v>346</v>
      </c>
      <c r="AF491" s="3" t="str">
        <f>IFERROR(MID(VLOOKUP($B491,Seqs!$A:$B,2,0),AG491,1),"")</f>
        <v>C</v>
      </c>
      <c r="AG491" s="3">
        <v>351</v>
      </c>
      <c r="AH491" s="3" t="str">
        <f>IFERROR(MID(VLOOKUP($B491,Seqs!$A:$B,2,0),AI491,1),"")</f>
        <v>D</v>
      </c>
      <c r="AI491" s="3">
        <v>353</v>
      </c>
      <c r="AJ491" s="3" t="str">
        <f>IFERROR(MID(VLOOKUP($B491,Seqs!$A:$B,2,0),AK491,1),"")</f>
        <v>G</v>
      </c>
      <c r="AK491" s="3">
        <v>357</v>
      </c>
      <c r="AL491" s="3" t="str">
        <f>IFERROR(MID(VLOOKUP($B491,Seqs!$A:$B,2,0),AM491,1),"")</f>
        <v>N</v>
      </c>
      <c r="AM491" s="3">
        <v>393</v>
      </c>
      <c r="AN491" s="3" t="str">
        <f>IFERROR(MID(VLOOKUP($B491,Seqs!$A:$B,2,0),AO491,1),"")</f>
        <v>T</v>
      </c>
      <c r="AO491" s="3">
        <v>399</v>
      </c>
      <c r="AP491" s="3" t="str">
        <f>IFERROR(MID(VLOOKUP($B491,Seqs!$A:$B,2,0),AQ491,1),"")</f>
        <v>F</v>
      </c>
      <c r="AQ491" s="3">
        <v>424</v>
      </c>
      <c r="AR491" s="3" t="str">
        <f>IFERROR(MID(VLOOKUP($B491,Seqs!$A:$B,2,0),AS491,1),"")</f>
        <v>G</v>
      </c>
      <c r="AS491" s="3">
        <v>434</v>
      </c>
      <c r="AT491" s="3" t="str">
        <f>IFERROR(MID(VLOOKUP($B491,Seqs!$A:$B,2,0),AU491,1),"")</f>
        <v>C</v>
      </c>
      <c r="AU491" s="3">
        <v>462</v>
      </c>
      <c r="AV491" s="3" t="str">
        <f>IFERROR(MID(VLOOKUP($B491,Seqs!$A:$B,2,0),AW491,1),"")</f>
        <v>N</v>
      </c>
      <c r="AW491" s="3">
        <v>463</v>
      </c>
      <c r="AX491" s="3" t="str">
        <f>IFERROR(MID(VLOOKUP($B491,Seqs!$A:$B,2,0),AY491,1),"")</f>
        <v>L</v>
      </c>
      <c r="AY491" s="3">
        <v>481</v>
      </c>
      <c r="AZ491" s="77" t="str">
        <f>VLOOKUP(B491,Classification!A:D,2,0)</f>
        <v>B1</v>
      </c>
      <c r="BA491" s="94" t="str">
        <f>VLOOKUP(B491,Classification!A:D,4,0)</f>
        <v>Parathyroidhormone</v>
      </c>
      <c r="BB491" s="27" t="b">
        <f t="shared" ref="BB491" si="5117">AND(E491&lt;G491,OR(G491&lt;I491,I491="-"),OR(I491&lt;K491,I491="-"),OR(K491&lt;M491,K491="-"),M491&lt;O491,OR(O491&lt;Q491,Q491="-"),OR(Q491&lt;S491,Q491="-"),OR(S491&lt;U491,S491="-"),U491&lt;W491,OR(W491&lt;Y491,Y491="-"),OR(Y491&lt;AA491,Y491="-"),OR(AA491&lt;AC491,AA491="-"),AC491&lt;AE491,OR(AE491&lt;AG491,AG491="-"),OR(AG491&lt;AI491,AG491="-"),OR(AI491&lt;AK491,AI491="-"),AK491&lt;AM491,AM491&lt;AO491,AO491&lt;AQ491,AQ491&lt;AS491,AS491&lt;AU491,OR(AU491&lt;AW491,AW491="-"),OR(AW491&lt;AY491,AW491="-"))</f>
        <v>1</v>
      </c>
      <c r="BC491" s="23">
        <f t="shared" ref="BC491" si="5118">_xlfn.AGGREGATE(9,6,CH491:CS491)-_xlfn.AGGREGATE(9,6,BV491:CG491)+12</f>
        <v>251</v>
      </c>
      <c r="BD491" s="4" t="s">
        <v>23</v>
      </c>
      <c r="BE491" s="3" t="s">
        <v>1285</v>
      </c>
      <c r="BF491" s="118">
        <v>3</v>
      </c>
      <c r="BG491" s="49" t="s">
        <v>1416</v>
      </c>
      <c r="BH491" s="49" t="s">
        <v>1416</v>
      </c>
      <c r="BI491" s="1"/>
      <c r="BJ491" s="70" t="s">
        <v>1281</v>
      </c>
      <c r="BK491" s="57" t="s">
        <v>1281</v>
      </c>
      <c r="BL491" s="57" t="s">
        <v>1281</v>
      </c>
      <c r="BM491" s="57" t="s">
        <v>1281</v>
      </c>
      <c r="BN491" s="57" t="s">
        <v>1281</v>
      </c>
      <c r="BO491" s="57" t="s">
        <v>1281</v>
      </c>
      <c r="BP491" s="57" t="s">
        <v>1281</v>
      </c>
      <c r="BQ491" s="57" t="s">
        <v>1281</v>
      </c>
      <c r="BR491" s="57" t="s">
        <v>1281</v>
      </c>
      <c r="BS491" s="57" t="s">
        <v>1281</v>
      </c>
      <c r="BT491" s="57" t="s">
        <v>1281</v>
      </c>
      <c r="BU491" s="57" t="s">
        <v>1281</v>
      </c>
      <c r="BV491" s="70">
        <f t="shared" ref="BV491" si="5119">E491</f>
        <v>178</v>
      </c>
      <c r="BW491" s="71">
        <f t="shared" ref="BW491" si="5120">I491</f>
        <v>213</v>
      </c>
      <c r="BX491" s="72">
        <f t="shared" ref="BX491" si="5121">M491</f>
        <v>217</v>
      </c>
      <c r="BY491" s="71" t="str">
        <f t="shared" ref="BY491" si="5122">Q491</f>
        <v>-</v>
      </c>
      <c r="BZ491" s="72">
        <f t="shared" ref="BZ491" si="5123">U491</f>
        <v>278</v>
      </c>
      <c r="CA491" s="71" t="str">
        <f t="shared" ref="CA491" si="5124">Y491</f>
        <v>-</v>
      </c>
      <c r="CB491" s="72">
        <f t="shared" ref="CB491" si="5125">AC491</f>
        <v>316</v>
      </c>
      <c r="CC491" s="71">
        <f t="shared" ref="CC491" si="5126">AG491</f>
        <v>351</v>
      </c>
      <c r="CD491" s="72">
        <f t="shared" ref="CD491" si="5127">AK491</f>
        <v>357</v>
      </c>
      <c r="CE491" s="71">
        <f t="shared" ref="CE491" si="5128">AO491</f>
        <v>399</v>
      </c>
      <c r="CF491" s="72">
        <f t="shared" ref="CF491" si="5129">AS491</f>
        <v>434</v>
      </c>
      <c r="CG491" s="71">
        <f t="shared" ref="CG491" si="5130">AW491</f>
        <v>463</v>
      </c>
      <c r="CH491" s="70">
        <f t="shared" ref="CH491" si="5131">G491</f>
        <v>212</v>
      </c>
      <c r="CI491" s="71">
        <f t="shared" ref="CI491" si="5132">K491</f>
        <v>216</v>
      </c>
      <c r="CJ491" s="72">
        <f t="shared" ref="CJ491" si="5133">O491</f>
        <v>246</v>
      </c>
      <c r="CK491" s="72" t="str">
        <f t="shared" ref="CK491" si="5134">S491</f>
        <v>-</v>
      </c>
      <c r="CL491" s="72">
        <f t="shared" ref="CL491" si="5135">W491</f>
        <v>312</v>
      </c>
      <c r="CM491" s="72" t="str">
        <f t="shared" ref="CM491" si="5136">AA491</f>
        <v>-</v>
      </c>
      <c r="CN491" s="72">
        <f t="shared" ref="CN491" si="5137">AE491</f>
        <v>346</v>
      </c>
      <c r="CO491" s="72">
        <f t="shared" ref="CO491" si="5138">AI491</f>
        <v>353</v>
      </c>
      <c r="CP491" s="72">
        <f t="shared" ref="CP491" si="5139">AM491</f>
        <v>393</v>
      </c>
      <c r="CQ491" s="72">
        <f t="shared" ref="CQ491" si="5140">AQ491</f>
        <v>424</v>
      </c>
      <c r="CR491" s="72">
        <f t="shared" ref="CR491" si="5141">AU491</f>
        <v>462</v>
      </c>
      <c r="CS491" s="72">
        <f t="shared" ref="CS491" si="5142">AY491</f>
        <v>481</v>
      </c>
      <c r="CT491" s="23">
        <f t="shared" ref="CT491" si="5143">M491-K491</f>
        <v>1</v>
      </c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  <c r="ALO491" s="1"/>
      <c r="ALP491" s="1"/>
      <c r="ALQ491" s="1"/>
      <c r="ALR491" s="1"/>
      <c r="ALS491" s="1"/>
      <c r="ALT491" s="1"/>
      <c r="ALU491" s="1"/>
      <c r="ALV491" s="1"/>
      <c r="ALW491" s="1"/>
      <c r="ALX491" s="1"/>
      <c r="ALY491" s="1"/>
      <c r="ALZ491" s="1"/>
      <c r="AMA491" s="1"/>
      <c r="AMB491" s="1"/>
      <c r="AMC491" s="1"/>
      <c r="AMD491" s="1"/>
      <c r="AME491" s="1"/>
      <c r="AMF491" s="1"/>
      <c r="AMG491" s="1"/>
      <c r="AMH491" s="1"/>
      <c r="AMI491" s="1"/>
      <c r="AMJ491" s="1"/>
      <c r="AMK491" s="1"/>
      <c r="AML491" s="1"/>
      <c r="AMM491" s="1"/>
      <c r="AMN491" s="1"/>
      <c r="AMO491" s="1"/>
    </row>
    <row r="492" spans="1:1029" x14ac:dyDescent="0.2">
      <c r="A492" s="3" t="str">
        <f t="shared" ref="A492" si="5144">CONCATENATE(B492,"_",C492)</f>
        <v>pth1r_human_6NBH</v>
      </c>
      <c r="B492" s="3" t="s">
        <v>408</v>
      </c>
      <c r="C492" s="3" t="s">
        <v>1568</v>
      </c>
      <c r="D492" s="3" t="str">
        <f>IFERROR(MID(VLOOKUP($B492,Seqs!$A:$B,2,0),E492,1),"")</f>
        <v>T</v>
      </c>
      <c r="E492" s="3">
        <v>178</v>
      </c>
      <c r="F492" s="3" t="str">
        <f>IFERROR(MID(VLOOKUP($B492,Seqs!$A:$B,2,0),G492,1),"")</f>
        <v>F</v>
      </c>
      <c r="G492" s="3">
        <v>212</v>
      </c>
      <c r="H492" s="3" t="str">
        <f>IFERROR(MID(VLOOKUP($B492,Seqs!$A:$B,2,0),I492,1),"")</f>
        <v>R</v>
      </c>
      <c r="I492" s="23">
        <v>213</v>
      </c>
      <c r="J492" s="3" t="str">
        <f>IFERROR(MID(VLOOKUP($B492,Seqs!$A:$B,2,0),K492,1),"")</f>
        <v>H</v>
      </c>
      <c r="K492" s="23">
        <v>216</v>
      </c>
      <c r="L492" s="3" t="str">
        <f>IFERROR(MID(VLOOKUP($B492,Seqs!$A:$B,2,0),M492,1),"")</f>
        <v>C</v>
      </c>
      <c r="M492" s="23">
        <v>217</v>
      </c>
      <c r="N492" s="3" t="str">
        <f>IFERROR(MID(VLOOKUP($B492,Seqs!$A:$B,2,0),O492,1),"")</f>
        <v>L</v>
      </c>
      <c r="O492" s="3">
        <v>250</v>
      </c>
      <c r="P492" s="3" t="str">
        <f>IFERROR(MID(VLOOKUP($B492,Seqs!$A:$B,2,0),Q492,1),"")</f>
        <v/>
      </c>
      <c r="Q492" s="3" t="s">
        <v>23</v>
      </c>
      <c r="R492" s="3" t="str">
        <f>IFERROR(MID(VLOOKUP($B492,Seqs!$A:$B,2,0),S492,1),"")</f>
        <v/>
      </c>
      <c r="S492" s="3" t="s">
        <v>23</v>
      </c>
      <c r="T492" s="3" t="str">
        <f>IFERROR(MID(VLOOKUP($B492,Seqs!$A:$B,2,0),U492,1),"")</f>
        <v>Y</v>
      </c>
      <c r="U492" s="3">
        <v>278</v>
      </c>
      <c r="V492" s="3" t="str">
        <f>IFERROR(MID(VLOOKUP($B492,Seqs!$A:$B,2,0),W492,1),"")</f>
        <v>M</v>
      </c>
      <c r="W492" s="3">
        <v>312</v>
      </c>
      <c r="X492" s="3" t="str">
        <f>IFERROR(MID(VLOOKUP($B492,Seqs!$A:$B,2,0),Y492,1),"")</f>
        <v/>
      </c>
      <c r="Y492" s="3" t="s">
        <v>23</v>
      </c>
      <c r="Z492" s="3" t="str">
        <f>IFERROR(MID(VLOOKUP($B492,Seqs!$A:$B,2,0),AA492,1),"")</f>
        <v/>
      </c>
      <c r="AA492" s="3" t="s">
        <v>23</v>
      </c>
      <c r="AB492" s="3" t="str">
        <f>IFERROR(MID(VLOOKUP($B492,Seqs!$A:$B,2,0),AC492,1),"")</f>
        <v>S</v>
      </c>
      <c r="AC492" s="3">
        <v>316</v>
      </c>
      <c r="AD492" s="3" t="str">
        <f>IFERROR(MID(VLOOKUP($B492,Seqs!$A:$B,2,0),AE492,1),"")</f>
        <v>A</v>
      </c>
      <c r="AE492" s="3">
        <v>347</v>
      </c>
      <c r="AF492" s="3" t="str">
        <f>IFERROR(MID(VLOOKUP($B492,Seqs!$A:$B,2,0),AG492,1),"")</f>
        <v>C</v>
      </c>
      <c r="AG492" s="3">
        <v>351</v>
      </c>
      <c r="AH492" s="3" t="str">
        <f>IFERROR(MID(VLOOKUP($B492,Seqs!$A:$B,2,0),AI492,1),"")</f>
        <v>D</v>
      </c>
      <c r="AI492" s="3">
        <v>353</v>
      </c>
      <c r="AJ492" s="3" t="str">
        <f>IFERROR(MID(VLOOKUP($B492,Seqs!$A:$B,2,0),AK492,1),"")</f>
        <v>G</v>
      </c>
      <c r="AK492" s="3">
        <v>357</v>
      </c>
      <c r="AL492" s="3" t="str">
        <f>IFERROR(MID(VLOOKUP($B492,Seqs!$A:$B,2,0),AM492,1),"")</f>
        <v>T</v>
      </c>
      <c r="AM492" s="3">
        <v>392</v>
      </c>
      <c r="AN492" s="3" t="str">
        <f>IFERROR(MID(VLOOKUP($B492,Seqs!$A:$B,2,0),AO492,1),"")</f>
        <v>T</v>
      </c>
      <c r="AO492" s="3">
        <v>399</v>
      </c>
      <c r="AP492" s="3" t="str">
        <f>IFERROR(MID(VLOOKUP($B492,Seqs!$A:$B,2,0),AQ492,1),"")</f>
        <v>F</v>
      </c>
      <c r="AQ492" s="3">
        <v>424</v>
      </c>
      <c r="AR492" s="3" t="str">
        <f>IFERROR(MID(VLOOKUP($B492,Seqs!$A:$B,2,0),AS492,1),"")</f>
        <v>G</v>
      </c>
      <c r="AS492" s="3">
        <v>434</v>
      </c>
      <c r="AT492" s="3" t="str">
        <f>IFERROR(MID(VLOOKUP($B492,Seqs!$A:$B,2,0),AU492,1),"")</f>
        <v>C</v>
      </c>
      <c r="AU492" s="3">
        <v>462</v>
      </c>
      <c r="AV492" s="3" t="str">
        <f>IFERROR(MID(VLOOKUP($B492,Seqs!$A:$B,2,0),AW492,1),"")</f>
        <v>N</v>
      </c>
      <c r="AW492" s="3">
        <v>463</v>
      </c>
      <c r="AX492" s="3" t="str">
        <f>IFERROR(MID(VLOOKUP($B492,Seqs!$A:$B,2,0),AY492,1),"")</f>
        <v>D</v>
      </c>
      <c r="AY492" s="3">
        <v>482</v>
      </c>
      <c r="AZ492" s="77" t="str">
        <f>VLOOKUP(B492,Classification!A:D,2,0)</f>
        <v>B1</v>
      </c>
      <c r="BA492" s="94" t="str">
        <f>VLOOKUP(B492,Classification!A:D,4,0)</f>
        <v>Parathyroidhormone</v>
      </c>
      <c r="BB492" s="27" t="b">
        <f t="shared" ref="BB492" si="5145">AND(E492&lt;G492,OR(G492&lt;I492,I492="-"),OR(I492&lt;K492,I492="-"),OR(K492&lt;M492,K492="-"),M492&lt;O492,OR(O492&lt;Q492,Q492="-"),OR(Q492&lt;S492,Q492="-"),OR(S492&lt;U492,S492="-"),U492&lt;W492,OR(W492&lt;Y492,Y492="-"),OR(Y492&lt;AA492,Y492="-"),OR(AA492&lt;AC492,AA492="-"),AC492&lt;AE492,OR(AE492&lt;AG492,AG492="-"),OR(AG492&lt;AI492,AG492="-"),OR(AI492&lt;AK492,AI492="-"),AK492&lt;AM492,AM492&lt;AO492,AO492&lt;AQ492,AQ492&lt;AS492,AS492&lt;AU492,OR(AU492&lt;AW492,AW492="-"),OR(AW492&lt;AY492,AW492="-"))</f>
        <v>1</v>
      </c>
      <c r="BC492" s="23">
        <f t="shared" ref="BC492" si="5146">_xlfn.AGGREGATE(9,6,CH492:CS492)-_xlfn.AGGREGATE(9,6,BV492:CG492)+12</f>
        <v>256</v>
      </c>
      <c r="BD492" s="4" t="s">
        <v>23</v>
      </c>
      <c r="BE492" s="3" t="s">
        <v>1285</v>
      </c>
      <c r="BF492" s="118">
        <v>3.5</v>
      </c>
      <c r="BG492" s="49" t="s">
        <v>1416</v>
      </c>
      <c r="BH492" s="49" t="s">
        <v>1416</v>
      </c>
      <c r="BI492" s="1"/>
      <c r="BJ492" s="70" t="s">
        <v>1281</v>
      </c>
      <c r="BK492" s="57" t="s">
        <v>1281</v>
      </c>
      <c r="BL492" s="57" t="s">
        <v>1281</v>
      </c>
      <c r="BM492" s="57" t="s">
        <v>1281</v>
      </c>
      <c r="BN492" s="57" t="s">
        <v>1281</v>
      </c>
      <c r="BO492" s="57" t="s">
        <v>1281</v>
      </c>
      <c r="BP492" s="57" t="s">
        <v>1281</v>
      </c>
      <c r="BQ492" s="57" t="s">
        <v>1281</v>
      </c>
      <c r="BR492" s="57" t="s">
        <v>1281</v>
      </c>
      <c r="BS492" s="57" t="s">
        <v>1281</v>
      </c>
      <c r="BT492" s="57" t="s">
        <v>1281</v>
      </c>
      <c r="BU492" s="57" t="s">
        <v>1281</v>
      </c>
      <c r="BV492" s="70">
        <f t="shared" ref="BV492" si="5147">E492</f>
        <v>178</v>
      </c>
      <c r="BW492" s="71">
        <f t="shared" ref="BW492" si="5148">I492</f>
        <v>213</v>
      </c>
      <c r="BX492" s="72">
        <f t="shared" ref="BX492" si="5149">M492</f>
        <v>217</v>
      </c>
      <c r="BY492" s="71" t="str">
        <f t="shared" ref="BY492" si="5150">Q492</f>
        <v>-</v>
      </c>
      <c r="BZ492" s="72">
        <f t="shared" ref="BZ492" si="5151">U492</f>
        <v>278</v>
      </c>
      <c r="CA492" s="71" t="str">
        <f t="shared" ref="CA492" si="5152">Y492</f>
        <v>-</v>
      </c>
      <c r="CB492" s="72">
        <f t="shared" ref="CB492" si="5153">AC492</f>
        <v>316</v>
      </c>
      <c r="CC492" s="71">
        <f t="shared" ref="CC492" si="5154">AG492</f>
        <v>351</v>
      </c>
      <c r="CD492" s="72">
        <f t="shared" ref="CD492" si="5155">AK492</f>
        <v>357</v>
      </c>
      <c r="CE492" s="71">
        <f t="shared" ref="CE492" si="5156">AO492</f>
        <v>399</v>
      </c>
      <c r="CF492" s="72">
        <f t="shared" ref="CF492" si="5157">AS492</f>
        <v>434</v>
      </c>
      <c r="CG492" s="71">
        <f t="shared" ref="CG492" si="5158">AW492</f>
        <v>463</v>
      </c>
      <c r="CH492" s="70">
        <f t="shared" ref="CH492" si="5159">G492</f>
        <v>212</v>
      </c>
      <c r="CI492" s="71">
        <f t="shared" ref="CI492" si="5160">K492</f>
        <v>216</v>
      </c>
      <c r="CJ492" s="72">
        <f t="shared" ref="CJ492" si="5161">O492</f>
        <v>250</v>
      </c>
      <c r="CK492" s="72" t="str">
        <f t="shared" ref="CK492" si="5162">S492</f>
        <v>-</v>
      </c>
      <c r="CL492" s="72">
        <f t="shared" ref="CL492" si="5163">W492</f>
        <v>312</v>
      </c>
      <c r="CM492" s="72" t="str">
        <f t="shared" ref="CM492" si="5164">AA492</f>
        <v>-</v>
      </c>
      <c r="CN492" s="72">
        <f t="shared" ref="CN492" si="5165">AE492</f>
        <v>347</v>
      </c>
      <c r="CO492" s="72">
        <f t="shared" ref="CO492" si="5166">AI492</f>
        <v>353</v>
      </c>
      <c r="CP492" s="72">
        <f t="shared" ref="CP492" si="5167">AM492</f>
        <v>392</v>
      </c>
      <c r="CQ492" s="72">
        <f t="shared" ref="CQ492" si="5168">AQ492</f>
        <v>424</v>
      </c>
      <c r="CR492" s="72">
        <f t="shared" ref="CR492" si="5169">AU492</f>
        <v>462</v>
      </c>
      <c r="CS492" s="72">
        <f t="shared" ref="CS492" si="5170">AY492</f>
        <v>482</v>
      </c>
      <c r="CT492" s="23">
        <f t="shared" ref="CT492" si="5171">M492-K492</f>
        <v>1</v>
      </c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  <c r="ALN492" s="1"/>
      <c r="ALO492" s="1"/>
      <c r="ALP492" s="1"/>
      <c r="ALQ492" s="1"/>
      <c r="ALR492" s="1"/>
      <c r="ALS492" s="1"/>
      <c r="ALT492" s="1"/>
      <c r="ALU492" s="1"/>
      <c r="ALV492" s="1"/>
      <c r="ALW492" s="1"/>
      <c r="ALX492" s="1"/>
      <c r="ALY492" s="1"/>
      <c r="ALZ492" s="1"/>
      <c r="AMA492" s="1"/>
      <c r="AMB492" s="1"/>
      <c r="AMC492" s="1"/>
      <c r="AMD492" s="1"/>
      <c r="AME492" s="1"/>
      <c r="AMF492" s="1"/>
      <c r="AMG492" s="1"/>
      <c r="AMH492" s="1"/>
      <c r="AMI492" s="1"/>
      <c r="AMJ492" s="1"/>
      <c r="AMK492" s="1"/>
      <c r="AML492" s="1"/>
      <c r="AMM492" s="1"/>
      <c r="AMN492" s="1"/>
      <c r="AMO492" s="1"/>
    </row>
    <row r="493" spans="1:1029" x14ac:dyDescent="0.2">
      <c r="A493" s="3" t="str">
        <f t="shared" ref="A493" si="5172">CONCATENATE(B493,"_",C493)</f>
        <v>pth1r_human_6NBI</v>
      </c>
      <c r="B493" s="3" t="s">
        <v>408</v>
      </c>
      <c r="C493" s="3" t="s">
        <v>1569</v>
      </c>
      <c r="D493" s="3" t="str">
        <f>IFERROR(MID(VLOOKUP($B493,Seqs!$A:$B,2,0),E493,1),"")</f>
        <v>F</v>
      </c>
      <c r="E493" s="3">
        <v>173</v>
      </c>
      <c r="F493" s="3" t="str">
        <f>IFERROR(MID(VLOOKUP($B493,Seqs!$A:$B,2,0),G493,1),"")</f>
        <v>F</v>
      </c>
      <c r="G493" s="3">
        <v>212</v>
      </c>
      <c r="H493" s="3" t="str">
        <f>IFERROR(MID(VLOOKUP($B493,Seqs!$A:$B,2,0),I493,1),"")</f>
        <v>R</v>
      </c>
      <c r="I493" s="23">
        <v>213</v>
      </c>
      <c r="J493" s="3" t="str">
        <f>IFERROR(MID(VLOOKUP($B493,Seqs!$A:$B,2,0),K493,1),"")</f>
        <v>H</v>
      </c>
      <c r="K493" s="23">
        <v>216</v>
      </c>
      <c r="L493" s="3" t="str">
        <f>IFERROR(MID(VLOOKUP($B493,Seqs!$A:$B,2,0),M493,1),"")</f>
        <v>C</v>
      </c>
      <c r="M493" s="23">
        <v>217</v>
      </c>
      <c r="N493" s="3" t="str">
        <f>IFERROR(MID(VLOOKUP($B493,Seqs!$A:$B,2,0),O493,1),"")</f>
        <v>L</v>
      </c>
      <c r="O493" s="3">
        <v>250</v>
      </c>
      <c r="P493" s="3" t="str">
        <f>IFERROR(MID(VLOOKUP($B493,Seqs!$A:$B,2,0),Q493,1),"")</f>
        <v/>
      </c>
      <c r="Q493" s="3" t="s">
        <v>23</v>
      </c>
      <c r="R493" s="3" t="str">
        <f>IFERROR(MID(VLOOKUP($B493,Seqs!$A:$B,2,0),S493,1),"")</f>
        <v/>
      </c>
      <c r="S493" s="3" t="s">
        <v>23</v>
      </c>
      <c r="T493" s="3" t="str">
        <f>IFERROR(MID(VLOOKUP($B493,Seqs!$A:$B,2,0),U493,1),"")</f>
        <v>T</v>
      </c>
      <c r="U493" s="3">
        <v>273</v>
      </c>
      <c r="V493" s="3" t="str">
        <f>IFERROR(MID(VLOOKUP($B493,Seqs!$A:$B,2,0),W493,1),"")</f>
        <v>F</v>
      </c>
      <c r="W493" s="3">
        <v>311</v>
      </c>
      <c r="X493" s="3" t="str">
        <f>IFERROR(MID(VLOOKUP($B493,Seqs!$A:$B,2,0),Y493,1),"")</f>
        <v/>
      </c>
      <c r="Y493" s="3" t="s">
        <v>23</v>
      </c>
      <c r="Z493" s="3" t="str">
        <f>IFERROR(MID(VLOOKUP($B493,Seqs!$A:$B,2,0),AA493,1),"")</f>
        <v/>
      </c>
      <c r="AA493" s="3" t="s">
        <v>23</v>
      </c>
      <c r="AB493" s="3" t="str">
        <f>IFERROR(MID(VLOOKUP($B493,Seqs!$A:$B,2,0),AC493,1),"")</f>
        <v>S</v>
      </c>
      <c r="AC493" s="3">
        <v>316</v>
      </c>
      <c r="AD493" s="3" t="str">
        <f>IFERROR(MID(VLOOKUP($B493,Seqs!$A:$B,2,0),AE493,1),"")</f>
        <v>A</v>
      </c>
      <c r="AE493" s="3">
        <v>347</v>
      </c>
      <c r="AF493" s="3" t="str">
        <f>IFERROR(MID(VLOOKUP($B493,Seqs!$A:$B,2,0),AG493,1),"")</f>
        <v>C</v>
      </c>
      <c r="AG493" s="3">
        <v>351</v>
      </c>
      <c r="AH493" s="3" t="str">
        <f>IFERROR(MID(VLOOKUP($B493,Seqs!$A:$B,2,0),AI493,1),"")</f>
        <v>D</v>
      </c>
      <c r="AI493" s="3">
        <v>353</v>
      </c>
      <c r="AJ493" s="3" t="str">
        <f>IFERROR(MID(VLOOKUP($B493,Seqs!$A:$B,2,0),AK493,1),"")</f>
        <v>G</v>
      </c>
      <c r="AK493" s="3">
        <v>357</v>
      </c>
      <c r="AL493" s="3" t="str">
        <f>IFERROR(MID(VLOOKUP($B493,Seqs!$A:$B,2,0),AM493,1),"")</f>
        <v>A</v>
      </c>
      <c r="AM493" s="3">
        <v>394</v>
      </c>
      <c r="AN493" s="3" t="str">
        <f>IFERROR(MID(VLOOKUP($B493,Seqs!$A:$B,2,0),AO493,1),"")</f>
        <v>T</v>
      </c>
      <c r="AO493" s="3">
        <v>399</v>
      </c>
      <c r="AP493" s="3" t="str">
        <f>IFERROR(MID(VLOOKUP($B493,Seqs!$A:$B,2,0),AQ493,1),"")</f>
        <v>F</v>
      </c>
      <c r="AQ493" s="3">
        <v>424</v>
      </c>
      <c r="AR493" s="3" t="str">
        <f>IFERROR(MID(VLOOKUP($B493,Seqs!$A:$B,2,0),AS493,1),"")</f>
        <v>G</v>
      </c>
      <c r="AS493" s="3">
        <v>434</v>
      </c>
      <c r="AT493" s="3" t="str">
        <f>IFERROR(MID(VLOOKUP($B493,Seqs!$A:$B,2,0),AU493,1),"")</f>
        <v>C</v>
      </c>
      <c r="AU493" s="3">
        <v>462</v>
      </c>
      <c r="AV493" s="3" t="str">
        <f>IFERROR(MID(VLOOKUP($B493,Seqs!$A:$B,2,0),AW493,1),"")</f>
        <v>N</v>
      </c>
      <c r="AW493" s="3">
        <v>463</v>
      </c>
      <c r="AX493" s="3" t="str">
        <f>IFERROR(MID(VLOOKUP($B493,Seqs!$A:$B,2,0),AY493,1),"")</f>
        <v>D</v>
      </c>
      <c r="AY493" s="3">
        <v>482</v>
      </c>
      <c r="AZ493" s="77" t="str">
        <f>VLOOKUP(B493,Classification!A:D,2,0)</f>
        <v>B1</v>
      </c>
      <c r="BA493" s="94" t="str">
        <f>VLOOKUP(B493,Classification!A:D,4,0)</f>
        <v>Parathyroidhormone</v>
      </c>
      <c r="BB493" s="27" t="b">
        <f t="shared" ref="BB493" si="5173">AND(E493&lt;G493,OR(G493&lt;I493,I493="-"),OR(I493&lt;K493,I493="-"),OR(K493&lt;M493,K493="-"),M493&lt;O493,OR(O493&lt;Q493,Q493="-"),OR(Q493&lt;S493,Q493="-"),OR(S493&lt;U493,S493="-"),U493&lt;W493,OR(W493&lt;Y493,Y493="-"),OR(Y493&lt;AA493,Y493="-"),OR(AA493&lt;AC493,AA493="-"),AC493&lt;AE493,OR(AE493&lt;AG493,AG493="-"),OR(AG493&lt;AI493,AG493="-"),OR(AI493&lt;AK493,AI493="-"),AK493&lt;AM493,AM493&lt;AO493,AO493&lt;AQ493,AQ493&lt;AS493,AS493&lt;AU493,OR(AU493&lt;AW493,AW493="-"),OR(AW493&lt;AY493,AW493="-"))</f>
        <v>1</v>
      </c>
      <c r="BC493" s="23">
        <f t="shared" ref="BC493" si="5174">_xlfn.AGGREGATE(9,6,CH493:CS493)-_xlfn.AGGREGATE(9,6,BV493:CG493)+12</f>
        <v>267</v>
      </c>
      <c r="BD493" s="4" t="s">
        <v>1369</v>
      </c>
      <c r="BE493" s="3" t="s">
        <v>1285</v>
      </c>
      <c r="BF493" s="118">
        <v>4</v>
      </c>
      <c r="BG493" s="49" t="s">
        <v>1416</v>
      </c>
      <c r="BH493" s="49" t="s">
        <v>1416</v>
      </c>
      <c r="BI493" s="1"/>
      <c r="BJ493" s="70" t="s">
        <v>1281</v>
      </c>
      <c r="BK493" s="57" t="s">
        <v>1281</v>
      </c>
      <c r="BL493" s="57" t="s">
        <v>1281</v>
      </c>
      <c r="BM493" s="57" t="s">
        <v>1281</v>
      </c>
      <c r="BN493" s="57" t="s">
        <v>1281</v>
      </c>
      <c r="BO493" s="57" t="s">
        <v>1281</v>
      </c>
      <c r="BP493" s="57" t="s">
        <v>1281</v>
      </c>
      <c r="BQ493" s="57" t="s">
        <v>1281</v>
      </c>
      <c r="BR493" s="57" t="s">
        <v>1281</v>
      </c>
      <c r="BS493" s="57" t="s">
        <v>1281</v>
      </c>
      <c r="BT493" s="57" t="s">
        <v>1281</v>
      </c>
      <c r="BU493" s="57" t="s">
        <v>1281</v>
      </c>
      <c r="BV493" s="70">
        <f t="shared" ref="BV493" si="5175">E493</f>
        <v>173</v>
      </c>
      <c r="BW493" s="71">
        <f t="shared" ref="BW493" si="5176">I493</f>
        <v>213</v>
      </c>
      <c r="BX493" s="72">
        <f t="shared" ref="BX493" si="5177">M493</f>
        <v>217</v>
      </c>
      <c r="BY493" s="71" t="str">
        <f t="shared" ref="BY493" si="5178">Q493</f>
        <v>-</v>
      </c>
      <c r="BZ493" s="72">
        <f t="shared" ref="BZ493" si="5179">U493</f>
        <v>273</v>
      </c>
      <c r="CA493" s="71" t="str">
        <f t="shared" ref="CA493" si="5180">Y493</f>
        <v>-</v>
      </c>
      <c r="CB493" s="72">
        <f t="shared" ref="CB493" si="5181">AC493</f>
        <v>316</v>
      </c>
      <c r="CC493" s="71">
        <f t="shared" ref="CC493" si="5182">AG493</f>
        <v>351</v>
      </c>
      <c r="CD493" s="72">
        <f t="shared" ref="CD493" si="5183">AK493</f>
        <v>357</v>
      </c>
      <c r="CE493" s="71">
        <f t="shared" ref="CE493" si="5184">AO493</f>
        <v>399</v>
      </c>
      <c r="CF493" s="72">
        <f t="shared" ref="CF493" si="5185">AS493</f>
        <v>434</v>
      </c>
      <c r="CG493" s="71">
        <f t="shared" ref="CG493" si="5186">AW493</f>
        <v>463</v>
      </c>
      <c r="CH493" s="70">
        <f t="shared" ref="CH493" si="5187">G493</f>
        <v>212</v>
      </c>
      <c r="CI493" s="71">
        <f t="shared" ref="CI493" si="5188">K493</f>
        <v>216</v>
      </c>
      <c r="CJ493" s="72">
        <f t="shared" ref="CJ493" si="5189">O493</f>
        <v>250</v>
      </c>
      <c r="CK493" s="72" t="str">
        <f t="shared" ref="CK493" si="5190">S493</f>
        <v>-</v>
      </c>
      <c r="CL493" s="72">
        <f t="shared" ref="CL493" si="5191">W493</f>
        <v>311</v>
      </c>
      <c r="CM493" s="72" t="str">
        <f t="shared" ref="CM493" si="5192">AA493</f>
        <v>-</v>
      </c>
      <c r="CN493" s="72">
        <f t="shared" ref="CN493" si="5193">AE493</f>
        <v>347</v>
      </c>
      <c r="CO493" s="72">
        <f t="shared" ref="CO493" si="5194">AI493</f>
        <v>353</v>
      </c>
      <c r="CP493" s="72">
        <f t="shared" ref="CP493" si="5195">AM493</f>
        <v>394</v>
      </c>
      <c r="CQ493" s="72">
        <f t="shared" ref="CQ493" si="5196">AQ493</f>
        <v>424</v>
      </c>
      <c r="CR493" s="72">
        <f t="shared" ref="CR493" si="5197">AU493</f>
        <v>462</v>
      </c>
      <c r="CS493" s="72">
        <f t="shared" ref="CS493" si="5198">AY493</f>
        <v>482</v>
      </c>
      <c r="CT493" s="23">
        <f t="shared" ref="CT493" si="5199">M493-K493</f>
        <v>1</v>
      </c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  <c r="ALO493" s="1"/>
      <c r="ALP493" s="1"/>
      <c r="ALQ493" s="1"/>
      <c r="ALR493" s="1"/>
      <c r="ALS493" s="1"/>
      <c r="ALT493" s="1"/>
      <c r="ALU493" s="1"/>
      <c r="ALV493" s="1"/>
      <c r="ALW493" s="1"/>
      <c r="ALX493" s="1"/>
      <c r="ALY493" s="1"/>
      <c r="ALZ493" s="1"/>
      <c r="AMA493" s="1"/>
      <c r="AMB493" s="1"/>
      <c r="AMC493" s="1"/>
      <c r="AMD493" s="1"/>
      <c r="AME493" s="1"/>
      <c r="AMF493" s="1"/>
      <c r="AMG493" s="1"/>
      <c r="AMH493" s="1"/>
      <c r="AMI493" s="1"/>
      <c r="AMJ493" s="1"/>
      <c r="AMK493" s="1"/>
      <c r="AML493" s="1"/>
      <c r="AMM493" s="1"/>
      <c r="AMN493" s="1"/>
      <c r="AMO493" s="1"/>
    </row>
    <row r="494" spans="1:1029" s="12" customFormat="1" x14ac:dyDescent="0.2">
      <c r="A494" s="9" t="str">
        <f t="shared" ref="A494:A495" si="5200">CONCATENATE(B494,"_",C494)</f>
        <v>sctr_human__wt</v>
      </c>
      <c r="B494" s="9" t="s">
        <v>410</v>
      </c>
      <c r="C494" s="9" t="s">
        <v>100</v>
      </c>
      <c r="D494" s="9" t="str">
        <f>IFERROR(MID(VLOOKUP($B494,Seqs!$A:$B,2,0),E494,1),"")</f>
        <v>S</v>
      </c>
      <c r="E494" s="9">
        <v>131</v>
      </c>
      <c r="F494" s="9" t="str">
        <f>IFERROR(MID(VLOOKUP($B494,Seqs!$A:$B,2,0),G494,1),"")</f>
        <v>F</v>
      </c>
      <c r="G494" s="9">
        <v>167</v>
      </c>
      <c r="H494" s="9" t="str">
        <f>IFERROR(MID(VLOOKUP($B494,Seqs!$A:$B,2,0),I494,1),"")</f>
        <v>R</v>
      </c>
      <c r="I494" s="109">
        <v>168</v>
      </c>
      <c r="J494" s="9" t="str">
        <f>IFERROR(MID(VLOOKUP($B494,Seqs!$A:$B,2,0),K494,1),"")</f>
        <v>H</v>
      </c>
      <c r="K494" s="109">
        <v>171</v>
      </c>
      <c r="L494" s="9" t="str">
        <f>IFERROR(MID(VLOOKUP($B494,Seqs!$A:$B,2,0),M494,1),"")</f>
        <v>C</v>
      </c>
      <c r="M494" s="109">
        <v>172</v>
      </c>
      <c r="N494" s="9" t="str">
        <f>IFERROR(MID(VLOOKUP($B494,Seqs!$A:$B,2,0),O494,1),"")</f>
        <v>L</v>
      </c>
      <c r="O494" s="9">
        <v>199</v>
      </c>
      <c r="P494" s="9" t="str">
        <f>IFERROR(MID(VLOOKUP($B494,Seqs!$A:$B,2,0),Q494,1),"")</f>
        <v/>
      </c>
      <c r="Q494" s="9" t="s">
        <v>23</v>
      </c>
      <c r="R494" s="9" t="str">
        <f>IFERROR(MID(VLOOKUP($B494,Seqs!$A:$B,2,0),S494,1),"")</f>
        <v/>
      </c>
      <c r="S494" s="9" t="s">
        <v>23</v>
      </c>
      <c r="T494" s="9" t="str">
        <f>IFERROR(MID(VLOOKUP($B494,Seqs!$A:$B,2,0),U494,1),"")</f>
        <v>R</v>
      </c>
      <c r="U494" s="9">
        <v>212</v>
      </c>
      <c r="V494" s="9" t="str">
        <f>IFERROR(MID(VLOOKUP($B494,Seqs!$A:$B,2,0),W494,1),"")</f>
        <v>I</v>
      </c>
      <c r="W494" s="9">
        <v>246</v>
      </c>
      <c r="X494" s="9" t="str">
        <f>IFERROR(MID(VLOOKUP($B494,Seqs!$A:$B,2,0),Y494,1),"")</f>
        <v/>
      </c>
      <c r="Y494" s="9" t="s">
        <v>23</v>
      </c>
      <c r="Z494" s="9" t="str">
        <f>IFERROR(MID(VLOOKUP($B494,Seqs!$A:$B,2,0),AA494,1),"")</f>
        <v/>
      </c>
      <c r="AA494" s="9" t="s">
        <v>23</v>
      </c>
      <c r="AB494" s="9" t="str">
        <f>IFERROR(MID(VLOOKUP($B494,Seqs!$A:$B,2,0),AC494,1),"")</f>
        <v>K</v>
      </c>
      <c r="AC494" s="9">
        <v>253</v>
      </c>
      <c r="AD494" s="9" t="str">
        <f>IFERROR(MID(VLOOKUP($B494,Seqs!$A:$B,2,0),AE494,1),"")</f>
        <v>E</v>
      </c>
      <c r="AE494" s="9">
        <v>281</v>
      </c>
      <c r="AF494" s="9" t="str">
        <f>IFERROR(MID(VLOOKUP($B494,Seqs!$A:$B,2,0),AG494,1),"")</f>
        <v>C</v>
      </c>
      <c r="AG494" s="9">
        <v>285</v>
      </c>
      <c r="AH494" s="9" t="str">
        <f>IFERROR(MID(VLOOKUP($B494,Seqs!$A:$B,2,0),AI494,1),"")</f>
        <v>D</v>
      </c>
      <c r="AI494" s="9">
        <v>287</v>
      </c>
      <c r="AJ494" s="9" t="str">
        <f>IFERROR(MID(VLOOKUP($B494,Seqs!$A:$B,2,0),AK494,1),"")</f>
        <v>N</v>
      </c>
      <c r="AK494" s="9">
        <v>291</v>
      </c>
      <c r="AL494" s="9" t="str">
        <f>IFERROR(MID(VLOOKUP($B494,Seqs!$A:$B,2,0),AM494,1),"")</f>
        <v>T</v>
      </c>
      <c r="AM494" s="9">
        <v>326</v>
      </c>
      <c r="AN494" s="9" t="str">
        <f>IFERROR(MID(VLOOKUP($B494,Seqs!$A:$B,2,0),AO494,1),"")</f>
        <v>N</v>
      </c>
      <c r="AO494" s="9">
        <v>332</v>
      </c>
      <c r="AP494" s="9" t="str">
        <f>IFERROR(MID(VLOOKUP($B494,Seqs!$A:$B,2,0),AQ494,1),"")</f>
        <v>S</v>
      </c>
      <c r="AQ494" s="9">
        <v>361</v>
      </c>
      <c r="AR494" s="9" t="str">
        <f>IFERROR(MID(VLOOKUP($B494,Seqs!$A:$B,2,0),AS494,1),"")</f>
        <v>A</v>
      </c>
      <c r="AS494" s="9">
        <v>365</v>
      </c>
      <c r="AT494" s="9" t="str">
        <f>IFERROR(MID(VLOOKUP($B494,Seqs!$A:$B,2,0),AU494,1),"")</f>
        <v>L</v>
      </c>
      <c r="AU494" s="9">
        <v>391</v>
      </c>
      <c r="AV494" s="9" t="str">
        <f>IFERROR(MID(VLOOKUP($B494,Seqs!$A:$B,2,0),AW494,1),"")</f>
        <v>N</v>
      </c>
      <c r="AW494" s="9">
        <v>392</v>
      </c>
      <c r="AX494" s="9" t="str">
        <f>IFERROR(MID(VLOOKUP($B494,Seqs!$A:$B,2,0),AY494,1),"")</f>
        <v>A</v>
      </c>
      <c r="AY494" s="9">
        <v>417</v>
      </c>
      <c r="AZ494" s="110" t="str">
        <f>VLOOKUP(B494,Classification!A:D,2,0)</f>
        <v>B1</v>
      </c>
      <c r="BA494" s="98" t="str">
        <f>VLOOKUP(B494,Classification!A:D,4,0)</f>
        <v>Glucagonreceptorfamily</v>
      </c>
      <c r="BB494" s="36" t="b">
        <f t="shared" ref="BB494:BB495" si="5201">AND(E494&lt;G494,OR(G494&lt;I494,I494="-"),OR(I494&lt;K494,I494="-"),OR(K494&lt;M494,K494="-"),M494&lt;O494,OR(O494&lt;Q494,Q494="-"),OR(Q494&lt;S494,Q494="-"),OR(S494&lt;U494,S494="-"),U494&lt;W494,OR(W494&lt;Y494,Y494="-"),OR(Y494&lt;AA494,Y494="-"),OR(AA494&lt;AC494,AA494="-"),AC494&lt;AE494,OR(AE494&lt;AG494,AG494="-"),OR(AG494&lt;AI494,AG494="-"),OR(AI494&lt;AK494,AI494="-"),AK494&lt;AM494,AM494&lt;AO494,AO494&lt;AQ494,AQ494&lt;AS494,AS494&lt;AU494,OR(AU494&lt;AW494,AW494="-"),OR(AW494&lt;AY494,AW494="-"))</f>
        <v>1</v>
      </c>
      <c r="BC494" s="109">
        <f t="shared" ref="BC494:BC495" si="5202">_xlfn.AGGREGATE(9,6,CH494:CS494)-_xlfn.AGGREGATE(9,6,BV494:CG494)+12</f>
        <v>257</v>
      </c>
      <c r="BD494" s="11" t="s">
        <v>23</v>
      </c>
      <c r="BE494" s="9" t="s">
        <v>23</v>
      </c>
      <c r="BF494" s="119" t="s">
        <v>23</v>
      </c>
      <c r="BG494" s="51" t="s">
        <v>23</v>
      </c>
      <c r="BH494" s="51" t="s">
        <v>23</v>
      </c>
      <c r="BJ494" s="111" t="s">
        <v>1281</v>
      </c>
      <c r="BK494" s="112" t="s">
        <v>1281</v>
      </c>
      <c r="BL494" s="112" t="s">
        <v>1281</v>
      </c>
      <c r="BM494" s="112" t="s">
        <v>1281</v>
      </c>
      <c r="BN494" s="112" t="s">
        <v>1281</v>
      </c>
      <c r="BO494" s="112" t="s">
        <v>1281</v>
      </c>
      <c r="BP494" s="112" t="s">
        <v>1281</v>
      </c>
      <c r="BQ494" s="112" t="s">
        <v>1281</v>
      </c>
      <c r="BR494" s="112" t="s">
        <v>1281</v>
      </c>
      <c r="BS494" s="112" t="s">
        <v>1281</v>
      </c>
      <c r="BT494" s="112" t="s">
        <v>1281</v>
      </c>
      <c r="BU494" s="112" t="s">
        <v>1281</v>
      </c>
      <c r="BV494" s="111">
        <f t="shared" ref="BV494:BV495" si="5203">E494</f>
        <v>131</v>
      </c>
      <c r="BW494" s="113">
        <f t="shared" ref="BW494:BW495" si="5204">I494</f>
        <v>168</v>
      </c>
      <c r="BX494" s="114">
        <f t="shared" ref="BX494:BX495" si="5205">M494</f>
        <v>172</v>
      </c>
      <c r="BY494" s="113" t="str">
        <f t="shared" ref="BY494:BY495" si="5206">Q494</f>
        <v>-</v>
      </c>
      <c r="BZ494" s="114">
        <f t="shared" ref="BZ494:BZ495" si="5207">U494</f>
        <v>212</v>
      </c>
      <c r="CA494" s="113" t="str">
        <f t="shared" ref="CA494:CA495" si="5208">Y494</f>
        <v>-</v>
      </c>
      <c r="CB494" s="114">
        <f t="shared" ref="CB494:CB495" si="5209">AC494</f>
        <v>253</v>
      </c>
      <c r="CC494" s="113">
        <f t="shared" ref="CC494:CC495" si="5210">AG494</f>
        <v>285</v>
      </c>
      <c r="CD494" s="114">
        <f t="shared" ref="CD494:CD495" si="5211">AK494</f>
        <v>291</v>
      </c>
      <c r="CE494" s="113">
        <f t="shared" ref="CE494:CE495" si="5212">AO494</f>
        <v>332</v>
      </c>
      <c r="CF494" s="114">
        <f t="shared" ref="CF494:CF495" si="5213">AS494</f>
        <v>365</v>
      </c>
      <c r="CG494" s="113">
        <f t="shared" ref="CG494:CG495" si="5214">AW494</f>
        <v>392</v>
      </c>
      <c r="CH494" s="111">
        <f t="shared" ref="CH494:CH495" si="5215">G494</f>
        <v>167</v>
      </c>
      <c r="CI494" s="113">
        <f t="shared" ref="CI494:CI495" si="5216">K494</f>
        <v>171</v>
      </c>
      <c r="CJ494" s="114">
        <f t="shared" ref="CJ494:CJ495" si="5217">O494</f>
        <v>199</v>
      </c>
      <c r="CK494" s="114" t="str">
        <f t="shared" ref="CK494:CK495" si="5218">S494</f>
        <v>-</v>
      </c>
      <c r="CL494" s="114">
        <f t="shared" ref="CL494:CL495" si="5219">W494</f>
        <v>246</v>
      </c>
      <c r="CM494" s="114" t="str">
        <f t="shared" ref="CM494:CM495" si="5220">AA494</f>
        <v>-</v>
      </c>
      <c r="CN494" s="114">
        <f t="shared" ref="CN494:CN495" si="5221">AE494</f>
        <v>281</v>
      </c>
      <c r="CO494" s="114">
        <f t="shared" ref="CO494:CO495" si="5222">AI494</f>
        <v>287</v>
      </c>
      <c r="CP494" s="114">
        <f t="shared" ref="CP494:CP495" si="5223">AM494</f>
        <v>326</v>
      </c>
      <c r="CQ494" s="114">
        <f t="shared" ref="CQ494:CQ495" si="5224">AQ494</f>
        <v>361</v>
      </c>
      <c r="CR494" s="114">
        <f t="shared" ref="CR494:CR495" si="5225">AU494</f>
        <v>391</v>
      </c>
      <c r="CS494" s="114">
        <f t="shared" ref="CS494:CS495" si="5226">AY494</f>
        <v>417</v>
      </c>
      <c r="CT494" s="109">
        <f t="shared" ref="CT494:CT495" si="5227">M494-K494</f>
        <v>1</v>
      </c>
    </row>
    <row r="495" spans="1:1029" s="12" customFormat="1" x14ac:dyDescent="0.2">
      <c r="A495" s="9" t="str">
        <f t="shared" si="5200"/>
        <v>sctr_human_6WI9</v>
      </c>
      <c r="B495" s="9" t="s">
        <v>410</v>
      </c>
      <c r="C495" s="9" t="s">
        <v>1701</v>
      </c>
      <c r="D495" s="9" t="str">
        <f>IFERROR(MID(VLOOKUP($B495,Seqs!$A:$B,2,0),E495,1),"")</f>
        <v>S</v>
      </c>
      <c r="E495" s="9">
        <v>131</v>
      </c>
      <c r="F495" s="9" t="str">
        <f>IFERROR(MID(VLOOKUP($B495,Seqs!$A:$B,2,0),G495,1),"")</f>
        <v>I</v>
      </c>
      <c r="G495" s="9">
        <v>163</v>
      </c>
      <c r="H495" s="9" t="str">
        <f>IFERROR(MID(VLOOKUP($B495,Seqs!$A:$B,2,0),I495,1),"")</f>
        <v/>
      </c>
      <c r="I495" s="109" t="s">
        <v>23</v>
      </c>
      <c r="J495" s="9" t="str">
        <f>IFERROR(MID(VLOOKUP($B495,Seqs!$A:$B,2,0),K495,1),"")</f>
        <v/>
      </c>
      <c r="K495" s="109" t="s">
        <v>23</v>
      </c>
      <c r="L495" s="9" t="str">
        <f>IFERROR(MID(VLOOKUP($B495,Seqs!$A:$B,2,0),M495,1),"")</f>
        <v>C</v>
      </c>
      <c r="M495" s="109">
        <v>172</v>
      </c>
      <c r="N495" s="9" t="str">
        <f>IFERROR(MID(VLOOKUP($B495,Seqs!$A:$B,2,0),O495,1),"")</f>
        <v>F</v>
      </c>
      <c r="O495" s="9">
        <v>200</v>
      </c>
      <c r="P495" s="9" t="str">
        <f>IFERROR(MID(VLOOKUP($B495,Seqs!$A:$B,2,0),Q495,1),"")</f>
        <v/>
      </c>
      <c r="Q495" s="9" t="s">
        <v>23</v>
      </c>
      <c r="R495" s="9" t="str">
        <f>IFERROR(MID(VLOOKUP($B495,Seqs!$A:$B,2,0),S495,1),"")</f>
        <v/>
      </c>
      <c r="S495" s="9" t="s">
        <v>23</v>
      </c>
      <c r="T495" s="9" t="str">
        <f>IFERROR(MID(VLOOKUP($B495,Seqs!$A:$B,2,0),U495,1),"")</f>
        <v>R</v>
      </c>
      <c r="U495" s="9">
        <v>212</v>
      </c>
      <c r="V495" s="9" t="str">
        <f>IFERROR(MID(VLOOKUP($B495,Seqs!$A:$B,2,0),W495,1),"")</f>
        <v>I</v>
      </c>
      <c r="W495" s="9">
        <v>246</v>
      </c>
      <c r="X495" s="9" t="str">
        <f>IFERROR(MID(VLOOKUP($B495,Seqs!$A:$B,2,0),Y495,1),"")</f>
        <v/>
      </c>
      <c r="Y495" s="9" t="s">
        <v>23</v>
      </c>
      <c r="Z495" s="9" t="str">
        <f>IFERROR(MID(VLOOKUP($B495,Seqs!$A:$B,2,0),AA495,1),"")</f>
        <v/>
      </c>
      <c r="AA495" s="9" t="s">
        <v>23</v>
      </c>
      <c r="AB495" s="9" t="str">
        <f>IFERROR(MID(VLOOKUP($B495,Seqs!$A:$B,2,0),AC495,1),"")</f>
        <v>K</v>
      </c>
      <c r="AC495" s="9">
        <v>253</v>
      </c>
      <c r="AD495" s="9" t="str">
        <f>IFERROR(MID(VLOOKUP($B495,Seqs!$A:$B,2,0),AE495,1),"")</f>
        <v>L</v>
      </c>
      <c r="AE495" s="9">
        <v>280</v>
      </c>
      <c r="AF495" s="9" t="str">
        <f>IFERROR(MID(VLOOKUP($B495,Seqs!$A:$B,2,0),AG495,1),"")</f>
        <v>C</v>
      </c>
      <c r="AG495" s="9">
        <v>285</v>
      </c>
      <c r="AH495" s="9" t="str">
        <f>IFERROR(MID(VLOOKUP($B495,Seqs!$A:$B,2,0),AI495,1),"")</f>
        <v>D</v>
      </c>
      <c r="AI495" s="9">
        <v>287</v>
      </c>
      <c r="AJ495" s="9" t="str">
        <f>IFERROR(MID(VLOOKUP($B495,Seqs!$A:$B,2,0),AK495,1),"")</f>
        <v>W</v>
      </c>
      <c r="AK495" s="9">
        <v>295</v>
      </c>
      <c r="AL495" s="9" t="str">
        <f>IFERROR(MID(VLOOKUP($B495,Seqs!$A:$B,2,0),AM495,1),"")</f>
        <v>T</v>
      </c>
      <c r="AM495" s="9">
        <v>326</v>
      </c>
      <c r="AN495" s="9" t="str">
        <f>IFERROR(MID(VLOOKUP($B495,Seqs!$A:$B,2,0),AO495,1),"")</f>
        <v>S</v>
      </c>
      <c r="AO495" s="9">
        <v>335</v>
      </c>
      <c r="AP495" s="9" t="str">
        <f>IFERROR(MID(VLOOKUP($B495,Seqs!$A:$B,2,0),AQ495,1),"")</f>
        <v>A</v>
      </c>
      <c r="AQ495" s="9">
        <v>359</v>
      </c>
      <c r="AR495" s="9" t="str">
        <f>IFERROR(MID(VLOOKUP($B495,Seqs!$A:$B,2,0),AS495,1),"")</f>
        <v>M</v>
      </c>
      <c r="AS495" s="9">
        <v>366</v>
      </c>
      <c r="AT495" s="9" t="str">
        <f>IFERROR(MID(VLOOKUP($B495,Seqs!$A:$B,2,0),AU495,1),"")</f>
        <v>L</v>
      </c>
      <c r="AU495" s="9">
        <v>391</v>
      </c>
      <c r="AV495" s="9" t="str">
        <f>IFERROR(MID(VLOOKUP($B495,Seqs!$A:$B,2,0),AW495,1),"")</f>
        <v>N</v>
      </c>
      <c r="AW495" s="9">
        <v>392</v>
      </c>
      <c r="AX495" s="9" t="str">
        <f>IFERROR(MID(VLOOKUP($B495,Seqs!$A:$B,2,0),AY495,1),"")</f>
        <v>L</v>
      </c>
      <c r="AY495" s="9">
        <v>408</v>
      </c>
      <c r="AZ495" s="110" t="str">
        <f>VLOOKUP(B495,Classification!A:D,2,0)</f>
        <v>B1</v>
      </c>
      <c r="BA495" s="98" t="str">
        <f>VLOOKUP(B495,Classification!A:D,4,0)</f>
        <v>Glucagonreceptorfamily</v>
      </c>
      <c r="BB495" s="36" t="b">
        <f t="shared" si="5201"/>
        <v>1</v>
      </c>
      <c r="BC495" s="109">
        <f t="shared" si="5202"/>
        <v>231</v>
      </c>
      <c r="BD495" s="11" t="s">
        <v>23</v>
      </c>
      <c r="BE495" s="9" t="s">
        <v>1285</v>
      </c>
      <c r="BF495" s="119">
        <v>4.3</v>
      </c>
      <c r="BG495" s="51" t="s">
        <v>1416</v>
      </c>
      <c r="BH495" s="51" t="s">
        <v>1416</v>
      </c>
      <c r="BJ495" s="111" t="s">
        <v>1281</v>
      </c>
      <c r="BK495" s="112" t="s">
        <v>1281</v>
      </c>
      <c r="BL495" s="112" t="s">
        <v>1281</v>
      </c>
      <c r="BM495" s="112" t="s">
        <v>1281</v>
      </c>
      <c r="BN495" s="112" t="s">
        <v>1281</v>
      </c>
      <c r="BO495" s="112" t="s">
        <v>1281</v>
      </c>
      <c r="BP495" s="112" t="s">
        <v>1281</v>
      </c>
      <c r="BQ495" s="112" t="s">
        <v>1281</v>
      </c>
      <c r="BR495" s="112" t="s">
        <v>1281</v>
      </c>
      <c r="BS495" s="112" t="s">
        <v>1281</v>
      </c>
      <c r="BT495" s="112" t="s">
        <v>1281</v>
      </c>
      <c r="BU495" s="112" t="s">
        <v>1281</v>
      </c>
      <c r="BV495" s="111">
        <f t="shared" si="5203"/>
        <v>131</v>
      </c>
      <c r="BW495" s="113" t="str">
        <f t="shared" si="5204"/>
        <v>-</v>
      </c>
      <c r="BX495" s="114">
        <f t="shared" si="5205"/>
        <v>172</v>
      </c>
      <c r="BY495" s="113" t="str">
        <f t="shared" si="5206"/>
        <v>-</v>
      </c>
      <c r="BZ495" s="114">
        <f t="shared" si="5207"/>
        <v>212</v>
      </c>
      <c r="CA495" s="113" t="str">
        <f t="shared" si="5208"/>
        <v>-</v>
      </c>
      <c r="CB495" s="114">
        <f t="shared" si="5209"/>
        <v>253</v>
      </c>
      <c r="CC495" s="113">
        <f t="shared" si="5210"/>
        <v>285</v>
      </c>
      <c r="CD495" s="114">
        <f t="shared" si="5211"/>
        <v>295</v>
      </c>
      <c r="CE495" s="113">
        <f t="shared" si="5212"/>
        <v>335</v>
      </c>
      <c r="CF495" s="114">
        <f t="shared" si="5213"/>
        <v>366</v>
      </c>
      <c r="CG495" s="113">
        <f t="shared" si="5214"/>
        <v>392</v>
      </c>
      <c r="CH495" s="111">
        <f t="shared" si="5215"/>
        <v>163</v>
      </c>
      <c r="CI495" s="113" t="str">
        <f t="shared" si="5216"/>
        <v>-</v>
      </c>
      <c r="CJ495" s="114">
        <f t="shared" si="5217"/>
        <v>200</v>
      </c>
      <c r="CK495" s="114" t="str">
        <f t="shared" si="5218"/>
        <v>-</v>
      </c>
      <c r="CL495" s="114">
        <f t="shared" si="5219"/>
        <v>246</v>
      </c>
      <c r="CM495" s="114" t="str">
        <f t="shared" si="5220"/>
        <v>-</v>
      </c>
      <c r="CN495" s="114">
        <f t="shared" si="5221"/>
        <v>280</v>
      </c>
      <c r="CO495" s="114">
        <f t="shared" si="5222"/>
        <v>287</v>
      </c>
      <c r="CP495" s="114">
        <f t="shared" si="5223"/>
        <v>326</v>
      </c>
      <c r="CQ495" s="114">
        <f t="shared" si="5224"/>
        <v>359</v>
      </c>
      <c r="CR495" s="114">
        <f t="shared" si="5225"/>
        <v>391</v>
      </c>
      <c r="CS495" s="114">
        <f t="shared" si="5226"/>
        <v>408</v>
      </c>
      <c r="CT495" s="109" t="e">
        <f t="shared" si="5227"/>
        <v>#VALUE!</v>
      </c>
    </row>
    <row r="496" spans="1:1029" s="12" customFormat="1" x14ac:dyDescent="0.2">
      <c r="A496" s="9" t="str">
        <f t="shared" ref="A496:A500" si="5228">CONCATENATE(B496,"_",C496)</f>
        <v>sctr_human_6WZG</v>
      </c>
      <c r="B496" s="9" t="s">
        <v>410</v>
      </c>
      <c r="C496" s="9" t="s">
        <v>1702</v>
      </c>
      <c r="D496" s="9" t="str">
        <f>IFERROR(MID(VLOOKUP($B496,Seqs!$A:$B,2,0),E496,1),"")</f>
        <v>N</v>
      </c>
      <c r="E496" s="9">
        <v>132</v>
      </c>
      <c r="F496" s="9" t="str">
        <f>IFERROR(MID(VLOOKUP($B496,Seqs!$A:$B,2,0),G496,1),"")</f>
        <v>F</v>
      </c>
      <c r="G496" s="9">
        <v>167</v>
      </c>
      <c r="H496" s="9" t="str">
        <f>IFERROR(MID(VLOOKUP($B496,Seqs!$A:$B,2,0),I496,1),"")</f>
        <v>R</v>
      </c>
      <c r="I496" s="109">
        <v>168</v>
      </c>
      <c r="J496" s="9" t="str">
        <f>IFERROR(MID(VLOOKUP($B496,Seqs!$A:$B,2,0),K496,1),"")</f>
        <v>H</v>
      </c>
      <c r="K496" s="109">
        <v>171</v>
      </c>
      <c r="L496" s="9" t="str">
        <f>IFERROR(MID(VLOOKUP($B496,Seqs!$A:$B,2,0),M496,1),"")</f>
        <v>C</v>
      </c>
      <c r="M496" s="109">
        <v>172</v>
      </c>
      <c r="N496" s="9" t="str">
        <f>IFERROR(MID(VLOOKUP($B496,Seqs!$A:$B,2,0),O496,1),"")</f>
        <v>F</v>
      </c>
      <c r="O496" s="9">
        <v>200</v>
      </c>
      <c r="P496" s="9" t="str">
        <f>IFERROR(MID(VLOOKUP($B496,Seqs!$A:$B,2,0),Q496,1),"")</f>
        <v/>
      </c>
      <c r="Q496" s="9" t="s">
        <v>23</v>
      </c>
      <c r="R496" s="9" t="str">
        <f>IFERROR(MID(VLOOKUP($B496,Seqs!$A:$B,2,0),S496,1),"")</f>
        <v/>
      </c>
      <c r="S496" s="9" t="s">
        <v>23</v>
      </c>
      <c r="T496" s="9" t="str">
        <f>IFERROR(MID(VLOOKUP($B496,Seqs!$A:$B,2,0),U496,1),"")</f>
        <v>H</v>
      </c>
      <c r="U496" s="9">
        <v>211</v>
      </c>
      <c r="V496" s="9" t="str">
        <f>IFERROR(MID(VLOOKUP($B496,Seqs!$A:$B,2,0),W496,1),"")</f>
        <v>I</v>
      </c>
      <c r="W496" s="9">
        <v>246</v>
      </c>
      <c r="X496" s="9" t="str">
        <f>IFERROR(MID(VLOOKUP($B496,Seqs!$A:$B,2,0),Y496,1),"")</f>
        <v/>
      </c>
      <c r="Y496" s="9" t="s">
        <v>23</v>
      </c>
      <c r="Z496" s="9" t="str">
        <f>IFERROR(MID(VLOOKUP($B496,Seqs!$A:$B,2,0),AA496,1),"")</f>
        <v/>
      </c>
      <c r="AA496" s="9" t="s">
        <v>23</v>
      </c>
      <c r="AB496" s="9" t="str">
        <f>IFERROR(MID(VLOOKUP($B496,Seqs!$A:$B,2,0),AC496,1),"")</f>
        <v>Y</v>
      </c>
      <c r="AC496" s="9">
        <v>254</v>
      </c>
      <c r="AD496" s="9" t="str">
        <f>IFERROR(MID(VLOOKUP($B496,Seqs!$A:$B,2,0),AE496,1),"")</f>
        <v>L</v>
      </c>
      <c r="AE496" s="9">
        <v>280</v>
      </c>
      <c r="AF496" s="9" t="str">
        <f>IFERROR(MID(VLOOKUP($B496,Seqs!$A:$B,2,0),AG496,1),"")</f>
        <v>C</v>
      </c>
      <c r="AG496" s="9">
        <v>285</v>
      </c>
      <c r="AH496" s="9" t="str">
        <f>IFERROR(MID(VLOOKUP($B496,Seqs!$A:$B,2,0),AI496,1),"")</f>
        <v>D</v>
      </c>
      <c r="AI496" s="9">
        <v>287</v>
      </c>
      <c r="AJ496" s="9" t="str">
        <f>IFERROR(MID(VLOOKUP($B496,Seqs!$A:$B,2,0),AK496,1),"")</f>
        <v>N</v>
      </c>
      <c r="AK496" s="9">
        <v>291</v>
      </c>
      <c r="AL496" s="9" t="str">
        <f>IFERROR(MID(VLOOKUP($B496,Seqs!$A:$B,2,0),AM496,1),"")</f>
        <v>T</v>
      </c>
      <c r="AM496" s="9">
        <v>326</v>
      </c>
      <c r="AN496" s="9" t="str">
        <f>IFERROR(MID(VLOOKUP($B496,Seqs!$A:$B,2,0),AO496,1),"")</f>
        <v>N</v>
      </c>
      <c r="AO496" s="9">
        <v>332</v>
      </c>
      <c r="AP496" s="9" t="str">
        <f>IFERROR(MID(VLOOKUP($B496,Seqs!$A:$B,2,0),AQ496,1),"")</f>
        <v>A</v>
      </c>
      <c r="AQ496" s="9">
        <v>359</v>
      </c>
      <c r="AR496" s="9" t="str">
        <f>IFERROR(MID(VLOOKUP($B496,Seqs!$A:$B,2,0),AS496,1),"")</f>
        <v>A</v>
      </c>
      <c r="AS496" s="9">
        <v>365</v>
      </c>
      <c r="AT496" s="9" t="str">
        <f>IFERROR(MID(VLOOKUP($B496,Seqs!$A:$B,2,0),AU496,1),"")</f>
        <v>L</v>
      </c>
      <c r="AU496" s="9">
        <v>391</v>
      </c>
      <c r="AV496" s="9" t="str">
        <f>IFERROR(MID(VLOOKUP($B496,Seqs!$A:$B,2,0),AW496,1),"")</f>
        <v>N</v>
      </c>
      <c r="AW496" s="9">
        <v>392</v>
      </c>
      <c r="AX496" s="9" t="str">
        <f>IFERROR(MID(VLOOKUP($B496,Seqs!$A:$B,2,0),AY496,1),"")</f>
        <v>L</v>
      </c>
      <c r="AY496" s="9">
        <v>408</v>
      </c>
      <c r="AZ496" s="110" t="str">
        <f>VLOOKUP(B496,Classification!A:D,2,0)</f>
        <v>B1</v>
      </c>
      <c r="BA496" s="98" t="str">
        <f>VLOOKUP(B496,Classification!A:D,4,0)</f>
        <v>Glucagonreceptorfamily</v>
      </c>
      <c r="BB496" s="36" t="b">
        <f t="shared" ref="BB496:BB500" si="5229">AND(E496&lt;G496,OR(G496&lt;I496,I496="-"),OR(I496&lt;K496,I496="-"),OR(K496&lt;M496,K496="-"),M496&lt;O496,OR(O496&lt;Q496,Q496="-"),OR(Q496&lt;S496,Q496="-"),OR(S496&lt;U496,S496="-"),U496&lt;W496,OR(W496&lt;Y496,Y496="-"),OR(Y496&lt;AA496,Y496="-"),OR(AA496&lt;AC496,AA496="-"),AC496&lt;AE496,OR(AE496&lt;AG496,AG496="-"),OR(AG496&lt;AI496,AG496="-"),OR(AI496&lt;AK496,AI496="-"),AK496&lt;AM496,AM496&lt;AO496,AO496&lt;AQ496,AQ496&lt;AS496,AS496&lt;AU496,OR(AU496&lt;AW496,AW496="-"),OR(AW496&lt;AY496,AW496="-"))</f>
        <v>1</v>
      </c>
      <c r="BC496" s="109">
        <f t="shared" ref="BC496:BC500" si="5230">_xlfn.AGGREGATE(9,6,CH496:CS496)-_xlfn.AGGREGATE(9,6,BV496:CG496)+12</f>
        <v>245</v>
      </c>
      <c r="BD496" s="11" t="s">
        <v>1369</v>
      </c>
      <c r="BE496" s="9" t="s">
        <v>1285</v>
      </c>
      <c r="BF496" s="119">
        <v>2.2999999999999998</v>
      </c>
      <c r="BG496" s="51" t="s">
        <v>1416</v>
      </c>
      <c r="BH496" s="51" t="s">
        <v>1416</v>
      </c>
      <c r="BJ496" s="111" t="s">
        <v>1281</v>
      </c>
      <c r="BK496" s="112" t="s">
        <v>1281</v>
      </c>
      <c r="BL496" s="112" t="s">
        <v>1281</v>
      </c>
      <c r="BM496" s="112" t="s">
        <v>1281</v>
      </c>
      <c r="BN496" s="112" t="s">
        <v>1281</v>
      </c>
      <c r="BO496" s="112" t="s">
        <v>1281</v>
      </c>
      <c r="BP496" s="112" t="s">
        <v>1281</v>
      </c>
      <c r="BQ496" s="112" t="s">
        <v>1281</v>
      </c>
      <c r="BR496" s="112" t="s">
        <v>1281</v>
      </c>
      <c r="BS496" s="112" t="s">
        <v>1281</v>
      </c>
      <c r="BT496" s="112" t="s">
        <v>1281</v>
      </c>
      <c r="BU496" s="112" t="s">
        <v>1281</v>
      </c>
      <c r="BV496" s="111">
        <f t="shared" ref="BV496:BV500" si="5231">E496</f>
        <v>132</v>
      </c>
      <c r="BW496" s="113">
        <f t="shared" ref="BW496:BW500" si="5232">I496</f>
        <v>168</v>
      </c>
      <c r="BX496" s="114">
        <f t="shared" ref="BX496:BX500" si="5233">M496</f>
        <v>172</v>
      </c>
      <c r="BY496" s="113" t="str">
        <f t="shared" ref="BY496:BY500" si="5234">Q496</f>
        <v>-</v>
      </c>
      <c r="BZ496" s="114">
        <f t="shared" ref="BZ496:BZ500" si="5235">U496</f>
        <v>211</v>
      </c>
      <c r="CA496" s="113" t="str">
        <f t="shared" ref="CA496:CA500" si="5236">Y496</f>
        <v>-</v>
      </c>
      <c r="CB496" s="114">
        <f t="shared" ref="CB496:CB500" si="5237">AC496</f>
        <v>254</v>
      </c>
      <c r="CC496" s="113">
        <f t="shared" ref="CC496:CC500" si="5238">AG496</f>
        <v>285</v>
      </c>
      <c r="CD496" s="114">
        <f t="shared" ref="CD496:CD500" si="5239">AK496</f>
        <v>291</v>
      </c>
      <c r="CE496" s="113">
        <f t="shared" ref="CE496:CE500" si="5240">AO496</f>
        <v>332</v>
      </c>
      <c r="CF496" s="114">
        <f t="shared" ref="CF496:CF500" si="5241">AS496</f>
        <v>365</v>
      </c>
      <c r="CG496" s="113">
        <f t="shared" ref="CG496:CG500" si="5242">AW496</f>
        <v>392</v>
      </c>
      <c r="CH496" s="111">
        <f t="shared" ref="CH496:CH500" si="5243">G496</f>
        <v>167</v>
      </c>
      <c r="CI496" s="113">
        <f t="shared" ref="CI496:CI500" si="5244">K496</f>
        <v>171</v>
      </c>
      <c r="CJ496" s="114">
        <f t="shared" ref="CJ496:CJ500" si="5245">O496</f>
        <v>200</v>
      </c>
      <c r="CK496" s="114" t="str">
        <f t="shared" ref="CK496:CK500" si="5246">S496</f>
        <v>-</v>
      </c>
      <c r="CL496" s="114">
        <f t="shared" ref="CL496:CL500" si="5247">W496</f>
        <v>246</v>
      </c>
      <c r="CM496" s="114" t="str">
        <f t="shared" ref="CM496:CM500" si="5248">AA496</f>
        <v>-</v>
      </c>
      <c r="CN496" s="114">
        <f t="shared" ref="CN496:CN500" si="5249">AE496</f>
        <v>280</v>
      </c>
      <c r="CO496" s="114">
        <f t="shared" ref="CO496:CO500" si="5250">AI496</f>
        <v>287</v>
      </c>
      <c r="CP496" s="114">
        <f t="shared" ref="CP496:CP500" si="5251">AM496</f>
        <v>326</v>
      </c>
      <c r="CQ496" s="114">
        <f t="shared" ref="CQ496:CQ500" si="5252">AQ496</f>
        <v>359</v>
      </c>
      <c r="CR496" s="114">
        <f t="shared" ref="CR496:CR500" si="5253">AU496</f>
        <v>391</v>
      </c>
      <c r="CS496" s="114">
        <f t="shared" ref="CS496:CS500" si="5254">AY496</f>
        <v>408</v>
      </c>
      <c r="CT496" s="109">
        <f t="shared" ref="CT496:CT500" si="5255">M496-K496</f>
        <v>1</v>
      </c>
    </row>
    <row r="497" spans="1:1029" s="12" customFormat="1" x14ac:dyDescent="0.2">
      <c r="A497" s="9" t="str">
        <f t="shared" ref="A497:A498" si="5256">CONCATENATE(B497,"_",C497)</f>
        <v>gabr1_human__wt</v>
      </c>
      <c r="B497" s="9" t="s">
        <v>106</v>
      </c>
      <c r="C497" s="9" t="s">
        <v>100</v>
      </c>
      <c r="D497" s="9" t="str">
        <f>IFERROR(MID(VLOOKUP($B497,Seqs!$A:$B,2,0),E497,1),"")</f>
        <v>K</v>
      </c>
      <c r="E497" s="9">
        <v>590</v>
      </c>
      <c r="F497" s="9" t="str">
        <f>IFERROR(MID(VLOOKUP($B497,Seqs!$A:$B,2,0),G497,1),"")</f>
        <v>N</v>
      </c>
      <c r="G497" s="9">
        <v>616</v>
      </c>
      <c r="H497" s="9" t="str">
        <f>IFERROR(MID(VLOOKUP($B497,Seqs!$A:$B,2,0),I497,1),"")</f>
        <v>V</v>
      </c>
      <c r="I497" s="109">
        <v>619</v>
      </c>
      <c r="J497" s="9" t="str">
        <f>IFERROR(MID(VLOOKUP($B497,Seqs!$A:$B,2,0),K497,1),"")</f>
        <v>S</v>
      </c>
      <c r="K497" s="109">
        <v>625</v>
      </c>
      <c r="L497" s="9" t="str">
        <f>IFERROR(MID(VLOOKUP($B497,Seqs!$A:$B,2,0),M497,1),"")</f>
        <v>Q</v>
      </c>
      <c r="M497" s="9">
        <v>626</v>
      </c>
      <c r="N497" s="9" t="str">
        <f>IFERROR(MID(VLOOKUP($B497,Seqs!$A:$B,2,0),O497,1),"")</f>
        <v>L</v>
      </c>
      <c r="O497" s="9">
        <v>649</v>
      </c>
      <c r="P497" s="9" t="str">
        <f>IFERROR(MID(VLOOKUP($B497,Seqs!$A:$B,2,0),Q497,1),"")</f>
        <v/>
      </c>
      <c r="Q497" s="9" t="s">
        <v>23</v>
      </c>
      <c r="R497" s="9" t="str">
        <f>IFERROR(MID(VLOOKUP($B497,Seqs!$A:$B,2,0),S497,1),"")</f>
        <v/>
      </c>
      <c r="S497" s="9" t="s">
        <v>23</v>
      </c>
      <c r="T497" s="9" t="str">
        <f>IFERROR(MID(VLOOKUP($B497,Seqs!$A:$B,2,0),U497,1),"")</f>
        <v>Q</v>
      </c>
      <c r="U497" s="9">
        <v>658</v>
      </c>
      <c r="V497" s="9" t="str">
        <f>IFERROR(MID(VLOOKUP($B497,Seqs!$A:$B,2,0),W497,1),"")</f>
        <v>F</v>
      </c>
      <c r="W497" s="9">
        <v>692</v>
      </c>
      <c r="X497" s="9" t="str">
        <f>IFERROR(MID(VLOOKUP($B497,Seqs!$A:$B,2,0),Y497,1),"")</f>
        <v/>
      </c>
      <c r="Y497" s="9" t="s">
        <v>23</v>
      </c>
      <c r="Z497" s="9" t="str">
        <f>IFERROR(MID(VLOOKUP($B497,Seqs!$A:$B,2,0),AA497,1),"")</f>
        <v/>
      </c>
      <c r="AA497" s="9" t="s">
        <v>23</v>
      </c>
      <c r="AB497" s="9" t="str">
        <f>IFERROR(MID(VLOOKUP($B497,Seqs!$A:$B,2,0),AC497,1),"")</f>
        <v>E</v>
      </c>
      <c r="AC497" s="9">
        <v>706</v>
      </c>
      <c r="AD497" s="9" t="str">
        <f>IFERROR(MID(VLOOKUP($B497,Seqs!$A:$B,2,0),AE497,1),"")</f>
        <v>D</v>
      </c>
      <c r="AE497" s="9">
        <v>732</v>
      </c>
      <c r="AF497" s="9" t="str">
        <f>IFERROR(MID(VLOOKUP($B497,Seqs!$A:$B,2,0),AG497,1),"")</f>
        <v>C</v>
      </c>
      <c r="AG497" s="9">
        <v>761</v>
      </c>
      <c r="AH497" s="9" t="str">
        <f>IFERROR(MID(VLOOKUP($B497,Seqs!$A:$B,2,0),AI497,1),"")</f>
        <v>S</v>
      </c>
      <c r="AI497" s="9">
        <v>763</v>
      </c>
      <c r="AJ497" s="9" t="str">
        <f>IFERROR(MID(VLOOKUP($B497,Seqs!$A:$B,2,0),AK497,1),"")</f>
        <v>K</v>
      </c>
      <c r="AK497" s="9">
        <v>765</v>
      </c>
      <c r="AL497" s="9" t="str">
        <f>IFERROR(MID(VLOOKUP($B497,Seqs!$A:$B,2,0),AM497,1),"")</f>
        <v>K</v>
      </c>
      <c r="AM497" s="9">
        <v>792</v>
      </c>
      <c r="AN497" s="9" t="str">
        <f>IFERROR(MID(VLOOKUP($B497,Seqs!$A:$B,2,0),AO497,1),"")</f>
        <v>D</v>
      </c>
      <c r="AO497" s="9">
        <v>801</v>
      </c>
      <c r="AP497" s="9" t="str">
        <f>IFERROR(MID(VLOOKUP($B497,Seqs!$A:$B,2,0),AQ497,1),"")</f>
        <v>L</v>
      </c>
      <c r="AQ497" s="9">
        <v>826</v>
      </c>
      <c r="AR497" s="9" t="str">
        <f>IFERROR(MID(VLOOKUP($B497,Seqs!$A:$B,2,0),AS497,1),"")</f>
        <v>A</v>
      </c>
      <c r="AS497" s="9">
        <v>832</v>
      </c>
      <c r="AT497" s="9" t="str">
        <f>IFERROR(MID(VLOOKUP($B497,Seqs!$A:$B,2,0),AU497,1),"")</f>
        <v>R</v>
      </c>
      <c r="AU497" s="9">
        <v>863</v>
      </c>
      <c r="AV497" s="9" t="str">
        <f>IFERROR(MID(VLOOKUP($B497,Seqs!$A:$B,2,0),AW497,1),"")</f>
        <v>G</v>
      </c>
      <c r="AW497" s="9">
        <v>864</v>
      </c>
      <c r="AX497" s="9" t="str">
        <f>IFERROR(MID(VLOOKUP($B497,Seqs!$A:$B,2,0),AY497,1),"")</f>
        <v>K</v>
      </c>
      <c r="AY497" s="9">
        <v>875</v>
      </c>
      <c r="AZ497" s="110" t="str">
        <f>VLOOKUP(B497,Classification!A:D,2,0)</f>
        <v>C</v>
      </c>
      <c r="BA497" s="98" t="str">
        <f>VLOOKUP(B497,Classification!A:D,4,0)</f>
        <v>GABA&lt;sub&gt;B&lt;/sub&gt;</v>
      </c>
      <c r="BB497" s="36" t="b">
        <f t="shared" ref="BB497:BB498" si="5257">AND(E497&lt;G497,OR(G497&lt;I497,I497="-"),OR(I497&lt;K497,I497="-"),OR(K497&lt;M497,K497="-"),M497&lt;O497,OR(O497&lt;Q497,Q497="-"),OR(Q497&lt;S497,Q497="-"),OR(S497&lt;U497,S497="-"),U497&lt;W497,OR(W497&lt;Y497,Y497="-"),OR(Y497&lt;AA497,Y497="-"),OR(AA497&lt;AC497,AA497="-"),AC497&lt;AE497,OR(AE497&lt;AG497,AG497="-"),OR(AG497&lt;AI497,AG497="-"),OR(AI497&lt;AK497,AI497="-"),AK497&lt;AM497,AM497&lt;AO497,AO497&lt;AQ497,AQ497&lt;AS497,AS497&lt;AU497,OR(AU497&lt;AW497,AW497="-"),OR(AW497&lt;AY497,AW497="-"))</f>
        <v>1</v>
      </c>
      <c r="BC497" s="109">
        <f t="shared" ref="BC497:BC498" si="5258">_xlfn.AGGREGATE(9,6,CH497:CS497)-_xlfn.AGGREGATE(9,6,BV497:CG497)+12</f>
        <v>223</v>
      </c>
      <c r="BD497" s="127" t="s">
        <v>23</v>
      </c>
      <c r="BE497" s="9" t="s">
        <v>23</v>
      </c>
      <c r="BF497" s="119" t="s">
        <v>23</v>
      </c>
      <c r="BG497" s="51" t="s">
        <v>23</v>
      </c>
      <c r="BH497" s="51" t="s">
        <v>23</v>
      </c>
      <c r="BI497" s="9"/>
      <c r="BJ497" s="111" t="s">
        <v>1281</v>
      </c>
      <c r="BK497" s="112" t="s">
        <v>1281</v>
      </c>
      <c r="BL497" s="112" t="s">
        <v>1281</v>
      </c>
      <c r="BM497" s="112" t="s">
        <v>1281</v>
      </c>
      <c r="BN497" s="112" t="s">
        <v>1281</v>
      </c>
      <c r="BO497" s="112" t="s">
        <v>1281</v>
      </c>
      <c r="BP497" s="112" t="s">
        <v>1281</v>
      </c>
      <c r="BQ497" s="112" t="s">
        <v>1281</v>
      </c>
      <c r="BR497" s="112" t="s">
        <v>1281</v>
      </c>
      <c r="BS497" s="112" t="s">
        <v>1281</v>
      </c>
      <c r="BT497" s="112" t="s">
        <v>1281</v>
      </c>
      <c r="BU497" s="112" t="s">
        <v>1281</v>
      </c>
      <c r="BV497" s="111">
        <f t="shared" ref="BV497:BV498" si="5259">E497</f>
        <v>590</v>
      </c>
      <c r="BW497" s="113">
        <f t="shared" ref="BW497:BW498" si="5260">I497</f>
        <v>619</v>
      </c>
      <c r="BX497" s="114">
        <f t="shared" ref="BX497:BX498" si="5261">M497</f>
        <v>626</v>
      </c>
      <c r="BY497" s="113" t="str">
        <f t="shared" ref="BY497:BY498" si="5262">Q497</f>
        <v>-</v>
      </c>
      <c r="BZ497" s="114">
        <f t="shared" ref="BZ497:BZ498" si="5263">U497</f>
        <v>658</v>
      </c>
      <c r="CA497" s="113" t="str">
        <f t="shared" ref="CA497:CA498" si="5264">Y497</f>
        <v>-</v>
      </c>
      <c r="CB497" s="114">
        <f t="shared" ref="CB497:CB498" si="5265">AC497</f>
        <v>706</v>
      </c>
      <c r="CC497" s="113">
        <f t="shared" ref="CC497:CC498" si="5266">AG497</f>
        <v>761</v>
      </c>
      <c r="CD497" s="114">
        <f t="shared" ref="CD497:CD498" si="5267">AK497</f>
        <v>765</v>
      </c>
      <c r="CE497" s="113">
        <f t="shared" ref="CE497:CE498" si="5268">AO497</f>
        <v>801</v>
      </c>
      <c r="CF497" s="114">
        <f t="shared" ref="CF497:CF498" si="5269">AS497</f>
        <v>832</v>
      </c>
      <c r="CG497" s="113">
        <f t="shared" ref="CG497:CG498" si="5270">AW497</f>
        <v>864</v>
      </c>
      <c r="CH497" s="111">
        <f t="shared" ref="CH497:CH498" si="5271">G497</f>
        <v>616</v>
      </c>
      <c r="CI497" s="113">
        <f t="shared" ref="CI497:CI498" si="5272">K497</f>
        <v>625</v>
      </c>
      <c r="CJ497" s="114">
        <f t="shared" ref="CJ497:CJ498" si="5273">O497</f>
        <v>649</v>
      </c>
      <c r="CK497" s="114" t="str">
        <f t="shared" ref="CK497:CK498" si="5274">S497</f>
        <v>-</v>
      </c>
      <c r="CL497" s="114">
        <f t="shared" ref="CL497:CL498" si="5275">W497</f>
        <v>692</v>
      </c>
      <c r="CM497" s="114" t="str">
        <f t="shared" ref="CM497:CM498" si="5276">AA497</f>
        <v>-</v>
      </c>
      <c r="CN497" s="114">
        <f t="shared" ref="CN497:CN498" si="5277">AE497</f>
        <v>732</v>
      </c>
      <c r="CO497" s="114">
        <f t="shared" ref="CO497:CO498" si="5278">AI497</f>
        <v>763</v>
      </c>
      <c r="CP497" s="114">
        <f t="shared" ref="CP497:CP498" si="5279">AM497</f>
        <v>792</v>
      </c>
      <c r="CQ497" s="114">
        <f t="shared" ref="CQ497:CQ498" si="5280">AQ497</f>
        <v>826</v>
      </c>
      <c r="CR497" s="114">
        <f t="shared" ref="CR497:CR498" si="5281">AU497</f>
        <v>863</v>
      </c>
      <c r="CS497" s="114">
        <f t="shared" ref="CS497:CS498" si="5282">AY497</f>
        <v>875</v>
      </c>
      <c r="CT497" s="109">
        <f t="shared" ref="CT497:CT498" si="5283">M497-K497</f>
        <v>1</v>
      </c>
    </row>
    <row r="498" spans="1:1029" s="12" customFormat="1" x14ac:dyDescent="0.2">
      <c r="A498" s="9" t="str">
        <f t="shared" si="5256"/>
        <v>gabr1_human_6W2Y</v>
      </c>
      <c r="B498" s="9" t="s">
        <v>106</v>
      </c>
      <c r="C498" s="9" t="s">
        <v>1713</v>
      </c>
      <c r="D498" s="9" t="str">
        <f>IFERROR(MID(VLOOKUP($B498,Seqs!$A:$B,2,0),E498,1),"")</f>
        <v>A</v>
      </c>
      <c r="E498" s="9">
        <v>473</v>
      </c>
      <c r="F498" s="9" t="str">
        <f>IFERROR(MID(VLOOKUP($B498,Seqs!$A:$B,2,0),G498,1),"")</f>
        <v>N</v>
      </c>
      <c r="G498" s="9">
        <v>499</v>
      </c>
      <c r="H498" s="9" t="str">
        <f>IFERROR(MID(VLOOKUP($B498,Seqs!$A:$B,2,0),I498,1),"")</f>
        <v>N</v>
      </c>
      <c r="I498" s="109">
        <v>502</v>
      </c>
      <c r="J498" s="9" t="str">
        <f>IFERROR(MID(VLOOKUP($B498,Seqs!$A:$B,2,0),K498,1),"")</f>
        <v>D</v>
      </c>
      <c r="K498" s="109">
        <v>507</v>
      </c>
      <c r="L498" s="9" t="str">
        <f>IFERROR(MID(VLOOKUP($B498,Seqs!$A:$B,2,0),M498,1),"")</f>
        <v>I</v>
      </c>
      <c r="M498" s="9">
        <v>509</v>
      </c>
      <c r="N498" s="9" t="str">
        <f>IFERROR(MID(VLOOKUP($B498,Seqs!$A:$B,2,0),O498,1),"")</f>
        <v>S</v>
      </c>
      <c r="O498" s="9">
        <v>532</v>
      </c>
      <c r="P498" s="9" t="str">
        <f>IFERROR(MID(VLOOKUP($B498,Seqs!$A:$B,2,0),Q498,1),"")</f>
        <v/>
      </c>
      <c r="Q498" s="9" t="s">
        <v>23</v>
      </c>
      <c r="R498" s="9" t="str">
        <f>IFERROR(MID(VLOOKUP($B498,Seqs!$A:$B,2,0),S498,1),"")</f>
        <v/>
      </c>
      <c r="S498" s="9" t="s">
        <v>23</v>
      </c>
      <c r="T498" s="9" t="str">
        <f>IFERROR(MID(VLOOKUP($B498,Seqs!$A:$B,2,0),U498,1),"")</f>
        <v>Q</v>
      </c>
      <c r="U498" s="9">
        <v>541</v>
      </c>
      <c r="V498" s="9" t="str">
        <f>IFERROR(MID(VLOOKUP($B498,Seqs!$A:$B,2,0),W498,1),"")</f>
        <v>A</v>
      </c>
      <c r="W498" s="9">
        <v>575</v>
      </c>
      <c r="X498" s="9" t="str">
        <f>IFERROR(MID(VLOOKUP($B498,Seqs!$A:$B,2,0),Y498,1),"")</f>
        <v/>
      </c>
      <c r="Y498" s="9" t="s">
        <v>23</v>
      </c>
      <c r="Z498" s="9" t="str">
        <f>IFERROR(MID(VLOOKUP($B498,Seqs!$A:$B,2,0),AA498,1),"")</f>
        <v/>
      </c>
      <c r="AA498" s="9" t="s">
        <v>23</v>
      </c>
      <c r="AB498" s="9" t="str">
        <f>IFERROR(MID(VLOOKUP($B498,Seqs!$A:$B,2,0),AC498,1),"")</f>
        <v>L</v>
      </c>
      <c r="AC498" s="9">
        <v>591</v>
      </c>
      <c r="AD498" s="9" t="str">
        <f>IFERROR(MID(VLOOKUP($B498,Seqs!$A:$B,2,0),AE498,1),"")</f>
        <v>Y</v>
      </c>
      <c r="AE498" s="9">
        <v>615</v>
      </c>
      <c r="AF498" s="9" t="str">
        <f>IFERROR(MID(VLOOKUP($B498,Seqs!$A:$B,2,0),AG498,1),"")</f>
        <v>V</v>
      </c>
      <c r="AG498" s="9">
        <v>644</v>
      </c>
      <c r="AH498" s="9" t="str">
        <f>IFERROR(MID(VLOOKUP($B498,Seqs!$A:$B,2,0),AI498,1),"")</f>
        <v>P</v>
      </c>
      <c r="AI498" s="9">
        <v>646</v>
      </c>
      <c r="AJ498" s="9" t="str">
        <f>IFERROR(MID(VLOOKUP($B498,Seqs!$A:$B,2,0),AK498,1),"")</f>
        <v>G</v>
      </c>
      <c r="AK498" s="9">
        <v>648</v>
      </c>
      <c r="AL498" s="9" t="str">
        <f>IFERROR(MID(VLOOKUP($B498,Seqs!$A:$B,2,0),AM498,1),"")</f>
        <v>S</v>
      </c>
      <c r="AM498" s="9">
        <v>675</v>
      </c>
      <c r="AN498" s="9" t="str">
        <f>IFERROR(MID(VLOOKUP($B498,Seqs!$A:$B,2,0),AO498,1),"")</f>
        <v>I</v>
      </c>
      <c r="AO498" s="9">
        <v>685</v>
      </c>
      <c r="AP498" s="9" t="str">
        <f>IFERROR(MID(VLOOKUP($B498,Seqs!$A:$B,2,0),AQ498,1),"")</f>
        <v>K</v>
      </c>
      <c r="AQ498" s="9">
        <v>709</v>
      </c>
      <c r="AR498" s="9" t="str">
        <f>IFERROR(MID(VLOOKUP($B498,Seqs!$A:$B,2,0),AS498,1),"")</f>
        <v>G</v>
      </c>
      <c r="AS498" s="9">
        <v>715</v>
      </c>
      <c r="AT498" s="9" t="str">
        <f>IFERROR(MID(VLOOKUP($B498,Seqs!$A:$B,2,0),AU498,1),"")</f>
        <v>E</v>
      </c>
      <c r="AU498" s="9">
        <v>744</v>
      </c>
      <c r="AV498" s="9" t="str">
        <f>IFERROR(MID(VLOOKUP($B498,Seqs!$A:$B,2,0),AW498,1),"")</f>
        <v/>
      </c>
      <c r="AW498" s="9" t="s">
        <v>23</v>
      </c>
      <c r="AX498" s="9" t="str">
        <f>IFERROR(MID(VLOOKUP($B498,Seqs!$A:$B,2,0),AY498,1),"")</f>
        <v/>
      </c>
      <c r="AY498" s="9" t="s">
        <v>23</v>
      </c>
      <c r="AZ498" s="110" t="str">
        <f>VLOOKUP(B498,Classification!A:D,2,0)</f>
        <v>C</v>
      </c>
      <c r="BA498" s="98" t="str">
        <f>VLOOKUP(B498,Classification!A:D,4,0)</f>
        <v>GABA&lt;sub&gt;B&lt;/sub&gt;</v>
      </c>
      <c r="BB498" s="36" t="b">
        <f t="shared" si="5257"/>
        <v>1</v>
      </c>
      <c r="BC498" s="109">
        <f t="shared" si="5258"/>
        <v>206</v>
      </c>
      <c r="BD498" s="127" t="s">
        <v>1370</v>
      </c>
      <c r="BE498" s="9" t="s">
        <v>1368</v>
      </c>
      <c r="BF498" s="119">
        <v>3.2</v>
      </c>
      <c r="BG498" s="51" t="s">
        <v>1275</v>
      </c>
      <c r="BH498" s="51" t="s">
        <v>1275</v>
      </c>
      <c r="BI498" s="9"/>
      <c r="BJ498" s="111" t="s">
        <v>1281</v>
      </c>
      <c r="BK498" s="112" t="s">
        <v>1281</v>
      </c>
      <c r="BL498" s="112" t="s">
        <v>1281</v>
      </c>
      <c r="BM498" s="112" t="s">
        <v>1281</v>
      </c>
      <c r="BN498" s="112" t="s">
        <v>1281</v>
      </c>
      <c r="BO498" s="112" t="s">
        <v>1281</v>
      </c>
      <c r="BP498" s="112" t="s">
        <v>1281</v>
      </c>
      <c r="BQ498" s="112" t="s">
        <v>1281</v>
      </c>
      <c r="BR498" s="112" t="s">
        <v>1281</v>
      </c>
      <c r="BS498" s="112" t="s">
        <v>1281</v>
      </c>
      <c r="BT498" s="112" t="s">
        <v>1281</v>
      </c>
      <c r="BU498" s="112" t="s">
        <v>1281</v>
      </c>
      <c r="BV498" s="111">
        <f t="shared" si="5259"/>
        <v>473</v>
      </c>
      <c r="BW498" s="113">
        <f t="shared" si="5260"/>
        <v>502</v>
      </c>
      <c r="BX498" s="114">
        <f t="shared" si="5261"/>
        <v>509</v>
      </c>
      <c r="BY498" s="113" t="str">
        <f t="shared" si="5262"/>
        <v>-</v>
      </c>
      <c r="BZ498" s="114">
        <f t="shared" si="5263"/>
        <v>541</v>
      </c>
      <c r="CA498" s="113" t="str">
        <f t="shared" si="5264"/>
        <v>-</v>
      </c>
      <c r="CB498" s="114">
        <f t="shared" si="5265"/>
        <v>591</v>
      </c>
      <c r="CC498" s="113">
        <f t="shared" si="5266"/>
        <v>644</v>
      </c>
      <c r="CD498" s="114">
        <f t="shared" si="5267"/>
        <v>648</v>
      </c>
      <c r="CE498" s="113">
        <f t="shared" si="5268"/>
        <v>685</v>
      </c>
      <c r="CF498" s="114">
        <f t="shared" si="5269"/>
        <v>715</v>
      </c>
      <c r="CG498" s="113" t="str">
        <f t="shared" si="5270"/>
        <v>-</v>
      </c>
      <c r="CH498" s="111">
        <f t="shared" si="5271"/>
        <v>499</v>
      </c>
      <c r="CI498" s="113">
        <f t="shared" si="5272"/>
        <v>507</v>
      </c>
      <c r="CJ498" s="114">
        <f t="shared" si="5273"/>
        <v>532</v>
      </c>
      <c r="CK498" s="114" t="str">
        <f t="shared" si="5274"/>
        <v>-</v>
      </c>
      <c r="CL498" s="114">
        <f t="shared" si="5275"/>
        <v>575</v>
      </c>
      <c r="CM498" s="114" t="str">
        <f t="shared" si="5276"/>
        <v>-</v>
      </c>
      <c r="CN498" s="114">
        <f t="shared" si="5277"/>
        <v>615</v>
      </c>
      <c r="CO498" s="114">
        <f t="shared" si="5278"/>
        <v>646</v>
      </c>
      <c r="CP498" s="114">
        <f t="shared" si="5279"/>
        <v>675</v>
      </c>
      <c r="CQ498" s="114">
        <f t="shared" si="5280"/>
        <v>709</v>
      </c>
      <c r="CR498" s="114">
        <f t="shared" si="5281"/>
        <v>744</v>
      </c>
      <c r="CS498" s="114" t="str">
        <f t="shared" si="5282"/>
        <v>-</v>
      </c>
      <c r="CT498" s="109">
        <f t="shared" si="5283"/>
        <v>2</v>
      </c>
    </row>
    <row r="499" spans="1:1029" s="12" customFormat="1" x14ac:dyDescent="0.2">
      <c r="A499" s="9" t="str">
        <f t="shared" si="5228"/>
        <v>gabr2_human__wt</v>
      </c>
      <c r="B499" s="9" t="s">
        <v>107</v>
      </c>
      <c r="C499" s="9" t="s">
        <v>100</v>
      </c>
      <c r="D499" s="9" t="str">
        <f>IFERROR(MID(VLOOKUP($B499,Seqs!$A:$B,2,0),E499,1),"")</f>
        <v>S</v>
      </c>
      <c r="E499" s="9">
        <v>478</v>
      </c>
      <c r="F499" s="9" t="str">
        <f>IFERROR(MID(VLOOKUP($B499,Seqs!$A:$B,2,0),G499,1),"")</f>
        <v>N</v>
      </c>
      <c r="G499" s="9">
        <v>506</v>
      </c>
      <c r="H499" s="9" t="str">
        <f>IFERROR(MID(VLOOKUP($B499,Seqs!$A:$B,2,0),I499,1),"")</f>
        <v>Q</v>
      </c>
      <c r="I499" s="109">
        <v>509</v>
      </c>
      <c r="J499" s="9" t="str">
        <f>IFERROR(MID(VLOOKUP($B499,Seqs!$A:$B,2,0),K499,1),"")</f>
        <v>S</v>
      </c>
      <c r="K499" s="109">
        <v>515</v>
      </c>
      <c r="L499" s="9" t="str">
        <f>IFERROR(MID(VLOOKUP($B499,Seqs!$A:$B,2,0),M499,1),"")</f>
        <v>S</v>
      </c>
      <c r="M499" s="9">
        <v>516</v>
      </c>
      <c r="N499" s="9" t="str">
        <f>IFERROR(MID(VLOOKUP($B499,Seqs!$A:$B,2,0),O499,1),"")</f>
        <v>G</v>
      </c>
      <c r="O499" s="9">
        <v>538</v>
      </c>
      <c r="P499" s="9" t="str">
        <f>IFERROR(MID(VLOOKUP($B499,Seqs!$A:$B,2,0),Q499,1),"")</f>
        <v/>
      </c>
      <c r="Q499" s="9" t="s">
        <v>23</v>
      </c>
      <c r="R499" s="9" t="str">
        <f>IFERROR(MID(VLOOKUP($B499,Seqs!$A:$B,2,0),S499,1),"")</f>
        <v/>
      </c>
      <c r="S499" s="9" t="s">
        <v>23</v>
      </c>
      <c r="T499" s="9" t="str">
        <f>IFERROR(MID(VLOOKUP($B499,Seqs!$A:$B,2,0),U499,1),"")</f>
        <v>S</v>
      </c>
      <c r="U499" s="9">
        <v>545</v>
      </c>
      <c r="V499" s="9" t="str">
        <f>IFERROR(MID(VLOOKUP($B499,Seqs!$A:$B,2,0),W499,1),"")</f>
        <v>K</v>
      </c>
      <c r="W499" s="9">
        <v>583</v>
      </c>
      <c r="X499" s="9" t="str">
        <f>IFERROR(MID(VLOOKUP($B499,Seqs!$A:$B,2,0),Y499,1),"")</f>
        <v/>
      </c>
      <c r="Y499" s="9" t="s">
        <v>23</v>
      </c>
      <c r="Z499" s="9" t="str">
        <f>IFERROR(MID(VLOOKUP($B499,Seqs!$A:$B,2,0),AA499,1),"")</f>
        <v/>
      </c>
      <c r="AA499" s="9" t="s">
        <v>23</v>
      </c>
      <c r="AB499" s="9" t="str">
        <f>IFERROR(MID(VLOOKUP($B499,Seqs!$A:$B,2,0),AC499,1),"")</f>
        <v>K</v>
      </c>
      <c r="AC499" s="9">
        <v>593</v>
      </c>
      <c r="AD499" s="9" t="str">
        <f>IFERROR(MID(VLOOKUP($B499,Seqs!$A:$B,2,0),AE499,1),"")</f>
        <v>D</v>
      </c>
      <c r="AE499" s="9">
        <v>619</v>
      </c>
      <c r="AF499" s="9" t="str">
        <f>IFERROR(MID(VLOOKUP($B499,Seqs!$A:$B,2,0),AG499,1),"")</f>
        <v>C</v>
      </c>
      <c r="AG499" s="9">
        <v>648</v>
      </c>
      <c r="AH499" s="9" t="str">
        <f>IFERROR(MID(VLOOKUP($B499,Seqs!$A:$B,2,0),AI499,1),"")</f>
        <v>N</v>
      </c>
      <c r="AI499" s="9">
        <v>650</v>
      </c>
      <c r="AJ499" s="9" t="str">
        <f>IFERROR(MID(VLOOKUP($B499,Seqs!$A:$B,2,0),AK499,1),"")</f>
        <v>H</v>
      </c>
      <c r="AK499" s="9">
        <v>652</v>
      </c>
      <c r="AL499" s="9" t="str">
        <f>IFERROR(MID(VLOOKUP($B499,Seqs!$A:$B,2,0),AM499,1),"")</f>
        <v>V</v>
      </c>
      <c r="AM499" s="9">
        <v>681</v>
      </c>
      <c r="AN499" s="9" t="str">
        <f>IFERROR(MID(VLOOKUP($B499,Seqs!$A:$B,2,0),AO499,1),"")</f>
        <v>D</v>
      </c>
      <c r="AO499" s="9">
        <v>688</v>
      </c>
      <c r="AP499" s="9" t="str">
        <f>IFERROR(MID(VLOOKUP($B499,Seqs!$A:$B,2,0),AQ499,1),"")</f>
        <v>T</v>
      </c>
      <c r="AQ499" s="9">
        <v>713</v>
      </c>
      <c r="AR499" s="9" t="str">
        <f>IFERROR(MID(VLOOKUP($B499,Seqs!$A:$B,2,0),AS499,1),"")</f>
        <v>Q</v>
      </c>
      <c r="AS499" s="9">
        <v>716</v>
      </c>
      <c r="AT499" s="9" t="str">
        <f>IFERROR(MID(VLOOKUP($B499,Seqs!$A:$B,2,0),AU499,1),"")</f>
        <v>N</v>
      </c>
      <c r="AU499" s="9">
        <v>750</v>
      </c>
      <c r="AV499" s="9" t="str">
        <f>IFERROR(MID(VLOOKUP($B499,Seqs!$A:$B,2,0),AW499,1),"")</f>
        <v>P</v>
      </c>
      <c r="AW499" s="9">
        <v>751</v>
      </c>
      <c r="AX499" s="9" t="str">
        <f>IFERROR(MID(VLOOKUP($B499,Seqs!$A:$B,2,0),AY499,1),"")</f>
        <v>F</v>
      </c>
      <c r="AY499" s="9">
        <v>762</v>
      </c>
      <c r="AZ499" s="110" t="str">
        <f>VLOOKUP(B499,Classification!A:D,2,0)</f>
        <v>C</v>
      </c>
      <c r="BA499" s="98" t="str">
        <f>VLOOKUP(B499,Classification!A:D,4,0)</f>
        <v>GABA&lt;sub&gt;B&lt;/sub&gt;</v>
      </c>
      <c r="BB499" s="36" t="b">
        <f t="shared" si="5229"/>
        <v>1</v>
      </c>
      <c r="BC499" s="109">
        <f t="shared" si="5230"/>
        <v>233</v>
      </c>
      <c r="BD499" s="127" t="s">
        <v>23</v>
      </c>
      <c r="BE499" s="9" t="s">
        <v>23</v>
      </c>
      <c r="BF499" s="119" t="s">
        <v>23</v>
      </c>
      <c r="BG499" s="51" t="s">
        <v>23</v>
      </c>
      <c r="BH499" s="51" t="s">
        <v>23</v>
      </c>
      <c r="BI499" s="9"/>
      <c r="BJ499" s="111" t="s">
        <v>1281</v>
      </c>
      <c r="BK499" s="112" t="s">
        <v>1281</v>
      </c>
      <c r="BL499" s="112" t="s">
        <v>1281</v>
      </c>
      <c r="BM499" s="112" t="s">
        <v>1281</v>
      </c>
      <c r="BN499" s="112" t="s">
        <v>1281</v>
      </c>
      <c r="BO499" s="112" t="s">
        <v>1281</v>
      </c>
      <c r="BP499" s="112" t="s">
        <v>1281</v>
      </c>
      <c r="BQ499" s="112" t="s">
        <v>1281</v>
      </c>
      <c r="BR499" s="112" t="s">
        <v>1281</v>
      </c>
      <c r="BS499" s="112" t="s">
        <v>1281</v>
      </c>
      <c r="BT499" s="112" t="s">
        <v>1281</v>
      </c>
      <c r="BU499" s="112" t="s">
        <v>1281</v>
      </c>
      <c r="BV499" s="111">
        <f t="shared" si="5231"/>
        <v>478</v>
      </c>
      <c r="BW499" s="113">
        <f t="shared" si="5232"/>
        <v>509</v>
      </c>
      <c r="BX499" s="114">
        <f t="shared" si="5233"/>
        <v>516</v>
      </c>
      <c r="BY499" s="113" t="str">
        <f t="shared" si="5234"/>
        <v>-</v>
      </c>
      <c r="BZ499" s="114">
        <f t="shared" si="5235"/>
        <v>545</v>
      </c>
      <c r="CA499" s="113" t="str">
        <f t="shared" si="5236"/>
        <v>-</v>
      </c>
      <c r="CB499" s="114">
        <f t="shared" si="5237"/>
        <v>593</v>
      </c>
      <c r="CC499" s="113">
        <f t="shared" si="5238"/>
        <v>648</v>
      </c>
      <c r="CD499" s="114">
        <f t="shared" si="5239"/>
        <v>652</v>
      </c>
      <c r="CE499" s="113">
        <f t="shared" si="5240"/>
        <v>688</v>
      </c>
      <c r="CF499" s="114">
        <f t="shared" si="5241"/>
        <v>716</v>
      </c>
      <c r="CG499" s="113">
        <f t="shared" si="5242"/>
        <v>751</v>
      </c>
      <c r="CH499" s="111">
        <f t="shared" si="5243"/>
        <v>506</v>
      </c>
      <c r="CI499" s="113">
        <f t="shared" si="5244"/>
        <v>515</v>
      </c>
      <c r="CJ499" s="114">
        <f t="shared" si="5245"/>
        <v>538</v>
      </c>
      <c r="CK499" s="114" t="str">
        <f t="shared" si="5246"/>
        <v>-</v>
      </c>
      <c r="CL499" s="114">
        <f t="shared" si="5247"/>
        <v>583</v>
      </c>
      <c r="CM499" s="114" t="str">
        <f t="shared" si="5248"/>
        <v>-</v>
      </c>
      <c r="CN499" s="114">
        <f t="shared" si="5249"/>
        <v>619</v>
      </c>
      <c r="CO499" s="114">
        <f t="shared" si="5250"/>
        <v>650</v>
      </c>
      <c r="CP499" s="114">
        <f t="shared" si="5251"/>
        <v>681</v>
      </c>
      <c r="CQ499" s="114">
        <f t="shared" si="5252"/>
        <v>713</v>
      </c>
      <c r="CR499" s="114">
        <f t="shared" si="5253"/>
        <v>750</v>
      </c>
      <c r="CS499" s="114">
        <f t="shared" si="5254"/>
        <v>762</v>
      </c>
      <c r="CT499" s="109">
        <f t="shared" si="5255"/>
        <v>1</v>
      </c>
    </row>
    <row r="500" spans="1:1029" s="12" customFormat="1" x14ac:dyDescent="0.2">
      <c r="A500" s="9" t="str">
        <f t="shared" si="5228"/>
        <v>gabr2_human_6UO8</v>
      </c>
      <c r="B500" s="9" t="s">
        <v>107</v>
      </c>
      <c r="C500" s="9" t="s">
        <v>1705</v>
      </c>
      <c r="D500" s="9" t="str">
        <f>IFERROR(MID(VLOOKUP($B500,Seqs!$A:$B,2,0),E500,1),"")</f>
        <v>S</v>
      </c>
      <c r="E500" s="9">
        <v>478</v>
      </c>
      <c r="F500" s="9" t="str">
        <f>IFERROR(MID(VLOOKUP($B500,Seqs!$A:$B,2,0),G500,1),"")</f>
        <v>N</v>
      </c>
      <c r="G500" s="9">
        <v>506</v>
      </c>
      <c r="H500" s="9" t="str">
        <f>IFERROR(MID(VLOOKUP($B500,Seqs!$A:$B,2,0),I500,1),"")</f>
        <v/>
      </c>
      <c r="I500" s="109" t="s">
        <v>23</v>
      </c>
      <c r="J500" s="9" t="str">
        <f>IFERROR(MID(VLOOKUP($B500,Seqs!$A:$B,2,0),K500,1),"")</f>
        <v/>
      </c>
      <c r="K500" s="109" t="s">
        <v>23</v>
      </c>
      <c r="L500" s="9" t="str">
        <f>IFERROR(MID(VLOOKUP($B500,Seqs!$A:$B,2,0),M500,1),"")</f>
        <v>S</v>
      </c>
      <c r="M500" s="9">
        <v>516</v>
      </c>
      <c r="N500" s="9" t="str">
        <f>IFERROR(MID(VLOOKUP($B500,Seqs!$A:$B,2,0),O500,1),"")</f>
        <v>L</v>
      </c>
      <c r="O500" s="9">
        <v>536</v>
      </c>
      <c r="P500" s="9" t="str">
        <f>IFERROR(MID(VLOOKUP($B500,Seqs!$A:$B,2,0),Q500,1),"")</f>
        <v/>
      </c>
      <c r="Q500" s="9" t="s">
        <v>23</v>
      </c>
      <c r="R500" s="9" t="str">
        <f>IFERROR(MID(VLOOKUP($B500,Seqs!$A:$B,2,0),S500,1),"")</f>
        <v/>
      </c>
      <c r="S500" s="9" t="s">
        <v>23</v>
      </c>
      <c r="T500" s="9" t="str">
        <f>IFERROR(MID(VLOOKUP($B500,Seqs!$A:$B,2,0),U500,1),"")</f>
        <v>T</v>
      </c>
      <c r="U500" s="9">
        <v>548</v>
      </c>
      <c r="V500" s="9" t="str">
        <f>IFERROR(MID(VLOOKUP($B500,Seqs!$A:$B,2,0),W500,1),"")</f>
        <v>K</v>
      </c>
      <c r="W500" s="9">
        <v>583</v>
      </c>
      <c r="X500" s="9" t="str">
        <f>IFERROR(MID(VLOOKUP($B500,Seqs!$A:$B,2,0),Y500,1),"")</f>
        <v/>
      </c>
      <c r="Y500" s="9" t="s">
        <v>23</v>
      </c>
      <c r="Z500" s="9" t="str">
        <f>IFERROR(MID(VLOOKUP($B500,Seqs!$A:$B,2,0),AA500,1),"")</f>
        <v/>
      </c>
      <c r="AA500" s="9" t="s">
        <v>23</v>
      </c>
      <c r="AB500" s="9" t="str">
        <f>IFERROR(MID(VLOOKUP($B500,Seqs!$A:$B,2,0),AC500,1),"")</f>
        <v>Q</v>
      </c>
      <c r="AC500" s="9">
        <v>595</v>
      </c>
      <c r="AD500" s="9" t="str">
        <f>IFERROR(MID(VLOOKUP($B500,Seqs!$A:$B,2,0),AE500,1),"")</f>
        <v>Q</v>
      </c>
      <c r="AE500" s="9">
        <v>616</v>
      </c>
      <c r="AF500" s="9" t="str">
        <f>IFERROR(MID(VLOOKUP($B500,Seqs!$A:$B,2,0),AG500,1),"")</f>
        <v>C</v>
      </c>
      <c r="AG500" s="9">
        <v>648</v>
      </c>
      <c r="AH500" s="9" t="str">
        <f>IFERROR(MID(VLOOKUP($B500,Seqs!$A:$B,2,0),AI500,1),"")</f>
        <v>N</v>
      </c>
      <c r="AI500" s="9">
        <v>650</v>
      </c>
      <c r="AJ500" s="9" t="str">
        <f>IFERROR(MID(VLOOKUP($B500,Seqs!$A:$B,2,0),AK500,1),"")</f>
        <v>L</v>
      </c>
      <c r="AK500" s="9">
        <v>657</v>
      </c>
      <c r="AL500" s="9" t="str">
        <f>IFERROR(MID(VLOOKUP($B500,Seqs!$A:$B,2,0),AM500,1),"")</f>
        <v>V</v>
      </c>
      <c r="AM500" s="9">
        <v>681</v>
      </c>
      <c r="AN500" s="9" t="str">
        <f>IFERROR(MID(VLOOKUP($B500,Seqs!$A:$B,2,0),AO500,1),"")</f>
        <v>K</v>
      </c>
      <c r="AO500" s="9">
        <v>690</v>
      </c>
      <c r="AP500" s="9" t="str">
        <f>IFERROR(MID(VLOOKUP($B500,Seqs!$A:$B,2,0),AQ500,1),"")</f>
        <v>T</v>
      </c>
      <c r="AQ500" s="9">
        <v>713</v>
      </c>
      <c r="AR500" s="9" t="str">
        <f>IFERROR(MID(VLOOKUP($B500,Seqs!$A:$B,2,0),AS500,1),"")</f>
        <v>V</v>
      </c>
      <c r="AS500" s="9">
        <v>719</v>
      </c>
      <c r="AT500" s="9" t="str">
        <f>IFERROR(MID(VLOOKUP($B500,Seqs!$A:$B,2,0),AU500,1),"")</f>
        <v>N</v>
      </c>
      <c r="AU500" s="9">
        <v>750</v>
      </c>
      <c r="AV500" s="9" t="str">
        <f>IFERROR(MID(VLOOKUP($B500,Seqs!$A:$B,2,0),AW500,1),"")</f>
        <v/>
      </c>
      <c r="AW500" s="9" t="s">
        <v>23</v>
      </c>
      <c r="AX500" s="9" t="str">
        <f>IFERROR(MID(VLOOKUP($B500,Seqs!$A:$B,2,0),AY500,1),"")</f>
        <v/>
      </c>
      <c r="AY500" s="9" t="s">
        <v>23</v>
      </c>
      <c r="AZ500" s="110" t="str">
        <f>VLOOKUP(B500,Classification!A:D,2,0)</f>
        <v>C</v>
      </c>
      <c r="BA500" s="98" t="str">
        <f>VLOOKUP(B500,Classification!A:D,4,0)</f>
        <v>GABA&lt;sub&gt;B&lt;/sub&gt;</v>
      </c>
      <c r="BB500" s="36" t="b">
        <f t="shared" si="5229"/>
        <v>1</v>
      </c>
      <c r="BC500" s="109">
        <f t="shared" si="5230"/>
        <v>196</v>
      </c>
      <c r="BD500" s="127" t="s">
        <v>23</v>
      </c>
      <c r="BE500" s="9" t="s">
        <v>1285</v>
      </c>
      <c r="BF500" s="119">
        <v>3.63</v>
      </c>
      <c r="BG500" s="51" t="s">
        <v>1275</v>
      </c>
      <c r="BH500" s="51" t="s">
        <v>1275</v>
      </c>
      <c r="BI500" s="9"/>
      <c r="BJ500" s="111" t="s">
        <v>1281</v>
      </c>
      <c r="BK500" s="112" t="s">
        <v>1281</v>
      </c>
      <c r="BL500" s="112" t="s">
        <v>1281</v>
      </c>
      <c r="BM500" s="112" t="s">
        <v>1281</v>
      </c>
      <c r="BN500" s="112" t="s">
        <v>1281</v>
      </c>
      <c r="BO500" s="112" t="s">
        <v>1281</v>
      </c>
      <c r="BP500" s="112" t="s">
        <v>1281</v>
      </c>
      <c r="BQ500" s="112" t="s">
        <v>1281</v>
      </c>
      <c r="BR500" s="112" t="s">
        <v>1281</v>
      </c>
      <c r="BS500" s="112" t="s">
        <v>1281</v>
      </c>
      <c r="BT500" s="112" t="s">
        <v>1281</v>
      </c>
      <c r="BU500" s="112" t="s">
        <v>1281</v>
      </c>
      <c r="BV500" s="111">
        <f t="shared" si="5231"/>
        <v>478</v>
      </c>
      <c r="BW500" s="113" t="str">
        <f t="shared" si="5232"/>
        <v>-</v>
      </c>
      <c r="BX500" s="114">
        <f t="shared" si="5233"/>
        <v>516</v>
      </c>
      <c r="BY500" s="113" t="str">
        <f t="shared" si="5234"/>
        <v>-</v>
      </c>
      <c r="BZ500" s="114">
        <f t="shared" si="5235"/>
        <v>548</v>
      </c>
      <c r="CA500" s="113" t="str">
        <f t="shared" si="5236"/>
        <v>-</v>
      </c>
      <c r="CB500" s="114">
        <f t="shared" si="5237"/>
        <v>595</v>
      </c>
      <c r="CC500" s="113">
        <f t="shared" si="5238"/>
        <v>648</v>
      </c>
      <c r="CD500" s="114">
        <f t="shared" si="5239"/>
        <v>657</v>
      </c>
      <c r="CE500" s="113">
        <f t="shared" si="5240"/>
        <v>690</v>
      </c>
      <c r="CF500" s="114">
        <f t="shared" si="5241"/>
        <v>719</v>
      </c>
      <c r="CG500" s="113" t="str">
        <f t="shared" si="5242"/>
        <v>-</v>
      </c>
      <c r="CH500" s="111">
        <f t="shared" si="5243"/>
        <v>506</v>
      </c>
      <c r="CI500" s="113" t="str">
        <f t="shared" si="5244"/>
        <v>-</v>
      </c>
      <c r="CJ500" s="114">
        <f t="shared" si="5245"/>
        <v>536</v>
      </c>
      <c r="CK500" s="114" t="str">
        <f t="shared" si="5246"/>
        <v>-</v>
      </c>
      <c r="CL500" s="114">
        <f t="shared" si="5247"/>
        <v>583</v>
      </c>
      <c r="CM500" s="114" t="str">
        <f t="shared" si="5248"/>
        <v>-</v>
      </c>
      <c r="CN500" s="114">
        <f t="shared" si="5249"/>
        <v>616</v>
      </c>
      <c r="CO500" s="114">
        <f t="shared" si="5250"/>
        <v>650</v>
      </c>
      <c r="CP500" s="114">
        <f t="shared" si="5251"/>
        <v>681</v>
      </c>
      <c r="CQ500" s="114">
        <f t="shared" si="5252"/>
        <v>713</v>
      </c>
      <c r="CR500" s="114">
        <f t="shared" si="5253"/>
        <v>750</v>
      </c>
      <c r="CS500" s="114" t="str">
        <f t="shared" si="5254"/>
        <v>-</v>
      </c>
      <c r="CT500" s="109" t="e">
        <f t="shared" si="5255"/>
        <v>#VALUE!</v>
      </c>
    </row>
    <row r="501" spans="1:1029" s="12" customFormat="1" x14ac:dyDescent="0.2">
      <c r="A501" s="9" t="str">
        <f t="shared" ref="A501" si="5284">CONCATENATE(B501,"_",C501)</f>
        <v>gabr2_human_6UO9</v>
      </c>
      <c r="B501" s="9" t="s">
        <v>107</v>
      </c>
      <c r="C501" s="9" t="s">
        <v>1707</v>
      </c>
      <c r="D501" s="9" t="str">
        <f>IFERROR(MID(VLOOKUP($B501,Seqs!$A:$B,2,0),E501,1),"")</f>
        <v>S</v>
      </c>
      <c r="E501" s="9">
        <v>478</v>
      </c>
      <c r="F501" s="9" t="str">
        <f>IFERROR(MID(VLOOKUP($B501,Seqs!$A:$B,2,0),G501,1),"")</f>
        <v>N</v>
      </c>
      <c r="G501" s="9">
        <v>506</v>
      </c>
      <c r="H501" s="9" t="str">
        <f>IFERROR(MID(VLOOKUP($B501,Seqs!$A:$B,2,0),I501,1),"")</f>
        <v/>
      </c>
      <c r="I501" s="109" t="s">
        <v>23</v>
      </c>
      <c r="J501" s="9" t="str">
        <f>IFERROR(MID(VLOOKUP($B501,Seqs!$A:$B,2,0),K501,1),"")</f>
        <v/>
      </c>
      <c r="K501" s="109" t="s">
        <v>23</v>
      </c>
      <c r="L501" s="9" t="str">
        <f>IFERROR(MID(VLOOKUP($B501,Seqs!$A:$B,2,0),M501,1),"")</f>
        <v>P</v>
      </c>
      <c r="M501" s="9">
        <v>517</v>
      </c>
      <c r="N501" s="9" t="str">
        <f>IFERROR(MID(VLOOKUP($B501,Seqs!$A:$B,2,0),O501,1),"")</f>
        <v>F</v>
      </c>
      <c r="O501" s="9">
        <v>537</v>
      </c>
      <c r="P501" s="9" t="str">
        <f>IFERROR(MID(VLOOKUP($B501,Seqs!$A:$B,2,0),Q501,1),"")</f>
        <v/>
      </c>
      <c r="Q501" s="9" t="s">
        <v>23</v>
      </c>
      <c r="R501" s="9" t="str">
        <f>IFERROR(MID(VLOOKUP($B501,Seqs!$A:$B,2,0),S501,1),"")</f>
        <v/>
      </c>
      <c r="S501" s="9" t="s">
        <v>23</v>
      </c>
      <c r="T501" s="9" t="str">
        <f>IFERROR(MID(VLOOKUP($B501,Seqs!$A:$B,2,0),U501,1),"")</f>
        <v>T</v>
      </c>
      <c r="U501" s="9">
        <v>548</v>
      </c>
      <c r="V501" s="9" t="str">
        <f>IFERROR(MID(VLOOKUP($B501,Seqs!$A:$B,2,0),W501,1),"")</f>
        <v>F</v>
      </c>
      <c r="W501" s="9">
        <v>582</v>
      </c>
      <c r="X501" s="9" t="str">
        <f>IFERROR(MID(VLOOKUP($B501,Seqs!$A:$B,2,0),Y501,1),"")</f>
        <v/>
      </c>
      <c r="Y501" s="9" t="s">
        <v>23</v>
      </c>
      <c r="Z501" s="9" t="str">
        <f>IFERROR(MID(VLOOKUP($B501,Seqs!$A:$B,2,0),AA501,1),"")</f>
        <v/>
      </c>
      <c r="AA501" s="9" t="s">
        <v>23</v>
      </c>
      <c r="AB501" s="9" t="str">
        <f>IFERROR(MID(VLOOKUP($B501,Seqs!$A:$B,2,0),AC501,1),"")</f>
        <v>Q</v>
      </c>
      <c r="AC501" s="9">
        <v>595</v>
      </c>
      <c r="AD501" s="9" t="str">
        <f>IFERROR(MID(VLOOKUP($B501,Seqs!$A:$B,2,0),AE501,1),"")</f>
        <v>V</v>
      </c>
      <c r="AE501" s="9">
        <v>618</v>
      </c>
      <c r="AF501" s="9" t="str">
        <f>IFERROR(MID(VLOOKUP($B501,Seqs!$A:$B,2,0),AG501,1),"")</f>
        <v>C</v>
      </c>
      <c r="AG501" s="9">
        <v>648</v>
      </c>
      <c r="AH501" s="9" t="str">
        <f>IFERROR(MID(VLOOKUP($B501,Seqs!$A:$B,2,0),AI501,1),"")</f>
        <v>N</v>
      </c>
      <c r="AI501" s="9">
        <v>650</v>
      </c>
      <c r="AJ501" s="9" t="str">
        <f>IFERROR(MID(VLOOKUP($B501,Seqs!$A:$B,2,0),AK501,1),"")</f>
        <v>H</v>
      </c>
      <c r="AK501" s="9">
        <v>652</v>
      </c>
      <c r="AL501" s="9" t="str">
        <f>IFERROR(MID(VLOOKUP($B501,Seqs!$A:$B,2,0),AM501,1),"")</f>
        <v>T</v>
      </c>
      <c r="AM501" s="9">
        <v>678</v>
      </c>
      <c r="AN501" s="9" t="str">
        <f>IFERROR(MID(VLOOKUP($B501,Seqs!$A:$B,2,0),AO501,1),"")</f>
        <v>D</v>
      </c>
      <c r="AO501" s="9">
        <v>688</v>
      </c>
      <c r="AP501" s="9" t="str">
        <f>IFERROR(MID(VLOOKUP($B501,Seqs!$A:$B,2,0),AQ501,1),"")</f>
        <v>T</v>
      </c>
      <c r="AQ501" s="9">
        <v>713</v>
      </c>
      <c r="AR501" s="9" t="str">
        <f>IFERROR(MID(VLOOKUP($B501,Seqs!$A:$B,2,0),AS501,1),"")</f>
        <v>V</v>
      </c>
      <c r="AS501" s="9">
        <v>719</v>
      </c>
      <c r="AT501" s="9" t="str">
        <f>IFERROR(MID(VLOOKUP($B501,Seqs!$A:$B,2,0),AU501,1),"")</f>
        <v>N</v>
      </c>
      <c r="AU501" s="9">
        <v>750</v>
      </c>
      <c r="AV501" s="9" t="str">
        <f>IFERROR(MID(VLOOKUP($B501,Seqs!$A:$B,2,0),AW501,1),"")</f>
        <v/>
      </c>
      <c r="AW501" s="9" t="s">
        <v>23</v>
      </c>
      <c r="AX501" s="9" t="str">
        <f>IFERROR(MID(VLOOKUP($B501,Seqs!$A:$B,2,0),AY501,1),"")</f>
        <v/>
      </c>
      <c r="AY501" s="9" t="s">
        <v>23</v>
      </c>
      <c r="AZ501" s="110" t="str">
        <f>VLOOKUP(B501,Classification!A:D,2,0)</f>
        <v>C</v>
      </c>
      <c r="BA501" s="98" t="str">
        <f>VLOOKUP(B501,Classification!A:D,4,0)</f>
        <v>GABA&lt;sub&gt;B&lt;/sub&gt;</v>
      </c>
      <c r="BB501" s="36" t="b">
        <f t="shared" ref="BB501" si="5285">AND(E501&lt;G501,OR(G501&lt;I501,I501="-"),OR(I501&lt;K501,I501="-"),OR(K501&lt;M501,K501="-"),M501&lt;O501,OR(O501&lt;Q501,Q501="-"),OR(Q501&lt;S501,Q501="-"),OR(S501&lt;U501,S501="-"),U501&lt;W501,OR(W501&lt;Y501,Y501="-"),OR(Y501&lt;AA501,Y501="-"),OR(AA501&lt;AC501,AA501="-"),AC501&lt;AE501,OR(AE501&lt;AG501,AG501="-"),OR(AG501&lt;AI501,AG501="-"),OR(AI501&lt;AK501,AI501="-"),AK501&lt;AM501,AM501&lt;AO501,AO501&lt;AQ501,AQ501&lt;AS501,AS501&lt;AU501,OR(AU501&lt;AW501,AW501="-"),OR(AW501&lt;AY501,AW501="-"))</f>
        <v>1</v>
      </c>
      <c r="BC501" s="109">
        <f t="shared" ref="BC501" si="5286">_xlfn.AGGREGATE(9,6,CH501:CS501)-_xlfn.AGGREGATE(9,6,BV501:CG501)+12</f>
        <v>201</v>
      </c>
      <c r="BD501" s="127" t="s">
        <v>1423</v>
      </c>
      <c r="BE501" s="9" t="s">
        <v>1465</v>
      </c>
      <c r="BF501" s="119">
        <v>4.8</v>
      </c>
      <c r="BG501" s="51" t="s">
        <v>1275</v>
      </c>
      <c r="BH501" s="51" t="s">
        <v>1275</v>
      </c>
      <c r="BI501" s="9"/>
      <c r="BJ501" s="111" t="s">
        <v>1281</v>
      </c>
      <c r="BK501" s="112" t="s">
        <v>1281</v>
      </c>
      <c r="BL501" s="112" t="s">
        <v>1281</v>
      </c>
      <c r="BM501" s="112" t="s">
        <v>1281</v>
      </c>
      <c r="BN501" s="112" t="s">
        <v>1281</v>
      </c>
      <c r="BO501" s="112" t="s">
        <v>1281</v>
      </c>
      <c r="BP501" s="112" t="s">
        <v>1281</v>
      </c>
      <c r="BQ501" s="112" t="s">
        <v>1281</v>
      </c>
      <c r="BR501" s="112" t="s">
        <v>1281</v>
      </c>
      <c r="BS501" s="112" t="s">
        <v>1281</v>
      </c>
      <c r="BT501" s="112" t="s">
        <v>1281</v>
      </c>
      <c r="BU501" s="112" t="s">
        <v>1281</v>
      </c>
      <c r="BV501" s="111">
        <f t="shared" ref="BV501" si="5287">E501</f>
        <v>478</v>
      </c>
      <c r="BW501" s="113" t="str">
        <f t="shared" ref="BW501" si="5288">I501</f>
        <v>-</v>
      </c>
      <c r="BX501" s="114">
        <f t="shared" ref="BX501" si="5289">M501</f>
        <v>517</v>
      </c>
      <c r="BY501" s="113" t="str">
        <f t="shared" ref="BY501" si="5290">Q501</f>
        <v>-</v>
      </c>
      <c r="BZ501" s="114">
        <f t="shared" ref="BZ501" si="5291">U501</f>
        <v>548</v>
      </c>
      <c r="CA501" s="113" t="str">
        <f t="shared" ref="CA501" si="5292">Y501</f>
        <v>-</v>
      </c>
      <c r="CB501" s="114">
        <f t="shared" ref="CB501" si="5293">AC501</f>
        <v>595</v>
      </c>
      <c r="CC501" s="113">
        <f t="shared" ref="CC501" si="5294">AG501</f>
        <v>648</v>
      </c>
      <c r="CD501" s="114">
        <f t="shared" ref="CD501" si="5295">AK501</f>
        <v>652</v>
      </c>
      <c r="CE501" s="113">
        <f t="shared" ref="CE501" si="5296">AO501</f>
        <v>688</v>
      </c>
      <c r="CF501" s="114">
        <f t="shared" ref="CF501" si="5297">AS501</f>
        <v>719</v>
      </c>
      <c r="CG501" s="113" t="str">
        <f t="shared" ref="CG501" si="5298">AW501</f>
        <v>-</v>
      </c>
      <c r="CH501" s="111">
        <f t="shared" ref="CH501" si="5299">G501</f>
        <v>506</v>
      </c>
      <c r="CI501" s="113" t="str">
        <f t="shared" ref="CI501" si="5300">K501</f>
        <v>-</v>
      </c>
      <c r="CJ501" s="114">
        <f t="shared" ref="CJ501" si="5301">O501</f>
        <v>537</v>
      </c>
      <c r="CK501" s="114" t="str">
        <f t="shared" ref="CK501" si="5302">S501</f>
        <v>-</v>
      </c>
      <c r="CL501" s="114">
        <f t="shared" ref="CL501" si="5303">W501</f>
        <v>582</v>
      </c>
      <c r="CM501" s="114" t="str">
        <f t="shared" ref="CM501" si="5304">AA501</f>
        <v>-</v>
      </c>
      <c r="CN501" s="114">
        <f t="shared" ref="CN501" si="5305">AE501</f>
        <v>618</v>
      </c>
      <c r="CO501" s="114">
        <f t="shared" ref="CO501" si="5306">AI501</f>
        <v>650</v>
      </c>
      <c r="CP501" s="114">
        <f t="shared" ref="CP501" si="5307">AM501</f>
        <v>678</v>
      </c>
      <c r="CQ501" s="114">
        <f t="shared" ref="CQ501" si="5308">AQ501</f>
        <v>713</v>
      </c>
      <c r="CR501" s="114">
        <f t="shared" ref="CR501" si="5309">AU501</f>
        <v>750</v>
      </c>
      <c r="CS501" s="114" t="str">
        <f t="shared" ref="CS501" si="5310">AY501</f>
        <v>-</v>
      </c>
      <c r="CT501" s="109" t="e">
        <f t="shared" ref="CT501" si="5311">M501-K501</f>
        <v>#VALUE!</v>
      </c>
    </row>
    <row r="502" spans="1:1029" s="12" customFormat="1" x14ac:dyDescent="0.2">
      <c r="A502" s="9" t="str">
        <f t="shared" ref="A502" si="5312">CONCATENATE(B502,"_",C502)</f>
        <v>gabr2_human_6UOA</v>
      </c>
      <c r="B502" s="9" t="s">
        <v>107</v>
      </c>
      <c r="C502" s="9" t="s">
        <v>1708</v>
      </c>
      <c r="D502" s="9" t="str">
        <f>IFERROR(MID(VLOOKUP($B502,Seqs!$A:$B,2,0),E502,1),"")</f>
        <v>S</v>
      </c>
      <c r="E502" s="9">
        <v>478</v>
      </c>
      <c r="F502" s="9" t="str">
        <f>IFERROR(MID(VLOOKUP($B502,Seqs!$A:$B,2,0),G502,1),"")</f>
        <v>R</v>
      </c>
      <c r="G502" s="9">
        <v>507</v>
      </c>
      <c r="H502" s="9" t="str">
        <f>IFERROR(MID(VLOOKUP($B502,Seqs!$A:$B,2,0),I502,1),"")</f>
        <v/>
      </c>
      <c r="I502" s="109" t="s">
        <v>23</v>
      </c>
      <c r="J502" s="9" t="str">
        <f>IFERROR(MID(VLOOKUP($B502,Seqs!$A:$B,2,0),K502,1),"")</f>
        <v/>
      </c>
      <c r="K502" s="109" t="s">
        <v>23</v>
      </c>
      <c r="L502" s="9" t="str">
        <f>IFERROR(MID(VLOOKUP($B502,Seqs!$A:$B,2,0),M502,1),"")</f>
        <v>Y</v>
      </c>
      <c r="M502" s="9">
        <v>518</v>
      </c>
      <c r="N502" s="9" t="str">
        <f>IFERROR(MID(VLOOKUP($B502,Seqs!$A:$B,2,0),O502,1),"")</f>
        <v>L</v>
      </c>
      <c r="O502" s="9">
        <v>536</v>
      </c>
      <c r="P502" s="9" t="str">
        <f>IFERROR(MID(VLOOKUP($B502,Seqs!$A:$B,2,0),Q502,1),"")</f>
        <v/>
      </c>
      <c r="Q502" s="9" t="s">
        <v>23</v>
      </c>
      <c r="R502" s="9" t="str">
        <f>IFERROR(MID(VLOOKUP($B502,Seqs!$A:$B,2,0),S502,1),"")</f>
        <v/>
      </c>
      <c r="S502" s="9" t="s">
        <v>23</v>
      </c>
      <c r="T502" s="9" t="str">
        <f>IFERROR(MID(VLOOKUP($B502,Seqs!$A:$B,2,0),U502,1),"")</f>
        <v>L</v>
      </c>
      <c r="U502" s="9">
        <v>552</v>
      </c>
      <c r="V502" s="9" t="str">
        <f>IFERROR(MID(VLOOKUP($B502,Seqs!$A:$B,2,0),W502,1),"")</f>
        <v>F</v>
      </c>
      <c r="W502" s="9">
        <v>582</v>
      </c>
      <c r="X502" s="9" t="str">
        <f>IFERROR(MID(VLOOKUP($B502,Seqs!$A:$B,2,0),Y502,1),"")</f>
        <v/>
      </c>
      <c r="Y502" s="9" t="s">
        <v>23</v>
      </c>
      <c r="Z502" s="9" t="str">
        <f>IFERROR(MID(VLOOKUP($B502,Seqs!$A:$B,2,0),AA502,1),"")</f>
        <v/>
      </c>
      <c r="AA502" s="9" t="s">
        <v>23</v>
      </c>
      <c r="AB502" s="9" t="str">
        <f>IFERROR(MID(VLOOKUP($B502,Seqs!$A:$B,2,0),AC502,1),"")</f>
        <v>I</v>
      </c>
      <c r="AC502" s="9">
        <v>591</v>
      </c>
      <c r="AD502" s="9" t="str">
        <f>IFERROR(MID(VLOOKUP($B502,Seqs!$A:$B,2,0),AE502,1),"")</f>
        <v>D</v>
      </c>
      <c r="AE502" s="9">
        <v>619</v>
      </c>
      <c r="AF502" s="9" t="str">
        <f>IFERROR(MID(VLOOKUP($B502,Seqs!$A:$B,2,0),AG502,1),"")</f>
        <v>C</v>
      </c>
      <c r="AG502" s="9">
        <v>648</v>
      </c>
      <c r="AH502" s="9" t="str">
        <f>IFERROR(MID(VLOOKUP($B502,Seqs!$A:$B,2,0),AI502,1),"")</f>
        <v>N</v>
      </c>
      <c r="AI502" s="9">
        <v>650</v>
      </c>
      <c r="AJ502" s="9" t="str">
        <f>IFERROR(MID(VLOOKUP($B502,Seqs!$A:$B,2,0),AK502,1),"")</f>
        <v>M</v>
      </c>
      <c r="AK502" s="9">
        <v>653</v>
      </c>
      <c r="AL502" s="9" t="str">
        <f>IFERROR(MID(VLOOKUP($B502,Seqs!$A:$B,2,0),AM502,1),"")</f>
        <v>T</v>
      </c>
      <c r="AM502" s="9">
        <v>678</v>
      </c>
      <c r="AN502" s="9" t="str">
        <f>IFERROR(MID(VLOOKUP($B502,Seqs!$A:$B,2,0),AO502,1),"")</f>
        <v>Y</v>
      </c>
      <c r="AO502" s="9">
        <v>691</v>
      </c>
      <c r="AP502" s="9" t="str">
        <f>IFERROR(MID(VLOOKUP($B502,Seqs!$A:$B,2,0),AQ502,1),"")</f>
        <v>T</v>
      </c>
      <c r="AQ502" s="9">
        <v>713</v>
      </c>
      <c r="AR502" s="9" t="str">
        <f>IFERROR(MID(VLOOKUP($B502,Seqs!$A:$B,2,0),AS502,1),"")</f>
        <v>N</v>
      </c>
      <c r="AS502" s="9">
        <v>718</v>
      </c>
      <c r="AT502" s="9" t="str">
        <f>IFERROR(MID(VLOOKUP($B502,Seqs!$A:$B,2,0),AU502,1),"")</f>
        <v>L</v>
      </c>
      <c r="AU502" s="9">
        <v>747</v>
      </c>
      <c r="AV502" s="9" t="str">
        <f>IFERROR(MID(VLOOKUP($B502,Seqs!$A:$B,2,0),AW502,1),"")</f>
        <v/>
      </c>
      <c r="AW502" s="9" t="s">
        <v>23</v>
      </c>
      <c r="AX502" s="9" t="str">
        <f>IFERROR(MID(VLOOKUP($B502,Seqs!$A:$B,2,0),AY502,1),"")</f>
        <v/>
      </c>
      <c r="AY502" s="9" t="s">
        <v>23</v>
      </c>
      <c r="AZ502" s="110" t="str">
        <f>VLOOKUP(B502,Classification!A:D,2,0)</f>
        <v>C</v>
      </c>
      <c r="BA502" s="98" t="str">
        <f>VLOOKUP(B502,Classification!A:D,4,0)</f>
        <v>GABA&lt;sub&gt;B&lt;/sub&gt;</v>
      </c>
      <c r="BB502" s="36" t="b">
        <f t="shared" ref="BB502" si="5313">AND(E502&lt;G502,OR(G502&lt;I502,I502="-"),OR(I502&lt;K502,I502="-"),OR(K502&lt;M502,K502="-"),M502&lt;O502,OR(O502&lt;Q502,Q502="-"),OR(Q502&lt;S502,Q502="-"),OR(S502&lt;U502,S502="-"),U502&lt;W502,OR(W502&lt;Y502,Y502="-"),OR(Y502&lt;AA502,Y502="-"),OR(AA502&lt;AC502,AA502="-"),AC502&lt;AE502,OR(AE502&lt;AG502,AG502="-"),OR(AG502&lt;AI502,AG502="-"),OR(AI502&lt;AK502,AI502="-"),AK502&lt;AM502,AM502&lt;AO502,AO502&lt;AQ502,AQ502&lt;AS502,AS502&lt;AU502,OR(AU502&lt;AW502,AW502="-"),OR(AW502&lt;AY502,AW502="-"))</f>
        <v>1</v>
      </c>
      <c r="BC502" s="109">
        <f t="shared" ref="BC502" si="5314">_xlfn.AGGREGATE(9,6,CH502:CS502)-_xlfn.AGGREGATE(9,6,BV502:CG502)+12</f>
        <v>195</v>
      </c>
      <c r="BD502" s="127" t="s">
        <v>23</v>
      </c>
      <c r="BE502" s="9" t="s">
        <v>1465</v>
      </c>
      <c r="BF502" s="119">
        <v>6.3</v>
      </c>
      <c r="BG502" s="51" t="s">
        <v>1275</v>
      </c>
      <c r="BH502" s="51" t="s">
        <v>1275</v>
      </c>
      <c r="BI502" s="9"/>
      <c r="BJ502" s="111" t="s">
        <v>1281</v>
      </c>
      <c r="BK502" s="112" t="s">
        <v>1281</v>
      </c>
      <c r="BL502" s="112" t="s">
        <v>1281</v>
      </c>
      <c r="BM502" s="112" t="s">
        <v>1281</v>
      </c>
      <c r="BN502" s="112" t="s">
        <v>1281</v>
      </c>
      <c r="BO502" s="112" t="s">
        <v>1281</v>
      </c>
      <c r="BP502" s="112" t="s">
        <v>1281</v>
      </c>
      <c r="BQ502" s="112" t="s">
        <v>1281</v>
      </c>
      <c r="BR502" s="112" t="s">
        <v>1281</v>
      </c>
      <c r="BS502" s="112" t="s">
        <v>1281</v>
      </c>
      <c r="BT502" s="112" t="s">
        <v>1281</v>
      </c>
      <c r="BU502" s="112" t="s">
        <v>1281</v>
      </c>
      <c r="BV502" s="111">
        <f t="shared" ref="BV502" si="5315">E502</f>
        <v>478</v>
      </c>
      <c r="BW502" s="113" t="str">
        <f t="shared" ref="BW502" si="5316">I502</f>
        <v>-</v>
      </c>
      <c r="BX502" s="114">
        <f t="shared" ref="BX502" si="5317">M502</f>
        <v>518</v>
      </c>
      <c r="BY502" s="113" t="str">
        <f t="shared" ref="BY502" si="5318">Q502</f>
        <v>-</v>
      </c>
      <c r="BZ502" s="114">
        <f t="shared" ref="BZ502" si="5319">U502</f>
        <v>552</v>
      </c>
      <c r="CA502" s="113" t="str">
        <f t="shared" ref="CA502" si="5320">Y502</f>
        <v>-</v>
      </c>
      <c r="CB502" s="114">
        <f t="shared" ref="CB502" si="5321">AC502</f>
        <v>591</v>
      </c>
      <c r="CC502" s="113">
        <f t="shared" ref="CC502" si="5322">AG502</f>
        <v>648</v>
      </c>
      <c r="CD502" s="114">
        <f t="shared" ref="CD502" si="5323">AK502</f>
        <v>653</v>
      </c>
      <c r="CE502" s="113">
        <f t="shared" ref="CE502" si="5324">AO502</f>
        <v>691</v>
      </c>
      <c r="CF502" s="114">
        <f t="shared" ref="CF502" si="5325">AS502</f>
        <v>718</v>
      </c>
      <c r="CG502" s="113" t="str">
        <f t="shared" ref="CG502" si="5326">AW502</f>
        <v>-</v>
      </c>
      <c r="CH502" s="111">
        <f t="shared" ref="CH502" si="5327">G502</f>
        <v>507</v>
      </c>
      <c r="CI502" s="113" t="str">
        <f t="shared" ref="CI502" si="5328">K502</f>
        <v>-</v>
      </c>
      <c r="CJ502" s="114">
        <f t="shared" ref="CJ502" si="5329">O502</f>
        <v>536</v>
      </c>
      <c r="CK502" s="114" t="str">
        <f t="shared" ref="CK502" si="5330">S502</f>
        <v>-</v>
      </c>
      <c r="CL502" s="114">
        <f t="shared" ref="CL502" si="5331">W502</f>
        <v>582</v>
      </c>
      <c r="CM502" s="114" t="str">
        <f t="shared" ref="CM502" si="5332">AA502</f>
        <v>-</v>
      </c>
      <c r="CN502" s="114">
        <f t="shared" ref="CN502" si="5333">AE502</f>
        <v>619</v>
      </c>
      <c r="CO502" s="114">
        <f t="shared" ref="CO502" si="5334">AI502</f>
        <v>650</v>
      </c>
      <c r="CP502" s="114">
        <f t="shared" ref="CP502" si="5335">AM502</f>
        <v>678</v>
      </c>
      <c r="CQ502" s="114">
        <f t="shared" ref="CQ502" si="5336">AQ502</f>
        <v>713</v>
      </c>
      <c r="CR502" s="114">
        <f t="shared" ref="CR502" si="5337">AU502</f>
        <v>747</v>
      </c>
      <c r="CS502" s="114" t="str">
        <f t="shared" ref="CS502" si="5338">AY502</f>
        <v>-</v>
      </c>
      <c r="CT502" s="109" t="e">
        <f t="shared" ref="CT502" si="5339">M502-K502</f>
        <v>#VALUE!</v>
      </c>
    </row>
    <row r="503" spans="1:1029" s="12" customFormat="1" x14ac:dyDescent="0.2">
      <c r="A503" s="9" t="str">
        <f t="shared" ref="A503" si="5340">CONCATENATE(B503,"_",C503)</f>
        <v>gabr2_human_6VJM</v>
      </c>
      <c r="B503" s="9" t="s">
        <v>107</v>
      </c>
      <c r="C503" s="9" t="s">
        <v>1709</v>
      </c>
      <c r="D503" s="9" t="str">
        <f>IFERROR(MID(VLOOKUP($B503,Seqs!$A:$B,2,0),E503,1),"")</f>
        <v>S</v>
      </c>
      <c r="E503" s="9">
        <v>478</v>
      </c>
      <c r="F503" s="9" t="str">
        <f>IFERROR(MID(VLOOKUP($B503,Seqs!$A:$B,2,0),G503,1),"")</f>
        <v>Q</v>
      </c>
      <c r="G503" s="9">
        <v>509</v>
      </c>
      <c r="H503" s="9" t="str">
        <f>IFERROR(MID(VLOOKUP($B503,Seqs!$A:$B,2,0),I503,1),"")</f>
        <v/>
      </c>
      <c r="I503" s="109" t="s">
        <v>23</v>
      </c>
      <c r="J503" s="9" t="str">
        <f>IFERROR(MID(VLOOKUP($B503,Seqs!$A:$B,2,0),K503,1),"")</f>
        <v/>
      </c>
      <c r="K503" s="109" t="s">
        <v>23</v>
      </c>
      <c r="L503" s="9" t="str">
        <f>IFERROR(MID(VLOOKUP($B503,Seqs!$A:$B,2,0),M503,1),"")</f>
        <v>Y</v>
      </c>
      <c r="M503" s="9">
        <v>518</v>
      </c>
      <c r="N503" s="9" t="str">
        <f>IFERROR(MID(VLOOKUP($B503,Seqs!$A:$B,2,0),O503,1),"")</f>
        <v>L</v>
      </c>
      <c r="O503" s="9">
        <v>536</v>
      </c>
      <c r="P503" s="9" t="str">
        <f>IFERROR(MID(VLOOKUP($B503,Seqs!$A:$B,2,0),Q503,1),"")</f>
        <v/>
      </c>
      <c r="Q503" s="9" t="s">
        <v>23</v>
      </c>
      <c r="R503" s="9" t="str">
        <f>IFERROR(MID(VLOOKUP($B503,Seqs!$A:$B,2,0),S503,1),"")</f>
        <v/>
      </c>
      <c r="S503" s="9" t="s">
        <v>23</v>
      </c>
      <c r="T503" s="9" t="str">
        <f>IFERROR(MID(VLOOKUP($B503,Seqs!$A:$B,2,0),U503,1),"")</f>
        <v>T</v>
      </c>
      <c r="U503" s="9">
        <v>551</v>
      </c>
      <c r="V503" s="9" t="str">
        <f>IFERROR(MID(VLOOKUP($B503,Seqs!$A:$B,2,0),W503,1),"")</f>
        <v>K</v>
      </c>
      <c r="W503" s="9">
        <v>583</v>
      </c>
      <c r="X503" s="9" t="str">
        <f>IFERROR(MID(VLOOKUP($B503,Seqs!$A:$B,2,0),Y503,1),"")</f>
        <v/>
      </c>
      <c r="Y503" s="9" t="s">
        <v>23</v>
      </c>
      <c r="Z503" s="9" t="str">
        <f>IFERROR(MID(VLOOKUP($B503,Seqs!$A:$B,2,0),AA503,1),"")</f>
        <v/>
      </c>
      <c r="AA503" s="9" t="s">
        <v>23</v>
      </c>
      <c r="AB503" s="9" t="str">
        <f>IFERROR(MID(VLOOKUP($B503,Seqs!$A:$B,2,0),AC503,1),"")</f>
        <v>I</v>
      </c>
      <c r="AC503" s="9">
        <v>591</v>
      </c>
      <c r="AD503" s="9" t="str">
        <f>IFERROR(MID(VLOOKUP($B503,Seqs!$A:$B,2,0),AE503,1),"")</f>
        <v>V</v>
      </c>
      <c r="AE503" s="9">
        <v>618</v>
      </c>
      <c r="AF503" s="9" t="str">
        <f>IFERROR(MID(VLOOKUP($B503,Seqs!$A:$B,2,0),AG503,1),"")</f>
        <v>C</v>
      </c>
      <c r="AG503" s="9">
        <v>648</v>
      </c>
      <c r="AH503" s="9" t="str">
        <f>IFERROR(MID(VLOOKUP($B503,Seqs!$A:$B,2,0),AI503,1),"")</f>
        <v>N</v>
      </c>
      <c r="AI503" s="9">
        <v>650</v>
      </c>
      <c r="AJ503" s="9" t="str">
        <f>IFERROR(MID(VLOOKUP($B503,Seqs!$A:$B,2,0),AK503,1),"")</f>
        <v>M</v>
      </c>
      <c r="AK503" s="9">
        <v>653</v>
      </c>
      <c r="AL503" s="9" t="str">
        <f>IFERROR(MID(VLOOKUP($B503,Seqs!$A:$B,2,0),AM503,1),"")</f>
        <v>T</v>
      </c>
      <c r="AM503" s="9">
        <v>678</v>
      </c>
      <c r="AN503" s="9" t="str">
        <f>IFERROR(MID(VLOOKUP($B503,Seqs!$A:$B,2,0),AO503,1),"")</f>
        <v>Y</v>
      </c>
      <c r="AO503" s="9">
        <v>691</v>
      </c>
      <c r="AP503" s="9" t="str">
        <f>IFERROR(MID(VLOOKUP($B503,Seqs!$A:$B,2,0),AQ503,1),"")</f>
        <v>T</v>
      </c>
      <c r="AQ503" s="9">
        <v>713</v>
      </c>
      <c r="AR503" s="9" t="str">
        <f>IFERROR(MID(VLOOKUP($B503,Seqs!$A:$B,2,0),AS503,1),"")</f>
        <v>Q</v>
      </c>
      <c r="AS503" s="9">
        <v>716</v>
      </c>
      <c r="AT503" s="9" t="str">
        <f>IFERROR(MID(VLOOKUP($B503,Seqs!$A:$B,2,0),AU503,1),"")</f>
        <v>L</v>
      </c>
      <c r="AU503" s="9">
        <v>747</v>
      </c>
      <c r="AV503" s="9" t="str">
        <f>IFERROR(MID(VLOOKUP($B503,Seqs!$A:$B,2,0),AW503,1),"")</f>
        <v/>
      </c>
      <c r="AW503" s="9" t="s">
        <v>23</v>
      </c>
      <c r="AX503" s="9" t="str">
        <f>IFERROR(MID(VLOOKUP($B503,Seqs!$A:$B,2,0),AY503,1),"")</f>
        <v/>
      </c>
      <c r="AY503" s="9" t="s">
        <v>23</v>
      </c>
      <c r="AZ503" s="110" t="str">
        <f>VLOOKUP(B503,Classification!A:D,2,0)</f>
        <v>C</v>
      </c>
      <c r="BA503" s="98" t="str">
        <f>VLOOKUP(B503,Classification!A:D,4,0)</f>
        <v>GABA&lt;sub&gt;B&lt;/sub&gt;</v>
      </c>
      <c r="BB503" s="36" t="b">
        <f t="shared" ref="BB503" si="5341">AND(E503&lt;G503,OR(G503&lt;I503,I503="-"),OR(I503&lt;K503,I503="-"),OR(K503&lt;M503,K503="-"),M503&lt;O503,OR(O503&lt;Q503,Q503="-"),OR(Q503&lt;S503,Q503="-"),OR(S503&lt;U503,S503="-"),U503&lt;W503,OR(W503&lt;Y503,Y503="-"),OR(Y503&lt;AA503,Y503="-"),OR(AA503&lt;AC503,AA503="-"),AC503&lt;AE503,OR(AE503&lt;AG503,AG503="-"),OR(AG503&lt;AI503,AG503="-"),OR(AI503&lt;AK503,AI503="-"),AK503&lt;AM503,AM503&lt;AO503,AO503&lt;AQ503,AQ503&lt;AS503,AS503&lt;AU503,OR(AU503&lt;AW503,AW503="-"),OR(AW503&lt;AY503,AW503="-"))</f>
        <v>1</v>
      </c>
      <c r="BC503" s="109">
        <f t="shared" ref="BC503" si="5342">_xlfn.AGGREGATE(9,6,CH503:CS503)-_xlfn.AGGREGATE(9,6,BV503:CG503)+12</f>
        <v>200</v>
      </c>
      <c r="BD503" s="127" t="s">
        <v>23</v>
      </c>
      <c r="BE503" s="9" t="s">
        <v>1368</v>
      </c>
      <c r="BF503" s="119">
        <v>3.97</v>
      </c>
      <c r="BG503" s="51" t="s">
        <v>1275</v>
      </c>
      <c r="BH503" s="51" t="s">
        <v>1275</v>
      </c>
      <c r="BI503" s="9"/>
      <c r="BJ503" s="111" t="s">
        <v>1281</v>
      </c>
      <c r="BK503" s="112" t="s">
        <v>1281</v>
      </c>
      <c r="BL503" s="112" t="s">
        <v>1281</v>
      </c>
      <c r="BM503" s="112" t="s">
        <v>1281</v>
      </c>
      <c r="BN503" s="112" t="s">
        <v>1281</v>
      </c>
      <c r="BO503" s="112" t="s">
        <v>1281</v>
      </c>
      <c r="BP503" s="112" t="s">
        <v>1281</v>
      </c>
      <c r="BQ503" s="112" t="s">
        <v>1281</v>
      </c>
      <c r="BR503" s="112" t="s">
        <v>1281</v>
      </c>
      <c r="BS503" s="112" t="s">
        <v>1281</v>
      </c>
      <c r="BT503" s="112" t="s">
        <v>1281</v>
      </c>
      <c r="BU503" s="112" t="s">
        <v>1281</v>
      </c>
      <c r="BV503" s="111">
        <f t="shared" ref="BV503" si="5343">E503</f>
        <v>478</v>
      </c>
      <c r="BW503" s="113" t="str">
        <f t="shared" ref="BW503" si="5344">I503</f>
        <v>-</v>
      </c>
      <c r="BX503" s="114">
        <f t="shared" ref="BX503" si="5345">M503</f>
        <v>518</v>
      </c>
      <c r="BY503" s="113" t="str">
        <f t="shared" ref="BY503" si="5346">Q503</f>
        <v>-</v>
      </c>
      <c r="BZ503" s="114">
        <f t="shared" ref="BZ503" si="5347">U503</f>
        <v>551</v>
      </c>
      <c r="CA503" s="113" t="str">
        <f t="shared" ref="CA503" si="5348">Y503</f>
        <v>-</v>
      </c>
      <c r="CB503" s="114">
        <f t="shared" ref="CB503" si="5349">AC503</f>
        <v>591</v>
      </c>
      <c r="CC503" s="113">
        <f t="shared" ref="CC503" si="5350">AG503</f>
        <v>648</v>
      </c>
      <c r="CD503" s="114">
        <f t="shared" ref="CD503" si="5351">AK503</f>
        <v>653</v>
      </c>
      <c r="CE503" s="113">
        <f t="shared" ref="CE503" si="5352">AO503</f>
        <v>691</v>
      </c>
      <c r="CF503" s="114">
        <f t="shared" ref="CF503" si="5353">AS503</f>
        <v>716</v>
      </c>
      <c r="CG503" s="113" t="str">
        <f t="shared" ref="CG503" si="5354">AW503</f>
        <v>-</v>
      </c>
      <c r="CH503" s="111">
        <f t="shared" ref="CH503" si="5355">G503</f>
        <v>509</v>
      </c>
      <c r="CI503" s="113" t="str">
        <f t="shared" ref="CI503" si="5356">K503</f>
        <v>-</v>
      </c>
      <c r="CJ503" s="114">
        <f t="shared" ref="CJ503" si="5357">O503</f>
        <v>536</v>
      </c>
      <c r="CK503" s="114" t="str">
        <f t="shared" ref="CK503" si="5358">S503</f>
        <v>-</v>
      </c>
      <c r="CL503" s="114">
        <f t="shared" ref="CL503" si="5359">W503</f>
        <v>583</v>
      </c>
      <c r="CM503" s="114" t="str">
        <f t="shared" ref="CM503" si="5360">AA503</f>
        <v>-</v>
      </c>
      <c r="CN503" s="114">
        <f t="shared" ref="CN503" si="5361">AE503</f>
        <v>618</v>
      </c>
      <c r="CO503" s="114">
        <f t="shared" ref="CO503" si="5362">AI503</f>
        <v>650</v>
      </c>
      <c r="CP503" s="114">
        <f t="shared" ref="CP503" si="5363">AM503</f>
        <v>678</v>
      </c>
      <c r="CQ503" s="114">
        <f t="shared" ref="CQ503" si="5364">AQ503</f>
        <v>713</v>
      </c>
      <c r="CR503" s="114">
        <f t="shared" ref="CR503" si="5365">AU503</f>
        <v>747</v>
      </c>
      <c r="CS503" s="114" t="str">
        <f t="shared" ref="CS503" si="5366">AY503</f>
        <v>-</v>
      </c>
      <c r="CT503" s="109" t="e">
        <f t="shared" ref="CT503" si="5367">M503-K503</f>
        <v>#VALUE!</v>
      </c>
    </row>
    <row r="504" spans="1:1029" s="12" customFormat="1" x14ac:dyDescent="0.2">
      <c r="A504" s="9" t="str">
        <f t="shared" ref="A504" si="5368">CONCATENATE(B504,"_",C504)</f>
        <v>gabr2_human_6W2X</v>
      </c>
      <c r="B504" s="9" t="s">
        <v>107</v>
      </c>
      <c r="C504" s="9" t="s">
        <v>1712</v>
      </c>
      <c r="D504" s="9" t="str">
        <f>IFERROR(MID(VLOOKUP($B504,Seqs!$A:$B,2,0),E504,1),"")</f>
        <v>L</v>
      </c>
      <c r="E504" s="9">
        <v>481</v>
      </c>
      <c r="F504" s="9" t="str">
        <f>IFERROR(MID(VLOOKUP($B504,Seqs!$A:$B,2,0),G504,1),"")</f>
        <v>N</v>
      </c>
      <c r="G504" s="9">
        <v>506</v>
      </c>
      <c r="H504" s="9" t="str">
        <f>IFERROR(MID(VLOOKUP($B504,Seqs!$A:$B,2,0),I504,1),"")</f>
        <v>Q</v>
      </c>
      <c r="I504" s="109">
        <v>509</v>
      </c>
      <c r="J504" s="9" t="str">
        <f>IFERROR(MID(VLOOKUP($B504,Seqs!$A:$B,2,0),K504,1),"")</f>
        <v>S</v>
      </c>
      <c r="K504" s="109">
        <v>515</v>
      </c>
      <c r="L504" s="9" t="str">
        <f>IFERROR(MID(VLOOKUP($B504,Seqs!$A:$B,2,0),M504,1),"")</f>
        <v>Y</v>
      </c>
      <c r="M504" s="9">
        <v>518</v>
      </c>
      <c r="N504" s="9" t="str">
        <f>IFERROR(MID(VLOOKUP($B504,Seqs!$A:$B,2,0),O504,1),"")</f>
        <v>G</v>
      </c>
      <c r="O504" s="9">
        <v>538</v>
      </c>
      <c r="P504" s="9" t="str">
        <f>IFERROR(MID(VLOOKUP($B504,Seqs!$A:$B,2,0),Q504,1),"")</f>
        <v/>
      </c>
      <c r="Q504" s="9" t="s">
        <v>23</v>
      </c>
      <c r="R504" s="9" t="str">
        <f>IFERROR(MID(VLOOKUP($B504,Seqs!$A:$B,2,0),S504,1),"")</f>
        <v/>
      </c>
      <c r="S504" s="9" t="s">
        <v>23</v>
      </c>
      <c r="T504" s="9" t="str">
        <f>IFERROR(MID(VLOOKUP($B504,Seqs!$A:$B,2,0),U504,1),"")</f>
        <v>S</v>
      </c>
      <c r="U504" s="9">
        <v>545</v>
      </c>
      <c r="V504" s="9" t="str">
        <f>IFERROR(MID(VLOOKUP($B504,Seqs!$A:$B,2,0),W504,1),"")</f>
        <v>N</v>
      </c>
      <c r="W504" s="9">
        <v>584</v>
      </c>
      <c r="X504" s="9" t="str">
        <f>IFERROR(MID(VLOOKUP($B504,Seqs!$A:$B,2,0),Y504,1),"")</f>
        <v/>
      </c>
      <c r="Y504" s="9" t="s">
        <v>23</v>
      </c>
      <c r="Z504" s="9" t="str">
        <f>IFERROR(MID(VLOOKUP($B504,Seqs!$A:$B,2,0),AA504,1),"")</f>
        <v/>
      </c>
      <c r="AA504" s="9" t="s">
        <v>23</v>
      </c>
      <c r="AB504" s="9" t="str">
        <f>IFERROR(MID(VLOOKUP($B504,Seqs!$A:$B,2,0),AC504,1),"")</f>
        <v>I</v>
      </c>
      <c r="AC504" s="9">
        <v>592</v>
      </c>
      <c r="AD504" s="9" t="str">
        <f>IFERROR(MID(VLOOKUP($B504,Seqs!$A:$B,2,0),AE504,1),"")</f>
        <v>D</v>
      </c>
      <c r="AE504" s="9">
        <v>619</v>
      </c>
      <c r="AF504" s="9" t="str">
        <f>IFERROR(MID(VLOOKUP($B504,Seqs!$A:$B,2,0),AG504,1),"")</f>
        <v>C</v>
      </c>
      <c r="AG504" s="9">
        <v>648</v>
      </c>
      <c r="AH504" s="9" t="str">
        <f>IFERROR(MID(VLOOKUP($B504,Seqs!$A:$B,2,0),AI504,1),"")</f>
        <v>N</v>
      </c>
      <c r="AI504" s="9">
        <v>650</v>
      </c>
      <c r="AJ504" s="9" t="str">
        <f>IFERROR(MID(VLOOKUP($B504,Seqs!$A:$B,2,0),AK504,1),"")</f>
        <v>M</v>
      </c>
      <c r="AK504" s="9">
        <v>653</v>
      </c>
      <c r="AL504" s="9" t="str">
        <f>IFERROR(MID(VLOOKUP($B504,Seqs!$A:$B,2,0),AM504,1),"")</f>
        <v>R</v>
      </c>
      <c r="AM504" s="9">
        <v>679</v>
      </c>
      <c r="AN504" s="9" t="str">
        <f>IFERROR(MID(VLOOKUP($B504,Seqs!$A:$B,2,0),AO504,1),"")</f>
        <v>D</v>
      </c>
      <c r="AO504" s="9">
        <v>688</v>
      </c>
      <c r="AP504" s="9" t="str">
        <f>IFERROR(MID(VLOOKUP($B504,Seqs!$A:$B,2,0),AQ504,1),"")</f>
        <v>T</v>
      </c>
      <c r="AQ504" s="9">
        <v>713</v>
      </c>
      <c r="AR504" s="9" t="str">
        <f>IFERROR(MID(VLOOKUP($B504,Seqs!$A:$B,2,0),AS504,1),"")</f>
        <v>N</v>
      </c>
      <c r="AS504" s="9">
        <v>718</v>
      </c>
      <c r="AT504" s="9" t="str">
        <f>IFERROR(MID(VLOOKUP($B504,Seqs!$A:$B,2,0),AU504,1),"")</f>
        <v>N</v>
      </c>
      <c r="AU504" s="9">
        <v>750</v>
      </c>
      <c r="AV504" s="9" t="str">
        <f>IFERROR(MID(VLOOKUP($B504,Seqs!$A:$B,2,0),AW504,1),"")</f>
        <v/>
      </c>
      <c r="AW504" s="9" t="s">
        <v>23</v>
      </c>
      <c r="AX504" s="9" t="str">
        <f>IFERROR(MID(VLOOKUP($B504,Seqs!$A:$B,2,0),AY504,1),"")</f>
        <v/>
      </c>
      <c r="AY504" s="9" t="s">
        <v>23</v>
      </c>
      <c r="AZ504" s="110" t="str">
        <f>VLOOKUP(B504,Classification!A:D,2,0)</f>
        <v>C</v>
      </c>
      <c r="BA504" s="98" t="str">
        <f>VLOOKUP(B504,Classification!A:D,4,0)</f>
        <v>GABA&lt;sub&gt;B&lt;/sub&gt;</v>
      </c>
      <c r="BB504" s="36" t="b">
        <f t="shared" ref="BB504" si="5369">AND(E504&lt;G504,OR(G504&lt;I504,I504="-"),OR(I504&lt;K504,I504="-"),OR(K504&lt;M504,K504="-"),M504&lt;O504,OR(O504&lt;Q504,Q504="-"),OR(Q504&lt;S504,Q504="-"),OR(S504&lt;U504,S504="-"),U504&lt;W504,OR(W504&lt;Y504,Y504="-"),OR(Y504&lt;AA504,Y504="-"),OR(AA504&lt;AC504,AA504="-"),AC504&lt;AE504,OR(AE504&lt;AG504,AG504="-"),OR(AG504&lt;AI504,AG504="-"),OR(AI504&lt;AK504,AI504="-"),AK504&lt;AM504,AM504&lt;AO504,AO504&lt;AQ504,AQ504&lt;AS504,AS504&lt;AU504,OR(AU504&lt;AW504,AW504="-"),OR(AW504&lt;AY504,AW504="-"))</f>
        <v>1</v>
      </c>
      <c r="BC504" s="109">
        <f t="shared" ref="BC504" si="5370">_xlfn.AGGREGATE(9,6,CH504:CS504)-_xlfn.AGGREGATE(9,6,BV504:CG504)+12</f>
        <v>214</v>
      </c>
      <c r="BD504" s="127" t="s">
        <v>23</v>
      </c>
      <c r="BE504" s="9" t="s">
        <v>1368</v>
      </c>
      <c r="BF504" s="119">
        <v>3.6</v>
      </c>
      <c r="BG504" s="51" t="s">
        <v>1275</v>
      </c>
      <c r="BH504" s="51" t="s">
        <v>1275</v>
      </c>
      <c r="BI504" s="9"/>
      <c r="BJ504" s="111" t="s">
        <v>1281</v>
      </c>
      <c r="BK504" s="112" t="s">
        <v>1281</v>
      </c>
      <c r="BL504" s="112" t="s">
        <v>1281</v>
      </c>
      <c r="BM504" s="112" t="s">
        <v>1281</v>
      </c>
      <c r="BN504" s="112" t="s">
        <v>1281</v>
      </c>
      <c r="BO504" s="112" t="s">
        <v>1281</v>
      </c>
      <c r="BP504" s="112" t="s">
        <v>1281</v>
      </c>
      <c r="BQ504" s="112" t="s">
        <v>1281</v>
      </c>
      <c r="BR504" s="112" t="s">
        <v>1281</v>
      </c>
      <c r="BS504" s="112" t="s">
        <v>1281</v>
      </c>
      <c r="BT504" s="112" t="s">
        <v>1281</v>
      </c>
      <c r="BU504" s="112" t="s">
        <v>1281</v>
      </c>
      <c r="BV504" s="111">
        <f t="shared" ref="BV504" si="5371">E504</f>
        <v>481</v>
      </c>
      <c r="BW504" s="113">
        <f t="shared" ref="BW504" si="5372">I504</f>
        <v>509</v>
      </c>
      <c r="BX504" s="114">
        <f t="shared" ref="BX504" si="5373">M504</f>
        <v>518</v>
      </c>
      <c r="BY504" s="113" t="str">
        <f t="shared" ref="BY504" si="5374">Q504</f>
        <v>-</v>
      </c>
      <c r="BZ504" s="114">
        <f t="shared" ref="BZ504" si="5375">U504</f>
        <v>545</v>
      </c>
      <c r="CA504" s="113" t="str">
        <f t="shared" ref="CA504" si="5376">Y504</f>
        <v>-</v>
      </c>
      <c r="CB504" s="114">
        <f t="shared" ref="CB504" si="5377">AC504</f>
        <v>592</v>
      </c>
      <c r="CC504" s="113">
        <f t="shared" ref="CC504" si="5378">AG504</f>
        <v>648</v>
      </c>
      <c r="CD504" s="114">
        <f t="shared" ref="CD504" si="5379">AK504</f>
        <v>653</v>
      </c>
      <c r="CE504" s="113">
        <f t="shared" ref="CE504" si="5380">AO504</f>
        <v>688</v>
      </c>
      <c r="CF504" s="114">
        <f t="shared" ref="CF504" si="5381">AS504</f>
        <v>718</v>
      </c>
      <c r="CG504" s="113" t="str">
        <f t="shared" ref="CG504" si="5382">AW504</f>
        <v>-</v>
      </c>
      <c r="CH504" s="111">
        <f t="shared" ref="CH504" si="5383">G504</f>
        <v>506</v>
      </c>
      <c r="CI504" s="113">
        <f t="shared" ref="CI504" si="5384">K504</f>
        <v>515</v>
      </c>
      <c r="CJ504" s="114">
        <f t="shared" ref="CJ504" si="5385">O504</f>
        <v>538</v>
      </c>
      <c r="CK504" s="114" t="str">
        <f t="shared" ref="CK504" si="5386">S504</f>
        <v>-</v>
      </c>
      <c r="CL504" s="114">
        <f t="shared" ref="CL504" si="5387">W504</f>
        <v>584</v>
      </c>
      <c r="CM504" s="114" t="str">
        <f t="shared" ref="CM504" si="5388">AA504</f>
        <v>-</v>
      </c>
      <c r="CN504" s="114">
        <f t="shared" ref="CN504" si="5389">AE504</f>
        <v>619</v>
      </c>
      <c r="CO504" s="114">
        <f t="shared" ref="CO504" si="5390">AI504</f>
        <v>650</v>
      </c>
      <c r="CP504" s="114">
        <f t="shared" ref="CP504" si="5391">AM504</f>
        <v>679</v>
      </c>
      <c r="CQ504" s="114">
        <f t="shared" ref="CQ504" si="5392">AQ504</f>
        <v>713</v>
      </c>
      <c r="CR504" s="114">
        <f t="shared" ref="CR504" si="5393">AU504</f>
        <v>750</v>
      </c>
      <c r="CS504" s="114" t="str">
        <f t="shared" ref="CS504" si="5394">AY504</f>
        <v>-</v>
      </c>
      <c r="CT504" s="109">
        <f t="shared" ref="CT504" si="5395">M504-K504</f>
        <v>3</v>
      </c>
    </row>
    <row r="505" spans="1:1029" s="12" customFormat="1" x14ac:dyDescent="0.2">
      <c r="A505" s="9" t="str">
        <f t="shared" ref="A505" si="5396">CONCATENATE(B505,"_",C505)</f>
        <v>gabr2_human_6WIV</v>
      </c>
      <c r="B505" s="9" t="s">
        <v>107</v>
      </c>
      <c r="C505" s="9" t="s">
        <v>1714</v>
      </c>
      <c r="D505" s="9" t="str">
        <f>IFERROR(MID(VLOOKUP($B505,Seqs!$A:$B,2,0),E505,1),"")</f>
        <v>S</v>
      </c>
      <c r="E505" s="9">
        <v>478</v>
      </c>
      <c r="F505" s="9" t="str">
        <f>IFERROR(MID(VLOOKUP($B505,Seqs!$A:$B,2,0),G505,1),"")</f>
        <v>N</v>
      </c>
      <c r="G505" s="9">
        <v>506</v>
      </c>
      <c r="H505" s="9" t="str">
        <f>IFERROR(MID(VLOOKUP($B505,Seqs!$A:$B,2,0),I505,1),"")</f>
        <v>Q</v>
      </c>
      <c r="I505" s="109">
        <v>509</v>
      </c>
      <c r="J505" s="9" t="str">
        <f>IFERROR(MID(VLOOKUP($B505,Seqs!$A:$B,2,0),K505,1),"")</f>
        <v>M</v>
      </c>
      <c r="K505" s="109">
        <v>514</v>
      </c>
      <c r="L505" s="9" t="str">
        <f>IFERROR(MID(VLOOKUP($B505,Seqs!$A:$B,2,0),M505,1),"")</f>
        <v>S</v>
      </c>
      <c r="M505" s="9">
        <v>516</v>
      </c>
      <c r="N505" s="9" t="str">
        <f>IFERROR(MID(VLOOKUP($B505,Seqs!$A:$B,2,0),O505,1),"")</f>
        <v>F</v>
      </c>
      <c r="O505" s="9">
        <v>537</v>
      </c>
      <c r="P505" s="9" t="str">
        <f>IFERROR(MID(VLOOKUP($B505,Seqs!$A:$B,2,0),Q505,1),"")</f>
        <v/>
      </c>
      <c r="Q505" s="9" t="s">
        <v>23</v>
      </c>
      <c r="R505" s="9" t="str">
        <f>IFERROR(MID(VLOOKUP($B505,Seqs!$A:$B,2,0),S505,1),"")</f>
        <v/>
      </c>
      <c r="S505" s="9" t="s">
        <v>23</v>
      </c>
      <c r="T505" s="9" t="str">
        <f>IFERROR(MID(VLOOKUP($B505,Seqs!$A:$B,2,0),U505,1),"")</f>
        <v>S</v>
      </c>
      <c r="U505" s="9">
        <v>545</v>
      </c>
      <c r="V505" s="9" t="str">
        <f>IFERROR(MID(VLOOKUP($B505,Seqs!$A:$B,2,0),W505,1),"")</f>
        <v>N</v>
      </c>
      <c r="W505" s="9">
        <v>584</v>
      </c>
      <c r="X505" s="9" t="str">
        <f>IFERROR(MID(VLOOKUP($B505,Seqs!$A:$B,2,0),Y505,1),"")</f>
        <v/>
      </c>
      <c r="Y505" s="9" t="s">
        <v>23</v>
      </c>
      <c r="Z505" s="9" t="str">
        <f>IFERROR(MID(VLOOKUP($B505,Seqs!$A:$B,2,0),AA505,1),"")</f>
        <v/>
      </c>
      <c r="AA505" s="9" t="s">
        <v>23</v>
      </c>
      <c r="AB505" s="9" t="str">
        <f>IFERROR(MID(VLOOKUP($B505,Seqs!$A:$B,2,0),AC505,1),"")</f>
        <v>K</v>
      </c>
      <c r="AC505" s="9">
        <v>596</v>
      </c>
      <c r="AD505" s="9" t="str">
        <f>IFERROR(MID(VLOOKUP($B505,Seqs!$A:$B,2,0),AE505,1),"")</f>
        <v>D</v>
      </c>
      <c r="AE505" s="9">
        <v>619</v>
      </c>
      <c r="AF505" s="9" t="str">
        <f>IFERROR(MID(VLOOKUP($B505,Seqs!$A:$B,2,0),AG505,1),"")</f>
        <v>C</v>
      </c>
      <c r="AG505" s="9">
        <v>648</v>
      </c>
      <c r="AH505" s="9" t="str">
        <f>IFERROR(MID(VLOOKUP($B505,Seqs!$A:$B,2,0),AI505,1),"")</f>
        <v>N</v>
      </c>
      <c r="AI505" s="9">
        <v>650</v>
      </c>
      <c r="AJ505" s="9" t="str">
        <f>IFERROR(MID(VLOOKUP($B505,Seqs!$A:$B,2,0),AK505,1),"")</f>
        <v>H</v>
      </c>
      <c r="AK505" s="9">
        <v>652</v>
      </c>
      <c r="AL505" s="9" t="str">
        <f>IFERROR(MID(VLOOKUP($B505,Seqs!$A:$B,2,0),AM505,1),"")</f>
        <v>T</v>
      </c>
      <c r="AM505" s="9">
        <v>678</v>
      </c>
      <c r="AN505" s="9" t="str">
        <f>IFERROR(MID(VLOOKUP($B505,Seqs!$A:$B,2,0),AO505,1),"")</f>
        <v>D</v>
      </c>
      <c r="AO505" s="9">
        <v>688</v>
      </c>
      <c r="AP505" s="9" t="str">
        <f>IFERROR(MID(VLOOKUP($B505,Seqs!$A:$B,2,0),AQ505,1),"")</f>
        <v>T</v>
      </c>
      <c r="AQ505" s="9">
        <v>713</v>
      </c>
      <c r="AR505" s="9" t="str">
        <f>IFERROR(MID(VLOOKUP($B505,Seqs!$A:$B,2,0),AS505,1),"")</f>
        <v>Q</v>
      </c>
      <c r="AS505" s="9">
        <v>716</v>
      </c>
      <c r="AT505" s="9" t="str">
        <f>IFERROR(MID(VLOOKUP($B505,Seqs!$A:$B,2,0),AU505,1),"")</f>
        <v>T</v>
      </c>
      <c r="AU505" s="9">
        <v>749</v>
      </c>
      <c r="AV505" s="9" t="str">
        <f>IFERROR(MID(VLOOKUP($B505,Seqs!$A:$B,2,0),AW505,1),"")</f>
        <v/>
      </c>
      <c r="AW505" s="9" t="s">
        <v>23</v>
      </c>
      <c r="AX505" s="9" t="str">
        <f>IFERROR(MID(VLOOKUP($B505,Seqs!$A:$B,2,0),AY505,1),"")</f>
        <v/>
      </c>
      <c r="AY505" s="9" t="s">
        <v>23</v>
      </c>
      <c r="AZ505" s="110" t="str">
        <f>VLOOKUP(B505,Classification!A:D,2,0)</f>
        <v>C</v>
      </c>
      <c r="BA505" s="98" t="str">
        <f>VLOOKUP(B505,Classification!A:D,4,0)</f>
        <v>GABA&lt;sub&gt;B&lt;/sub&gt;</v>
      </c>
      <c r="BB505" s="36" t="b">
        <f t="shared" ref="BB505" si="5397">AND(E505&lt;G505,OR(G505&lt;I505,I505="-"),OR(I505&lt;K505,I505="-"),OR(K505&lt;M505,K505="-"),M505&lt;O505,OR(O505&lt;Q505,Q505="-"),OR(Q505&lt;S505,Q505="-"),OR(S505&lt;U505,S505="-"),U505&lt;W505,OR(W505&lt;Y505,Y505="-"),OR(Y505&lt;AA505,Y505="-"),OR(AA505&lt;AC505,AA505="-"),AC505&lt;AE505,OR(AE505&lt;AG505,AG505="-"),OR(AG505&lt;AI505,AG505="-"),OR(AI505&lt;AK505,AI505="-"),AK505&lt;AM505,AM505&lt;AO505,AO505&lt;AQ505,AQ505&lt;AS505,AS505&lt;AU505,OR(AU505&lt;AW505,AW505="-"),OR(AW505&lt;AY505,AW505="-"))</f>
        <v>1</v>
      </c>
      <c r="BC505" s="109">
        <f t="shared" ref="BC505" si="5398">_xlfn.AGGREGATE(9,6,CH505:CS505)-_xlfn.AGGREGATE(9,6,BV505:CG505)+12</f>
        <v>214</v>
      </c>
      <c r="BD505" s="127" t="s">
        <v>23</v>
      </c>
      <c r="BE505" s="9" t="s">
        <v>1368</v>
      </c>
      <c r="BF505" s="119">
        <v>3.3</v>
      </c>
      <c r="BG505" s="51" t="s">
        <v>1275</v>
      </c>
      <c r="BH505" s="51" t="s">
        <v>1275</v>
      </c>
      <c r="BI505" s="9"/>
      <c r="BJ505" s="111" t="s">
        <v>1281</v>
      </c>
      <c r="BK505" s="112" t="s">
        <v>1281</v>
      </c>
      <c r="BL505" s="112" t="s">
        <v>1281</v>
      </c>
      <c r="BM505" s="112" t="s">
        <v>1281</v>
      </c>
      <c r="BN505" s="112" t="s">
        <v>1281</v>
      </c>
      <c r="BO505" s="112" t="s">
        <v>1281</v>
      </c>
      <c r="BP505" s="112" t="s">
        <v>1281</v>
      </c>
      <c r="BQ505" s="112" t="s">
        <v>1281</v>
      </c>
      <c r="BR505" s="112" t="s">
        <v>1281</v>
      </c>
      <c r="BS505" s="112" t="s">
        <v>1281</v>
      </c>
      <c r="BT505" s="112" t="s">
        <v>1281</v>
      </c>
      <c r="BU505" s="112" t="s">
        <v>1281</v>
      </c>
      <c r="BV505" s="111">
        <f t="shared" ref="BV505" si="5399">E505</f>
        <v>478</v>
      </c>
      <c r="BW505" s="113">
        <f t="shared" ref="BW505" si="5400">I505</f>
        <v>509</v>
      </c>
      <c r="BX505" s="114">
        <f t="shared" ref="BX505" si="5401">M505</f>
        <v>516</v>
      </c>
      <c r="BY505" s="113" t="str">
        <f t="shared" ref="BY505" si="5402">Q505</f>
        <v>-</v>
      </c>
      <c r="BZ505" s="114">
        <f t="shared" ref="BZ505" si="5403">U505</f>
        <v>545</v>
      </c>
      <c r="CA505" s="113" t="str">
        <f t="shared" ref="CA505" si="5404">Y505</f>
        <v>-</v>
      </c>
      <c r="CB505" s="114">
        <f t="shared" ref="CB505" si="5405">AC505</f>
        <v>596</v>
      </c>
      <c r="CC505" s="113">
        <f t="shared" ref="CC505" si="5406">AG505</f>
        <v>648</v>
      </c>
      <c r="CD505" s="114">
        <f t="shared" ref="CD505" si="5407">AK505</f>
        <v>652</v>
      </c>
      <c r="CE505" s="113">
        <f t="shared" ref="CE505" si="5408">AO505</f>
        <v>688</v>
      </c>
      <c r="CF505" s="114">
        <f t="shared" ref="CF505" si="5409">AS505</f>
        <v>716</v>
      </c>
      <c r="CG505" s="113" t="str">
        <f t="shared" ref="CG505" si="5410">AW505</f>
        <v>-</v>
      </c>
      <c r="CH505" s="111">
        <f t="shared" ref="CH505" si="5411">G505</f>
        <v>506</v>
      </c>
      <c r="CI505" s="113">
        <f t="shared" ref="CI505" si="5412">K505</f>
        <v>514</v>
      </c>
      <c r="CJ505" s="114">
        <f t="shared" ref="CJ505" si="5413">O505</f>
        <v>537</v>
      </c>
      <c r="CK505" s="114" t="str">
        <f t="shared" ref="CK505" si="5414">S505</f>
        <v>-</v>
      </c>
      <c r="CL505" s="114">
        <f t="shared" ref="CL505" si="5415">W505</f>
        <v>584</v>
      </c>
      <c r="CM505" s="114" t="str">
        <f t="shared" ref="CM505" si="5416">AA505</f>
        <v>-</v>
      </c>
      <c r="CN505" s="114">
        <f t="shared" ref="CN505" si="5417">AE505</f>
        <v>619</v>
      </c>
      <c r="CO505" s="114">
        <f t="shared" ref="CO505" si="5418">AI505</f>
        <v>650</v>
      </c>
      <c r="CP505" s="114">
        <f t="shared" ref="CP505" si="5419">AM505</f>
        <v>678</v>
      </c>
      <c r="CQ505" s="114">
        <f t="shared" ref="CQ505" si="5420">AQ505</f>
        <v>713</v>
      </c>
      <c r="CR505" s="114">
        <f t="shared" ref="CR505" si="5421">AU505</f>
        <v>749</v>
      </c>
      <c r="CS505" s="114" t="str">
        <f t="shared" ref="CS505" si="5422">AY505</f>
        <v>-</v>
      </c>
      <c r="CT505" s="109">
        <f t="shared" ref="CT505" si="5423">M505-K505</f>
        <v>2</v>
      </c>
    </row>
    <row r="506" spans="1:1029" s="12" customFormat="1" x14ac:dyDescent="0.2">
      <c r="A506" s="9" t="str">
        <f t="shared" ref="A506" si="5424">CONCATENATE(B506,"_",C506)</f>
        <v>gabr2_human_7C7Q</v>
      </c>
      <c r="B506" s="9" t="s">
        <v>107</v>
      </c>
      <c r="C506" s="9" t="s">
        <v>1710</v>
      </c>
      <c r="D506" s="9" t="str">
        <f>IFERROR(MID(VLOOKUP($B506,Seqs!$A:$B,2,0),E506,1),"")</f>
        <v>S</v>
      </c>
      <c r="E506" s="9">
        <v>478</v>
      </c>
      <c r="F506" s="9" t="str">
        <f>IFERROR(MID(VLOOKUP($B506,Seqs!$A:$B,2,0),G506,1),"")</f>
        <v>N</v>
      </c>
      <c r="G506" s="9">
        <v>506</v>
      </c>
      <c r="H506" s="9" t="str">
        <f>IFERROR(MID(VLOOKUP($B506,Seqs!$A:$B,2,0),I506,1),"")</f>
        <v>Q</v>
      </c>
      <c r="I506" s="109">
        <v>509</v>
      </c>
      <c r="J506" s="9" t="str">
        <f>IFERROR(MID(VLOOKUP($B506,Seqs!$A:$B,2,0),K506,1),"")</f>
        <v>S</v>
      </c>
      <c r="K506" s="109">
        <v>515</v>
      </c>
      <c r="L506" s="9" t="str">
        <f>IFERROR(MID(VLOOKUP($B506,Seqs!$A:$B,2,0),M506,1),"")</f>
        <v>S</v>
      </c>
      <c r="M506" s="9">
        <v>516</v>
      </c>
      <c r="N506" s="9" t="str">
        <f>IFERROR(MID(VLOOKUP($B506,Seqs!$A:$B,2,0),O506,1),"")</f>
        <v>G</v>
      </c>
      <c r="O506" s="9">
        <v>538</v>
      </c>
      <c r="P506" s="9" t="str">
        <f>IFERROR(MID(VLOOKUP($B506,Seqs!$A:$B,2,0),Q506,1),"")</f>
        <v/>
      </c>
      <c r="Q506" s="9" t="s">
        <v>23</v>
      </c>
      <c r="R506" s="9" t="str">
        <f>IFERROR(MID(VLOOKUP($B506,Seqs!$A:$B,2,0),S506,1),"")</f>
        <v/>
      </c>
      <c r="S506" s="9" t="s">
        <v>23</v>
      </c>
      <c r="T506" s="9" t="str">
        <f>IFERROR(MID(VLOOKUP($B506,Seqs!$A:$B,2,0),U506,1),"")</f>
        <v>S</v>
      </c>
      <c r="U506" s="9">
        <v>545</v>
      </c>
      <c r="V506" s="9" t="str">
        <f>IFERROR(MID(VLOOKUP($B506,Seqs!$A:$B,2,0),W506,1),"")</f>
        <v>K</v>
      </c>
      <c r="W506" s="9">
        <v>583</v>
      </c>
      <c r="X506" s="9" t="str">
        <f>IFERROR(MID(VLOOKUP($B506,Seqs!$A:$B,2,0),Y506,1),"")</f>
        <v/>
      </c>
      <c r="Y506" s="9" t="s">
        <v>23</v>
      </c>
      <c r="Z506" s="9" t="str">
        <f>IFERROR(MID(VLOOKUP($B506,Seqs!$A:$B,2,0),AA506,1),"")</f>
        <v/>
      </c>
      <c r="AA506" s="9" t="s">
        <v>23</v>
      </c>
      <c r="AB506" s="9" t="str">
        <f>IFERROR(MID(VLOOKUP($B506,Seqs!$A:$B,2,0),AC506,1),"")</f>
        <v>K</v>
      </c>
      <c r="AC506" s="9">
        <v>596</v>
      </c>
      <c r="AD506" s="9" t="str">
        <f>IFERROR(MID(VLOOKUP($B506,Seqs!$A:$B,2,0),AE506,1),"")</f>
        <v>D</v>
      </c>
      <c r="AE506" s="9">
        <v>619</v>
      </c>
      <c r="AF506" s="9" t="str">
        <f>IFERROR(MID(VLOOKUP($B506,Seqs!$A:$B,2,0),AG506,1),"")</f>
        <v>C</v>
      </c>
      <c r="AG506" s="9">
        <v>648</v>
      </c>
      <c r="AH506" s="9" t="str">
        <f>IFERROR(MID(VLOOKUP($B506,Seqs!$A:$B,2,0),AI506,1),"")</f>
        <v>N</v>
      </c>
      <c r="AI506" s="9">
        <v>650</v>
      </c>
      <c r="AJ506" s="9" t="str">
        <f>IFERROR(MID(VLOOKUP($B506,Seqs!$A:$B,2,0),AK506,1),"")</f>
        <v>M</v>
      </c>
      <c r="AK506" s="9">
        <v>653</v>
      </c>
      <c r="AL506" s="9" t="str">
        <f>IFERROR(MID(VLOOKUP($B506,Seqs!$A:$B,2,0),AM506,1),"")</f>
        <v>V</v>
      </c>
      <c r="AM506" s="9">
        <v>681</v>
      </c>
      <c r="AN506" s="9" t="str">
        <f>IFERROR(MID(VLOOKUP($B506,Seqs!$A:$B,2,0),AO506,1),"")</f>
        <v>D</v>
      </c>
      <c r="AO506" s="9">
        <v>688</v>
      </c>
      <c r="AP506" s="9" t="str">
        <f>IFERROR(MID(VLOOKUP($B506,Seqs!$A:$B,2,0),AQ506,1),"")</f>
        <v>T</v>
      </c>
      <c r="AQ506" s="9">
        <v>713</v>
      </c>
      <c r="AR506" s="9" t="str">
        <f>IFERROR(MID(VLOOKUP($B506,Seqs!$A:$B,2,0),AS506,1),"")</f>
        <v>Q</v>
      </c>
      <c r="AS506" s="9">
        <v>716</v>
      </c>
      <c r="AT506" s="9" t="str">
        <f>IFERROR(MID(VLOOKUP($B506,Seqs!$A:$B,2,0),AU506,1),"")</f>
        <v>R</v>
      </c>
      <c r="AU506" s="9">
        <v>748</v>
      </c>
      <c r="AV506" s="9" t="str">
        <f>IFERROR(MID(VLOOKUP($B506,Seqs!$A:$B,2,0),AW506,1),"")</f>
        <v/>
      </c>
      <c r="AW506" s="9" t="s">
        <v>23</v>
      </c>
      <c r="AX506" s="9" t="str">
        <f>IFERROR(MID(VLOOKUP($B506,Seqs!$A:$B,2,0),AY506,1),"")</f>
        <v/>
      </c>
      <c r="AY506" s="9" t="s">
        <v>23</v>
      </c>
      <c r="AZ506" s="110" t="str">
        <f>VLOOKUP(B506,Classification!A:D,2,0)</f>
        <v>C</v>
      </c>
      <c r="BA506" s="98" t="str">
        <f>VLOOKUP(B506,Classification!A:D,4,0)</f>
        <v>GABA&lt;sub&gt;B&lt;/sub&gt;</v>
      </c>
      <c r="BB506" s="36" t="b">
        <f t="shared" ref="BB506" si="5425">AND(E506&lt;G506,OR(G506&lt;I506,I506="-"),OR(I506&lt;K506,I506="-"),OR(K506&lt;M506,K506="-"),M506&lt;O506,OR(O506&lt;Q506,Q506="-"),OR(Q506&lt;S506,Q506="-"),OR(S506&lt;U506,S506="-"),U506&lt;W506,OR(W506&lt;Y506,Y506="-"),OR(Y506&lt;AA506,Y506="-"),OR(AA506&lt;AC506,AA506="-"),AC506&lt;AE506,OR(AE506&lt;AG506,AG506="-"),OR(AG506&lt;AI506,AG506="-"),OR(AI506&lt;AK506,AI506="-"),AK506&lt;AM506,AM506&lt;AO506,AO506&lt;AQ506,AQ506&lt;AS506,AS506&lt;AU506,OR(AU506&lt;AW506,AW506="-"),OR(AW506&lt;AY506,AW506="-"))</f>
        <v>1</v>
      </c>
      <c r="BC506" s="109">
        <f t="shared" ref="BC506" si="5426">_xlfn.AGGREGATE(9,6,CH506:CS506)-_xlfn.AGGREGATE(9,6,BV506:CG506)+12</f>
        <v>216</v>
      </c>
      <c r="BD506" s="127" t="s">
        <v>1369</v>
      </c>
      <c r="BE506" s="9" t="s">
        <v>1285</v>
      </c>
      <c r="BF506" s="119">
        <v>3</v>
      </c>
      <c r="BG506" s="51" t="s">
        <v>1275</v>
      </c>
      <c r="BH506" s="51" t="s">
        <v>1275</v>
      </c>
      <c r="BI506" s="9"/>
      <c r="BJ506" s="111" t="s">
        <v>1281</v>
      </c>
      <c r="BK506" s="112" t="s">
        <v>1281</v>
      </c>
      <c r="BL506" s="112" t="s">
        <v>1281</v>
      </c>
      <c r="BM506" s="112" t="s">
        <v>1281</v>
      </c>
      <c r="BN506" s="112" t="s">
        <v>1281</v>
      </c>
      <c r="BO506" s="112" t="s">
        <v>1281</v>
      </c>
      <c r="BP506" s="112" t="s">
        <v>1281</v>
      </c>
      <c r="BQ506" s="112" t="s">
        <v>1281</v>
      </c>
      <c r="BR506" s="112" t="s">
        <v>1281</v>
      </c>
      <c r="BS506" s="112" t="s">
        <v>1281</v>
      </c>
      <c r="BT506" s="112" t="s">
        <v>1281</v>
      </c>
      <c r="BU506" s="112" t="s">
        <v>1281</v>
      </c>
      <c r="BV506" s="111">
        <f t="shared" ref="BV506" si="5427">E506</f>
        <v>478</v>
      </c>
      <c r="BW506" s="113">
        <f t="shared" ref="BW506" si="5428">I506</f>
        <v>509</v>
      </c>
      <c r="BX506" s="114">
        <f t="shared" ref="BX506" si="5429">M506</f>
        <v>516</v>
      </c>
      <c r="BY506" s="113" t="str">
        <f t="shared" ref="BY506" si="5430">Q506</f>
        <v>-</v>
      </c>
      <c r="BZ506" s="114">
        <f t="shared" ref="BZ506" si="5431">U506</f>
        <v>545</v>
      </c>
      <c r="CA506" s="113" t="str">
        <f t="shared" ref="CA506" si="5432">Y506</f>
        <v>-</v>
      </c>
      <c r="CB506" s="114">
        <f t="shared" ref="CB506" si="5433">AC506</f>
        <v>596</v>
      </c>
      <c r="CC506" s="113">
        <f t="shared" ref="CC506" si="5434">AG506</f>
        <v>648</v>
      </c>
      <c r="CD506" s="114">
        <f t="shared" ref="CD506" si="5435">AK506</f>
        <v>653</v>
      </c>
      <c r="CE506" s="113">
        <f t="shared" ref="CE506" si="5436">AO506</f>
        <v>688</v>
      </c>
      <c r="CF506" s="114">
        <f t="shared" ref="CF506" si="5437">AS506</f>
        <v>716</v>
      </c>
      <c r="CG506" s="113" t="str">
        <f t="shared" ref="CG506" si="5438">AW506</f>
        <v>-</v>
      </c>
      <c r="CH506" s="111">
        <f t="shared" ref="CH506" si="5439">G506</f>
        <v>506</v>
      </c>
      <c r="CI506" s="113">
        <f t="shared" ref="CI506" si="5440">K506</f>
        <v>515</v>
      </c>
      <c r="CJ506" s="114">
        <f t="shared" ref="CJ506" si="5441">O506</f>
        <v>538</v>
      </c>
      <c r="CK506" s="114" t="str">
        <f t="shared" ref="CK506" si="5442">S506</f>
        <v>-</v>
      </c>
      <c r="CL506" s="114">
        <f t="shared" ref="CL506" si="5443">W506</f>
        <v>583</v>
      </c>
      <c r="CM506" s="114" t="str">
        <f t="shared" ref="CM506" si="5444">AA506</f>
        <v>-</v>
      </c>
      <c r="CN506" s="114">
        <f t="shared" ref="CN506" si="5445">AE506</f>
        <v>619</v>
      </c>
      <c r="CO506" s="114">
        <f t="shared" ref="CO506" si="5446">AI506</f>
        <v>650</v>
      </c>
      <c r="CP506" s="114">
        <f t="shared" ref="CP506" si="5447">AM506</f>
        <v>681</v>
      </c>
      <c r="CQ506" s="114">
        <f t="shared" ref="CQ506" si="5448">AQ506</f>
        <v>713</v>
      </c>
      <c r="CR506" s="114">
        <f t="shared" ref="CR506" si="5449">AU506</f>
        <v>748</v>
      </c>
      <c r="CS506" s="114" t="str">
        <f t="shared" ref="CS506" si="5450">AY506</f>
        <v>-</v>
      </c>
      <c r="CT506" s="109">
        <f t="shared" ref="CT506" si="5451">M506-K506</f>
        <v>1</v>
      </c>
    </row>
    <row r="507" spans="1:1029" s="12" customFormat="1" x14ac:dyDescent="0.2">
      <c r="A507" s="9" t="str">
        <f t="shared" ref="A507" si="5452">CONCATENATE(B507,"_",C507)</f>
        <v>gabr2_human_7C7S</v>
      </c>
      <c r="B507" s="9" t="s">
        <v>107</v>
      </c>
      <c r="C507" s="9" t="s">
        <v>1711</v>
      </c>
      <c r="D507" s="9" t="str">
        <f>IFERROR(MID(VLOOKUP($B507,Seqs!$A:$B,2,0),E507,1),"")</f>
        <v>S</v>
      </c>
      <c r="E507" s="9">
        <v>478</v>
      </c>
      <c r="F507" s="9" t="str">
        <f>IFERROR(MID(VLOOKUP($B507,Seqs!$A:$B,2,0),G507,1),"")</f>
        <v>N</v>
      </c>
      <c r="G507" s="9">
        <v>506</v>
      </c>
      <c r="H507" s="9" t="str">
        <f>IFERROR(MID(VLOOKUP($B507,Seqs!$A:$B,2,0),I507,1),"")</f>
        <v>Q</v>
      </c>
      <c r="I507" s="109">
        <v>509</v>
      </c>
      <c r="J507" s="9" t="str">
        <f>IFERROR(MID(VLOOKUP($B507,Seqs!$A:$B,2,0),K507,1),"")</f>
        <v>S</v>
      </c>
      <c r="K507" s="109">
        <v>515</v>
      </c>
      <c r="L507" s="9" t="str">
        <f>IFERROR(MID(VLOOKUP($B507,Seqs!$A:$B,2,0),M507,1),"")</f>
        <v>S</v>
      </c>
      <c r="M507" s="9">
        <v>516</v>
      </c>
      <c r="N507" s="9" t="str">
        <f>IFERROR(MID(VLOOKUP($B507,Seqs!$A:$B,2,0),O507,1),"")</f>
        <v>G</v>
      </c>
      <c r="O507" s="9">
        <v>538</v>
      </c>
      <c r="P507" s="9" t="str">
        <f>IFERROR(MID(VLOOKUP($B507,Seqs!$A:$B,2,0),Q507,1),"")</f>
        <v/>
      </c>
      <c r="Q507" s="9" t="s">
        <v>23</v>
      </c>
      <c r="R507" s="9" t="str">
        <f>IFERROR(MID(VLOOKUP($B507,Seqs!$A:$B,2,0),S507,1),"")</f>
        <v/>
      </c>
      <c r="S507" s="9" t="s">
        <v>23</v>
      </c>
      <c r="T507" s="9" t="str">
        <f>IFERROR(MID(VLOOKUP($B507,Seqs!$A:$B,2,0),U507,1),"")</f>
        <v>S</v>
      </c>
      <c r="U507" s="9">
        <v>545</v>
      </c>
      <c r="V507" s="9" t="str">
        <f>IFERROR(MID(VLOOKUP($B507,Seqs!$A:$B,2,0),W507,1),"")</f>
        <v>K</v>
      </c>
      <c r="W507" s="9">
        <v>583</v>
      </c>
      <c r="X507" s="9" t="str">
        <f>IFERROR(MID(VLOOKUP($B507,Seqs!$A:$B,2,0),Y507,1),"")</f>
        <v/>
      </c>
      <c r="Y507" s="9" t="s">
        <v>23</v>
      </c>
      <c r="Z507" s="9" t="str">
        <f>IFERROR(MID(VLOOKUP($B507,Seqs!$A:$B,2,0),AA507,1),"")</f>
        <v/>
      </c>
      <c r="AA507" s="9" t="s">
        <v>23</v>
      </c>
      <c r="AB507" s="9" t="str">
        <f>IFERROR(MID(VLOOKUP($B507,Seqs!$A:$B,2,0),AC507,1),"")</f>
        <v>K</v>
      </c>
      <c r="AC507" s="9">
        <v>596</v>
      </c>
      <c r="AD507" s="9" t="str">
        <f>IFERROR(MID(VLOOKUP($B507,Seqs!$A:$B,2,0),AE507,1),"")</f>
        <v>D</v>
      </c>
      <c r="AE507" s="9">
        <v>619</v>
      </c>
      <c r="AF507" s="9" t="str">
        <f>IFERROR(MID(VLOOKUP($B507,Seqs!$A:$B,2,0),AG507,1),"")</f>
        <v>C</v>
      </c>
      <c r="AG507" s="9">
        <v>648</v>
      </c>
      <c r="AH507" s="9" t="str">
        <f>IFERROR(MID(VLOOKUP($B507,Seqs!$A:$B,2,0),AI507,1),"")</f>
        <v>N</v>
      </c>
      <c r="AI507" s="9">
        <v>650</v>
      </c>
      <c r="AJ507" s="9" t="str">
        <f>IFERROR(MID(VLOOKUP($B507,Seqs!$A:$B,2,0),AK507,1),"")</f>
        <v>H</v>
      </c>
      <c r="AK507" s="9">
        <v>652</v>
      </c>
      <c r="AL507" s="9" t="str">
        <f>IFERROR(MID(VLOOKUP($B507,Seqs!$A:$B,2,0),AM507,1),"")</f>
        <v>T</v>
      </c>
      <c r="AM507" s="9">
        <v>678</v>
      </c>
      <c r="AN507" s="9" t="str">
        <f>IFERROR(MID(VLOOKUP($B507,Seqs!$A:$B,2,0),AO507,1),"")</f>
        <v>S</v>
      </c>
      <c r="AO507" s="9">
        <v>689</v>
      </c>
      <c r="AP507" s="9" t="str">
        <f>IFERROR(MID(VLOOKUP($B507,Seqs!$A:$B,2,0),AQ507,1),"")</f>
        <v>T</v>
      </c>
      <c r="AQ507" s="9">
        <v>713</v>
      </c>
      <c r="AR507" s="9" t="str">
        <f>IFERROR(MID(VLOOKUP($B507,Seqs!$A:$B,2,0),AS507,1),"")</f>
        <v>Q</v>
      </c>
      <c r="AS507" s="9">
        <v>716</v>
      </c>
      <c r="AT507" s="9" t="str">
        <f>IFERROR(MID(VLOOKUP($B507,Seqs!$A:$B,2,0),AU507,1),"")</f>
        <v>T</v>
      </c>
      <c r="AU507" s="9">
        <v>749</v>
      </c>
      <c r="AV507" s="9" t="str">
        <f>IFERROR(MID(VLOOKUP($B507,Seqs!$A:$B,2,0),AW507,1),"")</f>
        <v/>
      </c>
      <c r="AW507" s="9" t="s">
        <v>23</v>
      </c>
      <c r="AX507" s="9" t="str">
        <f>IFERROR(MID(VLOOKUP($B507,Seqs!$A:$B,2,0),AY507,1),"")</f>
        <v/>
      </c>
      <c r="AY507" s="9" t="s">
        <v>23</v>
      </c>
      <c r="AZ507" s="110" t="str">
        <f>VLOOKUP(B507,Classification!A:D,2,0)</f>
        <v>C</v>
      </c>
      <c r="BA507" s="98" t="str">
        <f>VLOOKUP(B507,Classification!A:D,4,0)</f>
        <v>GABA&lt;sub&gt;B&lt;/sub&gt;</v>
      </c>
      <c r="BB507" s="36" t="b">
        <f t="shared" ref="BB507" si="5453">AND(E507&lt;G507,OR(G507&lt;I507,I507="-"),OR(I507&lt;K507,I507="-"),OR(K507&lt;M507,K507="-"),M507&lt;O507,OR(O507&lt;Q507,Q507="-"),OR(Q507&lt;S507,Q507="-"),OR(S507&lt;U507,S507="-"),U507&lt;W507,OR(W507&lt;Y507,Y507="-"),OR(Y507&lt;AA507,Y507="-"),OR(AA507&lt;AC507,AA507="-"),AC507&lt;AE507,OR(AE507&lt;AG507,AG507="-"),OR(AG507&lt;AI507,AG507="-"),OR(AI507&lt;AK507,AI507="-"),AK507&lt;AM507,AM507&lt;AO507,AO507&lt;AQ507,AQ507&lt;AS507,AS507&lt;AU507,OR(AU507&lt;AW507,AW507="-"),OR(AW507&lt;AY507,AW507="-"))</f>
        <v>1</v>
      </c>
      <c r="BC507" s="109">
        <f t="shared" ref="BC507" si="5454">_xlfn.AGGREGATE(9,6,CH507:CS507)-_xlfn.AGGREGATE(9,6,BV507:CG507)+12</f>
        <v>214</v>
      </c>
      <c r="BD507" s="127" t="s">
        <v>1370</v>
      </c>
      <c r="BE507" s="9" t="s">
        <v>1368</v>
      </c>
      <c r="BF507" s="119">
        <v>2.9</v>
      </c>
      <c r="BG507" s="51" t="s">
        <v>1275</v>
      </c>
      <c r="BH507" s="51" t="s">
        <v>1275</v>
      </c>
      <c r="BI507" s="9"/>
      <c r="BJ507" s="111" t="s">
        <v>1281</v>
      </c>
      <c r="BK507" s="112" t="s">
        <v>1281</v>
      </c>
      <c r="BL507" s="112" t="s">
        <v>1281</v>
      </c>
      <c r="BM507" s="112" t="s">
        <v>1281</v>
      </c>
      <c r="BN507" s="112" t="s">
        <v>1281</v>
      </c>
      <c r="BO507" s="112" t="s">
        <v>1281</v>
      </c>
      <c r="BP507" s="112" t="s">
        <v>1281</v>
      </c>
      <c r="BQ507" s="112" t="s">
        <v>1281</v>
      </c>
      <c r="BR507" s="112" t="s">
        <v>1281</v>
      </c>
      <c r="BS507" s="112" t="s">
        <v>1281</v>
      </c>
      <c r="BT507" s="112" t="s">
        <v>1281</v>
      </c>
      <c r="BU507" s="112" t="s">
        <v>1281</v>
      </c>
      <c r="BV507" s="111">
        <f t="shared" ref="BV507" si="5455">E507</f>
        <v>478</v>
      </c>
      <c r="BW507" s="113">
        <f t="shared" ref="BW507" si="5456">I507</f>
        <v>509</v>
      </c>
      <c r="BX507" s="114">
        <f t="shared" ref="BX507" si="5457">M507</f>
        <v>516</v>
      </c>
      <c r="BY507" s="113" t="str">
        <f t="shared" ref="BY507" si="5458">Q507</f>
        <v>-</v>
      </c>
      <c r="BZ507" s="114">
        <f t="shared" ref="BZ507" si="5459">U507</f>
        <v>545</v>
      </c>
      <c r="CA507" s="113" t="str">
        <f t="shared" ref="CA507" si="5460">Y507</f>
        <v>-</v>
      </c>
      <c r="CB507" s="114">
        <f t="shared" ref="CB507" si="5461">AC507</f>
        <v>596</v>
      </c>
      <c r="CC507" s="113">
        <f t="shared" ref="CC507" si="5462">AG507</f>
        <v>648</v>
      </c>
      <c r="CD507" s="114">
        <f t="shared" ref="CD507" si="5463">AK507</f>
        <v>652</v>
      </c>
      <c r="CE507" s="113">
        <f t="shared" ref="CE507" si="5464">AO507</f>
        <v>689</v>
      </c>
      <c r="CF507" s="114">
        <f t="shared" ref="CF507" si="5465">AS507</f>
        <v>716</v>
      </c>
      <c r="CG507" s="113" t="str">
        <f t="shared" ref="CG507" si="5466">AW507</f>
        <v>-</v>
      </c>
      <c r="CH507" s="111">
        <f t="shared" ref="CH507" si="5467">G507</f>
        <v>506</v>
      </c>
      <c r="CI507" s="113">
        <f t="shared" ref="CI507" si="5468">K507</f>
        <v>515</v>
      </c>
      <c r="CJ507" s="114">
        <f t="shared" ref="CJ507" si="5469">O507</f>
        <v>538</v>
      </c>
      <c r="CK507" s="114" t="str">
        <f t="shared" ref="CK507" si="5470">S507</f>
        <v>-</v>
      </c>
      <c r="CL507" s="114">
        <f t="shared" ref="CL507" si="5471">W507</f>
        <v>583</v>
      </c>
      <c r="CM507" s="114" t="str">
        <f t="shared" ref="CM507" si="5472">AA507</f>
        <v>-</v>
      </c>
      <c r="CN507" s="114">
        <f t="shared" ref="CN507" si="5473">AE507</f>
        <v>619</v>
      </c>
      <c r="CO507" s="114">
        <f t="shared" ref="CO507" si="5474">AI507</f>
        <v>650</v>
      </c>
      <c r="CP507" s="114">
        <f t="shared" ref="CP507" si="5475">AM507</f>
        <v>678</v>
      </c>
      <c r="CQ507" s="114">
        <f t="shared" ref="CQ507" si="5476">AQ507</f>
        <v>713</v>
      </c>
      <c r="CR507" s="114">
        <f t="shared" ref="CR507" si="5477">AU507</f>
        <v>749</v>
      </c>
      <c r="CS507" s="114" t="str">
        <f t="shared" ref="CS507" si="5478">AY507</f>
        <v>-</v>
      </c>
      <c r="CT507" s="109">
        <f t="shared" ref="CT507" si="5479">M507-K507</f>
        <v>1</v>
      </c>
    </row>
    <row r="508" spans="1:1029" x14ac:dyDescent="0.2">
      <c r="A508" s="3" t="str">
        <f t="shared" si="4526"/>
        <v>grm1_human__wt</v>
      </c>
      <c r="B508" s="3" t="s">
        <v>40</v>
      </c>
      <c r="C508" s="3" t="s">
        <v>100</v>
      </c>
      <c r="D508" s="3" t="str">
        <f>IFERROR(MID(VLOOKUP($B508,Seqs!$A:$B,2,0),E508,1),"")</f>
        <v>I</v>
      </c>
      <c r="E508" s="3">
        <v>591</v>
      </c>
      <c r="F508" s="3" t="str">
        <f>IFERROR(MID(VLOOKUP($B508,Seqs!$A:$B,2,0),G508,1),"")</f>
        <v>Y</v>
      </c>
      <c r="G508" s="3">
        <v>617</v>
      </c>
      <c r="H508" s="3" t="str">
        <f>IFERROR(MID(VLOOKUP($B508,Seqs!$A:$B,2,0),I508,1),"")</f>
        <v>T</v>
      </c>
      <c r="I508" s="23">
        <v>620</v>
      </c>
      <c r="J508" s="3" t="str">
        <f>IFERROR(MID(VLOOKUP($B508,Seqs!$A:$B,2,0),K508,1),"")</f>
        <v>S</v>
      </c>
      <c r="K508" s="23">
        <v>626</v>
      </c>
      <c r="L508" s="3" t="str">
        <f>IFERROR(MID(VLOOKUP($B508,Seqs!$A:$B,2,0),M508,1),"")</f>
        <v>S</v>
      </c>
      <c r="M508" s="3">
        <v>627</v>
      </c>
      <c r="N508" s="3" t="str">
        <f>IFERROR(MID(VLOOKUP($B508,Seqs!$A:$B,2,0),O508,1),"")</f>
        <v>I</v>
      </c>
      <c r="O508" s="3">
        <v>649</v>
      </c>
      <c r="P508" s="3" t="str">
        <f>IFERROR(MID(VLOOKUP($B508,Seqs!$A:$B,2,0),Q508,1),"")</f>
        <v/>
      </c>
      <c r="Q508" s="3" t="s">
        <v>23</v>
      </c>
      <c r="R508" s="3" t="str">
        <f>IFERROR(MID(VLOOKUP($B508,Seqs!$A:$B,2,0),S508,1),"")</f>
        <v/>
      </c>
      <c r="S508" s="3" t="s">
        <v>23</v>
      </c>
      <c r="T508" s="3" t="str">
        <f>IFERROR(MID(VLOOKUP($B508,Seqs!$A:$B,2,0),U508,1),"")</f>
        <v>T</v>
      </c>
      <c r="U508" s="3">
        <v>654</v>
      </c>
      <c r="V508" s="3" t="str">
        <f>IFERROR(MID(VLOOKUP($B508,Seqs!$A:$B,2,0),W508,1),"")</f>
        <v>L</v>
      </c>
      <c r="W508" s="3">
        <v>686</v>
      </c>
      <c r="X508" s="3" t="str">
        <f>IFERROR(MID(VLOOKUP($B508,Seqs!$A:$B,2,0),Y508,1),"")</f>
        <v/>
      </c>
      <c r="Y508" s="3" t="s">
        <v>23</v>
      </c>
      <c r="Z508" s="3" t="str">
        <f>IFERROR(MID(VLOOKUP($B508,Seqs!$A:$B,2,0),AA508,1),"")</f>
        <v/>
      </c>
      <c r="AA508" s="3" t="s">
        <v>23</v>
      </c>
      <c r="AB508" s="3" t="str">
        <f>IFERROR(MID(VLOOKUP($B508,Seqs!$A:$B,2,0),AC508,1),"")</f>
        <v>S</v>
      </c>
      <c r="AC508" s="3">
        <v>702</v>
      </c>
      <c r="AD508" s="3" t="str">
        <f>IFERROR(MID(VLOOKUP($B508,Seqs!$A:$B,2,0),AE508,1),"")</f>
        <v>E</v>
      </c>
      <c r="AE508" s="3">
        <v>728</v>
      </c>
      <c r="AF508" s="3" t="str">
        <f>IFERROR(MID(VLOOKUP($B508,Seqs!$A:$B,2,0),AG508,1),"")</f>
        <v>C</v>
      </c>
      <c r="AG508" s="3">
        <v>746</v>
      </c>
      <c r="AH508" s="3" t="str">
        <f>IFERROR(MID(VLOOKUP($B508,Seqs!$A:$B,2,0),AI508,1),"")</f>
        <v>T</v>
      </c>
      <c r="AI508" s="3">
        <v>748</v>
      </c>
      <c r="AJ508" s="3" t="str">
        <f>IFERROR(MID(VLOOKUP($B508,Seqs!$A:$B,2,0),AK508,1),"")</f>
        <v>S</v>
      </c>
      <c r="AK508" s="3">
        <v>749</v>
      </c>
      <c r="AL508" s="3" t="str">
        <f>IFERROR(MID(VLOOKUP($B508,Seqs!$A:$B,2,0),AM508,1),"")</f>
        <v>T</v>
      </c>
      <c r="AM508" s="3">
        <v>774</v>
      </c>
      <c r="AN508" s="3" t="str">
        <f>IFERROR(MID(VLOOKUP($B508,Seqs!$A:$B,2,0),AO508,1),"")</f>
        <v>E</v>
      </c>
      <c r="AO508" s="3">
        <v>783</v>
      </c>
      <c r="AP508" s="3" t="str">
        <f>IFERROR(MID(VLOOKUP($B508,Seqs!$A:$B,2,0),AQ508,1),"")</f>
        <v>G</v>
      </c>
      <c r="AQ508" s="3">
        <v>807</v>
      </c>
      <c r="AR508" s="3" t="str">
        <f>IFERROR(MID(VLOOKUP($B508,Seqs!$A:$B,2,0),AS508,1),"")</f>
        <v>Y</v>
      </c>
      <c r="AS508" s="3">
        <v>810</v>
      </c>
      <c r="AT508" s="3" t="str">
        <f>IFERROR(MID(VLOOKUP($B508,Seqs!$A:$B,2,0),AU508,1),"")</f>
        <v>K</v>
      </c>
      <c r="AU508" s="3">
        <v>841</v>
      </c>
      <c r="AV508" s="3" t="str">
        <f>IFERROR(MID(VLOOKUP($B508,Seqs!$A:$B,2,0),AW508,1),"")</f>
        <v>P</v>
      </c>
      <c r="AW508" s="3">
        <v>842</v>
      </c>
      <c r="AX508" s="3" t="str">
        <f>IFERROR(MID(VLOOKUP($B508,Seqs!$A:$B,2,0),AY508,1),"")</f>
        <v>S</v>
      </c>
      <c r="AY508" s="3">
        <v>853</v>
      </c>
      <c r="AZ508" s="77" t="str">
        <f>VLOOKUP(B508,Classification!A:D,2,0)</f>
        <v>C</v>
      </c>
      <c r="BA508" s="94" t="str">
        <f>VLOOKUP(B508,Classification!A:D,4,0)</f>
        <v>Metabotropicglutamate</v>
      </c>
      <c r="BB508" s="27" t="b">
        <f t="shared" si="4527"/>
        <v>1</v>
      </c>
      <c r="BC508" s="23">
        <f t="shared" si="4416"/>
        <v>217</v>
      </c>
      <c r="BD508" s="56" t="s">
        <v>23</v>
      </c>
      <c r="BE508" s="3" t="s">
        <v>23</v>
      </c>
      <c r="BF508" s="118" t="s">
        <v>23</v>
      </c>
      <c r="BG508" s="49" t="s">
        <v>1366</v>
      </c>
      <c r="BH508" s="49" t="s">
        <v>1371</v>
      </c>
      <c r="BI508" s="3" t="s">
        <v>1157</v>
      </c>
      <c r="BJ508" s="70" t="s">
        <v>1281</v>
      </c>
      <c r="BK508" s="57" t="s">
        <v>1281</v>
      </c>
      <c r="BL508" s="57" t="s">
        <v>1281</v>
      </c>
      <c r="BM508" s="57" t="s">
        <v>1281</v>
      </c>
      <c r="BN508" s="57" t="s">
        <v>1281</v>
      </c>
      <c r="BO508" s="57" t="s">
        <v>1281</v>
      </c>
      <c r="BP508" s="57" t="s">
        <v>1281</v>
      </c>
      <c r="BQ508" s="57" t="s">
        <v>1281</v>
      </c>
      <c r="BR508" s="57" t="s">
        <v>1281</v>
      </c>
      <c r="BS508" s="57" t="s">
        <v>1281</v>
      </c>
      <c r="BT508" s="57" t="s">
        <v>1281</v>
      </c>
      <c r="BU508" s="57" t="s">
        <v>1281</v>
      </c>
      <c r="BV508" s="70">
        <f t="shared" si="4417"/>
        <v>591</v>
      </c>
      <c r="BW508" s="71">
        <f t="shared" si="4418"/>
        <v>620</v>
      </c>
      <c r="BX508" s="72">
        <f t="shared" si="4419"/>
        <v>627</v>
      </c>
      <c r="BY508" s="71" t="str">
        <f t="shared" si="4420"/>
        <v>-</v>
      </c>
      <c r="BZ508" s="72">
        <f t="shared" si="4421"/>
        <v>654</v>
      </c>
      <c r="CA508" s="71" t="str">
        <f t="shared" si="4422"/>
        <v>-</v>
      </c>
      <c r="CB508" s="72">
        <f t="shared" si="4423"/>
        <v>702</v>
      </c>
      <c r="CC508" s="71">
        <f t="shared" si="4424"/>
        <v>746</v>
      </c>
      <c r="CD508" s="72">
        <f t="shared" si="4425"/>
        <v>749</v>
      </c>
      <c r="CE508" s="71">
        <f t="shared" si="4426"/>
        <v>783</v>
      </c>
      <c r="CF508" s="72">
        <f t="shared" si="4427"/>
        <v>810</v>
      </c>
      <c r="CG508" s="71">
        <f t="shared" si="4428"/>
        <v>842</v>
      </c>
      <c r="CH508" s="70">
        <f t="shared" si="4429"/>
        <v>617</v>
      </c>
      <c r="CI508" s="71">
        <f t="shared" si="4430"/>
        <v>626</v>
      </c>
      <c r="CJ508" s="72">
        <f t="shared" si="4431"/>
        <v>649</v>
      </c>
      <c r="CK508" s="72" t="str">
        <f t="shared" si="4432"/>
        <v>-</v>
      </c>
      <c r="CL508" s="72">
        <f t="shared" si="4433"/>
        <v>686</v>
      </c>
      <c r="CM508" s="72" t="str">
        <f t="shared" si="4434"/>
        <v>-</v>
      </c>
      <c r="CN508" s="72">
        <f t="shared" si="4435"/>
        <v>728</v>
      </c>
      <c r="CO508" s="72">
        <f t="shared" si="4436"/>
        <v>748</v>
      </c>
      <c r="CP508" s="72">
        <f t="shared" si="4437"/>
        <v>774</v>
      </c>
      <c r="CQ508" s="72">
        <f t="shared" si="4438"/>
        <v>807</v>
      </c>
      <c r="CR508" s="72">
        <f t="shared" si="4439"/>
        <v>841</v>
      </c>
      <c r="CS508" s="72">
        <f t="shared" si="4440"/>
        <v>853</v>
      </c>
      <c r="CT508" s="23">
        <f t="shared" si="4441"/>
        <v>1</v>
      </c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</row>
    <row r="509" spans="1:1029" x14ac:dyDescent="0.2">
      <c r="A509" s="3" t="str">
        <f t="shared" si="4526"/>
        <v>grm1_human_4OR2</v>
      </c>
      <c r="B509" s="3" t="s">
        <v>40</v>
      </c>
      <c r="C509" s="3" t="s">
        <v>96</v>
      </c>
      <c r="D509" s="3" t="str">
        <f>IFERROR(MID(VLOOKUP($B509,Seqs!$A:$B,2,0),E509,1),"")</f>
        <v>I</v>
      </c>
      <c r="E509" s="3">
        <v>591</v>
      </c>
      <c r="F509" s="3" t="str">
        <f>IFERROR(MID(VLOOKUP($B509,Seqs!$A:$B,2,0),G509,1),"")</f>
        <v>Y</v>
      </c>
      <c r="G509" s="3">
        <v>617</v>
      </c>
      <c r="H509" s="3" t="str">
        <f>IFERROR(MID(VLOOKUP($B509,Seqs!$A:$B,2,0),I509,1),"")</f>
        <v>T</v>
      </c>
      <c r="I509" s="23">
        <v>620</v>
      </c>
      <c r="J509" s="3" t="str">
        <f>IFERROR(MID(VLOOKUP($B509,Seqs!$A:$B,2,0),K509,1),"")</f>
        <v>S</v>
      </c>
      <c r="K509" s="23">
        <v>626</v>
      </c>
      <c r="L509" s="3" t="str">
        <f>IFERROR(MID(VLOOKUP($B509,Seqs!$A:$B,2,0),M509,1),"")</f>
        <v>S</v>
      </c>
      <c r="M509" s="3">
        <v>627</v>
      </c>
      <c r="N509" s="3" t="str">
        <f>IFERROR(MID(VLOOKUP($B509,Seqs!$A:$B,2,0),O509,1),"")</f>
        <v>I</v>
      </c>
      <c r="O509" s="3">
        <v>649</v>
      </c>
      <c r="P509" s="3" t="str">
        <f>IFERROR(MID(VLOOKUP($B509,Seqs!$A:$B,2,0),Q509,1),"")</f>
        <v/>
      </c>
      <c r="Q509" s="3" t="s">
        <v>23</v>
      </c>
      <c r="R509" s="3" t="str">
        <f>IFERROR(MID(VLOOKUP($B509,Seqs!$A:$B,2,0),S509,1),"")</f>
        <v/>
      </c>
      <c r="S509" s="3" t="s">
        <v>23</v>
      </c>
      <c r="T509" s="3" t="str">
        <f>IFERROR(MID(VLOOKUP($B509,Seqs!$A:$B,2,0),U509,1),"")</f>
        <v>T</v>
      </c>
      <c r="U509" s="3">
        <v>654</v>
      </c>
      <c r="V509" s="3" t="str">
        <f>IFERROR(MID(VLOOKUP($B509,Seqs!$A:$B,2,0),W509,1),"")</f>
        <v>L</v>
      </c>
      <c r="W509" s="3">
        <v>686</v>
      </c>
      <c r="X509" s="3" t="str">
        <f>IFERROR(MID(VLOOKUP($B509,Seqs!$A:$B,2,0),Y509,1),"")</f>
        <v/>
      </c>
      <c r="Y509" s="3" t="s">
        <v>23</v>
      </c>
      <c r="Z509" s="3" t="str">
        <f>IFERROR(MID(VLOOKUP($B509,Seqs!$A:$B,2,0),AA509,1),"")</f>
        <v/>
      </c>
      <c r="AA509" s="3" t="s">
        <v>23</v>
      </c>
      <c r="AB509" s="3" t="str">
        <f>IFERROR(MID(VLOOKUP($B509,Seqs!$A:$B,2,0),AC509,1),"")</f>
        <v>S</v>
      </c>
      <c r="AC509" s="9">
        <v>702</v>
      </c>
      <c r="AD509" s="3" t="str">
        <f>IFERROR(MID(VLOOKUP($B509,Seqs!$A:$B,2,0),AE509,1),"")</f>
        <v>E</v>
      </c>
      <c r="AE509" s="3">
        <v>728</v>
      </c>
      <c r="AF509" s="3" t="str">
        <f>IFERROR(MID(VLOOKUP($B509,Seqs!$A:$B,2,0),AG509,1),"")</f>
        <v>C</v>
      </c>
      <c r="AG509" s="3">
        <v>746</v>
      </c>
      <c r="AH509" s="3" t="str">
        <f>IFERROR(MID(VLOOKUP($B509,Seqs!$A:$B,2,0),AI509,1),"")</f>
        <v>T</v>
      </c>
      <c r="AI509" s="3">
        <v>748</v>
      </c>
      <c r="AJ509" s="3" t="str">
        <f>IFERROR(MID(VLOOKUP($B509,Seqs!$A:$B,2,0),AK509,1),"")</f>
        <v>S</v>
      </c>
      <c r="AK509" s="105">
        <v>749</v>
      </c>
      <c r="AL509" s="3" t="str">
        <f>IFERROR(MID(VLOOKUP($B509,Seqs!$A:$B,2,0),AM509,1),"")</f>
        <v>T</v>
      </c>
      <c r="AM509" s="3">
        <v>774</v>
      </c>
      <c r="AN509" s="3" t="str">
        <f>IFERROR(MID(VLOOKUP($B509,Seqs!$A:$B,2,0),AO509,1),"")</f>
        <v>E</v>
      </c>
      <c r="AO509" s="3">
        <v>783</v>
      </c>
      <c r="AP509" s="3" t="str">
        <f>IFERROR(MID(VLOOKUP($B509,Seqs!$A:$B,2,0),AQ509,1),"")</f>
        <v>G</v>
      </c>
      <c r="AQ509" s="3">
        <v>807</v>
      </c>
      <c r="AR509" s="3" t="str">
        <f>IFERROR(MID(VLOOKUP($B509,Seqs!$A:$B,2,0),AS509,1),"")</f>
        <v>Y</v>
      </c>
      <c r="AS509" s="105">
        <v>810</v>
      </c>
      <c r="AT509" s="3" t="str">
        <f>IFERROR(MID(VLOOKUP($B509,Seqs!$A:$B,2,0),AU509,1),"")</f>
        <v>K</v>
      </c>
      <c r="AU509" s="3">
        <v>841</v>
      </c>
      <c r="AV509" s="3" t="str">
        <f>IFERROR(MID(VLOOKUP($B509,Seqs!$A:$B,2,0),AW509,1),"")</f>
        <v/>
      </c>
      <c r="AW509" s="3" t="s">
        <v>23</v>
      </c>
      <c r="AX509" s="3" t="str">
        <f>IFERROR(MID(VLOOKUP($B509,Seqs!$A:$B,2,0),AY509,1),"")</f>
        <v/>
      </c>
      <c r="AY509" s="3" t="s">
        <v>23</v>
      </c>
      <c r="AZ509" s="77" t="str">
        <f>VLOOKUP(B509,Classification!A:D,2,0)</f>
        <v>C</v>
      </c>
      <c r="BA509" s="94" t="str">
        <f>VLOOKUP(B509,Classification!A:D,4,0)</f>
        <v>Metabotropicglutamate</v>
      </c>
      <c r="BB509" s="27" t="b">
        <f t="shared" si="4527"/>
        <v>1</v>
      </c>
      <c r="BC509" s="23">
        <f t="shared" si="4416"/>
        <v>206</v>
      </c>
      <c r="BD509" s="2" t="s">
        <v>1370</v>
      </c>
      <c r="BE509" s="3" t="s">
        <v>1368</v>
      </c>
      <c r="BF509" s="118">
        <v>2.8</v>
      </c>
      <c r="BG509" s="49" t="s">
        <v>1371</v>
      </c>
      <c r="BH509" s="49" t="s">
        <v>1371</v>
      </c>
      <c r="BJ509" s="70" t="s">
        <v>1281</v>
      </c>
      <c r="BK509" s="57" t="s">
        <v>1281</v>
      </c>
      <c r="BL509" s="57" t="s">
        <v>1281</v>
      </c>
      <c r="BM509" s="57" t="s">
        <v>1281</v>
      </c>
      <c r="BN509" s="57" t="s">
        <v>1281</v>
      </c>
      <c r="BO509" s="57" t="s">
        <v>1281</v>
      </c>
      <c r="BP509" s="57" t="s">
        <v>1281</v>
      </c>
      <c r="BQ509" s="57" t="s">
        <v>1281</v>
      </c>
      <c r="BR509" s="57" t="s">
        <v>1281</v>
      </c>
      <c r="BS509" s="57" t="s">
        <v>1281</v>
      </c>
      <c r="BT509" s="57" t="s">
        <v>1281</v>
      </c>
      <c r="BU509" s="57" t="s">
        <v>1281</v>
      </c>
      <c r="BV509" s="70">
        <f t="shared" si="4417"/>
        <v>591</v>
      </c>
      <c r="BW509" s="71">
        <f t="shared" si="4418"/>
        <v>620</v>
      </c>
      <c r="BX509" s="72">
        <f t="shared" si="4419"/>
        <v>627</v>
      </c>
      <c r="BY509" s="71" t="str">
        <f t="shared" si="4420"/>
        <v>-</v>
      </c>
      <c r="BZ509" s="72">
        <f t="shared" si="4421"/>
        <v>654</v>
      </c>
      <c r="CA509" s="71" t="str">
        <f t="shared" si="4422"/>
        <v>-</v>
      </c>
      <c r="CB509" s="72">
        <f t="shared" si="4423"/>
        <v>702</v>
      </c>
      <c r="CC509" s="71">
        <f t="shared" si="4424"/>
        <v>746</v>
      </c>
      <c r="CD509" s="72">
        <f t="shared" si="4425"/>
        <v>749</v>
      </c>
      <c r="CE509" s="71">
        <f t="shared" si="4426"/>
        <v>783</v>
      </c>
      <c r="CF509" s="72">
        <f t="shared" si="4427"/>
        <v>810</v>
      </c>
      <c r="CG509" s="71" t="str">
        <f t="shared" si="4428"/>
        <v>-</v>
      </c>
      <c r="CH509" s="70">
        <f t="shared" si="4429"/>
        <v>617</v>
      </c>
      <c r="CI509" s="71">
        <f t="shared" si="4430"/>
        <v>626</v>
      </c>
      <c r="CJ509" s="72">
        <f t="shared" si="4431"/>
        <v>649</v>
      </c>
      <c r="CK509" s="72" t="str">
        <f t="shared" si="4432"/>
        <v>-</v>
      </c>
      <c r="CL509" s="72">
        <f t="shared" si="4433"/>
        <v>686</v>
      </c>
      <c r="CM509" s="72" t="str">
        <f t="shared" si="4434"/>
        <v>-</v>
      </c>
      <c r="CN509" s="72">
        <f t="shared" si="4435"/>
        <v>728</v>
      </c>
      <c r="CO509" s="72">
        <f t="shared" si="4436"/>
        <v>748</v>
      </c>
      <c r="CP509" s="72">
        <f t="shared" si="4437"/>
        <v>774</v>
      </c>
      <c r="CQ509" s="72">
        <f t="shared" si="4438"/>
        <v>807</v>
      </c>
      <c r="CR509" s="72">
        <f t="shared" si="4439"/>
        <v>841</v>
      </c>
      <c r="CS509" s="72" t="str">
        <f t="shared" si="4440"/>
        <v>-</v>
      </c>
      <c r="CT509" s="23">
        <f t="shared" si="4441"/>
        <v>1</v>
      </c>
    </row>
    <row r="510" spans="1:1029" x14ac:dyDescent="0.2">
      <c r="A510" s="3" t="str">
        <f t="shared" si="4526"/>
        <v>grm5_human__wt</v>
      </c>
      <c r="B510" s="3" t="s">
        <v>41</v>
      </c>
      <c r="C510" s="3" t="s">
        <v>100</v>
      </c>
      <c r="D510" s="3" t="str">
        <f>IFERROR(MID(VLOOKUP($B510,Seqs!$A:$B,2,0),E510,1),"")</f>
        <v>P</v>
      </c>
      <c r="E510" s="3">
        <v>578</v>
      </c>
      <c r="F510" s="3" t="str">
        <f>IFERROR(MID(VLOOKUP($B510,Seqs!$A:$B,2,0),G510,1),"")</f>
        <v>Y</v>
      </c>
      <c r="G510" s="3">
        <v>604</v>
      </c>
      <c r="H510" s="3" t="str">
        <f>IFERROR(MID(VLOOKUP($B510,Seqs!$A:$B,2,0),I510,1),"")</f>
        <v>T</v>
      </c>
      <c r="I510" s="23">
        <v>607</v>
      </c>
      <c r="J510" s="3" t="str">
        <f>IFERROR(MID(VLOOKUP($B510,Seqs!$A:$B,2,0),K510,1),"")</f>
        <v>S</v>
      </c>
      <c r="K510" s="23">
        <v>613</v>
      </c>
      <c r="L510" s="3" t="str">
        <f>IFERROR(MID(VLOOKUP($B510,Seqs!$A:$B,2,0),M510,1),"")</f>
        <v>S</v>
      </c>
      <c r="M510" s="3">
        <v>614</v>
      </c>
      <c r="N510" s="3" t="str">
        <f>IFERROR(MID(VLOOKUP($B510,Seqs!$A:$B,2,0),O510,1),"")</f>
        <v>I</v>
      </c>
      <c r="O510" s="3">
        <v>636</v>
      </c>
      <c r="P510" s="3" t="str">
        <f>IFERROR(MID(VLOOKUP($B510,Seqs!$A:$B,2,0),Q510,1),"")</f>
        <v/>
      </c>
      <c r="Q510" s="3" t="s">
        <v>23</v>
      </c>
      <c r="R510" s="3" t="str">
        <f>IFERROR(MID(VLOOKUP($B510,Seqs!$A:$B,2,0),S510,1),"")</f>
        <v/>
      </c>
      <c r="S510" s="3" t="s">
        <v>23</v>
      </c>
      <c r="T510" s="3" t="str">
        <f>IFERROR(MID(VLOOKUP($B510,Seqs!$A:$B,2,0),U510,1),"")</f>
        <v>K</v>
      </c>
      <c r="U510" s="105">
        <v>640</v>
      </c>
      <c r="V510" s="3" t="str">
        <f>IFERROR(MID(VLOOKUP($B510,Seqs!$A:$B,2,0),W510,1),"")</f>
        <v>L</v>
      </c>
      <c r="W510" s="3">
        <v>673</v>
      </c>
      <c r="X510" s="3" t="str">
        <f>IFERROR(MID(VLOOKUP($B510,Seqs!$A:$B,2,0),Y510,1),"")</f>
        <v/>
      </c>
      <c r="Y510" s="3" t="s">
        <v>23</v>
      </c>
      <c r="Z510" s="3" t="str">
        <f>IFERROR(MID(VLOOKUP($B510,Seqs!$A:$B,2,0),AA510,1),"")</f>
        <v/>
      </c>
      <c r="AA510" s="3" t="s">
        <v>23</v>
      </c>
      <c r="AB510" s="3" t="str">
        <f>IFERROR(MID(VLOOKUP($B510,Seqs!$A:$B,2,0),AC510,1),"")</f>
        <v>S</v>
      </c>
      <c r="AC510" s="9">
        <v>689</v>
      </c>
      <c r="AD510" s="3" t="str">
        <f>IFERROR(MID(VLOOKUP($B510,Seqs!$A:$B,2,0),AE510,1),"")</f>
        <v>E</v>
      </c>
      <c r="AE510" s="3">
        <v>715</v>
      </c>
      <c r="AF510" s="3" t="str">
        <f>IFERROR(MID(VLOOKUP($B510,Seqs!$A:$B,2,0),AG510,1),"")</f>
        <v>C</v>
      </c>
      <c r="AG510" s="3">
        <v>733</v>
      </c>
      <c r="AH510" s="3" t="str">
        <f>IFERROR(MID(VLOOKUP($B510,Seqs!$A:$B,2,0),AI510,1),"")</f>
        <v>T</v>
      </c>
      <c r="AI510" s="3">
        <v>735</v>
      </c>
      <c r="AJ510" s="3" t="str">
        <f>IFERROR(MID(VLOOKUP($B510,Seqs!$A:$B,2,0),AK510,1),"")</f>
        <v>T</v>
      </c>
      <c r="AK510" s="105">
        <v>736</v>
      </c>
      <c r="AL510" s="3" t="str">
        <f>IFERROR(MID(VLOOKUP($B510,Seqs!$A:$B,2,0),AM510,1),"")</f>
        <v>T</v>
      </c>
      <c r="AM510" s="3">
        <v>761</v>
      </c>
      <c r="AN510" s="3" t="str">
        <f>IFERROR(MID(VLOOKUP($B510,Seqs!$A:$B,2,0),AO510,1),"")</f>
        <v>E</v>
      </c>
      <c r="AO510" s="3">
        <v>770</v>
      </c>
      <c r="AP510" s="3" t="str">
        <f>IFERROR(MID(VLOOKUP($B510,Seqs!$A:$B,2,0),AQ510,1),"")</f>
        <v>G</v>
      </c>
      <c r="AQ510" s="3">
        <v>794</v>
      </c>
      <c r="AR510" s="3" t="str">
        <f>IFERROR(MID(VLOOKUP($B510,Seqs!$A:$B,2,0),AS510,1),"")</f>
        <v>Y</v>
      </c>
      <c r="AS510" s="105">
        <v>797</v>
      </c>
      <c r="AT510" s="3" t="str">
        <f>IFERROR(MID(VLOOKUP($B510,Seqs!$A:$B,2,0),AU510,1),"")</f>
        <v>K</v>
      </c>
      <c r="AU510" s="3">
        <v>828</v>
      </c>
      <c r="AV510" s="3" t="str">
        <f>IFERROR(MID(VLOOKUP($B510,Seqs!$A:$B,2,0),AW510,1),"")</f>
        <v>P</v>
      </c>
      <c r="AW510" s="3">
        <v>829</v>
      </c>
      <c r="AX510" s="3" t="str">
        <f>IFERROR(MID(VLOOKUP($B510,Seqs!$A:$B,2,0),AY510,1),"")</f>
        <v>S</v>
      </c>
      <c r="AY510" s="3">
        <v>840</v>
      </c>
      <c r="AZ510" s="77" t="str">
        <f>VLOOKUP(B510,Classification!A:D,2,0)</f>
        <v>C</v>
      </c>
      <c r="BA510" s="94" t="str">
        <f>VLOOKUP(B510,Classification!A:D,4,0)</f>
        <v>Metabotropicglutamate</v>
      </c>
      <c r="BB510" s="27" t="b">
        <f t="shared" si="4527"/>
        <v>1</v>
      </c>
      <c r="BC510" s="23">
        <f t="shared" si="4416"/>
        <v>218</v>
      </c>
      <c r="BD510" s="56" t="s">
        <v>23</v>
      </c>
      <c r="BE510" s="3" t="s">
        <v>23</v>
      </c>
      <c r="BF510" s="118" t="s">
        <v>23</v>
      </c>
      <c r="BG510" s="49" t="s">
        <v>1366</v>
      </c>
      <c r="BH510" s="49" t="s">
        <v>1371</v>
      </c>
      <c r="BJ510" s="70" t="s">
        <v>1281</v>
      </c>
      <c r="BK510" s="57" t="s">
        <v>1281</v>
      </c>
      <c r="BL510" s="57" t="s">
        <v>1281</v>
      </c>
      <c r="BM510" s="57" t="s">
        <v>1281</v>
      </c>
      <c r="BN510" s="57" t="s">
        <v>1281</v>
      </c>
      <c r="BO510" s="57" t="s">
        <v>1281</v>
      </c>
      <c r="BP510" s="57" t="s">
        <v>1281</v>
      </c>
      <c r="BQ510" s="57" t="s">
        <v>1281</v>
      </c>
      <c r="BR510" s="57" t="s">
        <v>1281</v>
      </c>
      <c r="BS510" s="57" t="s">
        <v>1281</v>
      </c>
      <c r="BT510" s="57" t="s">
        <v>1281</v>
      </c>
      <c r="BU510" s="57" t="s">
        <v>1281</v>
      </c>
      <c r="BV510" s="70">
        <f t="shared" si="4417"/>
        <v>578</v>
      </c>
      <c r="BW510" s="71">
        <f t="shared" si="4418"/>
        <v>607</v>
      </c>
      <c r="BX510" s="72">
        <f t="shared" si="4419"/>
        <v>614</v>
      </c>
      <c r="BY510" s="71" t="str">
        <f t="shared" si="4420"/>
        <v>-</v>
      </c>
      <c r="BZ510" s="72">
        <f t="shared" si="4421"/>
        <v>640</v>
      </c>
      <c r="CA510" s="71" t="str">
        <f t="shared" si="4422"/>
        <v>-</v>
      </c>
      <c r="CB510" s="72">
        <f t="shared" si="4423"/>
        <v>689</v>
      </c>
      <c r="CC510" s="71">
        <f t="shared" si="4424"/>
        <v>733</v>
      </c>
      <c r="CD510" s="72">
        <f t="shared" si="4425"/>
        <v>736</v>
      </c>
      <c r="CE510" s="71">
        <f t="shared" si="4426"/>
        <v>770</v>
      </c>
      <c r="CF510" s="72">
        <f t="shared" si="4427"/>
        <v>797</v>
      </c>
      <c r="CG510" s="71">
        <f t="shared" si="4428"/>
        <v>829</v>
      </c>
      <c r="CH510" s="70">
        <f t="shared" si="4429"/>
        <v>604</v>
      </c>
      <c r="CI510" s="71">
        <f t="shared" si="4430"/>
        <v>613</v>
      </c>
      <c r="CJ510" s="72">
        <f t="shared" si="4431"/>
        <v>636</v>
      </c>
      <c r="CK510" s="72" t="str">
        <f t="shared" si="4432"/>
        <v>-</v>
      </c>
      <c r="CL510" s="72">
        <f t="shared" si="4433"/>
        <v>673</v>
      </c>
      <c r="CM510" s="72" t="str">
        <f t="shared" si="4434"/>
        <v>-</v>
      </c>
      <c r="CN510" s="72">
        <f t="shared" si="4435"/>
        <v>715</v>
      </c>
      <c r="CO510" s="72">
        <f t="shared" si="4436"/>
        <v>735</v>
      </c>
      <c r="CP510" s="72">
        <f t="shared" si="4437"/>
        <v>761</v>
      </c>
      <c r="CQ510" s="72">
        <f t="shared" si="4438"/>
        <v>794</v>
      </c>
      <c r="CR510" s="72">
        <f t="shared" si="4439"/>
        <v>828</v>
      </c>
      <c r="CS510" s="72">
        <f t="shared" si="4440"/>
        <v>840</v>
      </c>
      <c r="CT510" s="23">
        <f t="shared" si="4441"/>
        <v>1</v>
      </c>
    </row>
    <row r="511" spans="1:1029" x14ac:dyDescent="0.2">
      <c r="A511" s="3" t="str">
        <f t="shared" si="4526"/>
        <v>grm5_human_4OO9</v>
      </c>
      <c r="B511" s="3" t="s">
        <v>41</v>
      </c>
      <c r="C511" s="3" t="s">
        <v>57</v>
      </c>
      <c r="D511" s="3" t="str">
        <f>IFERROR(MID(VLOOKUP($B511,Seqs!$A:$B,2,0),E511,1),"")</f>
        <v>P</v>
      </c>
      <c r="E511" s="3">
        <v>578</v>
      </c>
      <c r="F511" s="3" t="str">
        <f>IFERROR(MID(VLOOKUP($B511,Seqs!$A:$B,2,0),G511,1),"")</f>
        <v>Y</v>
      </c>
      <c r="G511" s="3">
        <v>604</v>
      </c>
      <c r="H511" s="3" t="str">
        <f>IFERROR(MID(VLOOKUP($B511,Seqs!$A:$B,2,0),I511,1),"")</f>
        <v>T</v>
      </c>
      <c r="I511" s="23">
        <v>607</v>
      </c>
      <c r="J511" s="3" t="str">
        <f>IFERROR(MID(VLOOKUP($B511,Seqs!$A:$B,2,0),K511,1),"")</f>
        <v>S</v>
      </c>
      <c r="K511" s="23">
        <v>613</v>
      </c>
      <c r="L511" s="3" t="str">
        <f>IFERROR(MID(VLOOKUP($B511,Seqs!$A:$B,2,0),M511,1),"")</f>
        <v>S</v>
      </c>
      <c r="M511" s="3">
        <v>614</v>
      </c>
      <c r="N511" s="3" t="str">
        <f>IFERROR(MID(VLOOKUP($B511,Seqs!$A:$B,2,0),O511,1),"")</f>
        <v>I</v>
      </c>
      <c r="O511" s="3">
        <v>636</v>
      </c>
      <c r="P511" s="3" t="str">
        <f>IFERROR(MID(VLOOKUP($B511,Seqs!$A:$B,2,0),Q511,1),"")</f>
        <v/>
      </c>
      <c r="Q511" s="3" t="s">
        <v>23</v>
      </c>
      <c r="R511" s="3" t="str">
        <f>IFERROR(MID(VLOOKUP($B511,Seqs!$A:$B,2,0),S511,1),"")</f>
        <v/>
      </c>
      <c r="S511" s="3" t="s">
        <v>23</v>
      </c>
      <c r="T511" s="3" t="str">
        <f>IFERROR(MID(VLOOKUP($B511,Seqs!$A:$B,2,0),U511,1),"")</f>
        <v>Q</v>
      </c>
      <c r="U511" s="3">
        <v>641</v>
      </c>
      <c r="V511" s="3" t="str">
        <f>IFERROR(MID(VLOOKUP($B511,Seqs!$A:$B,2,0),W511,1),"")</f>
        <v>K</v>
      </c>
      <c r="W511" s="3">
        <v>678</v>
      </c>
      <c r="X511" s="3" t="str">
        <f>IFERROR(MID(VLOOKUP($B511,Seqs!$A:$B,2,0),Y511,1),"")</f>
        <v/>
      </c>
      <c r="Y511" s="3" t="s">
        <v>23</v>
      </c>
      <c r="Z511" s="3" t="str">
        <f>IFERROR(MID(VLOOKUP($B511,Seqs!$A:$B,2,0),AA511,1),"")</f>
        <v/>
      </c>
      <c r="AA511" s="3" t="s">
        <v>23</v>
      </c>
      <c r="AB511" s="3" t="str">
        <f>IFERROR(MID(VLOOKUP($B511,Seqs!$A:$B,2,0),AC511,1),"")</f>
        <v>S</v>
      </c>
      <c r="AC511" s="9">
        <v>689</v>
      </c>
      <c r="AD511" s="3" t="str">
        <f>IFERROR(MID(VLOOKUP($B511,Seqs!$A:$B,2,0),AE511,1),"")</f>
        <v>E</v>
      </c>
      <c r="AE511" s="3">
        <v>715</v>
      </c>
      <c r="AF511" s="3" t="str">
        <f>IFERROR(MID(VLOOKUP($B511,Seqs!$A:$B,2,0),AG511,1),"")</f>
        <v>C</v>
      </c>
      <c r="AG511" s="3">
        <v>733</v>
      </c>
      <c r="AH511" s="3" t="str">
        <f>IFERROR(MID(VLOOKUP($B511,Seqs!$A:$B,2,0),AI511,1),"")</f>
        <v>T</v>
      </c>
      <c r="AI511" s="3">
        <v>735</v>
      </c>
      <c r="AJ511" s="3" t="str">
        <f>IFERROR(MID(VLOOKUP($B511,Seqs!$A:$B,2,0),AK511,1),"")</f>
        <v>N</v>
      </c>
      <c r="AK511" s="3">
        <v>737</v>
      </c>
      <c r="AL511" s="3" t="str">
        <f>IFERROR(MID(VLOOKUP($B511,Seqs!$A:$B,2,0),AM511,1),"")</f>
        <v>T</v>
      </c>
      <c r="AM511" s="3">
        <v>761</v>
      </c>
      <c r="AN511" s="3" t="str">
        <f>IFERROR(MID(VLOOKUP($B511,Seqs!$A:$B,2,0),AO511,1),"")</f>
        <v>E</v>
      </c>
      <c r="AO511" s="3">
        <v>770</v>
      </c>
      <c r="AP511" s="3" t="str">
        <f>IFERROR(MID(VLOOKUP($B511,Seqs!$A:$B,2,0),AQ511,1),"")</f>
        <v>G</v>
      </c>
      <c r="AQ511" s="3">
        <v>794</v>
      </c>
      <c r="AR511" s="3" t="str">
        <f>IFERROR(MID(VLOOKUP($B511,Seqs!$A:$B,2,0),AS511,1),"")</f>
        <v>Y</v>
      </c>
      <c r="AS511" s="105">
        <v>797</v>
      </c>
      <c r="AT511" s="3" t="str">
        <f>IFERROR(MID(VLOOKUP($B511,Seqs!$A:$B,2,0),AU511,1),"")</f>
        <v>K</v>
      </c>
      <c r="AU511" s="3">
        <v>828</v>
      </c>
      <c r="AV511" s="3" t="str">
        <f>IFERROR(MID(VLOOKUP($B511,Seqs!$A:$B,2,0),AW511,1),"")</f>
        <v>P</v>
      </c>
      <c r="AW511" s="3">
        <v>829</v>
      </c>
      <c r="AX511" s="3" t="str">
        <f>IFERROR(MID(VLOOKUP($B511,Seqs!$A:$B,2,0),AY511,1),"")</f>
        <v>N</v>
      </c>
      <c r="AY511" s="3">
        <v>832</v>
      </c>
      <c r="AZ511" s="77" t="str">
        <f>VLOOKUP(B511,Classification!A:D,2,0)</f>
        <v>C</v>
      </c>
      <c r="BA511" s="94" t="str">
        <f>VLOOKUP(B511,Classification!A:D,4,0)</f>
        <v>Metabotropicglutamate</v>
      </c>
      <c r="BB511" s="27" t="b">
        <f t="shared" si="4527"/>
        <v>1</v>
      </c>
      <c r="BC511" s="23">
        <f t="shared" si="4416"/>
        <v>213</v>
      </c>
      <c r="BD511" s="106" t="s">
        <v>1370</v>
      </c>
      <c r="BE511" s="3" t="s">
        <v>1368</v>
      </c>
      <c r="BF511" s="118">
        <v>2.6</v>
      </c>
      <c r="BG511" s="49" t="s">
        <v>1371</v>
      </c>
      <c r="BH511" s="49" t="s">
        <v>1371</v>
      </c>
      <c r="BJ511" s="70" t="s">
        <v>1281</v>
      </c>
      <c r="BK511" s="57" t="s">
        <v>1281</v>
      </c>
      <c r="BL511" s="57" t="s">
        <v>1281</v>
      </c>
      <c r="BM511" s="57" t="s">
        <v>1281</v>
      </c>
      <c r="BN511" s="57" t="s">
        <v>1281</v>
      </c>
      <c r="BO511" s="57" t="s">
        <v>1281</v>
      </c>
      <c r="BP511" s="57" t="s">
        <v>1281</v>
      </c>
      <c r="BQ511" s="57" t="s">
        <v>1281</v>
      </c>
      <c r="BR511" s="57" t="s">
        <v>1281</v>
      </c>
      <c r="BS511" s="57" t="s">
        <v>1281</v>
      </c>
      <c r="BT511" s="57" t="s">
        <v>1281</v>
      </c>
      <c r="BU511" s="57" t="s">
        <v>1281</v>
      </c>
      <c r="BV511" s="70">
        <f t="shared" si="4417"/>
        <v>578</v>
      </c>
      <c r="BW511" s="71">
        <f t="shared" si="4418"/>
        <v>607</v>
      </c>
      <c r="BX511" s="72">
        <f t="shared" si="4419"/>
        <v>614</v>
      </c>
      <c r="BY511" s="71" t="str">
        <f t="shared" si="4420"/>
        <v>-</v>
      </c>
      <c r="BZ511" s="72">
        <f t="shared" si="4421"/>
        <v>641</v>
      </c>
      <c r="CA511" s="71" t="str">
        <f t="shared" si="4422"/>
        <v>-</v>
      </c>
      <c r="CB511" s="72">
        <f t="shared" si="4423"/>
        <v>689</v>
      </c>
      <c r="CC511" s="71">
        <f t="shared" si="4424"/>
        <v>733</v>
      </c>
      <c r="CD511" s="72">
        <f t="shared" si="4425"/>
        <v>737</v>
      </c>
      <c r="CE511" s="71">
        <f t="shared" si="4426"/>
        <v>770</v>
      </c>
      <c r="CF511" s="72">
        <f t="shared" si="4427"/>
        <v>797</v>
      </c>
      <c r="CG511" s="71">
        <f t="shared" si="4428"/>
        <v>829</v>
      </c>
      <c r="CH511" s="70">
        <f t="shared" si="4429"/>
        <v>604</v>
      </c>
      <c r="CI511" s="71">
        <f t="shared" si="4430"/>
        <v>613</v>
      </c>
      <c r="CJ511" s="72">
        <f t="shared" si="4431"/>
        <v>636</v>
      </c>
      <c r="CK511" s="72" t="str">
        <f t="shared" si="4432"/>
        <v>-</v>
      </c>
      <c r="CL511" s="72">
        <f t="shared" si="4433"/>
        <v>678</v>
      </c>
      <c r="CM511" s="72" t="str">
        <f t="shared" si="4434"/>
        <v>-</v>
      </c>
      <c r="CN511" s="72">
        <f t="shared" si="4435"/>
        <v>715</v>
      </c>
      <c r="CO511" s="72">
        <f t="shared" si="4436"/>
        <v>735</v>
      </c>
      <c r="CP511" s="72">
        <f t="shared" si="4437"/>
        <v>761</v>
      </c>
      <c r="CQ511" s="72">
        <f t="shared" si="4438"/>
        <v>794</v>
      </c>
      <c r="CR511" s="72">
        <f t="shared" si="4439"/>
        <v>828</v>
      </c>
      <c r="CS511" s="72">
        <f t="shared" si="4440"/>
        <v>832</v>
      </c>
      <c r="CT511" s="23">
        <f t="shared" si="4441"/>
        <v>1</v>
      </c>
    </row>
    <row r="512" spans="1:1029" x14ac:dyDescent="0.2">
      <c r="A512" s="3" t="str">
        <f t="shared" si="4526"/>
        <v>grm5_human_5CGC</v>
      </c>
      <c r="B512" s="3" t="s">
        <v>41</v>
      </c>
      <c r="C512" s="3" t="s">
        <v>58</v>
      </c>
      <c r="D512" s="3" t="str">
        <f>IFERROR(MID(VLOOKUP($B512,Seqs!$A:$B,2,0),E512,1),"")</f>
        <v>P</v>
      </c>
      <c r="E512" s="3">
        <v>578</v>
      </c>
      <c r="F512" s="3" t="str">
        <f>IFERROR(MID(VLOOKUP($B512,Seqs!$A:$B,2,0),G512,1),"")</f>
        <v>Y</v>
      </c>
      <c r="G512" s="3">
        <v>604</v>
      </c>
      <c r="H512" s="3" t="str">
        <f>IFERROR(MID(VLOOKUP($B512,Seqs!$A:$B,2,0),I512,1),"")</f>
        <v>T</v>
      </c>
      <c r="I512" s="23">
        <v>607</v>
      </c>
      <c r="J512" s="3" t="str">
        <f>IFERROR(MID(VLOOKUP($B512,Seqs!$A:$B,2,0),K512,1),"")</f>
        <v>S</v>
      </c>
      <c r="K512" s="23">
        <v>613</v>
      </c>
      <c r="L512" s="3" t="str">
        <f>IFERROR(MID(VLOOKUP($B512,Seqs!$A:$B,2,0),M512,1),"")</f>
        <v>S</v>
      </c>
      <c r="M512" s="3">
        <v>614</v>
      </c>
      <c r="N512" s="3" t="str">
        <f>IFERROR(MID(VLOOKUP($B512,Seqs!$A:$B,2,0),O512,1),"")</f>
        <v>I</v>
      </c>
      <c r="O512" s="3">
        <v>636</v>
      </c>
      <c r="P512" s="3" t="str">
        <f>IFERROR(MID(VLOOKUP($B512,Seqs!$A:$B,2,0),Q512,1),"")</f>
        <v/>
      </c>
      <c r="Q512" s="3" t="s">
        <v>23</v>
      </c>
      <c r="R512" s="3" t="str">
        <f>IFERROR(MID(VLOOKUP($B512,Seqs!$A:$B,2,0),S512,1),"")</f>
        <v/>
      </c>
      <c r="S512" s="3" t="s">
        <v>23</v>
      </c>
      <c r="T512" s="3" t="str">
        <f>IFERROR(MID(VLOOKUP($B512,Seqs!$A:$B,2,0),U512,1),"")</f>
        <v>K</v>
      </c>
      <c r="U512" s="105">
        <v>640</v>
      </c>
      <c r="V512" s="3" t="str">
        <f>IFERROR(MID(VLOOKUP($B512,Seqs!$A:$B,2,0),W512,1),"")</f>
        <v>K</v>
      </c>
      <c r="W512" s="3">
        <v>678</v>
      </c>
      <c r="X512" s="3" t="str">
        <f>IFERROR(MID(VLOOKUP($B512,Seqs!$A:$B,2,0),Y512,1),"")</f>
        <v/>
      </c>
      <c r="Y512" s="3" t="s">
        <v>23</v>
      </c>
      <c r="Z512" s="3" t="str">
        <f>IFERROR(MID(VLOOKUP($B512,Seqs!$A:$B,2,0),AA512,1),"")</f>
        <v/>
      </c>
      <c r="AA512" s="3" t="s">
        <v>23</v>
      </c>
      <c r="AB512" s="3" t="str">
        <f>IFERROR(MID(VLOOKUP($B512,Seqs!$A:$B,2,0),AC512,1),"")</f>
        <v>S</v>
      </c>
      <c r="AC512" s="9">
        <v>689</v>
      </c>
      <c r="AD512" s="3" t="str">
        <f>IFERROR(MID(VLOOKUP($B512,Seqs!$A:$B,2,0),AE512,1),"")</f>
        <v>E</v>
      </c>
      <c r="AE512" s="3">
        <v>715</v>
      </c>
      <c r="AF512" s="3" t="str">
        <f>IFERROR(MID(VLOOKUP($B512,Seqs!$A:$B,2,0),AG512,1),"")</f>
        <v>C</v>
      </c>
      <c r="AG512" s="3">
        <v>733</v>
      </c>
      <c r="AH512" s="3" t="str">
        <f>IFERROR(MID(VLOOKUP($B512,Seqs!$A:$B,2,0),AI512,1),"")</f>
        <v>T</v>
      </c>
      <c r="AI512" s="3">
        <v>735</v>
      </c>
      <c r="AJ512" s="3" t="str">
        <f>IFERROR(MID(VLOOKUP($B512,Seqs!$A:$B,2,0),AK512,1),"")</f>
        <v>N</v>
      </c>
      <c r="AK512" s="3">
        <v>737</v>
      </c>
      <c r="AL512" s="3" t="str">
        <f>IFERROR(MID(VLOOKUP($B512,Seqs!$A:$B,2,0),AM512,1),"")</f>
        <v>T</v>
      </c>
      <c r="AM512" s="3">
        <v>761</v>
      </c>
      <c r="AN512" s="3" t="str">
        <f>IFERROR(MID(VLOOKUP($B512,Seqs!$A:$B,2,0),AO512,1),"")</f>
        <v>E</v>
      </c>
      <c r="AO512" s="3">
        <v>770</v>
      </c>
      <c r="AP512" s="3" t="str">
        <f>IFERROR(MID(VLOOKUP($B512,Seqs!$A:$B,2,0),AQ512,1),"")</f>
        <v>G</v>
      </c>
      <c r="AQ512" s="3">
        <v>794</v>
      </c>
      <c r="AR512" s="3" t="str">
        <f>IFERROR(MID(VLOOKUP($B512,Seqs!$A:$B,2,0),AS512,1),"")</f>
        <v>Y</v>
      </c>
      <c r="AS512" s="105">
        <v>797</v>
      </c>
      <c r="AT512" s="3" t="str">
        <f>IFERROR(MID(VLOOKUP($B512,Seqs!$A:$B,2,0),AU512,1),"")</f>
        <v>K</v>
      </c>
      <c r="AU512" s="3">
        <v>828</v>
      </c>
      <c r="AV512" s="3" t="str">
        <f>IFERROR(MID(VLOOKUP($B512,Seqs!$A:$B,2,0),AW512,1),"")</f>
        <v>P</v>
      </c>
      <c r="AW512" s="3">
        <v>829</v>
      </c>
      <c r="AX512" s="3" t="str">
        <f>IFERROR(MID(VLOOKUP($B512,Seqs!$A:$B,2,0),AY512,1),"")</f>
        <v>N</v>
      </c>
      <c r="AY512" s="3">
        <v>832</v>
      </c>
      <c r="AZ512" s="77" t="str">
        <f>VLOOKUP(B512,Classification!A:D,2,0)</f>
        <v>C</v>
      </c>
      <c r="BA512" s="94" t="str">
        <f>VLOOKUP(B512,Classification!A:D,4,0)</f>
        <v>Metabotropicglutamate</v>
      </c>
      <c r="BB512" s="27" t="b">
        <f t="shared" si="4527"/>
        <v>1</v>
      </c>
      <c r="BC512" s="23">
        <f t="shared" si="4416"/>
        <v>214</v>
      </c>
      <c r="BD512" s="4" t="s">
        <v>23</v>
      </c>
      <c r="BE512" s="3" t="s">
        <v>1368</v>
      </c>
      <c r="BF512" s="118">
        <v>3.1</v>
      </c>
      <c r="BG512" s="49" t="s">
        <v>1371</v>
      </c>
      <c r="BH512" s="49" t="s">
        <v>1371</v>
      </c>
      <c r="BJ512" s="70" t="s">
        <v>1281</v>
      </c>
      <c r="BK512" s="57" t="s">
        <v>1281</v>
      </c>
      <c r="BL512" s="57" t="s">
        <v>1281</v>
      </c>
      <c r="BM512" s="57" t="s">
        <v>1281</v>
      </c>
      <c r="BN512" s="57" t="s">
        <v>1281</v>
      </c>
      <c r="BO512" s="57" t="s">
        <v>1281</v>
      </c>
      <c r="BP512" s="57" t="s">
        <v>1281</v>
      </c>
      <c r="BQ512" s="57" t="s">
        <v>1281</v>
      </c>
      <c r="BR512" s="57" t="s">
        <v>1281</v>
      </c>
      <c r="BS512" s="57" t="s">
        <v>1281</v>
      </c>
      <c r="BT512" s="57" t="s">
        <v>1281</v>
      </c>
      <c r="BU512" s="57" t="s">
        <v>1281</v>
      </c>
      <c r="BV512" s="70">
        <f t="shared" si="4417"/>
        <v>578</v>
      </c>
      <c r="BW512" s="71">
        <f t="shared" si="4418"/>
        <v>607</v>
      </c>
      <c r="BX512" s="72">
        <f t="shared" si="4419"/>
        <v>614</v>
      </c>
      <c r="BY512" s="71" t="str">
        <f t="shared" si="4420"/>
        <v>-</v>
      </c>
      <c r="BZ512" s="72">
        <f t="shared" si="4421"/>
        <v>640</v>
      </c>
      <c r="CA512" s="71" t="str">
        <f t="shared" si="4422"/>
        <v>-</v>
      </c>
      <c r="CB512" s="72">
        <f t="shared" si="4423"/>
        <v>689</v>
      </c>
      <c r="CC512" s="71">
        <f t="shared" si="4424"/>
        <v>733</v>
      </c>
      <c r="CD512" s="72">
        <f t="shared" si="4425"/>
        <v>737</v>
      </c>
      <c r="CE512" s="71">
        <f t="shared" si="4426"/>
        <v>770</v>
      </c>
      <c r="CF512" s="72">
        <f t="shared" si="4427"/>
        <v>797</v>
      </c>
      <c r="CG512" s="71">
        <f t="shared" si="4428"/>
        <v>829</v>
      </c>
      <c r="CH512" s="70">
        <f t="shared" si="4429"/>
        <v>604</v>
      </c>
      <c r="CI512" s="71">
        <f t="shared" si="4430"/>
        <v>613</v>
      </c>
      <c r="CJ512" s="72">
        <f t="shared" si="4431"/>
        <v>636</v>
      </c>
      <c r="CK512" s="72" t="str">
        <f t="shared" si="4432"/>
        <v>-</v>
      </c>
      <c r="CL512" s="72">
        <f t="shared" si="4433"/>
        <v>678</v>
      </c>
      <c r="CM512" s="72" t="str">
        <f t="shared" si="4434"/>
        <v>-</v>
      </c>
      <c r="CN512" s="72">
        <f t="shared" si="4435"/>
        <v>715</v>
      </c>
      <c r="CO512" s="72">
        <f t="shared" si="4436"/>
        <v>735</v>
      </c>
      <c r="CP512" s="72">
        <f t="shared" si="4437"/>
        <v>761</v>
      </c>
      <c r="CQ512" s="72">
        <f t="shared" si="4438"/>
        <v>794</v>
      </c>
      <c r="CR512" s="72">
        <f t="shared" si="4439"/>
        <v>828</v>
      </c>
      <c r="CS512" s="72">
        <f t="shared" si="4440"/>
        <v>832</v>
      </c>
      <c r="CT512" s="23">
        <f t="shared" si="4441"/>
        <v>1</v>
      </c>
    </row>
    <row r="513" spans="1:1030" x14ac:dyDescent="0.2">
      <c r="A513" s="3" t="str">
        <f t="shared" si="4526"/>
        <v>grm5_human_5CGD</v>
      </c>
      <c r="B513" s="3" t="s">
        <v>41</v>
      </c>
      <c r="C513" s="3" t="s">
        <v>59</v>
      </c>
      <c r="D513" s="3" t="str">
        <f>IFERROR(MID(VLOOKUP($B513,Seqs!$A:$B,2,0),E513,1),"")</f>
        <v>P</v>
      </c>
      <c r="E513" s="3">
        <v>578</v>
      </c>
      <c r="F513" s="3" t="str">
        <f>IFERROR(MID(VLOOKUP($B513,Seqs!$A:$B,2,0),G513,1),"")</f>
        <v>Y</v>
      </c>
      <c r="G513" s="3">
        <v>604</v>
      </c>
      <c r="H513" s="3" t="str">
        <f>IFERROR(MID(VLOOKUP($B513,Seqs!$A:$B,2,0),I513,1),"")</f>
        <v>T</v>
      </c>
      <c r="I513" s="23">
        <v>607</v>
      </c>
      <c r="J513" s="3" t="str">
        <f>IFERROR(MID(VLOOKUP($B513,Seqs!$A:$B,2,0),K513,1),"")</f>
        <v>S</v>
      </c>
      <c r="K513" s="23">
        <v>613</v>
      </c>
      <c r="L513" s="3" t="str">
        <f>IFERROR(MID(VLOOKUP($B513,Seqs!$A:$B,2,0),M513,1),"")</f>
        <v>S</v>
      </c>
      <c r="M513" s="3">
        <v>614</v>
      </c>
      <c r="N513" s="3" t="str">
        <f>IFERROR(MID(VLOOKUP($B513,Seqs!$A:$B,2,0),O513,1),"")</f>
        <v>I</v>
      </c>
      <c r="O513" s="3">
        <v>636</v>
      </c>
      <c r="P513" s="3" t="str">
        <f>IFERROR(MID(VLOOKUP($B513,Seqs!$A:$B,2,0),Q513,1),"")</f>
        <v/>
      </c>
      <c r="Q513" s="3" t="s">
        <v>23</v>
      </c>
      <c r="R513" s="3" t="str">
        <f>IFERROR(MID(VLOOKUP($B513,Seqs!$A:$B,2,0),S513,1),"")</f>
        <v/>
      </c>
      <c r="S513" s="3" t="s">
        <v>23</v>
      </c>
      <c r="T513" s="3" t="str">
        <f>IFERROR(MID(VLOOKUP($B513,Seqs!$A:$B,2,0),U513,1),"")</f>
        <v>Q</v>
      </c>
      <c r="U513" s="3">
        <v>641</v>
      </c>
      <c r="V513" s="3" t="str">
        <f>IFERROR(MID(VLOOKUP($B513,Seqs!$A:$B,2,0),W513,1),"")</f>
        <v>K</v>
      </c>
      <c r="W513" s="3">
        <v>678</v>
      </c>
      <c r="X513" s="3" t="str">
        <f>IFERROR(MID(VLOOKUP($B513,Seqs!$A:$B,2,0),Y513,1),"")</f>
        <v/>
      </c>
      <c r="Y513" s="3" t="s">
        <v>23</v>
      </c>
      <c r="Z513" s="3" t="str">
        <f>IFERROR(MID(VLOOKUP($B513,Seqs!$A:$B,2,0),AA513,1),"")</f>
        <v/>
      </c>
      <c r="AA513" s="3" t="s">
        <v>23</v>
      </c>
      <c r="AB513" s="3" t="str">
        <f>IFERROR(MID(VLOOKUP($B513,Seqs!$A:$B,2,0),AC513,1),"")</f>
        <v>S</v>
      </c>
      <c r="AC513" s="9">
        <v>689</v>
      </c>
      <c r="AD513" s="3" t="str">
        <f>IFERROR(MID(VLOOKUP($B513,Seqs!$A:$B,2,0),AE513,1),"")</f>
        <v>E</v>
      </c>
      <c r="AE513" s="3">
        <v>715</v>
      </c>
      <c r="AF513" s="3" t="str">
        <f>IFERROR(MID(VLOOKUP($B513,Seqs!$A:$B,2,0),AG513,1),"")</f>
        <v>C</v>
      </c>
      <c r="AG513" s="3">
        <v>733</v>
      </c>
      <c r="AH513" s="3" t="str">
        <f>IFERROR(MID(VLOOKUP($B513,Seqs!$A:$B,2,0),AI513,1),"")</f>
        <v>T</v>
      </c>
      <c r="AI513" s="3">
        <v>735</v>
      </c>
      <c r="AJ513" s="3" t="str">
        <f>IFERROR(MID(VLOOKUP($B513,Seqs!$A:$B,2,0),AK513,1),"")</f>
        <v>N</v>
      </c>
      <c r="AK513" s="3">
        <v>737</v>
      </c>
      <c r="AL513" s="3" t="str">
        <f>IFERROR(MID(VLOOKUP($B513,Seqs!$A:$B,2,0),AM513,1),"")</f>
        <v>T</v>
      </c>
      <c r="AM513" s="3">
        <v>761</v>
      </c>
      <c r="AN513" s="3" t="str">
        <f>IFERROR(MID(VLOOKUP($B513,Seqs!$A:$B,2,0),AO513,1),"")</f>
        <v>E</v>
      </c>
      <c r="AO513" s="3">
        <v>770</v>
      </c>
      <c r="AP513" s="3" t="str">
        <f>IFERROR(MID(VLOOKUP($B513,Seqs!$A:$B,2,0),AQ513,1),"")</f>
        <v>G</v>
      </c>
      <c r="AQ513" s="3">
        <v>794</v>
      </c>
      <c r="AR513" s="3" t="str">
        <f>IFERROR(MID(VLOOKUP($B513,Seqs!$A:$B,2,0),AS513,1),"")</f>
        <v>Y</v>
      </c>
      <c r="AS513" s="105">
        <v>797</v>
      </c>
      <c r="AT513" s="3" t="str">
        <f>IFERROR(MID(VLOOKUP($B513,Seqs!$A:$B,2,0),AU513,1),"")</f>
        <v>K</v>
      </c>
      <c r="AU513" s="3">
        <v>828</v>
      </c>
      <c r="AV513" s="3" t="str">
        <f>IFERROR(MID(VLOOKUP($B513,Seqs!$A:$B,2,0),AW513,1),"")</f>
        <v>P</v>
      </c>
      <c r="AW513" s="3">
        <v>829</v>
      </c>
      <c r="AX513" s="3" t="str">
        <f>IFERROR(MID(VLOOKUP($B513,Seqs!$A:$B,2,0),AY513,1),"")</f>
        <v>R</v>
      </c>
      <c r="AY513" s="3">
        <v>831</v>
      </c>
      <c r="AZ513" s="77" t="str">
        <f>VLOOKUP(B513,Classification!A:D,2,0)</f>
        <v>C</v>
      </c>
      <c r="BA513" s="94" t="str">
        <f>VLOOKUP(B513,Classification!A:D,4,0)</f>
        <v>Metabotropicglutamate</v>
      </c>
      <c r="BB513" s="27" t="b">
        <f t="shared" si="4527"/>
        <v>1</v>
      </c>
      <c r="BC513" s="23">
        <f t="shared" si="4416"/>
        <v>212</v>
      </c>
      <c r="BD513" s="4" t="s">
        <v>23</v>
      </c>
      <c r="BE513" s="3" t="s">
        <v>1368</v>
      </c>
      <c r="BF513" s="118">
        <v>2.6</v>
      </c>
      <c r="BG513" s="49" t="s">
        <v>1371</v>
      </c>
      <c r="BH513" s="49" t="s">
        <v>1371</v>
      </c>
      <c r="BJ513" s="70" t="s">
        <v>1281</v>
      </c>
      <c r="BK513" s="57" t="s">
        <v>1281</v>
      </c>
      <c r="BL513" s="57" t="s">
        <v>1281</v>
      </c>
      <c r="BM513" s="57" t="s">
        <v>1281</v>
      </c>
      <c r="BN513" s="57" t="s">
        <v>1281</v>
      </c>
      <c r="BO513" s="57" t="s">
        <v>1281</v>
      </c>
      <c r="BP513" s="57" t="s">
        <v>1281</v>
      </c>
      <c r="BQ513" s="57" t="s">
        <v>1281</v>
      </c>
      <c r="BR513" s="57" t="s">
        <v>1281</v>
      </c>
      <c r="BS513" s="57" t="s">
        <v>1281</v>
      </c>
      <c r="BT513" s="57" t="s">
        <v>1281</v>
      </c>
      <c r="BU513" s="57" t="s">
        <v>1281</v>
      </c>
      <c r="BV513" s="70">
        <f t="shared" si="4417"/>
        <v>578</v>
      </c>
      <c r="BW513" s="71">
        <f t="shared" si="4418"/>
        <v>607</v>
      </c>
      <c r="BX513" s="72">
        <f t="shared" si="4419"/>
        <v>614</v>
      </c>
      <c r="BY513" s="71" t="str">
        <f t="shared" si="4420"/>
        <v>-</v>
      </c>
      <c r="BZ513" s="72">
        <f t="shared" si="4421"/>
        <v>641</v>
      </c>
      <c r="CA513" s="71" t="str">
        <f t="shared" si="4422"/>
        <v>-</v>
      </c>
      <c r="CB513" s="72">
        <f t="shared" si="4423"/>
        <v>689</v>
      </c>
      <c r="CC513" s="71">
        <f t="shared" si="4424"/>
        <v>733</v>
      </c>
      <c r="CD513" s="72">
        <f t="shared" si="4425"/>
        <v>737</v>
      </c>
      <c r="CE513" s="71">
        <f t="shared" si="4426"/>
        <v>770</v>
      </c>
      <c r="CF513" s="72">
        <f t="shared" si="4427"/>
        <v>797</v>
      </c>
      <c r="CG513" s="71">
        <f t="shared" si="4428"/>
        <v>829</v>
      </c>
      <c r="CH513" s="70">
        <f t="shared" si="4429"/>
        <v>604</v>
      </c>
      <c r="CI513" s="71">
        <f t="shared" si="4430"/>
        <v>613</v>
      </c>
      <c r="CJ513" s="72">
        <f t="shared" si="4431"/>
        <v>636</v>
      </c>
      <c r="CK513" s="72" t="str">
        <f t="shared" si="4432"/>
        <v>-</v>
      </c>
      <c r="CL513" s="72">
        <f t="shared" si="4433"/>
        <v>678</v>
      </c>
      <c r="CM513" s="72" t="str">
        <f t="shared" si="4434"/>
        <v>-</v>
      </c>
      <c r="CN513" s="72">
        <f t="shared" si="4435"/>
        <v>715</v>
      </c>
      <c r="CO513" s="72">
        <f t="shared" si="4436"/>
        <v>735</v>
      </c>
      <c r="CP513" s="72">
        <f t="shared" si="4437"/>
        <v>761</v>
      </c>
      <c r="CQ513" s="72">
        <f t="shared" si="4438"/>
        <v>794</v>
      </c>
      <c r="CR513" s="72">
        <f t="shared" si="4439"/>
        <v>828</v>
      </c>
      <c r="CS513" s="72">
        <f t="shared" si="4440"/>
        <v>831</v>
      </c>
      <c r="CT513" s="23">
        <f t="shared" si="4441"/>
        <v>1</v>
      </c>
      <c r="AMP513" s="3"/>
    </row>
    <row r="514" spans="1:1030" x14ac:dyDescent="0.2">
      <c r="A514" s="3" t="str">
        <f>CONCATENATE(B514,"_",C514)</f>
        <v>grm5_human_6FFH</v>
      </c>
      <c r="B514" s="3" t="s">
        <v>41</v>
      </c>
      <c r="C514" s="3" t="s">
        <v>1468</v>
      </c>
      <c r="D514" s="3" t="str">
        <f>IFERROR(MID(VLOOKUP($B514,Seqs!$A:$B,2,0),E514,1),"")</f>
        <v>P</v>
      </c>
      <c r="E514" s="3">
        <v>578</v>
      </c>
      <c r="F514" s="3" t="str">
        <f>IFERROR(MID(VLOOKUP($B514,Seqs!$A:$B,2,0),G514,1),"")</f>
        <v>Y</v>
      </c>
      <c r="G514" s="3">
        <v>604</v>
      </c>
      <c r="H514" s="3" t="str">
        <f>IFERROR(MID(VLOOKUP($B514,Seqs!$A:$B,2,0),I514,1),"")</f>
        <v>T</v>
      </c>
      <c r="I514" s="23">
        <v>607</v>
      </c>
      <c r="J514" s="3" t="str">
        <f>IFERROR(MID(VLOOKUP($B514,Seqs!$A:$B,2,0),K514,1),"")</f>
        <v>S</v>
      </c>
      <c r="K514" s="23">
        <v>613</v>
      </c>
      <c r="L514" s="3" t="str">
        <f>IFERROR(MID(VLOOKUP($B514,Seqs!$A:$B,2,0),M514,1),"")</f>
        <v>S</v>
      </c>
      <c r="M514" s="3">
        <v>614</v>
      </c>
      <c r="N514" s="3" t="str">
        <f>IFERROR(MID(VLOOKUP($B514,Seqs!$A:$B,2,0),O514,1),"")</f>
        <v>I</v>
      </c>
      <c r="O514" s="3">
        <v>636</v>
      </c>
      <c r="P514" s="3" t="str">
        <f>IFERROR(MID(VLOOKUP($B514,Seqs!$A:$B,2,0),Q514,1),"")</f>
        <v/>
      </c>
      <c r="Q514" s="3" t="s">
        <v>23</v>
      </c>
      <c r="R514" s="3" t="str">
        <f>IFERROR(MID(VLOOKUP($B514,Seqs!$A:$B,2,0),S514,1),"")</f>
        <v/>
      </c>
      <c r="S514" s="3" t="s">
        <v>23</v>
      </c>
      <c r="T514" s="3" t="str">
        <f>IFERROR(MID(VLOOKUP($B514,Seqs!$A:$B,2,0),U514,1),"")</f>
        <v>K</v>
      </c>
      <c r="U514" s="3">
        <v>640</v>
      </c>
      <c r="V514" s="3" t="str">
        <f>IFERROR(MID(VLOOKUP($B514,Seqs!$A:$B,2,0),W514,1),"")</f>
        <v>K</v>
      </c>
      <c r="W514" s="3">
        <v>678</v>
      </c>
      <c r="X514" s="3" t="str">
        <f>IFERROR(MID(VLOOKUP($B514,Seqs!$A:$B,2,0),Y514,1),"")</f>
        <v/>
      </c>
      <c r="Y514" s="3" t="s">
        <v>23</v>
      </c>
      <c r="Z514" s="3" t="str">
        <f>IFERROR(MID(VLOOKUP($B514,Seqs!$A:$B,2,0),AA514,1),"")</f>
        <v/>
      </c>
      <c r="AA514" s="3" t="s">
        <v>23</v>
      </c>
      <c r="AB514" s="3" t="str">
        <f>IFERROR(MID(VLOOKUP($B514,Seqs!$A:$B,2,0),AC514,1),"")</f>
        <v/>
      </c>
      <c r="AC514" s="3">
        <v>1689</v>
      </c>
      <c r="AD514" s="3" t="str">
        <f>IFERROR(MID(VLOOKUP($B514,Seqs!$A:$B,2,0),AE514,1),"")</f>
        <v/>
      </c>
      <c r="AE514" s="3">
        <v>1715</v>
      </c>
      <c r="AF514" s="3" t="str">
        <f>IFERROR(MID(VLOOKUP($B514,Seqs!$A:$B,2,0),AG514,1),"")</f>
        <v/>
      </c>
      <c r="AG514" s="3">
        <v>1733</v>
      </c>
      <c r="AH514" s="3" t="str">
        <f>IFERROR(MID(VLOOKUP($B514,Seqs!$A:$B,2,0),AI514,1),"")</f>
        <v/>
      </c>
      <c r="AI514" s="3">
        <v>1735</v>
      </c>
      <c r="AJ514" s="3" t="str">
        <f>IFERROR(MID(VLOOKUP($B514,Seqs!$A:$B,2,0),AK514,1),"")</f>
        <v/>
      </c>
      <c r="AK514" s="3">
        <v>1736</v>
      </c>
      <c r="AL514" s="3" t="str">
        <f>IFERROR(MID(VLOOKUP($B514,Seqs!$A:$B,2,0),AM514,1),"")</f>
        <v/>
      </c>
      <c r="AM514" s="3">
        <v>1761</v>
      </c>
      <c r="AN514" s="3" t="str">
        <f>IFERROR(MID(VLOOKUP($B514,Seqs!$A:$B,2,0),AO514,1),"")</f>
        <v/>
      </c>
      <c r="AO514" s="3">
        <v>1770</v>
      </c>
      <c r="AP514" s="3" t="str">
        <f>IFERROR(MID(VLOOKUP($B514,Seqs!$A:$B,2,0),AQ514,1),"")</f>
        <v/>
      </c>
      <c r="AQ514" s="3">
        <v>1794</v>
      </c>
      <c r="AR514" s="3" t="str">
        <f>IFERROR(MID(VLOOKUP($B514,Seqs!$A:$B,2,0),AS514,1),"")</f>
        <v/>
      </c>
      <c r="AS514" s="3">
        <v>1797</v>
      </c>
      <c r="AT514" s="3" t="str">
        <f>IFERROR(MID(VLOOKUP($B514,Seqs!$A:$B,2,0),AU514,1),"")</f>
        <v/>
      </c>
      <c r="AU514" s="3">
        <v>1828</v>
      </c>
      <c r="AV514" s="3" t="str">
        <f>IFERROR(MID(VLOOKUP($B514,Seqs!$A:$B,2,0),AW514,1),"")</f>
        <v/>
      </c>
      <c r="AW514" s="3">
        <v>1829</v>
      </c>
      <c r="AX514" s="3" t="str">
        <f>IFERROR(MID(VLOOKUP($B514,Seqs!$A:$B,2,0),AY514,1),"")</f>
        <v/>
      </c>
      <c r="AY514" s="3">
        <v>1832</v>
      </c>
      <c r="AZ514" s="77" t="str">
        <f>VLOOKUP(B514,Classification!A:D,2,0)</f>
        <v>C</v>
      </c>
      <c r="BA514" s="94" t="str">
        <f>VLOOKUP(B514,Classification!A:D,4,0)</f>
        <v>Metabotropicglutamate</v>
      </c>
      <c r="BB514" s="27" t="b">
        <f>AND(E514&lt;G514,OR(G514&lt;I514,I514="-"),OR(I514&lt;K514,I514="-"),OR(K514&lt;M514,K514="-"),M514&lt;O514,OR(O514&lt;Q514,Q514="-"),OR(Q514&lt;S514,Q514="-"),OR(S514&lt;U514,S514="-"),U514&lt;W514,OR(W514&lt;Y514,Y514="-"),OR(Y514&lt;AA514,Y514="-"),OR(AA514&lt;AC514,AA514="-"),AC514&lt;AE514,OR(AE514&lt;AG514,AG514="-"),OR(AG514&lt;AI514,AG514="-"),OR(AI514&lt;AK514,AI514="-"),AK514&lt;AM514,AM514&lt;AO514,AO514&lt;AQ514,AQ514&lt;AS514,AS514&lt;AU514,OR(AU514&lt;AW514,AW514="-"),OR(AW514&lt;AY514,AW514="-"))</f>
        <v>1</v>
      </c>
      <c r="BC514" s="23">
        <f>_xlfn.AGGREGATE(9,6,CH514:CS514)-_xlfn.AGGREGATE(9,6,BV514:CG514)+12</f>
        <v>215</v>
      </c>
      <c r="BD514" s="4" t="s">
        <v>23</v>
      </c>
      <c r="BE514" s="3" t="s">
        <v>1368</v>
      </c>
      <c r="BF514" s="118">
        <v>2.65</v>
      </c>
      <c r="BG514" s="49" t="s">
        <v>1</v>
      </c>
      <c r="BH514" s="49" t="s">
        <v>1</v>
      </c>
      <c r="BJ514" s="70" t="s">
        <v>1281</v>
      </c>
      <c r="BK514" s="57" t="s">
        <v>1281</v>
      </c>
      <c r="BL514" s="57" t="s">
        <v>1281</v>
      </c>
      <c r="BM514" s="57" t="s">
        <v>1281</v>
      </c>
      <c r="BN514" s="57" t="s">
        <v>1281</v>
      </c>
      <c r="BO514" s="57" t="s">
        <v>1281</v>
      </c>
      <c r="BP514" s="57" t="s">
        <v>1281</v>
      </c>
      <c r="BQ514" s="57" t="s">
        <v>1281</v>
      </c>
      <c r="BR514" s="57" t="s">
        <v>1281</v>
      </c>
      <c r="BS514" s="57" t="s">
        <v>1281</v>
      </c>
      <c r="BT514" s="57" t="s">
        <v>1281</v>
      </c>
      <c r="BU514" s="57" t="s">
        <v>1281</v>
      </c>
      <c r="BV514" s="70">
        <f>E514</f>
        <v>578</v>
      </c>
      <c r="BW514" s="71">
        <f>I514</f>
        <v>607</v>
      </c>
      <c r="BX514" s="72">
        <f>M514</f>
        <v>614</v>
      </c>
      <c r="BY514" s="71" t="str">
        <f>Q514</f>
        <v>-</v>
      </c>
      <c r="BZ514" s="72">
        <f>U514</f>
        <v>640</v>
      </c>
      <c r="CA514" s="71" t="str">
        <f>Y514</f>
        <v>-</v>
      </c>
      <c r="CB514" s="72">
        <f>AC514</f>
        <v>1689</v>
      </c>
      <c r="CC514" s="71">
        <f>AG514</f>
        <v>1733</v>
      </c>
      <c r="CD514" s="72">
        <f>AK514</f>
        <v>1736</v>
      </c>
      <c r="CE514" s="71">
        <f>AO514</f>
        <v>1770</v>
      </c>
      <c r="CF514" s="72">
        <f>AS514</f>
        <v>1797</v>
      </c>
      <c r="CG514" s="71">
        <f>AW514</f>
        <v>1829</v>
      </c>
      <c r="CH514" s="70">
        <f>G514</f>
        <v>604</v>
      </c>
      <c r="CI514" s="71">
        <f>K514</f>
        <v>613</v>
      </c>
      <c r="CJ514" s="72">
        <f>O514</f>
        <v>636</v>
      </c>
      <c r="CK514" s="72" t="str">
        <f>S514</f>
        <v>-</v>
      </c>
      <c r="CL514" s="72">
        <f>W514</f>
        <v>678</v>
      </c>
      <c r="CM514" s="72" t="str">
        <f>AA514</f>
        <v>-</v>
      </c>
      <c r="CN514" s="72">
        <f>AE514</f>
        <v>1715</v>
      </c>
      <c r="CO514" s="72">
        <f>AI514</f>
        <v>1735</v>
      </c>
      <c r="CP514" s="72">
        <f>AM514</f>
        <v>1761</v>
      </c>
      <c r="CQ514" s="72">
        <f>AQ514</f>
        <v>1794</v>
      </c>
      <c r="CR514" s="72">
        <f>AU514</f>
        <v>1828</v>
      </c>
      <c r="CS514" s="72">
        <f>AY514</f>
        <v>1832</v>
      </c>
      <c r="CT514" s="23">
        <f>M514-K514</f>
        <v>1</v>
      </c>
      <c r="AMP514" s="3"/>
    </row>
    <row r="515" spans="1:1030" x14ac:dyDescent="0.2">
      <c r="A515" s="3" t="str">
        <f>CONCATENATE(B515,"_",C515)</f>
        <v>grm5_human_6FFI</v>
      </c>
      <c r="B515" s="3" t="s">
        <v>41</v>
      </c>
      <c r="C515" s="3" t="s">
        <v>1469</v>
      </c>
      <c r="D515" s="3" t="str">
        <f>IFERROR(MID(VLOOKUP($B515,Seqs!$A:$B,2,0),E515,1),"")</f>
        <v>P</v>
      </c>
      <c r="E515" s="3">
        <v>578</v>
      </c>
      <c r="F515" s="3" t="str">
        <f>IFERROR(MID(VLOOKUP($B515,Seqs!$A:$B,2,0),G515,1),"")</f>
        <v>Y</v>
      </c>
      <c r="G515" s="3">
        <v>604</v>
      </c>
      <c r="H515" s="3" t="str">
        <f>IFERROR(MID(VLOOKUP($B515,Seqs!$A:$B,2,0),I515,1),"")</f>
        <v>T</v>
      </c>
      <c r="I515" s="23">
        <v>607</v>
      </c>
      <c r="J515" s="3" t="str">
        <f>IFERROR(MID(VLOOKUP($B515,Seqs!$A:$B,2,0),K515,1),"")</f>
        <v>S</v>
      </c>
      <c r="K515" s="23">
        <v>613</v>
      </c>
      <c r="L515" s="3" t="str">
        <f>IFERROR(MID(VLOOKUP($B515,Seqs!$A:$B,2,0),M515,1),"")</f>
        <v>S</v>
      </c>
      <c r="M515" s="3">
        <v>614</v>
      </c>
      <c r="N515" s="3" t="str">
        <f>IFERROR(MID(VLOOKUP($B515,Seqs!$A:$B,2,0),O515,1),"")</f>
        <v>I</v>
      </c>
      <c r="O515" s="3">
        <v>636</v>
      </c>
      <c r="P515" s="3" t="str">
        <f>IFERROR(MID(VLOOKUP($B515,Seqs!$A:$B,2,0),Q515,1),"")</f>
        <v/>
      </c>
      <c r="Q515" s="3" t="s">
        <v>23</v>
      </c>
      <c r="R515" s="3" t="str">
        <f>IFERROR(MID(VLOOKUP($B515,Seqs!$A:$B,2,0),S515,1),"")</f>
        <v/>
      </c>
      <c r="S515" s="3" t="s">
        <v>23</v>
      </c>
      <c r="T515" s="3" t="str">
        <f>IFERROR(MID(VLOOKUP($B515,Seqs!$A:$B,2,0),U515,1),"")</f>
        <v>K</v>
      </c>
      <c r="U515" s="3">
        <v>640</v>
      </c>
      <c r="V515" s="3" t="str">
        <f>IFERROR(MID(VLOOKUP($B515,Seqs!$A:$B,2,0),W515,1),"")</f>
        <v>K</v>
      </c>
      <c r="W515" s="3">
        <v>678</v>
      </c>
      <c r="X515" s="3" t="str">
        <f>IFERROR(MID(VLOOKUP($B515,Seqs!$A:$B,2,0),Y515,1),"")</f>
        <v/>
      </c>
      <c r="Y515" s="3" t="s">
        <v>23</v>
      </c>
      <c r="Z515" s="3" t="str">
        <f>IFERROR(MID(VLOOKUP($B515,Seqs!$A:$B,2,0),AA515,1),"")</f>
        <v/>
      </c>
      <c r="AA515" s="3" t="s">
        <v>23</v>
      </c>
      <c r="AB515" s="3" t="str">
        <f>IFERROR(MID(VLOOKUP($B515,Seqs!$A:$B,2,0),AC515,1),"")</f>
        <v>D</v>
      </c>
      <c r="AC515" s="3">
        <v>849</v>
      </c>
      <c r="AD515" s="3" t="str">
        <f>IFERROR(MID(VLOOKUP($B515,Seqs!$A:$B,2,0),AE515,1),"")</f>
        <v>T</v>
      </c>
      <c r="AE515" s="3">
        <v>875</v>
      </c>
      <c r="AF515" s="3" t="str">
        <f>IFERROR(MID(VLOOKUP($B515,Seqs!$A:$B,2,0),AG515,1),"")</f>
        <v>F</v>
      </c>
      <c r="AG515" s="3">
        <v>893</v>
      </c>
      <c r="AH515" s="3" t="str">
        <f>IFERROR(MID(VLOOKUP($B515,Seqs!$A:$B,2,0),AI515,1),"")</f>
        <v>P</v>
      </c>
      <c r="AI515" s="3">
        <v>895</v>
      </c>
      <c r="AJ515" s="3" t="str">
        <f>IFERROR(MID(VLOOKUP($B515,Seqs!$A:$B,2,0),AK515,1),"")</f>
        <v>K</v>
      </c>
      <c r="AK515" s="3">
        <v>896</v>
      </c>
      <c r="AL515" s="3" t="str">
        <f>IFERROR(MID(VLOOKUP($B515,Seqs!$A:$B,2,0),AM515,1),"")</f>
        <v>E</v>
      </c>
      <c r="AM515" s="3">
        <v>921</v>
      </c>
      <c r="AN515" s="3" t="str">
        <f>IFERROR(MID(VLOOKUP($B515,Seqs!$A:$B,2,0),AO515,1),"")</f>
        <v>L</v>
      </c>
      <c r="AO515" s="3">
        <v>929</v>
      </c>
      <c r="AP515" s="3" t="str">
        <f>IFERROR(MID(VLOOKUP($B515,Seqs!$A:$B,2,0),AQ515,1),"")</f>
        <v>S</v>
      </c>
      <c r="AQ515" s="3">
        <v>955</v>
      </c>
      <c r="AR515" s="3" t="str">
        <f>IFERROR(MID(VLOOKUP($B515,Seqs!$A:$B,2,0),AS515,1),"")</f>
        <v>E</v>
      </c>
      <c r="AS515" s="3">
        <v>957</v>
      </c>
      <c r="AT515" s="3" t="str">
        <f>IFERROR(MID(VLOOKUP($B515,Seqs!$A:$B,2,0),AU515,1),"")</f>
        <v>G</v>
      </c>
      <c r="AU515" s="3">
        <v>988</v>
      </c>
      <c r="AV515" s="3" t="str">
        <f>IFERROR(MID(VLOOKUP($B515,Seqs!$A:$B,2,0),AW515,1),"")</f>
        <v>G</v>
      </c>
      <c r="AW515" s="3">
        <v>989</v>
      </c>
      <c r="AX515" s="3" t="str">
        <f>IFERROR(MID(VLOOKUP($B515,Seqs!$A:$B,2,0),AY515,1),"")</f>
        <v>S</v>
      </c>
      <c r="AY515" s="3">
        <v>992</v>
      </c>
      <c r="AZ515" s="77" t="str">
        <f>VLOOKUP(B515,Classification!A:D,2,0)</f>
        <v>C</v>
      </c>
      <c r="BA515" s="94" t="str">
        <f>VLOOKUP(B515,Classification!A:D,4,0)</f>
        <v>Metabotropicglutamate</v>
      </c>
      <c r="BB515" s="27" t="b">
        <f>AND(E515&lt;G515,OR(G515&lt;I515,I515="-"),OR(I515&lt;K515,I515="-"),OR(K515&lt;M515,K515="-"),M515&lt;O515,OR(O515&lt;Q515,Q515="-"),OR(Q515&lt;S515,Q515="-"),OR(S515&lt;U515,S515="-"),U515&lt;W515,OR(W515&lt;Y515,Y515="-"),OR(Y515&lt;AA515,Y515="-"),OR(AA515&lt;AC515,AA515="-"),AC515&lt;AE515,OR(AE515&lt;AG515,AG515="-"),OR(AG515&lt;AI515,AG515="-"),OR(AI515&lt;AK515,AI515="-"),AK515&lt;AM515,AM515&lt;AO515,AO515&lt;AQ515,AQ515&lt;AS515,AS515&lt;AU515,OR(AU515&lt;AW515,AW515="-"),OR(AW515&lt;AY515,AW515="-"))</f>
        <v>1</v>
      </c>
      <c r="BC515" s="23">
        <f>_xlfn.AGGREGATE(9,6,CH515:CS515)-_xlfn.AGGREGATE(9,6,BV515:CG515)+12</f>
        <v>217</v>
      </c>
      <c r="BD515" s="4" t="s">
        <v>23</v>
      </c>
      <c r="BE515" s="3" t="s">
        <v>1368</v>
      </c>
      <c r="BF515" s="118">
        <v>2.2000000000000002</v>
      </c>
      <c r="BG515" s="49" t="s">
        <v>1</v>
      </c>
      <c r="BH515" s="49" t="s">
        <v>1</v>
      </c>
      <c r="BJ515" s="70" t="s">
        <v>1281</v>
      </c>
      <c r="BK515" s="57" t="s">
        <v>1281</v>
      </c>
      <c r="BL515" s="57" t="s">
        <v>1281</v>
      </c>
      <c r="BM515" s="57" t="s">
        <v>1281</v>
      </c>
      <c r="BN515" s="57" t="s">
        <v>1281</v>
      </c>
      <c r="BO515" s="57" t="s">
        <v>1281</v>
      </c>
      <c r="BP515" s="57" t="s">
        <v>1281</v>
      </c>
      <c r="BQ515" s="57" t="s">
        <v>1281</v>
      </c>
      <c r="BR515" s="57" t="s">
        <v>1281</v>
      </c>
      <c r="BS515" s="57" t="s">
        <v>1281</v>
      </c>
      <c r="BT515" s="57" t="s">
        <v>1281</v>
      </c>
      <c r="BU515" s="57" t="s">
        <v>1281</v>
      </c>
      <c r="BV515" s="70">
        <f>E515</f>
        <v>578</v>
      </c>
      <c r="BW515" s="71">
        <f>I515</f>
        <v>607</v>
      </c>
      <c r="BX515" s="72">
        <f>M515</f>
        <v>614</v>
      </c>
      <c r="BY515" s="71" t="str">
        <f>Q515</f>
        <v>-</v>
      </c>
      <c r="BZ515" s="72">
        <f>U515</f>
        <v>640</v>
      </c>
      <c r="CA515" s="71" t="str">
        <f>Y515</f>
        <v>-</v>
      </c>
      <c r="CB515" s="72">
        <f>AC515</f>
        <v>849</v>
      </c>
      <c r="CC515" s="71">
        <f>AG515</f>
        <v>893</v>
      </c>
      <c r="CD515" s="72">
        <f>AK515</f>
        <v>896</v>
      </c>
      <c r="CE515" s="71">
        <f>AO515</f>
        <v>929</v>
      </c>
      <c r="CF515" s="72">
        <f>AS515</f>
        <v>957</v>
      </c>
      <c r="CG515" s="71">
        <f>AW515</f>
        <v>989</v>
      </c>
      <c r="CH515" s="70">
        <f>G515</f>
        <v>604</v>
      </c>
      <c r="CI515" s="71">
        <f>K515</f>
        <v>613</v>
      </c>
      <c r="CJ515" s="72">
        <f>O515</f>
        <v>636</v>
      </c>
      <c r="CK515" s="72" t="str">
        <f>S515</f>
        <v>-</v>
      </c>
      <c r="CL515" s="72">
        <f>W515</f>
        <v>678</v>
      </c>
      <c r="CM515" s="72" t="str">
        <f>AA515</f>
        <v>-</v>
      </c>
      <c r="CN515" s="72">
        <f>AE515</f>
        <v>875</v>
      </c>
      <c r="CO515" s="72">
        <f>AI515</f>
        <v>895</v>
      </c>
      <c r="CP515" s="72">
        <f>AM515</f>
        <v>921</v>
      </c>
      <c r="CQ515" s="72">
        <f>AQ515</f>
        <v>955</v>
      </c>
      <c r="CR515" s="72">
        <f>AU515</f>
        <v>988</v>
      </c>
      <c r="CS515" s="72">
        <f>AY515</f>
        <v>992</v>
      </c>
      <c r="CT515" s="23">
        <f>M515-K515</f>
        <v>1</v>
      </c>
      <c r="AMP515" s="3"/>
    </row>
    <row r="516" spans="1:1030" x14ac:dyDescent="0.2">
      <c r="A516" s="3" t="str">
        <f>CONCATENATE(B516,"_",C516)</f>
        <v>grm5_human_6N51</v>
      </c>
      <c r="B516" s="3" t="s">
        <v>41</v>
      </c>
      <c r="C516" s="3" t="s">
        <v>1546</v>
      </c>
      <c r="D516" s="3" t="str">
        <f>IFERROR(MID(VLOOKUP($B516,Seqs!$A:$B,2,0),E516,1),"")</f>
        <v>D</v>
      </c>
      <c r="E516" s="3">
        <v>577</v>
      </c>
      <c r="F516" s="3" t="str">
        <f>IFERROR(MID(VLOOKUP($B516,Seqs!$A:$B,2,0),G516,1),"")</f>
        <v>I</v>
      </c>
      <c r="G516" s="3">
        <v>602</v>
      </c>
      <c r="H516" s="3" t="str">
        <f>IFERROR(MID(VLOOKUP($B516,Seqs!$A:$B,2,0),I516,1),"")</f>
        <v>T</v>
      </c>
      <c r="I516" s="23">
        <v>607</v>
      </c>
      <c r="J516" s="3" t="str">
        <f>IFERROR(MID(VLOOKUP($B516,Seqs!$A:$B,2,0),K516,1),"")</f>
        <v>S</v>
      </c>
      <c r="K516" s="23">
        <v>613</v>
      </c>
      <c r="L516" s="3" t="str">
        <f>IFERROR(MID(VLOOKUP($B516,Seqs!$A:$B,2,0),M516,1),"")</f>
        <v>S</v>
      </c>
      <c r="M516" s="3">
        <v>614</v>
      </c>
      <c r="N516" s="3" t="str">
        <f>IFERROR(MID(VLOOKUP($B516,Seqs!$A:$B,2,0),O516,1),"")</f>
        <v>C</v>
      </c>
      <c r="O516" s="3">
        <v>634</v>
      </c>
      <c r="P516" s="3" t="str">
        <f>IFERROR(MID(VLOOKUP($B516,Seqs!$A:$B,2,0),Q516,1),"")</f>
        <v/>
      </c>
      <c r="Q516" s="3" t="s">
        <v>23</v>
      </c>
      <c r="R516" s="3" t="str">
        <f>IFERROR(MID(VLOOKUP($B516,Seqs!$A:$B,2,0),S516,1),"")</f>
        <v/>
      </c>
      <c r="S516" s="3" t="s">
        <v>23</v>
      </c>
      <c r="T516" s="3" t="str">
        <f>IFERROR(MID(VLOOKUP($B516,Seqs!$A:$B,2,0),U516,1),"")</f>
        <v>K</v>
      </c>
      <c r="U516" s="3">
        <v>640</v>
      </c>
      <c r="V516" s="3" t="str">
        <f>IFERROR(MID(VLOOKUP($B516,Seqs!$A:$B,2,0),W516,1),"")</f>
        <v>A</v>
      </c>
      <c r="W516" s="3">
        <v>674</v>
      </c>
      <c r="X516" s="3" t="str">
        <f>IFERROR(MID(VLOOKUP($B516,Seqs!$A:$B,2,0),Y516,1),"")</f>
        <v/>
      </c>
      <c r="Y516" s="3" t="s">
        <v>23</v>
      </c>
      <c r="Z516" s="3" t="str">
        <f>IFERROR(MID(VLOOKUP($B516,Seqs!$A:$B,2,0),AA516,1),"")</f>
        <v/>
      </c>
      <c r="AA516" s="3" t="s">
        <v>23</v>
      </c>
      <c r="AB516" s="3" t="str">
        <f>IFERROR(MID(VLOOKUP($B516,Seqs!$A:$B,2,0),AC516,1),"")</f>
        <v>S</v>
      </c>
      <c r="AC516" s="3">
        <v>689</v>
      </c>
      <c r="AD516" s="3" t="str">
        <f>IFERROR(MID(VLOOKUP($B516,Seqs!$A:$B,2,0),AE516,1),"")</f>
        <v>E</v>
      </c>
      <c r="AE516" s="3">
        <v>715</v>
      </c>
      <c r="AF516" s="3" t="str">
        <f>IFERROR(MID(VLOOKUP($B516,Seqs!$A:$B,2,0),AG516,1),"")</f>
        <v>C</v>
      </c>
      <c r="AG516" s="3">
        <v>733</v>
      </c>
      <c r="AH516" s="3" t="str">
        <f>IFERROR(MID(VLOOKUP($B516,Seqs!$A:$B,2,0),AI516,1),"")</f>
        <v>T</v>
      </c>
      <c r="AI516" s="3">
        <v>735</v>
      </c>
      <c r="AJ516" s="3" t="str">
        <f>IFERROR(MID(VLOOKUP($B516,Seqs!$A:$B,2,0),AK516,1),"")</f>
        <v>N</v>
      </c>
      <c r="AK516" s="3">
        <v>737</v>
      </c>
      <c r="AL516" s="3" t="str">
        <f>IFERROR(MID(VLOOKUP($B516,Seqs!$A:$B,2,0),AM516,1),"")</f>
        <v>A</v>
      </c>
      <c r="AM516" s="3">
        <v>758</v>
      </c>
      <c r="AN516" s="3" t="str">
        <f>IFERROR(MID(VLOOKUP($B516,Seqs!$A:$B,2,0),AO516,1),"")</f>
        <v>N</v>
      </c>
      <c r="AO516" s="3">
        <v>769</v>
      </c>
      <c r="AP516" s="3" t="str">
        <f>IFERROR(MID(VLOOKUP($B516,Seqs!$A:$B,2,0),AQ516,1),"")</f>
        <v>G</v>
      </c>
      <c r="AQ516" s="3">
        <v>794</v>
      </c>
      <c r="AR516" s="3" t="str">
        <f>IFERROR(MID(VLOOKUP($B516,Seqs!$A:$B,2,0),AS516,1),"")</f>
        <v>I</v>
      </c>
      <c r="AS516" s="3">
        <v>799</v>
      </c>
      <c r="AT516" s="3" t="str">
        <f>IFERROR(MID(VLOOKUP($B516,Seqs!$A:$B,2,0),AU516,1),"")</f>
        <v>L</v>
      </c>
      <c r="AU516" s="3">
        <v>826</v>
      </c>
      <c r="AV516" s="3" t="str">
        <f>IFERROR(MID(VLOOKUP($B516,Seqs!$A:$B,2,0),AW516,1),"")</f>
        <v/>
      </c>
      <c r="AW516" s="3" t="s">
        <v>23</v>
      </c>
      <c r="AX516" s="3" t="str">
        <f>IFERROR(MID(VLOOKUP($B516,Seqs!$A:$B,2,0),AY516,1),"")</f>
        <v/>
      </c>
      <c r="AY516" s="3" t="s">
        <v>23</v>
      </c>
      <c r="AZ516" s="77" t="str">
        <f>VLOOKUP(B516,Classification!A:D,2,0)</f>
        <v>C</v>
      </c>
      <c r="BA516" s="94" t="str">
        <f>VLOOKUP(B516,Classification!A:D,4,0)</f>
        <v>Metabotropicglutamate</v>
      </c>
      <c r="BB516" s="27" t="b">
        <f>AND(E516&lt;G516,OR(G516&lt;I516,I516="-"),OR(I516&lt;K516,I516="-"),OR(K516&lt;M516,K516="-"),M516&lt;O516,OR(O516&lt;Q516,Q516="-"),OR(Q516&lt;S516,Q516="-"),OR(S516&lt;U516,S516="-"),U516&lt;W516,OR(W516&lt;Y516,Y516="-"),OR(Y516&lt;AA516,Y516="-"),OR(AA516&lt;AC516,AA516="-"),AC516&lt;AE516,OR(AE516&lt;AG516,AG516="-"),OR(AG516&lt;AI516,AG516="-"),OR(AI516&lt;AK516,AI516="-"),AK516&lt;AM516,AM516&lt;AO516,AO516&lt;AQ516,AQ516&lt;AS516,AS516&lt;AU516,OR(AU516&lt;AW516,AW516="-"),OR(AW516&lt;AY516,AW516="-"))</f>
        <v>1</v>
      </c>
      <c r="BC516" s="23">
        <f>_xlfn.AGGREGATE(9,6,CH516:CS516)-_xlfn.AGGREGATE(9,6,BV516:CG516)+12</f>
        <v>198</v>
      </c>
      <c r="BD516" s="4" t="s">
        <v>23</v>
      </c>
      <c r="BE516" s="3" t="s">
        <v>1368</v>
      </c>
      <c r="BF516" s="118">
        <v>4</v>
      </c>
      <c r="BG516" s="49" t="s">
        <v>1275</v>
      </c>
      <c r="BH516" s="49" t="s">
        <v>1275</v>
      </c>
      <c r="BJ516" s="70" t="s">
        <v>1281</v>
      </c>
      <c r="BK516" s="57" t="s">
        <v>1281</v>
      </c>
      <c r="BL516" s="57" t="s">
        <v>1281</v>
      </c>
      <c r="BM516" s="57" t="s">
        <v>1281</v>
      </c>
      <c r="BN516" s="57" t="s">
        <v>1281</v>
      </c>
      <c r="BO516" s="57" t="s">
        <v>1281</v>
      </c>
      <c r="BP516" s="57" t="s">
        <v>1281</v>
      </c>
      <c r="BQ516" s="57" t="s">
        <v>1281</v>
      </c>
      <c r="BR516" s="57" t="s">
        <v>1281</v>
      </c>
      <c r="BS516" s="57" t="s">
        <v>1281</v>
      </c>
      <c r="BT516" s="57" t="s">
        <v>1281</v>
      </c>
      <c r="BU516" s="57" t="s">
        <v>1281</v>
      </c>
      <c r="BV516" s="70">
        <f>E516</f>
        <v>577</v>
      </c>
      <c r="BW516" s="71">
        <f>I516</f>
        <v>607</v>
      </c>
      <c r="BX516" s="72">
        <f>M516</f>
        <v>614</v>
      </c>
      <c r="BY516" s="71" t="str">
        <f>Q516</f>
        <v>-</v>
      </c>
      <c r="BZ516" s="72">
        <f>U516</f>
        <v>640</v>
      </c>
      <c r="CA516" s="71" t="str">
        <f>Y516</f>
        <v>-</v>
      </c>
      <c r="CB516" s="72">
        <f>AC516</f>
        <v>689</v>
      </c>
      <c r="CC516" s="71">
        <f>AG516</f>
        <v>733</v>
      </c>
      <c r="CD516" s="72">
        <f>AK516</f>
        <v>737</v>
      </c>
      <c r="CE516" s="71">
        <f>AO516</f>
        <v>769</v>
      </c>
      <c r="CF516" s="72">
        <f>AS516</f>
        <v>799</v>
      </c>
      <c r="CG516" s="71" t="str">
        <f>AW516</f>
        <v>-</v>
      </c>
      <c r="CH516" s="70">
        <f>G516</f>
        <v>602</v>
      </c>
      <c r="CI516" s="71">
        <f>K516</f>
        <v>613</v>
      </c>
      <c r="CJ516" s="72">
        <f>O516</f>
        <v>634</v>
      </c>
      <c r="CK516" s="72" t="str">
        <f>S516</f>
        <v>-</v>
      </c>
      <c r="CL516" s="72">
        <f>W516</f>
        <v>674</v>
      </c>
      <c r="CM516" s="72" t="str">
        <f>AA516</f>
        <v>-</v>
      </c>
      <c r="CN516" s="72">
        <f>AE516</f>
        <v>715</v>
      </c>
      <c r="CO516" s="72">
        <f>AI516</f>
        <v>735</v>
      </c>
      <c r="CP516" s="72">
        <f>AM516</f>
        <v>758</v>
      </c>
      <c r="CQ516" s="72">
        <f>AQ516</f>
        <v>794</v>
      </c>
      <c r="CR516" s="72">
        <f>AU516</f>
        <v>826</v>
      </c>
      <c r="CS516" s="72" t="str">
        <f>AY516</f>
        <v>-</v>
      </c>
      <c r="CT516" s="23">
        <f>M516-K516</f>
        <v>1</v>
      </c>
      <c r="AMP516" s="3"/>
    </row>
    <row r="517" spans="1:1030" x14ac:dyDescent="0.2">
      <c r="A517" s="3" t="str">
        <f>CONCATENATE(B517,"_",C517)</f>
        <v>grm5_human_6N52</v>
      </c>
      <c r="B517" s="3" t="s">
        <v>41</v>
      </c>
      <c r="C517" s="3" t="s">
        <v>1547</v>
      </c>
      <c r="D517" s="3" t="str">
        <f>IFERROR(MID(VLOOKUP($B517,Seqs!$A:$B,2,0),E517,1),"")</f>
        <v>P</v>
      </c>
      <c r="E517" s="3">
        <v>580</v>
      </c>
      <c r="F517" s="3" t="str">
        <f>IFERROR(MID(VLOOKUP($B517,Seqs!$A:$B,2,0),G517,1),"")</f>
        <v>T</v>
      </c>
      <c r="G517" s="3">
        <v>598</v>
      </c>
      <c r="H517" s="3" t="str">
        <f>IFERROR(MID(VLOOKUP($B517,Seqs!$A:$B,2,0),I517,1),"")</f>
        <v>T</v>
      </c>
      <c r="I517" s="23">
        <v>607</v>
      </c>
      <c r="J517" s="3" t="str">
        <f>IFERROR(MID(VLOOKUP($B517,Seqs!$A:$B,2,0),K517,1),"")</f>
        <v>S</v>
      </c>
      <c r="K517" s="23">
        <v>613</v>
      </c>
      <c r="L517" s="3" t="str">
        <f>IFERROR(MID(VLOOKUP($B517,Seqs!$A:$B,2,0),M517,1),"")</f>
        <v>S</v>
      </c>
      <c r="M517" s="3">
        <v>614</v>
      </c>
      <c r="N517" s="3" t="str">
        <f>IFERROR(MID(VLOOKUP($B517,Seqs!$A:$B,2,0),O517,1),"")</f>
        <v>I</v>
      </c>
      <c r="O517" s="3">
        <v>636</v>
      </c>
      <c r="P517" s="3" t="str">
        <f>IFERROR(MID(VLOOKUP($B517,Seqs!$A:$B,2,0),Q517,1),"")</f>
        <v/>
      </c>
      <c r="Q517" s="3" t="s">
        <v>23</v>
      </c>
      <c r="R517" s="3" t="str">
        <f>IFERROR(MID(VLOOKUP($B517,Seqs!$A:$B,2,0),S517,1),"")</f>
        <v/>
      </c>
      <c r="S517" s="3" t="s">
        <v>23</v>
      </c>
      <c r="T517" s="3" t="str">
        <f>IFERROR(MID(VLOOKUP($B517,Seqs!$A:$B,2,0),U517,1),"")</f>
        <v>K</v>
      </c>
      <c r="U517" s="3">
        <v>640</v>
      </c>
      <c r="V517" s="3" t="str">
        <f>IFERROR(MID(VLOOKUP($B517,Seqs!$A:$B,2,0),W517,1),"")</f>
        <v>I</v>
      </c>
      <c r="W517" s="3">
        <v>669</v>
      </c>
      <c r="X517" s="3" t="str">
        <f>IFERROR(MID(VLOOKUP($B517,Seqs!$A:$B,2,0),Y517,1),"")</f>
        <v/>
      </c>
      <c r="Y517" s="3" t="s">
        <v>23</v>
      </c>
      <c r="Z517" s="3" t="str">
        <f>IFERROR(MID(VLOOKUP($B517,Seqs!$A:$B,2,0),AA517,1),"")</f>
        <v/>
      </c>
      <c r="AA517" s="3" t="s">
        <v>23</v>
      </c>
      <c r="AB517" s="3" t="str">
        <f>IFERROR(MID(VLOOKUP($B517,Seqs!$A:$B,2,0),AC517,1),"")</f>
        <v>A</v>
      </c>
      <c r="AC517" s="3">
        <v>692</v>
      </c>
      <c r="AD517" s="3" t="str">
        <f>IFERROR(MID(VLOOKUP($B517,Seqs!$A:$B,2,0),AE517,1),"")</f>
        <v>E</v>
      </c>
      <c r="AE517" s="3">
        <v>715</v>
      </c>
      <c r="AF517" s="3" t="str">
        <f>IFERROR(MID(VLOOKUP($B517,Seqs!$A:$B,2,0),AG517,1),"")</f>
        <v>C</v>
      </c>
      <c r="AG517" s="3">
        <v>733</v>
      </c>
      <c r="AH517" s="3" t="str">
        <f>IFERROR(MID(VLOOKUP($B517,Seqs!$A:$B,2,0),AI517,1),"")</f>
        <v>T</v>
      </c>
      <c r="AI517" s="3">
        <v>735</v>
      </c>
      <c r="AJ517" s="3" t="str">
        <f>IFERROR(MID(VLOOKUP($B517,Seqs!$A:$B,2,0),AK517,1),"")</f>
        <v>T</v>
      </c>
      <c r="AK517" s="3">
        <v>736</v>
      </c>
      <c r="AL517" s="3" t="str">
        <f>IFERROR(MID(VLOOKUP($B517,Seqs!$A:$B,2,0),AM517,1),"")</f>
        <v>T</v>
      </c>
      <c r="AM517" s="3">
        <v>761</v>
      </c>
      <c r="AN517" s="3" t="str">
        <f>IFERROR(MID(VLOOKUP($B517,Seqs!$A:$B,2,0),AO517,1),"")</f>
        <v>E</v>
      </c>
      <c r="AO517" s="3">
        <v>770</v>
      </c>
      <c r="AP517" s="3" t="str">
        <f>IFERROR(MID(VLOOKUP($B517,Seqs!$A:$B,2,0),AQ517,1),"")</f>
        <v>F</v>
      </c>
      <c r="AQ517" s="3">
        <v>793</v>
      </c>
      <c r="AR517" s="3" t="str">
        <f>IFERROR(MID(VLOOKUP($B517,Seqs!$A:$B,2,0),AS517,1),"")</f>
        <v>I</v>
      </c>
      <c r="AS517" s="3">
        <v>799</v>
      </c>
      <c r="AT517" s="3" t="str">
        <f>IFERROR(MID(VLOOKUP($B517,Seqs!$A:$B,2,0),AU517,1),"")</f>
        <v>K</v>
      </c>
      <c r="AU517" s="3">
        <v>828</v>
      </c>
      <c r="AV517" s="3" t="str">
        <f>IFERROR(MID(VLOOKUP($B517,Seqs!$A:$B,2,0),AW517,1),"")</f>
        <v>P</v>
      </c>
      <c r="AW517" s="3">
        <v>829</v>
      </c>
      <c r="AX517" s="3" t="str">
        <f>IFERROR(MID(VLOOKUP($B517,Seqs!$A:$B,2,0),AY517,1),"")</f>
        <v>N</v>
      </c>
      <c r="AY517" s="3">
        <v>832</v>
      </c>
      <c r="AZ517" s="77" t="str">
        <f>VLOOKUP(B517,Classification!A:D,2,0)</f>
        <v>C</v>
      </c>
      <c r="BA517" s="94" t="str">
        <f>VLOOKUP(B517,Classification!A:D,4,0)</f>
        <v>Metabotropicglutamate</v>
      </c>
      <c r="BB517" s="27" t="b">
        <f>AND(E517&lt;G517,OR(G517&lt;I517,I517="-"),OR(I517&lt;K517,I517="-"),OR(K517&lt;M517,K517="-"),M517&lt;O517,OR(O517&lt;Q517,Q517="-"),OR(Q517&lt;S517,Q517="-"),OR(S517&lt;U517,S517="-"),U517&lt;W517,OR(W517&lt;Y517,Y517="-"),OR(Y517&lt;AA517,Y517="-"),OR(AA517&lt;AC517,AA517="-"),AC517&lt;AE517,OR(AE517&lt;AG517,AG517="-"),OR(AG517&lt;AI517,AG517="-"),OR(AI517&lt;AK517,AI517="-"),AK517&lt;AM517,AM517&lt;AO517,AO517&lt;AQ517,AQ517&lt;AS517,AS517&lt;AU517,OR(AU517&lt;AW517,AW517="-"),OR(AW517&lt;AY517,AW517="-"))</f>
        <v>1</v>
      </c>
      <c r="BC517" s="23">
        <f>_xlfn.AGGREGATE(9,6,CH517:CS517)-_xlfn.AGGREGATE(9,6,BV517:CG517)+12</f>
        <v>192</v>
      </c>
      <c r="BD517" s="4" t="s">
        <v>23</v>
      </c>
      <c r="BE517" s="3" t="s">
        <v>1368</v>
      </c>
      <c r="BF517" s="118">
        <v>4</v>
      </c>
      <c r="BG517" s="49" t="s">
        <v>1</v>
      </c>
      <c r="BH517" s="49" t="s">
        <v>1</v>
      </c>
      <c r="BJ517" s="70" t="s">
        <v>1281</v>
      </c>
      <c r="BK517" s="57" t="s">
        <v>1281</v>
      </c>
      <c r="BL517" s="57" t="s">
        <v>1281</v>
      </c>
      <c r="BM517" s="57" t="s">
        <v>1281</v>
      </c>
      <c r="BN517" s="57" t="s">
        <v>1281</v>
      </c>
      <c r="BO517" s="57" t="s">
        <v>1281</v>
      </c>
      <c r="BP517" s="57" t="s">
        <v>1281</v>
      </c>
      <c r="BQ517" s="57" t="s">
        <v>1281</v>
      </c>
      <c r="BR517" s="57" t="s">
        <v>1281</v>
      </c>
      <c r="BS517" s="57" t="s">
        <v>1281</v>
      </c>
      <c r="BT517" s="57" t="s">
        <v>1281</v>
      </c>
      <c r="BU517" s="57" t="s">
        <v>1281</v>
      </c>
      <c r="BV517" s="70">
        <f>E517</f>
        <v>580</v>
      </c>
      <c r="BW517" s="71">
        <f>I517</f>
        <v>607</v>
      </c>
      <c r="BX517" s="72">
        <f>M517</f>
        <v>614</v>
      </c>
      <c r="BY517" s="71" t="str">
        <f>Q517</f>
        <v>-</v>
      </c>
      <c r="BZ517" s="72">
        <f>U517</f>
        <v>640</v>
      </c>
      <c r="CA517" s="71" t="str">
        <f>Y517</f>
        <v>-</v>
      </c>
      <c r="CB517" s="72">
        <f>AC517</f>
        <v>692</v>
      </c>
      <c r="CC517" s="71">
        <f>AG517</f>
        <v>733</v>
      </c>
      <c r="CD517" s="72">
        <f>AK517</f>
        <v>736</v>
      </c>
      <c r="CE517" s="71">
        <f>AO517</f>
        <v>770</v>
      </c>
      <c r="CF517" s="72">
        <f>AS517</f>
        <v>799</v>
      </c>
      <c r="CG517" s="71">
        <f>AW517</f>
        <v>829</v>
      </c>
      <c r="CH517" s="70">
        <f>G517</f>
        <v>598</v>
      </c>
      <c r="CI517" s="71">
        <f>K517</f>
        <v>613</v>
      </c>
      <c r="CJ517" s="72">
        <f>O517</f>
        <v>636</v>
      </c>
      <c r="CK517" s="72" t="str">
        <f>S517</f>
        <v>-</v>
      </c>
      <c r="CL517" s="72">
        <f>W517</f>
        <v>669</v>
      </c>
      <c r="CM517" s="72" t="str">
        <f>AA517</f>
        <v>-</v>
      </c>
      <c r="CN517" s="72">
        <f>AE517</f>
        <v>715</v>
      </c>
      <c r="CO517" s="72">
        <f>AI517</f>
        <v>735</v>
      </c>
      <c r="CP517" s="72">
        <f>AM517</f>
        <v>761</v>
      </c>
      <c r="CQ517" s="72">
        <f>AQ517</f>
        <v>793</v>
      </c>
      <c r="CR517" s="72">
        <f>AU517</f>
        <v>828</v>
      </c>
      <c r="CS517" s="72">
        <f>AY517</f>
        <v>832</v>
      </c>
      <c r="CT517" s="23">
        <f>M517-K517</f>
        <v>1</v>
      </c>
      <c r="AMP517" s="3"/>
    </row>
    <row r="518" spans="1:1030" x14ac:dyDescent="0.2">
      <c r="A518" s="3" t="str">
        <f>CONCATENATE(B518,"_",C518)</f>
        <v>fzd4_human__wt</v>
      </c>
      <c r="B518" s="3" t="s">
        <v>446</v>
      </c>
      <c r="C518" s="3" t="s">
        <v>100</v>
      </c>
      <c r="D518" s="3" t="str">
        <f>IFERROR(MID(VLOOKUP($B518,Seqs!$A:$B,2,0),E518,1),"")</f>
        <v>S</v>
      </c>
      <c r="E518" s="3">
        <v>212</v>
      </c>
      <c r="F518" s="3" t="str">
        <f>IFERROR(MID(VLOOKUP($B518,Seqs!$A:$B,2,0),G518,1),"")</f>
        <v>D</v>
      </c>
      <c r="G518" s="3">
        <v>244</v>
      </c>
      <c r="H518" s="3" t="str">
        <f>IFERROR(MID(VLOOKUP($B518,Seqs!$A:$B,2,0),I518,1),"")</f>
        <v>S</v>
      </c>
      <c r="I518" s="23">
        <v>245</v>
      </c>
      <c r="J518" s="3" t="str">
        <f>IFERROR(MID(VLOOKUP($B518,Seqs!$A:$B,2,0),K518,1),"")</f>
        <v>S</v>
      </c>
      <c r="K518" s="23">
        <v>249</v>
      </c>
      <c r="L518" s="3" t="str">
        <f>IFERROR(MID(VLOOKUP($B518,Seqs!$A:$B,2,0),M518,1),"")</f>
        <v>Y</v>
      </c>
      <c r="M518" s="3">
        <v>250</v>
      </c>
      <c r="N518" s="3" t="str">
        <f>IFERROR(MID(VLOOKUP($B518,Seqs!$A:$B,2,0),O518,1),"")</f>
        <v>G</v>
      </c>
      <c r="O518" s="3">
        <v>276</v>
      </c>
      <c r="P518" s="3" t="str">
        <f>IFERROR(MID(VLOOKUP($B518,Seqs!$A:$B,2,0),Q518,1),"")</f>
        <v/>
      </c>
      <c r="Q518" s="3" t="s">
        <v>23</v>
      </c>
      <c r="R518" s="3" t="str">
        <f>IFERROR(MID(VLOOKUP($B518,Seqs!$A:$B,2,0),S518,1),"")</f>
        <v/>
      </c>
      <c r="S518" s="3" t="s">
        <v>23</v>
      </c>
      <c r="T518" s="3" t="str">
        <f>IFERROR(MID(VLOOKUP($B518,Seqs!$A:$B,2,0),U518,1),"")</f>
        <v>N</v>
      </c>
      <c r="U518" s="3">
        <v>299</v>
      </c>
      <c r="V518" s="3" t="str">
        <f>IFERROR(MID(VLOOKUP($B518,Seqs!$A:$B,2,0),W518,1),"")</f>
        <v>G</v>
      </c>
      <c r="W518" s="3">
        <v>332</v>
      </c>
      <c r="X518" s="3" t="str">
        <f>IFERROR(MID(VLOOKUP($B518,Seqs!$A:$B,2,0),Y518,1),"")</f>
        <v/>
      </c>
      <c r="Y518" s="3" t="s">
        <v>23</v>
      </c>
      <c r="Z518" s="3" t="str">
        <f>IFERROR(MID(VLOOKUP($B518,Seqs!$A:$B,2,0),AA518,1),"")</f>
        <v/>
      </c>
      <c r="AA518" s="3" t="s">
        <v>23</v>
      </c>
      <c r="AB518" s="3" t="str">
        <f>IFERROR(MID(VLOOKUP($B518,Seqs!$A:$B,2,0),AC518,1),"")</f>
        <v>H</v>
      </c>
      <c r="AC518" s="3">
        <v>343</v>
      </c>
      <c r="AD518" s="3" t="str">
        <f>IFERROR(MID(VLOOKUP($B518,Seqs!$A:$B,2,0),AE518,1),"")</f>
        <v>R</v>
      </c>
      <c r="AE518" s="3">
        <v>366</v>
      </c>
      <c r="AF518" s="3" t="str">
        <f>IFERROR(MID(VLOOKUP($B518,Seqs!$A:$B,2,0),AG518,1),"")</f>
        <v>C</v>
      </c>
      <c r="AG518" s="3">
        <v>377</v>
      </c>
      <c r="AH518" s="3" t="str">
        <f>IFERROR(MID(VLOOKUP($B518,Seqs!$A:$B,2,0),AI518,1),"")</f>
        <v>V</v>
      </c>
      <c r="AI518" s="3">
        <v>379</v>
      </c>
      <c r="AJ518" s="3" t="str">
        <f>IFERROR(MID(VLOOKUP($B518,Seqs!$A:$B,2,0),AK518,1),"")</f>
        <v>N</v>
      </c>
      <c r="AK518" s="3">
        <v>383</v>
      </c>
      <c r="AL518" s="3" t="str">
        <f>IFERROR(MID(VLOOKUP($B518,Seqs!$A:$B,2,0),AM518,1),"")</f>
        <v>L</v>
      </c>
      <c r="AM518" s="3">
        <v>420</v>
      </c>
      <c r="AN518" s="3" t="str">
        <f>IFERROR(MID(VLOOKUP($B518,Seqs!$A:$B,2,0),AO518,1),"")</f>
        <v>E</v>
      </c>
      <c r="AO518" s="3">
        <v>431</v>
      </c>
      <c r="AP518" s="3" t="str">
        <f>IFERROR(MID(VLOOKUP($B518,Seqs!$A:$B,2,0),AQ518,1),"")</f>
        <v>N</v>
      </c>
      <c r="AQ518" s="3">
        <v>461</v>
      </c>
      <c r="AR518" s="3" t="str">
        <f>IFERROR(MID(VLOOKUP($B518,Seqs!$A:$B,2,0),AS518,1),"")</f>
        <v>N</v>
      </c>
      <c r="AS518" s="3">
        <v>473</v>
      </c>
      <c r="AT518" s="3" t="str">
        <f>IFERROR(MID(VLOOKUP($B518,Seqs!$A:$B,2,0),AU518,1),"")</f>
        <v>W</v>
      </c>
      <c r="AU518" s="3">
        <v>496</v>
      </c>
      <c r="AV518" s="3" t="str">
        <f>IFERROR(MID(VLOOKUP($B518,Seqs!$A:$B,2,0),AW518,1),"")</f>
        <v>S</v>
      </c>
      <c r="AW518" s="3">
        <v>497</v>
      </c>
      <c r="AX518" s="3" t="str">
        <f>IFERROR(MID(VLOOKUP($B518,Seqs!$A:$B,2,0),AY518,1),"")</f>
        <v>V</v>
      </c>
      <c r="AY518" s="3">
        <v>512</v>
      </c>
      <c r="AZ518" s="77" t="str">
        <f>VLOOKUP(B518,Classification!A:D,2,0)</f>
        <v>F</v>
      </c>
      <c r="BA518" s="94" t="str">
        <f>VLOOKUP(B518,Classification!A:D,4,0)</f>
        <v>Frizzled</v>
      </c>
      <c r="BB518" s="27" t="b">
        <f t="shared" ref="BB518:BB519" si="5480">AND(E518&lt;G518,OR(G518&lt;I518,I518="-"),OR(I518&lt;K518,I518="-"),OR(K518&lt;M518,K518="-"),M518&lt;O518,OR(O518&lt;Q518,Q518="-"),OR(Q518&lt;S518,Q518="-"),OR(S518&lt;U518,S518="-"),U518&lt;W518,OR(W518&lt;Y518,Y518="-"),OR(Y518&lt;AA518,Y518="-"),OR(AA518&lt;AC518,AA518="-"),AC518&lt;AE518,OR(AE518&lt;AG518,AG518="-"),OR(AG518&lt;AI518,AG518="-"),OR(AI518&lt;AK518,AI518="-"),AK518&lt;AM518,AM518&lt;AO518,AO518&lt;AQ518,AQ518&lt;AS518,AS518&lt;AU518,OR(AU518&lt;AW518,AW518="-"),OR(AW518&lt;AY518,AW518="-"))</f>
        <v>1</v>
      </c>
      <c r="BC518" s="23">
        <f t="shared" ref="BC518:BC519" si="5481">_xlfn.AGGREGATE(9,6,CH518:CS518)-_xlfn.AGGREGATE(9,6,BV518:CG518)+12</f>
        <v>237</v>
      </c>
      <c r="BD518" s="4" t="s">
        <v>23</v>
      </c>
      <c r="BE518" s="3" t="s">
        <v>23</v>
      </c>
      <c r="BF518" s="118" t="s">
        <v>23</v>
      </c>
      <c r="BG518" s="49" t="s">
        <v>23</v>
      </c>
      <c r="BH518" s="49" t="s">
        <v>23</v>
      </c>
      <c r="BJ518" s="70" t="s">
        <v>1281</v>
      </c>
      <c r="BK518" s="57" t="s">
        <v>1281</v>
      </c>
      <c r="BL518" s="57" t="s">
        <v>1281</v>
      </c>
      <c r="BM518" s="57" t="s">
        <v>1281</v>
      </c>
      <c r="BN518" s="57" t="s">
        <v>1281</v>
      </c>
      <c r="BO518" s="57" t="s">
        <v>1281</v>
      </c>
      <c r="BP518" s="57" t="s">
        <v>1281</v>
      </c>
      <c r="BQ518" s="57" t="s">
        <v>1281</v>
      </c>
      <c r="BR518" s="57" t="s">
        <v>1281</v>
      </c>
      <c r="BS518" s="57" t="s">
        <v>1281</v>
      </c>
      <c r="BT518" s="57" t="s">
        <v>1281</v>
      </c>
      <c r="BU518" s="57" t="s">
        <v>1281</v>
      </c>
      <c r="BV518" s="70">
        <f t="shared" ref="BV518:BV519" si="5482">E518</f>
        <v>212</v>
      </c>
      <c r="BW518" s="71">
        <f t="shared" ref="BW518:BW519" si="5483">I518</f>
        <v>245</v>
      </c>
      <c r="BX518" s="72">
        <f t="shared" ref="BX518:BX519" si="5484">M518</f>
        <v>250</v>
      </c>
      <c r="BY518" s="71" t="str">
        <f t="shared" ref="BY518:BY519" si="5485">Q518</f>
        <v>-</v>
      </c>
      <c r="BZ518" s="72">
        <f t="shared" ref="BZ518:BZ519" si="5486">U518</f>
        <v>299</v>
      </c>
      <c r="CA518" s="71" t="str">
        <f t="shared" ref="CA518:CA519" si="5487">Y518</f>
        <v>-</v>
      </c>
      <c r="CB518" s="72">
        <f t="shared" ref="CB518:CB519" si="5488">AC518</f>
        <v>343</v>
      </c>
      <c r="CC518" s="71">
        <f t="shared" ref="CC518:CC519" si="5489">AG518</f>
        <v>377</v>
      </c>
      <c r="CD518" s="72">
        <f t="shared" ref="CD518:CD519" si="5490">AK518</f>
        <v>383</v>
      </c>
      <c r="CE518" s="71">
        <f t="shared" ref="CE518:CE519" si="5491">AO518</f>
        <v>431</v>
      </c>
      <c r="CF518" s="72">
        <f t="shared" ref="CF518:CF519" si="5492">AS518</f>
        <v>473</v>
      </c>
      <c r="CG518" s="71">
        <f t="shared" ref="CG518:CG519" si="5493">AW518</f>
        <v>497</v>
      </c>
      <c r="CH518" s="70">
        <f t="shared" ref="CH518:CH519" si="5494">G518</f>
        <v>244</v>
      </c>
      <c r="CI518" s="71">
        <f t="shared" ref="CI518:CI519" si="5495">K518</f>
        <v>249</v>
      </c>
      <c r="CJ518" s="72">
        <f t="shared" ref="CJ518:CJ519" si="5496">O518</f>
        <v>276</v>
      </c>
      <c r="CK518" s="72" t="str">
        <f t="shared" ref="CK518:CK519" si="5497">S518</f>
        <v>-</v>
      </c>
      <c r="CL518" s="72">
        <f t="shared" ref="CL518:CL519" si="5498">W518</f>
        <v>332</v>
      </c>
      <c r="CM518" s="72" t="str">
        <f t="shared" ref="CM518:CM519" si="5499">AA518</f>
        <v>-</v>
      </c>
      <c r="CN518" s="72">
        <f t="shared" ref="CN518:CN519" si="5500">AE518</f>
        <v>366</v>
      </c>
      <c r="CO518" s="72">
        <f t="shared" ref="CO518:CO519" si="5501">AI518</f>
        <v>379</v>
      </c>
      <c r="CP518" s="72">
        <f t="shared" ref="CP518:CP519" si="5502">AM518</f>
        <v>420</v>
      </c>
      <c r="CQ518" s="72">
        <f t="shared" ref="CQ518:CQ519" si="5503">AQ518</f>
        <v>461</v>
      </c>
      <c r="CR518" s="72">
        <f t="shared" ref="CR518:CR519" si="5504">AU518</f>
        <v>496</v>
      </c>
      <c r="CS518" s="72">
        <f t="shared" ref="CS518:CS519" si="5505">AY518</f>
        <v>512</v>
      </c>
      <c r="CT518" s="23">
        <f t="shared" ref="CT518:CT519" si="5506">M518-K518</f>
        <v>1</v>
      </c>
      <c r="AMP518" s="3"/>
    </row>
    <row r="519" spans="1:1030" x14ac:dyDescent="0.2">
      <c r="A519" s="3" t="str">
        <f t="shared" ref="A519" si="5507">CONCATENATE(B519,"_",C519)</f>
        <v>fzd4_human_6BD4</v>
      </c>
      <c r="B519" s="3" t="s">
        <v>446</v>
      </c>
      <c r="C519" s="3" t="s">
        <v>1548</v>
      </c>
      <c r="D519" s="3" t="str">
        <f>IFERROR(MID(VLOOKUP($B519,Seqs!$A:$B,2,0),E519,1),"")</f>
        <v>S</v>
      </c>
      <c r="E519" s="3">
        <v>212</v>
      </c>
      <c r="F519" s="3" t="str">
        <f>IFERROR(MID(VLOOKUP($B519,Seqs!$A:$B,2,0),G519,1),"")</f>
        <v>D</v>
      </c>
      <c r="G519" s="3">
        <v>244</v>
      </c>
      <c r="H519" s="3" t="str">
        <f>IFERROR(MID(VLOOKUP($B519,Seqs!$A:$B,2,0),I519,1),"")</f>
        <v>S</v>
      </c>
      <c r="I519" s="23">
        <v>245</v>
      </c>
      <c r="J519" s="3" t="str">
        <f>IFERROR(MID(VLOOKUP($B519,Seqs!$A:$B,2,0),K519,1),"")</f>
        <v>S</v>
      </c>
      <c r="K519" s="23">
        <v>249</v>
      </c>
      <c r="L519" s="3" t="str">
        <f>IFERROR(MID(VLOOKUP($B519,Seqs!$A:$B,2,0),M519,1),"")</f>
        <v>Y</v>
      </c>
      <c r="M519" s="3">
        <v>250</v>
      </c>
      <c r="N519" s="3" t="str">
        <f>IFERROR(MID(VLOOKUP($B519,Seqs!$A:$B,2,0),O519,1),"")</f>
        <v>G</v>
      </c>
      <c r="O519" s="3">
        <v>276</v>
      </c>
      <c r="P519" s="3" t="str">
        <f>IFERROR(MID(VLOOKUP($B519,Seqs!$A:$B,2,0),Q519,1),"")</f>
        <v/>
      </c>
      <c r="Q519" s="3" t="s">
        <v>23</v>
      </c>
      <c r="R519" s="3" t="str">
        <f>IFERROR(MID(VLOOKUP($B519,Seqs!$A:$B,2,0),S519,1),"")</f>
        <v/>
      </c>
      <c r="S519" s="3" t="s">
        <v>23</v>
      </c>
      <c r="T519" s="3" t="str">
        <f>IFERROR(MID(VLOOKUP($B519,Seqs!$A:$B,2,0),U519,1),"")</f>
        <v>N</v>
      </c>
      <c r="U519" s="3">
        <v>299</v>
      </c>
      <c r="V519" s="3" t="str">
        <f>IFERROR(MID(VLOOKUP($B519,Seqs!$A:$B,2,0),W519,1),"")</f>
        <v>G</v>
      </c>
      <c r="W519" s="3">
        <v>332</v>
      </c>
      <c r="X519" s="3" t="str">
        <f>IFERROR(MID(VLOOKUP($B519,Seqs!$A:$B,2,0),Y519,1),"")</f>
        <v/>
      </c>
      <c r="Y519" s="3" t="s">
        <v>23</v>
      </c>
      <c r="Z519" s="3" t="str">
        <f>IFERROR(MID(VLOOKUP($B519,Seqs!$A:$B,2,0),AA519,1),"")</f>
        <v/>
      </c>
      <c r="AA519" s="3" t="s">
        <v>23</v>
      </c>
      <c r="AB519" s="3" t="str">
        <f>IFERROR(MID(VLOOKUP($B519,Seqs!$A:$B,2,0),AC519,1),"")</f>
        <v>H</v>
      </c>
      <c r="AC519" s="3">
        <v>343</v>
      </c>
      <c r="AD519" s="3" t="str">
        <f>IFERROR(MID(VLOOKUP($B519,Seqs!$A:$B,2,0),AE519,1),"")</f>
        <v>R</v>
      </c>
      <c r="AE519" s="3">
        <v>366</v>
      </c>
      <c r="AF519" s="3" t="str">
        <f>IFERROR(MID(VLOOKUP($B519,Seqs!$A:$B,2,0),AG519,1),"")</f>
        <v>C</v>
      </c>
      <c r="AG519" s="3">
        <v>377</v>
      </c>
      <c r="AH519" s="3" t="str">
        <f>IFERROR(MID(VLOOKUP($B519,Seqs!$A:$B,2,0),AI519,1),"")</f>
        <v>V</v>
      </c>
      <c r="AI519" s="3">
        <v>379</v>
      </c>
      <c r="AJ519" s="3" t="str">
        <f>IFERROR(MID(VLOOKUP($B519,Seqs!$A:$B,2,0),AK519,1),"")</f>
        <v>N</v>
      </c>
      <c r="AK519" s="3">
        <v>383</v>
      </c>
      <c r="AL519" s="3" t="str">
        <f>IFERROR(MID(VLOOKUP($B519,Seqs!$A:$B,2,0),AM519,1),"")</f>
        <v>S</v>
      </c>
      <c r="AM519" s="3">
        <v>418</v>
      </c>
      <c r="AN519" s="3" t="str">
        <f>IFERROR(MID(VLOOKUP($B519,Seqs!$A:$B,2,0),AO519,1),"")</f>
        <v>E</v>
      </c>
      <c r="AO519" s="3">
        <v>431</v>
      </c>
      <c r="AP519" s="3" t="str">
        <f>IFERROR(MID(VLOOKUP($B519,Seqs!$A:$B,2,0),AQ519,1),"")</f>
        <v>N</v>
      </c>
      <c r="AQ519" s="3">
        <v>461</v>
      </c>
      <c r="AR519" s="3" t="str">
        <f>IFERROR(MID(VLOOKUP($B519,Seqs!$A:$B,2,0),AS519,1),"")</f>
        <v>N</v>
      </c>
      <c r="AS519" s="3">
        <v>473</v>
      </c>
      <c r="AT519" s="3" t="str">
        <f>IFERROR(MID(VLOOKUP($B519,Seqs!$A:$B,2,0),AU519,1),"")</f>
        <v>W</v>
      </c>
      <c r="AU519" s="3">
        <v>496</v>
      </c>
      <c r="AV519" s="3" t="str">
        <f>IFERROR(MID(VLOOKUP($B519,Seqs!$A:$B,2,0),AW519,1),"")</f>
        <v>S</v>
      </c>
      <c r="AW519" s="3">
        <v>497</v>
      </c>
      <c r="AX519" s="3" t="str">
        <f>IFERROR(MID(VLOOKUP($B519,Seqs!$A:$B,2,0),AY519,1),"")</f>
        <v>V</v>
      </c>
      <c r="AY519" s="3">
        <v>512</v>
      </c>
      <c r="AZ519" s="77" t="str">
        <f>VLOOKUP(B519,Classification!A:D,2,0)</f>
        <v>F</v>
      </c>
      <c r="BA519" s="94" t="str">
        <f>VLOOKUP(B519,Classification!A:D,4,0)</f>
        <v>Frizzled</v>
      </c>
      <c r="BB519" s="27" t="b">
        <f t="shared" si="5480"/>
        <v>1</v>
      </c>
      <c r="BC519" s="23">
        <f t="shared" si="5481"/>
        <v>235</v>
      </c>
      <c r="BD519" s="4" t="s">
        <v>1370</v>
      </c>
      <c r="BE519" s="3" t="s">
        <v>1368</v>
      </c>
      <c r="BF519" s="118">
        <v>2.4</v>
      </c>
      <c r="BG519" s="49" t="s">
        <v>1</v>
      </c>
      <c r="BH519" s="49" t="s">
        <v>1</v>
      </c>
      <c r="BJ519" s="70" t="s">
        <v>1281</v>
      </c>
      <c r="BK519" s="57" t="s">
        <v>1281</v>
      </c>
      <c r="BL519" s="57" t="s">
        <v>1281</v>
      </c>
      <c r="BM519" s="57" t="s">
        <v>1281</v>
      </c>
      <c r="BN519" s="57" t="s">
        <v>1281</v>
      </c>
      <c r="BO519" s="57" t="s">
        <v>1281</v>
      </c>
      <c r="BP519" s="57" t="s">
        <v>1281</v>
      </c>
      <c r="BQ519" s="57" t="s">
        <v>1281</v>
      </c>
      <c r="BR519" s="57" t="s">
        <v>1281</v>
      </c>
      <c r="BS519" s="57" t="s">
        <v>1281</v>
      </c>
      <c r="BT519" s="57" t="s">
        <v>1281</v>
      </c>
      <c r="BU519" s="57" t="s">
        <v>1281</v>
      </c>
      <c r="BV519" s="70">
        <f t="shared" si="5482"/>
        <v>212</v>
      </c>
      <c r="BW519" s="71">
        <f t="shared" si="5483"/>
        <v>245</v>
      </c>
      <c r="BX519" s="72">
        <f t="shared" si="5484"/>
        <v>250</v>
      </c>
      <c r="BY519" s="71" t="str">
        <f t="shared" si="5485"/>
        <v>-</v>
      </c>
      <c r="BZ519" s="72">
        <f t="shared" si="5486"/>
        <v>299</v>
      </c>
      <c r="CA519" s="71" t="str">
        <f t="shared" si="5487"/>
        <v>-</v>
      </c>
      <c r="CB519" s="72">
        <f t="shared" si="5488"/>
        <v>343</v>
      </c>
      <c r="CC519" s="71">
        <f t="shared" si="5489"/>
        <v>377</v>
      </c>
      <c r="CD519" s="72">
        <f t="shared" si="5490"/>
        <v>383</v>
      </c>
      <c r="CE519" s="71">
        <f t="shared" si="5491"/>
        <v>431</v>
      </c>
      <c r="CF519" s="72">
        <f t="shared" si="5492"/>
        <v>473</v>
      </c>
      <c r="CG519" s="71">
        <f t="shared" si="5493"/>
        <v>497</v>
      </c>
      <c r="CH519" s="70">
        <f t="shared" si="5494"/>
        <v>244</v>
      </c>
      <c r="CI519" s="71">
        <f t="shared" si="5495"/>
        <v>249</v>
      </c>
      <c r="CJ519" s="72">
        <f t="shared" si="5496"/>
        <v>276</v>
      </c>
      <c r="CK519" s="72" t="str">
        <f t="shared" si="5497"/>
        <v>-</v>
      </c>
      <c r="CL519" s="72">
        <f t="shared" si="5498"/>
        <v>332</v>
      </c>
      <c r="CM519" s="72" t="str">
        <f t="shared" si="5499"/>
        <v>-</v>
      </c>
      <c r="CN519" s="72">
        <f t="shared" si="5500"/>
        <v>366</v>
      </c>
      <c r="CO519" s="72">
        <f t="shared" si="5501"/>
        <v>379</v>
      </c>
      <c r="CP519" s="72">
        <f t="shared" si="5502"/>
        <v>418</v>
      </c>
      <c r="CQ519" s="72">
        <f t="shared" si="5503"/>
        <v>461</v>
      </c>
      <c r="CR519" s="72">
        <f t="shared" si="5504"/>
        <v>496</v>
      </c>
      <c r="CS519" s="72">
        <f t="shared" si="5505"/>
        <v>512</v>
      </c>
      <c r="CT519" s="23">
        <f t="shared" si="5506"/>
        <v>1</v>
      </c>
      <c r="AMP519" s="3"/>
    </row>
    <row r="520" spans="1:1030" s="12" customFormat="1" x14ac:dyDescent="0.2">
      <c r="A520" s="9" t="str">
        <f t="shared" ref="A520:A521" si="5508">CONCATENATE(B520,"_",C520)</f>
        <v>fzd5_human__wt</v>
      </c>
      <c r="B520" s="9" t="s">
        <v>447</v>
      </c>
      <c r="C520" s="9" t="s">
        <v>100</v>
      </c>
      <c r="D520" s="9" t="str">
        <f>IFERROR(MID(VLOOKUP($B520,Seqs!$A:$B,2,0),E520,1),"")</f>
        <v>S</v>
      </c>
      <c r="E520" s="9">
        <v>228</v>
      </c>
      <c r="F520" s="9" t="str">
        <f>IFERROR(MID(VLOOKUP($B520,Seqs!$A:$B,2,0),G520,1),"")</f>
        <v>D</v>
      </c>
      <c r="G520" s="9">
        <v>260</v>
      </c>
      <c r="H520" s="9" t="str">
        <f>IFERROR(MID(VLOOKUP($B520,Seqs!$A:$B,2,0),I520,1),"")</f>
        <v>M</v>
      </c>
      <c r="I520" s="109">
        <v>261</v>
      </c>
      <c r="J520" s="9" t="str">
        <f>IFERROR(MID(VLOOKUP($B520,Seqs!$A:$B,2,0),K520,1),"")</f>
        <v>R</v>
      </c>
      <c r="K520" s="109">
        <v>265</v>
      </c>
      <c r="L520" s="9" t="str">
        <f>IFERROR(MID(VLOOKUP($B520,Seqs!$A:$B,2,0),M520,1),"")</f>
        <v>Y</v>
      </c>
      <c r="M520" s="9">
        <v>266</v>
      </c>
      <c r="N520" s="9" t="str">
        <f>IFERROR(MID(VLOOKUP($B520,Seqs!$A:$B,2,0),O520,1),"")</f>
        <v>G</v>
      </c>
      <c r="O520" s="9">
        <v>292</v>
      </c>
      <c r="P520" s="9" t="str">
        <f>IFERROR(MID(VLOOKUP($B520,Seqs!$A:$B,2,0),Q520,1),"")</f>
        <v/>
      </c>
      <c r="Q520" s="9" t="s">
        <v>23</v>
      </c>
      <c r="R520" s="9" t="str">
        <f>IFERROR(MID(VLOOKUP($B520,Seqs!$A:$B,2,0),S520,1),"")</f>
        <v/>
      </c>
      <c r="S520" s="9" t="s">
        <v>23</v>
      </c>
      <c r="T520" s="9" t="str">
        <f>IFERROR(MID(VLOOKUP($B520,Seqs!$A:$B,2,0),U520,1),"")</f>
        <v>L</v>
      </c>
      <c r="U520" s="9">
        <v>314</v>
      </c>
      <c r="V520" s="9" t="str">
        <f>IFERROR(MID(VLOOKUP($B520,Seqs!$A:$B,2,0),W520,1),"")</f>
        <v>K</v>
      </c>
      <c r="W520" s="9">
        <v>347</v>
      </c>
      <c r="X520" s="9" t="str">
        <f>IFERROR(MID(VLOOKUP($B520,Seqs!$A:$B,2,0),Y520,1),"")</f>
        <v/>
      </c>
      <c r="Y520" s="9" t="s">
        <v>23</v>
      </c>
      <c r="Z520" s="9" t="str">
        <f>IFERROR(MID(VLOOKUP($B520,Seqs!$A:$B,2,0),AA520,1),"")</f>
        <v/>
      </c>
      <c r="AA520" s="9" t="s">
        <v>23</v>
      </c>
      <c r="AB520" s="9" t="str">
        <f>IFERROR(MID(VLOOKUP($B520,Seqs!$A:$B,2,0),AC520,1),"")</f>
        <v>G</v>
      </c>
      <c r="AC520" s="9">
        <v>349</v>
      </c>
      <c r="AD520" s="9" t="str">
        <f>IFERROR(MID(VLOOKUP($B520,Seqs!$A:$B,2,0),AE520,1),"")</f>
        <v>S</v>
      </c>
      <c r="AE520" s="9">
        <v>379</v>
      </c>
      <c r="AF520" s="9" t="str">
        <f>IFERROR(MID(VLOOKUP($B520,Seqs!$A:$B,2,0),AG520,1),"")</f>
        <v>C</v>
      </c>
      <c r="AG520" s="9">
        <v>390</v>
      </c>
      <c r="AH520" s="9" t="str">
        <f>IFERROR(MID(VLOOKUP($B520,Seqs!$A:$B,2,0),AI520,1),"")</f>
        <v>V</v>
      </c>
      <c r="AI520" s="9">
        <v>392</v>
      </c>
      <c r="AJ520" s="9" t="str">
        <f>IFERROR(MID(VLOOKUP($B520,Seqs!$A:$B,2,0),AK520,1),"")</f>
        <v>N</v>
      </c>
      <c r="AK520" s="9">
        <v>396</v>
      </c>
      <c r="AL520" s="9" t="str">
        <f>IFERROR(MID(VLOOKUP($B520,Seqs!$A:$B,2,0),AM520,1),"")</f>
        <v>I</v>
      </c>
      <c r="AM520" s="9">
        <v>433</v>
      </c>
      <c r="AN520" s="9" t="str">
        <f>IFERROR(MID(VLOOKUP($B520,Seqs!$A:$B,2,0),AO520,1),"")</f>
        <v>E</v>
      </c>
      <c r="AO520" s="9">
        <v>444</v>
      </c>
      <c r="AP520" s="9" t="str">
        <f>IFERROR(MID(VLOOKUP($B520,Seqs!$A:$B,2,0),AQ520,1),"")</f>
        <v>E</v>
      </c>
      <c r="AQ520" s="9">
        <v>479</v>
      </c>
      <c r="AR520" s="9" t="str">
        <f>IFERROR(MID(VLOOKUP($B520,Seqs!$A:$B,2,0),AS520,1),"")</f>
        <v>E</v>
      </c>
      <c r="AS520" s="9">
        <v>499</v>
      </c>
      <c r="AT520" s="9" t="str">
        <f>IFERROR(MID(VLOOKUP($B520,Seqs!$A:$B,2,0),AU520,1),"")</f>
        <v>W</v>
      </c>
      <c r="AU520" s="9">
        <v>522</v>
      </c>
      <c r="AV520" s="9" t="str">
        <f>IFERROR(MID(VLOOKUP($B520,Seqs!$A:$B,2,0),AW520,1),"")</f>
        <v>S</v>
      </c>
      <c r="AW520" s="9">
        <v>523</v>
      </c>
      <c r="AX520" s="9" t="str">
        <f>IFERROR(MID(VLOOKUP($B520,Seqs!$A:$B,2,0),AY520,1),"")</f>
        <v>C</v>
      </c>
      <c r="AY520" s="9">
        <v>538</v>
      </c>
      <c r="AZ520" s="110" t="str">
        <f>VLOOKUP(B520,Classification!A:D,2,0)</f>
        <v>F</v>
      </c>
      <c r="BA520" s="98" t="str">
        <f>VLOOKUP(B520,Classification!A:D,4,0)</f>
        <v>Frizzled</v>
      </c>
      <c r="BB520" s="36" t="b">
        <f t="shared" ref="BB520:BB521" si="5509">AND(E520&lt;G520,OR(G520&lt;I520,I520="-"),OR(I520&lt;K520,I520="-"),OR(K520&lt;M520,K520="-"),M520&lt;O520,OR(O520&lt;Q520,Q520="-"),OR(Q520&lt;S520,Q520="-"),OR(S520&lt;U520,S520="-"),U520&lt;W520,OR(W520&lt;Y520,Y520="-"),OR(Y520&lt;AA520,Y520="-"),OR(AA520&lt;AC520,AA520="-"),AC520&lt;AE520,OR(AE520&lt;AG520,AG520="-"),OR(AG520&lt;AI520,AG520="-"),OR(AI520&lt;AK520,AI520="-"),AK520&lt;AM520,AM520&lt;AO520,AO520&lt;AQ520,AQ520&lt;AS520,AS520&lt;AU520,OR(AU520&lt;AW520,AW520="-"),OR(AW520&lt;AY520,AW520="-"))</f>
        <v>1</v>
      </c>
      <c r="BC520" s="109">
        <f t="shared" ref="BC520:BC521" si="5510">_xlfn.AGGREGATE(9,6,CH520:CS520)-_xlfn.AGGREGATE(9,6,BV520:CG520)+12</f>
        <v>249</v>
      </c>
      <c r="BD520" s="11" t="s">
        <v>23</v>
      </c>
      <c r="BE520" s="9" t="s">
        <v>23</v>
      </c>
      <c r="BF520" s="119" t="s">
        <v>23</v>
      </c>
      <c r="BG520" s="51" t="s">
        <v>23</v>
      </c>
      <c r="BH520" s="51" t="s">
        <v>23</v>
      </c>
      <c r="BI520" s="9"/>
      <c r="BJ520" s="111" t="s">
        <v>1281</v>
      </c>
      <c r="BK520" s="112" t="s">
        <v>1281</v>
      </c>
      <c r="BL520" s="112" t="s">
        <v>1281</v>
      </c>
      <c r="BM520" s="112" t="s">
        <v>1281</v>
      </c>
      <c r="BN520" s="112" t="s">
        <v>1281</v>
      </c>
      <c r="BO520" s="112" t="s">
        <v>1281</v>
      </c>
      <c r="BP520" s="112" t="s">
        <v>1281</v>
      </c>
      <c r="BQ520" s="112" t="s">
        <v>1281</v>
      </c>
      <c r="BR520" s="112" t="s">
        <v>1281</v>
      </c>
      <c r="BS520" s="112" t="s">
        <v>1281</v>
      </c>
      <c r="BT520" s="112" t="s">
        <v>1281</v>
      </c>
      <c r="BU520" s="112" t="s">
        <v>1281</v>
      </c>
      <c r="BV520" s="111">
        <f t="shared" ref="BV520:BV521" si="5511">E520</f>
        <v>228</v>
      </c>
      <c r="BW520" s="113">
        <f t="shared" ref="BW520:BW521" si="5512">I520</f>
        <v>261</v>
      </c>
      <c r="BX520" s="114">
        <f t="shared" ref="BX520:BX521" si="5513">M520</f>
        <v>266</v>
      </c>
      <c r="BY520" s="113" t="str">
        <f t="shared" ref="BY520:BY521" si="5514">Q520</f>
        <v>-</v>
      </c>
      <c r="BZ520" s="114">
        <f t="shared" ref="BZ520:BZ521" si="5515">U520</f>
        <v>314</v>
      </c>
      <c r="CA520" s="113" t="str">
        <f t="shared" ref="CA520:CA521" si="5516">Y520</f>
        <v>-</v>
      </c>
      <c r="CB520" s="114">
        <f t="shared" ref="CB520:CB521" si="5517">AC520</f>
        <v>349</v>
      </c>
      <c r="CC520" s="113">
        <f t="shared" ref="CC520:CC521" si="5518">AG520</f>
        <v>390</v>
      </c>
      <c r="CD520" s="114">
        <f t="shared" ref="CD520:CD521" si="5519">AK520</f>
        <v>396</v>
      </c>
      <c r="CE520" s="113">
        <f t="shared" ref="CE520:CE521" si="5520">AO520</f>
        <v>444</v>
      </c>
      <c r="CF520" s="114">
        <f t="shared" ref="CF520:CF521" si="5521">AS520</f>
        <v>499</v>
      </c>
      <c r="CG520" s="113">
        <f t="shared" ref="CG520:CG521" si="5522">AW520</f>
        <v>523</v>
      </c>
      <c r="CH520" s="111">
        <f t="shared" ref="CH520:CH521" si="5523">G520</f>
        <v>260</v>
      </c>
      <c r="CI520" s="113">
        <f t="shared" ref="CI520:CI521" si="5524">K520</f>
        <v>265</v>
      </c>
      <c r="CJ520" s="114">
        <f t="shared" ref="CJ520:CJ521" si="5525">O520</f>
        <v>292</v>
      </c>
      <c r="CK520" s="114" t="str">
        <f t="shared" ref="CK520:CK521" si="5526">S520</f>
        <v>-</v>
      </c>
      <c r="CL520" s="114">
        <f t="shared" ref="CL520:CL521" si="5527">W520</f>
        <v>347</v>
      </c>
      <c r="CM520" s="114" t="str">
        <f t="shared" ref="CM520:CM521" si="5528">AA520</f>
        <v>-</v>
      </c>
      <c r="CN520" s="114">
        <f t="shared" ref="CN520:CN521" si="5529">AE520</f>
        <v>379</v>
      </c>
      <c r="CO520" s="114">
        <f t="shared" ref="CO520:CO521" si="5530">AI520</f>
        <v>392</v>
      </c>
      <c r="CP520" s="114">
        <f t="shared" ref="CP520:CP521" si="5531">AM520</f>
        <v>433</v>
      </c>
      <c r="CQ520" s="114">
        <f t="shared" ref="CQ520:CQ521" si="5532">AQ520</f>
        <v>479</v>
      </c>
      <c r="CR520" s="114">
        <f t="shared" ref="CR520:CR521" si="5533">AU520</f>
        <v>522</v>
      </c>
      <c r="CS520" s="114">
        <f t="shared" ref="CS520:CS521" si="5534">AY520</f>
        <v>538</v>
      </c>
      <c r="CT520" s="109">
        <f t="shared" ref="CT520:CT521" si="5535">M520-K520</f>
        <v>1</v>
      </c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9"/>
      <c r="IA520" s="9"/>
      <c r="IB520" s="9"/>
      <c r="IC520" s="9"/>
      <c r="ID520" s="9"/>
      <c r="IE520" s="9"/>
      <c r="IF520" s="9"/>
      <c r="IG520" s="9"/>
      <c r="IH520" s="9"/>
      <c r="II520" s="9"/>
      <c r="IJ520" s="9"/>
      <c r="IK520" s="9"/>
      <c r="IL520" s="9"/>
      <c r="IM520" s="9"/>
      <c r="IN520" s="9"/>
      <c r="IO520" s="9"/>
      <c r="IP520" s="9"/>
      <c r="IQ520" s="9"/>
      <c r="IR520" s="9"/>
      <c r="IS520" s="9"/>
      <c r="IT520" s="9"/>
      <c r="IU520" s="9"/>
      <c r="IV520" s="9"/>
      <c r="IW520" s="9"/>
      <c r="IX520" s="9"/>
      <c r="IY520" s="9"/>
      <c r="IZ520" s="9"/>
      <c r="JA520" s="9"/>
      <c r="JB520" s="9"/>
      <c r="JC520" s="9"/>
      <c r="JD520" s="9"/>
      <c r="JE520" s="9"/>
      <c r="JF520" s="9"/>
      <c r="JG520" s="9"/>
      <c r="JH520" s="9"/>
      <c r="JI520" s="9"/>
      <c r="JJ520" s="9"/>
      <c r="JK520" s="9"/>
      <c r="JL520" s="9"/>
      <c r="JM520" s="9"/>
      <c r="JN520" s="9"/>
      <c r="JO520" s="9"/>
      <c r="JP520" s="9"/>
      <c r="JQ520" s="9"/>
      <c r="JR520" s="9"/>
      <c r="JS520" s="9"/>
      <c r="JT520" s="9"/>
      <c r="JU520" s="9"/>
      <c r="JV520" s="9"/>
      <c r="JW520" s="9"/>
      <c r="JX520" s="9"/>
      <c r="JY520" s="9"/>
      <c r="JZ520" s="9"/>
      <c r="KA520" s="9"/>
      <c r="KB520" s="9"/>
      <c r="KC520" s="9"/>
      <c r="KD520" s="9"/>
      <c r="KE520" s="9"/>
      <c r="KF520" s="9"/>
      <c r="KG520" s="9"/>
      <c r="KH520" s="9"/>
      <c r="KI520" s="9"/>
      <c r="KJ520" s="9"/>
      <c r="KK520" s="9"/>
      <c r="KL520" s="9"/>
      <c r="KM520" s="9"/>
      <c r="KN520" s="9"/>
      <c r="KO520" s="9"/>
      <c r="KP520" s="9"/>
      <c r="KQ520" s="9"/>
      <c r="KR520" s="9"/>
      <c r="KS520" s="9"/>
      <c r="KT520" s="9"/>
      <c r="KU520" s="9"/>
      <c r="KV520" s="9"/>
      <c r="KW520" s="9"/>
      <c r="KX520" s="9"/>
      <c r="KY520" s="9"/>
      <c r="KZ520" s="9"/>
      <c r="LA520" s="9"/>
      <c r="LB520" s="9"/>
      <c r="LC520" s="9"/>
      <c r="LD520" s="9"/>
      <c r="LE520" s="9"/>
      <c r="LF520" s="9"/>
      <c r="LG520" s="9"/>
      <c r="LH520" s="9"/>
      <c r="LI520" s="9"/>
      <c r="LJ520" s="9"/>
      <c r="LK520" s="9"/>
      <c r="LL520" s="9"/>
      <c r="LM520" s="9"/>
      <c r="LN520" s="9"/>
      <c r="LO520" s="9"/>
      <c r="LP520" s="9"/>
      <c r="LQ520" s="9"/>
      <c r="LR520" s="9"/>
      <c r="LS520" s="9"/>
      <c r="LT520" s="9"/>
      <c r="LU520" s="9"/>
      <c r="LV520" s="9"/>
      <c r="LW520" s="9"/>
      <c r="LX520" s="9"/>
      <c r="LY520" s="9"/>
      <c r="LZ520" s="9"/>
      <c r="MA520" s="9"/>
      <c r="MB520" s="9"/>
      <c r="MC520" s="9"/>
      <c r="MD520" s="9"/>
      <c r="ME520" s="9"/>
      <c r="MF520" s="9"/>
      <c r="MG520" s="9"/>
      <c r="MH520" s="9"/>
      <c r="MI520" s="9"/>
      <c r="MJ520" s="9"/>
      <c r="MK520" s="9"/>
      <c r="ML520" s="9"/>
      <c r="MM520" s="9"/>
      <c r="MN520" s="9"/>
      <c r="MO520" s="9"/>
      <c r="MP520" s="9"/>
      <c r="MQ520" s="9"/>
      <c r="MR520" s="9"/>
      <c r="MS520" s="9"/>
      <c r="MT520" s="9"/>
      <c r="MU520" s="9"/>
      <c r="MV520" s="9"/>
      <c r="MW520" s="9"/>
      <c r="MX520" s="9"/>
      <c r="MY520" s="9"/>
      <c r="MZ520" s="9"/>
      <c r="NA520" s="9"/>
      <c r="NB520" s="9"/>
      <c r="NC520" s="9"/>
      <c r="ND520" s="9"/>
      <c r="NE520" s="9"/>
      <c r="NF520" s="9"/>
      <c r="NG520" s="9"/>
      <c r="NH520" s="9"/>
      <c r="NI520" s="9"/>
      <c r="NJ520" s="9"/>
      <c r="NK520" s="9"/>
      <c r="NL520" s="9"/>
      <c r="NM520" s="9"/>
      <c r="NN520" s="9"/>
      <c r="NO520" s="9"/>
      <c r="NP520" s="9"/>
      <c r="NQ520" s="9"/>
      <c r="NR520" s="9"/>
      <c r="NS520" s="9"/>
      <c r="NT520" s="9"/>
      <c r="NU520" s="9"/>
      <c r="NV520" s="9"/>
      <c r="NW520" s="9"/>
      <c r="NX520" s="9"/>
      <c r="NY520" s="9"/>
      <c r="NZ520" s="9"/>
      <c r="OA520" s="9"/>
      <c r="OB520" s="9"/>
      <c r="OC520" s="9"/>
      <c r="OD520" s="9"/>
      <c r="OE520" s="9"/>
      <c r="OF520" s="9"/>
      <c r="OG520" s="9"/>
      <c r="OH520" s="9"/>
      <c r="OI520" s="9"/>
      <c r="OJ520" s="9"/>
      <c r="OK520" s="9"/>
      <c r="OL520" s="9"/>
      <c r="OM520" s="9"/>
      <c r="ON520" s="9"/>
      <c r="OO520" s="9"/>
      <c r="OP520" s="9"/>
      <c r="OQ520" s="9"/>
      <c r="OR520" s="9"/>
      <c r="OS520" s="9"/>
      <c r="OT520" s="9"/>
      <c r="OU520" s="9"/>
      <c r="OV520" s="9"/>
      <c r="OW520" s="9"/>
      <c r="OX520" s="9"/>
      <c r="OY520" s="9"/>
      <c r="OZ520" s="9"/>
      <c r="PA520" s="9"/>
      <c r="PB520" s="9"/>
      <c r="PC520" s="9"/>
      <c r="PD520" s="9"/>
      <c r="PE520" s="9"/>
      <c r="PF520" s="9"/>
      <c r="PG520" s="9"/>
      <c r="PH520" s="9"/>
      <c r="PI520" s="9"/>
      <c r="PJ520" s="9"/>
      <c r="PK520" s="9"/>
      <c r="PL520" s="9"/>
      <c r="PM520" s="9"/>
      <c r="PN520" s="9"/>
      <c r="PO520" s="9"/>
      <c r="PP520" s="9"/>
      <c r="PQ520" s="9"/>
      <c r="PR520" s="9"/>
      <c r="PS520" s="9"/>
      <c r="PT520" s="9"/>
      <c r="PU520" s="9"/>
      <c r="PV520" s="9"/>
      <c r="PW520" s="9"/>
      <c r="PX520" s="9"/>
      <c r="PY520" s="9"/>
      <c r="PZ520" s="9"/>
      <c r="QA520" s="9"/>
      <c r="QB520" s="9"/>
      <c r="QC520" s="9"/>
      <c r="QD520" s="9"/>
      <c r="QE520" s="9"/>
      <c r="QF520" s="9"/>
      <c r="QG520" s="9"/>
      <c r="QH520" s="9"/>
      <c r="QI520" s="9"/>
      <c r="QJ520" s="9"/>
      <c r="QK520" s="9"/>
      <c r="QL520" s="9"/>
      <c r="QM520" s="9"/>
      <c r="QN520" s="9"/>
      <c r="QO520" s="9"/>
      <c r="QP520" s="9"/>
      <c r="QQ520" s="9"/>
      <c r="QR520" s="9"/>
      <c r="QS520" s="9"/>
      <c r="QT520" s="9"/>
      <c r="QU520" s="9"/>
      <c r="QV520" s="9"/>
      <c r="QW520" s="9"/>
      <c r="QX520" s="9"/>
      <c r="QY520" s="9"/>
      <c r="QZ520" s="9"/>
      <c r="RA520" s="9"/>
      <c r="RB520" s="9"/>
      <c r="RC520" s="9"/>
      <c r="RD520" s="9"/>
      <c r="RE520" s="9"/>
      <c r="RF520" s="9"/>
      <c r="RG520" s="9"/>
      <c r="RH520" s="9"/>
      <c r="RI520" s="9"/>
      <c r="RJ520" s="9"/>
      <c r="RK520" s="9"/>
      <c r="RL520" s="9"/>
      <c r="RM520" s="9"/>
      <c r="RN520" s="9"/>
      <c r="RO520" s="9"/>
      <c r="RP520" s="9"/>
      <c r="RQ520" s="9"/>
      <c r="RR520" s="9"/>
      <c r="RS520" s="9"/>
      <c r="RT520" s="9"/>
      <c r="RU520" s="9"/>
      <c r="RV520" s="9"/>
      <c r="RW520" s="9"/>
      <c r="RX520" s="9"/>
      <c r="RY520" s="9"/>
      <c r="RZ520" s="9"/>
      <c r="SA520" s="9"/>
      <c r="SB520" s="9"/>
      <c r="SC520" s="9"/>
      <c r="SD520" s="9"/>
      <c r="SE520" s="9"/>
      <c r="SF520" s="9"/>
      <c r="SG520" s="9"/>
      <c r="SH520" s="9"/>
      <c r="SI520" s="9"/>
      <c r="SJ520" s="9"/>
      <c r="SK520" s="9"/>
      <c r="SL520" s="9"/>
      <c r="SM520" s="9"/>
      <c r="SN520" s="9"/>
      <c r="SO520" s="9"/>
      <c r="SP520" s="9"/>
      <c r="SQ520" s="9"/>
      <c r="SR520" s="9"/>
      <c r="SS520" s="9"/>
      <c r="ST520" s="9"/>
      <c r="SU520" s="9"/>
      <c r="SV520" s="9"/>
      <c r="SW520" s="9"/>
      <c r="SX520" s="9"/>
      <c r="SY520" s="9"/>
      <c r="SZ520" s="9"/>
      <c r="TA520" s="9"/>
      <c r="TB520" s="9"/>
      <c r="TC520" s="9"/>
      <c r="TD520" s="9"/>
      <c r="TE520" s="9"/>
      <c r="TF520" s="9"/>
      <c r="TG520" s="9"/>
      <c r="TH520" s="9"/>
      <c r="TI520" s="9"/>
      <c r="TJ520" s="9"/>
      <c r="TK520" s="9"/>
      <c r="TL520" s="9"/>
      <c r="TM520" s="9"/>
      <c r="TN520" s="9"/>
      <c r="TO520" s="9"/>
      <c r="TP520" s="9"/>
      <c r="TQ520" s="9"/>
      <c r="TR520" s="9"/>
      <c r="TS520" s="9"/>
      <c r="TT520" s="9"/>
      <c r="TU520" s="9"/>
      <c r="TV520" s="9"/>
      <c r="TW520" s="9"/>
      <c r="TX520" s="9"/>
      <c r="TY520" s="9"/>
      <c r="TZ520" s="9"/>
      <c r="UA520" s="9"/>
      <c r="UB520" s="9"/>
      <c r="UC520" s="9"/>
      <c r="UD520" s="9"/>
      <c r="UE520" s="9"/>
      <c r="UF520" s="9"/>
      <c r="UG520" s="9"/>
      <c r="UH520" s="9"/>
      <c r="UI520" s="9"/>
      <c r="UJ520" s="9"/>
      <c r="UK520" s="9"/>
      <c r="UL520" s="9"/>
      <c r="UM520" s="9"/>
      <c r="UN520" s="9"/>
      <c r="UO520" s="9"/>
      <c r="UP520" s="9"/>
      <c r="UQ520" s="9"/>
      <c r="UR520" s="9"/>
      <c r="US520" s="9"/>
      <c r="UT520" s="9"/>
      <c r="UU520" s="9"/>
      <c r="UV520" s="9"/>
      <c r="UW520" s="9"/>
      <c r="UX520" s="9"/>
      <c r="UY520" s="9"/>
      <c r="UZ520" s="9"/>
      <c r="VA520" s="9"/>
      <c r="VB520" s="9"/>
      <c r="VC520" s="9"/>
      <c r="VD520" s="9"/>
      <c r="VE520" s="9"/>
      <c r="VF520" s="9"/>
      <c r="VG520" s="9"/>
      <c r="VH520" s="9"/>
      <c r="VI520" s="9"/>
      <c r="VJ520" s="9"/>
      <c r="VK520" s="9"/>
      <c r="VL520" s="9"/>
      <c r="VM520" s="9"/>
      <c r="VN520" s="9"/>
      <c r="VO520" s="9"/>
      <c r="VP520" s="9"/>
      <c r="VQ520" s="9"/>
      <c r="VR520" s="9"/>
      <c r="VS520" s="9"/>
      <c r="VT520" s="9"/>
      <c r="VU520" s="9"/>
      <c r="VV520" s="9"/>
      <c r="VW520" s="9"/>
      <c r="VX520" s="9"/>
      <c r="VY520" s="9"/>
      <c r="VZ520" s="9"/>
      <c r="WA520" s="9"/>
      <c r="WB520" s="9"/>
      <c r="WC520" s="9"/>
      <c r="WD520" s="9"/>
      <c r="WE520" s="9"/>
      <c r="WF520" s="9"/>
      <c r="WG520" s="9"/>
      <c r="WH520" s="9"/>
      <c r="WI520" s="9"/>
      <c r="WJ520" s="9"/>
      <c r="WK520" s="9"/>
      <c r="WL520" s="9"/>
      <c r="WM520" s="9"/>
      <c r="WN520" s="9"/>
      <c r="WO520" s="9"/>
      <c r="WP520" s="9"/>
      <c r="WQ520" s="9"/>
      <c r="WR520" s="9"/>
      <c r="WS520" s="9"/>
      <c r="WT520" s="9"/>
      <c r="WU520" s="9"/>
      <c r="WV520" s="9"/>
      <c r="WW520" s="9"/>
      <c r="WX520" s="9"/>
      <c r="WY520" s="9"/>
      <c r="WZ520" s="9"/>
      <c r="XA520" s="9"/>
      <c r="XB520" s="9"/>
      <c r="XC520" s="9"/>
      <c r="XD520" s="9"/>
      <c r="XE520" s="9"/>
      <c r="XF520" s="9"/>
      <c r="XG520" s="9"/>
      <c r="XH520" s="9"/>
      <c r="XI520" s="9"/>
      <c r="XJ520" s="9"/>
      <c r="XK520" s="9"/>
      <c r="XL520" s="9"/>
      <c r="XM520" s="9"/>
      <c r="XN520" s="9"/>
      <c r="XO520" s="9"/>
      <c r="XP520" s="9"/>
      <c r="XQ520" s="9"/>
      <c r="XR520" s="9"/>
      <c r="XS520" s="9"/>
      <c r="XT520" s="9"/>
      <c r="XU520" s="9"/>
      <c r="XV520" s="9"/>
      <c r="XW520" s="9"/>
      <c r="XX520" s="9"/>
      <c r="XY520" s="9"/>
      <c r="XZ520" s="9"/>
      <c r="YA520" s="9"/>
      <c r="YB520" s="9"/>
      <c r="YC520" s="9"/>
      <c r="YD520" s="9"/>
      <c r="YE520" s="9"/>
      <c r="YF520" s="9"/>
      <c r="YG520" s="9"/>
      <c r="YH520" s="9"/>
      <c r="YI520" s="9"/>
      <c r="YJ520" s="9"/>
      <c r="YK520" s="9"/>
      <c r="YL520" s="9"/>
      <c r="YM520" s="9"/>
      <c r="YN520" s="9"/>
      <c r="YO520" s="9"/>
      <c r="YP520" s="9"/>
      <c r="YQ520" s="9"/>
      <c r="YR520" s="9"/>
      <c r="YS520" s="9"/>
      <c r="YT520" s="9"/>
      <c r="YU520" s="9"/>
      <c r="YV520" s="9"/>
      <c r="YW520" s="9"/>
      <c r="YX520" s="9"/>
      <c r="YY520" s="9"/>
      <c r="YZ520" s="9"/>
      <c r="ZA520" s="9"/>
      <c r="ZB520" s="9"/>
      <c r="ZC520" s="9"/>
      <c r="ZD520" s="9"/>
      <c r="ZE520" s="9"/>
      <c r="ZF520" s="9"/>
      <c r="ZG520" s="9"/>
      <c r="ZH520" s="9"/>
      <c r="ZI520" s="9"/>
      <c r="ZJ520" s="9"/>
      <c r="ZK520" s="9"/>
      <c r="ZL520" s="9"/>
      <c r="ZM520" s="9"/>
      <c r="ZN520" s="9"/>
      <c r="ZO520" s="9"/>
      <c r="ZP520" s="9"/>
      <c r="ZQ520" s="9"/>
      <c r="ZR520" s="9"/>
      <c r="ZS520" s="9"/>
      <c r="ZT520" s="9"/>
      <c r="ZU520" s="9"/>
      <c r="ZV520" s="9"/>
      <c r="ZW520" s="9"/>
      <c r="ZX520" s="9"/>
      <c r="ZY520" s="9"/>
      <c r="ZZ520" s="9"/>
      <c r="AAA520" s="9"/>
      <c r="AAB520" s="9"/>
      <c r="AAC520" s="9"/>
      <c r="AAD520" s="9"/>
      <c r="AAE520" s="9"/>
      <c r="AAF520" s="9"/>
      <c r="AAG520" s="9"/>
      <c r="AAH520" s="9"/>
      <c r="AAI520" s="9"/>
      <c r="AAJ520" s="9"/>
      <c r="AAK520" s="9"/>
      <c r="AAL520" s="9"/>
      <c r="AAM520" s="9"/>
      <c r="AAN520" s="9"/>
      <c r="AAO520" s="9"/>
      <c r="AAP520" s="9"/>
      <c r="AAQ520" s="9"/>
      <c r="AAR520" s="9"/>
      <c r="AAS520" s="9"/>
      <c r="AAT520" s="9"/>
      <c r="AAU520" s="9"/>
      <c r="AAV520" s="9"/>
      <c r="AAW520" s="9"/>
      <c r="AAX520" s="9"/>
      <c r="AAY520" s="9"/>
      <c r="AAZ520" s="9"/>
      <c r="ABA520" s="9"/>
      <c r="ABB520" s="9"/>
      <c r="ABC520" s="9"/>
      <c r="ABD520" s="9"/>
      <c r="ABE520" s="9"/>
      <c r="ABF520" s="9"/>
      <c r="ABG520" s="9"/>
      <c r="ABH520" s="9"/>
      <c r="ABI520" s="9"/>
      <c r="ABJ520" s="9"/>
      <c r="ABK520" s="9"/>
      <c r="ABL520" s="9"/>
      <c r="ABM520" s="9"/>
      <c r="ABN520" s="9"/>
      <c r="ABO520" s="9"/>
      <c r="ABP520" s="9"/>
      <c r="ABQ520" s="9"/>
      <c r="ABR520" s="9"/>
      <c r="ABS520" s="9"/>
      <c r="ABT520" s="9"/>
      <c r="ABU520" s="9"/>
      <c r="ABV520" s="9"/>
      <c r="ABW520" s="9"/>
      <c r="ABX520" s="9"/>
      <c r="ABY520" s="9"/>
      <c r="ABZ520" s="9"/>
      <c r="ACA520" s="9"/>
      <c r="ACB520" s="9"/>
      <c r="ACC520" s="9"/>
      <c r="ACD520" s="9"/>
      <c r="ACE520" s="9"/>
      <c r="ACF520" s="9"/>
      <c r="ACG520" s="9"/>
      <c r="ACH520" s="9"/>
      <c r="ACI520" s="9"/>
      <c r="ACJ520" s="9"/>
      <c r="ACK520" s="9"/>
      <c r="ACL520" s="9"/>
      <c r="ACM520" s="9"/>
      <c r="ACN520" s="9"/>
      <c r="ACO520" s="9"/>
      <c r="ACP520" s="9"/>
      <c r="ACQ520" s="9"/>
      <c r="ACR520" s="9"/>
      <c r="ACS520" s="9"/>
      <c r="ACT520" s="9"/>
      <c r="ACU520" s="9"/>
      <c r="ACV520" s="9"/>
      <c r="ACW520" s="9"/>
      <c r="ACX520" s="9"/>
      <c r="ACY520" s="9"/>
      <c r="ACZ520" s="9"/>
      <c r="ADA520" s="9"/>
      <c r="ADB520" s="9"/>
      <c r="ADC520" s="9"/>
      <c r="ADD520" s="9"/>
      <c r="ADE520" s="9"/>
      <c r="ADF520" s="9"/>
      <c r="ADG520" s="9"/>
      <c r="ADH520" s="9"/>
      <c r="ADI520" s="9"/>
      <c r="ADJ520" s="9"/>
      <c r="ADK520" s="9"/>
      <c r="ADL520" s="9"/>
      <c r="ADM520" s="9"/>
      <c r="ADN520" s="9"/>
      <c r="ADO520" s="9"/>
      <c r="ADP520" s="9"/>
      <c r="ADQ520" s="9"/>
      <c r="ADR520" s="9"/>
      <c r="ADS520" s="9"/>
      <c r="ADT520" s="9"/>
      <c r="ADU520" s="9"/>
      <c r="ADV520" s="9"/>
      <c r="ADW520" s="9"/>
      <c r="ADX520" s="9"/>
      <c r="ADY520" s="9"/>
      <c r="ADZ520" s="9"/>
      <c r="AEA520" s="9"/>
      <c r="AEB520" s="9"/>
      <c r="AEC520" s="9"/>
      <c r="AED520" s="9"/>
      <c r="AEE520" s="9"/>
      <c r="AEF520" s="9"/>
      <c r="AEG520" s="9"/>
      <c r="AEH520" s="9"/>
      <c r="AEI520" s="9"/>
      <c r="AEJ520" s="9"/>
      <c r="AEK520" s="9"/>
      <c r="AEL520" s="9"/>
      <c r="AEM520" s="9"/>
      <c r="AEN520" s="9"/>
      <c r="AEO520" s="9"/>
      <c r="AEP520" s="9"/>
      <c r="AEQ520" s="9"/>
      <c r="AER520" s="9"/>
      <c r="AES520" s="9"/>
      <c r="AET520" s="9"/>
      <c r="AEU520" s="9"/>
      <c r="AEV520" s="9"/>
      <c r="AEW520" s="9"/>
      <c r="AEX520" s="9"/>
      <c r="AEY520" s="9"/>
      <c r="AEZ520" s="9"/>
      <c r="AFA520" s="9"/>
      <c r="AFB520" s="9"/>
      <c r="AFC520" s="9"/>
      <c r="AFD520" s="9"/>
      <c r="AFE520" s="9"/>
      <c r="AFF520" s="9"/>
      <c r="AFG520" s="9"/>
      <c r="AFH520" s="9"/>
      <c r="AFI520" s="9"/>
      <c r="AFJ520" s="9"/>
      <c r="AFK520" s="9"/>
      <c r="AFL520" s="9"/>
      <c r="AFM520" s="9"/>
      <c r="AFN520" s="9"/>
      <c r="AFO520" s="9"/>
      <c r="AFP520" s="9"/>
      <c r="AFQ520" s="9"/>
      <c r="AFR520" s="9"/>
      <c r="AFS520" s="9"/>
      <c r="AFT520" s="9"/>
      <c r="AFU520" s="9"/>
      <c r="AFV520" s="9"/>
      <c r="AFW520" s="9"/>
      <c r="AFX520" s="9"/>
      <c r="AFY520" s="9"/>
      <c r="AFZ520" s="9"/>
      <c r="AGA520" s="9"/>
      <c r="AGB520" s="9"/>
      <c r="AGC520" s="9"/>
      <c r="AGD520" s="9"/>
      <c r="AGE520" s="9"/>
      <c r="AGF520" s="9"/>
      <c r="AGG520" s="9"/>
      <c r="AGH520" s="9"/>
      <c r="AGI520" s="9"/>
      <c r="AGJ520" s="9"/>
      <c r="AGK520" s="9"/>
      <c r="AGL520" s="9"/>
      <c r="AGM520" s="9"/>
      <c r="AGN520" s="9"/>
      <c r="AGO520" s="9"/>
      <c r="AGP520" s="9"/>
      <c r="AGQ520" s="9"/>
      <c r="AGR520" s="9"/>
      <c r="AGS520" s="9"/>
      <c r="AGT520" s="9"/>
      <c r="AGU520" s="9"/>
      <c r="AGV520" s="9"/>
      <c r="AGW520" s="9"/>
      <c r="AGX520" s="9"/>
      <c r="AGY520" s="9"/>
      <c r="AGZ520" s="9"/>
      <c r="AHA520" s="9"/>
      <c r="AHB520" s="9"/>
      <c r="AHC520" s="9"/>
      <c r="AHD520" s="9"/>
      <c r="AHE520" s="9"/>
      <c r="AHF520" s="9"/>
      <c r="AHG520" s="9"/>
      <c r="AHH520" s="9"/>
      <c r="AHI520" s="9"/>
      <c r="AHJ520" s="9"/>
      <c r="AHK520" s="9"/>
      <c r="AHL520" s="9"/>
      <c r="AHM520" s="9"/>
      <c r="AHN520" s="9"/>
      <c r="AHO520" s="9"/>
      <c r="AHP520" s="9"/>
      <c r="AHQ520" s="9"/>
      <c r="AHR520" s="9"/>
      <c r="AHS520" s="9"/>
      <c r="AHT520" s="9"/>
      <c r="AHU520" s="9"/>
      <c r="AHV520" s="9"/>
      <c r="AHW520" s="9"/>
      <c r="AHX520" s="9"/>
      <c r="AHY520" s="9"/>
      <c r="AHZ520" s="9"/>
      <c r="AIA520" s="9"/>
      <c r="AIB520" s="9"/>
      <c r="AIC520" s="9"/>
      <c r="AID520" s="9"/>
      <c r="AIE520" s="9"/>
      <c r="AIF520" s="9"/>
      <c r="AIG520" s="9"/>
      <c r="AIH520" s="9"/>
      <c r="AII520" s="9"/>
      <c r="AIJ520" s="9"/>
      <c r="AIK520" s="9"/>
      <c r="AIL520" s="9"/>
      <c r="AIM520" s="9"/>
      <c r="AIN520" s="9"/>
      <c r="AIO520" s="9"/>
      <c r="AIP520" s="9"/>
      <c r="AIQ520" s="9"/>
      <c r="AIR520" s="9"/>
      <c r="AIS520" s="9"/>
      <c r="AIT520" s="9"/>
      <c r="AIU520" s="9"/>
      <c r="AIV520" s="9"/>
      <c r="AIW520" s="9"/>
      <c r="AIX520" s="9"/>
      <c r="AIY520" s="9"/>
      <c r="AIZ520" s="9"/>
      <c r="AJA520" s="9"/>
      <c r="AJB520" s="9"/>
      <c r="AJC520" s="9"/>
      <c r="AJD520" s="9"/>
      <c r="AJE520" s="9"/>
      <c r="AJF520" s="9"/>
      <c r="AJG520" s="9"/>
      <c r="AJH520" s="9"/>
      <c r="AJI520" s="9"/>
      <c r="AJJ520" s="9"/>
      <c r="AJK520" s="9"/>
      <c r="AJL520" s="9"/>
      <c r="AJM520" s="9"/>
      <c r="AJN520" s="9"/>
      <c r="AJO520" s="9"/>
      <c r="AJP520" s="9"/>
      <c r="AJQ520" s="9"/>
      <c r="AJR520" s="9"/>
      <c r="AJS520" s="9"/>
      <c r="AJT520" s="9"/>
      <c r="AJU520" s="9"/>
      <c r="AJV520" s="9"/>
      <c r="AJW520" s="9"/>
      <c r="AJX520" s="9"/>
      <c r="AJY520" s="9"/>
      <c r="AJZ520" s="9"/>
      <c r="AKA520" s="9"/>
      <c r="AKB520" s="9"/>
      <c r="AKC520" s="9"/>
      <c r="AKD520" s="9"/>
      <c r="AKE520" s="9"/>
      <c r="AKF520" s="9"/>
      <c r="AKG520" s="9"/>
      <c r="AKH520" s="9"/>
      <c r="AKI520" s="9"/>
      <c r="AKJ520" s="9"/>
      <c r="AKK520" s="9"/>
      <c r="AKL520" s="9"/>
      <c r="AKM520" s="9"/>
      <c r="AKN520" s="9"/>
      <c r="AKO520" s="9"/>
      <c r="AKP520" s="9"/>
      <c r="AKQ520" s="9"/>
      <c r="AKR520" s="9"/>
      <c r="AKS520" s="9"/>
      <c r="AKT520" s="9"/>
      <c r="AKU520" s="9"/>
      <c r="AKV520" s="9"/>
      <c r="AKW520" s="9"/>
      <c r="AKX520" s="9"/>
      <c r="AKY520" s="9"/>
      <c r="AKZ520" s="9"/>
      <c r="ALA520" s="9"/>
      <c r="ALB520" s="9"/>
      <c r="ALC520" s="9"/>
      <c r="ALD520" s="9"/>
      <c r="ALE520" s="9"/>
      <c r="ALF520" s="9"/>
      <c r="ALG520" s="9"/>
      <c r="ALH520" s="9"/>
      <c r="ALI520" s="9"/>
      <c r="ALJ520" s="9"/>
      <c r="ALK520" s="9"/>
      <c r="ALL520" s="9"/>
      <c r="ALM520" s="9"/>
      <c r="ALN520" s="9"/>
      <c r="ALO520" s="9"/>
      <c r="ALP520" s="9"/>
      <c r="ALQ520" s="9"/>
      <c r="ALR520" s="9"/>
      <c r="ALS520" s="9"/>
      <c r="ALT520" s="9"/>
      <c r="ALU520" s="9"/>
      <c r="ALV520" s="9"/>
      <c r="ALW520" s="9"/>
      <c r="ALX520" s="9"/>
      <c r="ALY520" s="9"/>
      <c r="ALZ520" s="9"/>
      <c r="AMA520" s="9"/>
      <c r="AMB520" s="9"/>
      <c r="AMC520" s="9"/>
      <c r="AMD520" s="9"/>
      <c r="AME520" s="9"/>
      <c r="AMF520" s="9"/>
      <c r="AMG520" s="9"/>
      <c r="AMH520" s="9"/>
      <c r="AMI520" s="9"/>
      <c r="AMJ520" s="9"/>
      <c r="AMK520" s="9"/>
      <c r="AML520" s="9"/>
      <c r="AMM520" s="9"/>
      <c r="AMN520" s="9"/>
      <c r="AMO520" s="9"/>
      <c r="AMP520" s="9"/>
    </row>
    <row r="521" spans="1:1030" s="12" customFormat="1" x14ac:dyDescent="0.2">
      <c r="A521" s="9" t="str">
        <f t="shared" si="5508"/>
        <v>fzd5_human_6BD6</v>
      </c>
      <c r="B521" s="9" t="s">
        <v>447</v>
      </c>
      <c r="C521" s="9" t="s">
        <v>1739</v>
      </c>
      <c r="D521" s="9" t="str">
        <f>IFERROR(MID(VLOOKUP($B521,Seqs!$A:$B,2,0),E521,1),"")</f>
        <v>S</v>
      </c>
      <c r="E521" s="9">
        <v>228</v>
      </c>
      <c r="F521" s="9" t="str">
        <f>IFERROR(MID(VLOOKUP($B521,Seqs!$A:$B,2,0),G521,1),"")</f>
        <v>M</v>
      </c>
      <c r="G521" s="9">
        <v>261</v>
      </c>
      <c r="H521" s="9" t="str">
        <f>IFERROR(MID(VLOOKUP($B521,Seqs!$A:$B,2,0),I521,1),"")</f>
        <v/>
      </c>
      <c r="I521" s="109" t="s">
        <v>23</v>
      </c>
      <c r="J521" s="9" t="str">
        <f>IFERROR(MID(VLOOKUP($B521,Seqs!$A:$B,2,0),K521,1),"")</f>
        <v/>
      </c>
      <c r="K521" s="109" t="s">
        <v>23</v>
      </c>
      <c r="L521" s="9" t="str">
        <f>IFERROR(MID(VLOOKUP($B521,Seqs!$A:$B,2,0),M521,1),"")</f>
        <v>E</v>
      </c>
      <c r="M521" s="9">
        <v>268</v>
      </c>
      <c r="N521" s="9" t="str">
        <f>IFERROR(MID(VLOOKUP($B521,Seqs!$A:$B,2,0),O521,1),"")</f>
        <v>G</v>
      </c>
      <c r="O521" s="9">
        <v>292</v>
      </c>
      <c r="P521" s="9" t="str">
        <f>IFERROR(MID(VLOOKUP($B521,Seqs!$A:$B,2,0),Q521,1),"")</f>
        <v/>
      </c>
      <c r="Q521" s="9" t="s">
        <v>23</v>
      </c>
      <c r="R521" s="9" t="str">
        <f>IFERROR(MID(VLOOKUP($B521,Seqs!$A:$B,2,0),S521,1),"")</f>
        <v/>
      </c>
      <c r="S521" s="9" t="s">
        <v>23</v>
      </c>
      <c r="T521" s="9" t="str">
        <f>IFERROR(MID(VLOOKUP($B521,Seqs!$A:$B,2,0),U521,1),"")</f>
        <v>L</v>
      </c>
      <c r="U521" s="9">
        <v>314</v>
      </c>
      <c r="V521" s="9" t="str">
        <f>IFERROR(MID(VLOOKUP($B521,Seqs!$A:$B,2,0),W521,1),"")</f>
        <v>K</v>
      </c>
      <c r="W521" s="9">
        <v>347</v>
      </c>
      <c r="X521" s="9" t="str">
        <f>IFERROR(MID(VLOOKUP($B521,Seqs!$A:$B,2,0),Y521,1),"")</f>
        <v/>
      </c>
      <c r="Y521" s="9" t="s">
        <v>23</v>
      </c>
      <c r="Z521" s="9" t="str">
        <f>IFERROR(MID(VLOOKUP($B521,Seqs!$A:$B,2,0),AA521,1),"")</f>
        <v/>
      </c>
      <c r="AA521" s="9" t="s">
        <v>23</v>
      </c>
      <c r="AB521" s="9" t="str">
        <f>IFERROR(MID(VLOOKUP($B521,Seqs!$A:$B,2,0),AC521,1),"")</f>
        <v>G</v>
      </c>
      <c r="AC521" s="9">
        <v>349</v>
      </c>
      <c r="AD521" s="9" t="str">
        <f>IFERROR(MID(VLOOKUP($B521,Seqs!$A:$B,2,0),AE521,1),"")</f>
        <v>S</v>
      </c>
      <c r="AE521" s="9">
        <v>379</v>
      </c>
      <c r="AF521" s="9" t="str">
        <f>IFERROR(MID(VLOOKUP($B521,Seqs!$A:$B,2,0),AG521,1),"")</f>
        <v>C</v>
      </c>
      <c r="AG521" s="9">
        <v>390</v>
      </c>
      <c r="AH521" s="9" t="str">
        <f>IFERROR(MID(VLOOKUP($B521,Seqs!$A:$B,2,0),AI521,1),"")</f>
        <v>V</v>
      </c>
      <c r="AI521" s="9">
        <v>392</v>
      </c>
      <c r="AJ521" s="9" t="str">
        <f>IFERROR(MID(VLOOKUP($B521,Seqs!$A:$B,2,0),AK521,1),"")</f>
        <v>N</v>
      </c>
      <c r="AK521" s="9">
        <v>396</v>
      </c>
      <c r="AL521" s="9" t="str">
        <f>IFERROR(MID(VLOOKUP($B521,Seqs!$A:$B,2,0),AM521,1),"")</f>
        <v>R</v>
      </c>
      <c r="AM521" s="9">
        <v>428</v>
      </c>
      <c r="AN521" s="9" t="str">
        <f>IFERROR(MID(VLOOKUP($B521,Seqs!$A:$B,2,0),AO521,1),"")</f>
        <v>L</v>
      </c>
      <c r="AO521" s="9">
        <v>446</v>
      </c>
      <c r="AP521" s="9" t="str">
        <f>IFERROR(MID(VLOOKUP($B521,Seqs!$A:$B,2,0),AQ521,1),"")</f>
        <v>E</v>
      </c>
      <c r="AQ521" s="9">
        <v>479</v>
      </c>
      <c r="AR521" s="9" t="str">
        <f>IFERROR(MID(VLOOKUP($B521,Seqs!$A:$B,2,0),AS521,1),"")</f>
        <v>Y</v>
      </c>
      <c r="AS521" s="9">
        <v>500</v>
      </c>
      <c r="AT521" s="9" t="str">
        <f>IFERROR(MID(VLOOKUP($B521,Seqs!$A:$B,2,0),AU521,1),"")</f>
        <v>W</v>
      </c>
      <c r="AU521" s="9">
        <v>522</v>
      </c>
      <c r="AV521" s="9" t="str">
        <f>IFERROR(MID(VLOOKUP($B521,Seqs!$A:$B,2,0),AW521,1),"")</f>
        <v>S</v>
      </c>
      <c r="AW521" s="9">
        <v>523</v>
      </c>
      <c r="AX521" s="9" t="str">
        <f>IFERROR(MID(VLOOKUP($B521,Seqs!$A:$B,2,0),AY521,1),"")</f>
        <v>S</v>
      </c>
      <c r="AY521" s="9">
        <v>535</v>
      </c>
      <c r="AZ521" s="110" t="str">
        <f>VLOOKUP(B521,Classification!A:D,2,0)</f>
        <v>F</v>
      </c>
      <c r="BA521" s="98" t="str">
        <f>VLOOKUP(B521,Classification!A:D,4,0)</f>
        <v>Frizzled</v>
      </c>
      <c r="BB521" s="36" t="b">
        <f t="shared" si="5509"/>
        <v>1</v>
      </c>
      <c r="BC521" s="109">
        <f t="shared" si="5510"/>
        <v>233</v>
      </c>
      <c r="BD521" s="11" t="s">
        <v>1370</v>
      </c>
      <c r="BE521" s="9" t="s">
        <v>1368</v>
      </c>
      <c r="BF521" s="119">
        <v>3.7</v>
      </c>
      <c r="BG521" s="51" t="s">
        <v>1416</v>
      </c>
      <c r="BH521" s="51" t="s">
        <v>1416</v>
      </c>
      <c r="BI521" s="9"/>
      <c r="BJ521" s="111" t="s">
        <v>1281</v>
      </c>
      <c r="BK521" s="112" t="s">
        <v>1281</v>
      </c>
      <c r="BL521" s="112" t="s">
        <v>1281</v>
      </c>
      <c r="BM521" s="112" t="s">
        <v>1281</v>
      </c>
      <c r="BN521" s="112" t="s">
        <v>1281</v>
      </c>
      <c r="BO521" s="112" t="s">
        <v>1281</v>
      </c>
      <c r="BP521" s="112" t="s">
        <v>1281</v>
      </c>
      <c r="BQ521" s="112" t="s">
        <v>1281</v>
      </c>
      <c r="BR521" s="112" t="s">
        <v>1281</v>
      </c>
      <c r="BS521" s="112" t="s">
        <v>1281</v>
      </c>
      <c r="BT521" s="112" t="s">
        <v>1281</v>
      </c>
      <c r="BU521" s="112" t="s">
        <v>1281</v>
      </c>
      <c r="BV521" s="111">
        <f t="shared" si="5511"/>
        <v>228</v>
      </c>
      <c r="BW521" s="113" t="str">
        <f t="shared" si="5512"/>
        <v>-</v>
      </c>
      <c r="BX521" s="114">
        <f t="shared" si="5513"/>
        <v>268</v>
      </c>
      <c r="BY521" s="113" t="str">
        <f t="shared" si="5514"/>
        <v>-</v>
      </c>
      <c r="BZ521" s="114">
        <f t="shared" si="5515"/>
        <v>314</v>
      </c>
      <c r="CA521" s="113" t="str">
        <f t="shared" si="5516"/>
        <v>-</v>
      </c>
      <c r="CB521" s="114">
        <f t="shared" si="5517"/>
        <v>349</v>
      </c>
      <c r="CC521" s="113">
        <f t="shared" si="5518"/>
        <v>390</v>
      </c>
      <c r="CD521" s="114">
        <f t="shared" si="5519"/>
        <v>396</v>
      </c>
      <c r="CE521" s="113">
        <f t="shared" si="5520"/>
        <v>446</v>
      </c>
      <c r="CF521" s="114">
        <f t="shared" si="5521"/>
        <v>500</v>
      </c>
      <c r="CG521" s="113">
        <f t="shared" si="5522"/>
        <v>523</v>
      </c>
      <c r="CH521" s="111">
        <f t="shared" si="5523"/>
        <v>261</v>
      </c>
      <c r="CI521" s="113" t="str">
        <f t="shared" si="5524"/>
        <v>-</v>
      </c>
      <c r="CJ521" s="114">
        <f t="shared" si="5525"/>
        <v>292</v>
      </c>
      <c r="CK521" s="114" t="str">
        <f t="shared" si="5526"/>
        <v>-</v>
      </c>
      <c r="CL521" s="114">
        <f t="shared" si="5527"/>
        <v>347</v>
      </c>
      <c r="CM521" s="114" t="str">
        <f t="shared" si="5528"/>
        <v>-</v>
      </c>
      <c r="CN521" s="114">
        <f t="shared" si="5529"/>
        <v>379</v>
      </c>
      <c r="CO521" s="114">
        <f t="shared" si="5530"/>
        <v>392</v>
      </c>
      <c r="CP521" s="114">
        <f t="shared" si="5531"/>
        <v>428</v>
      </c>
      <c r="CQ521" s="114">
        <f t="shared" si="5532"/>
        <v>479</v>
      </c>
      <c r="CR521" s="114">
        <f t="shared" si="5533"/>
        <v>522</v>
      </c>
      <c r="CS521" s="114">
        <f t="shared" si="5534"/>
        <v>535</v>
      </c>
      <c r="CT521" s="109" t="e">
        <f t="shared" si="5535"/>
        <v>#VALUE!</v>
      </c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  <c r="GA521" s="9"/>
      <c r="GB521" s="9"/>
      <c r="GC521" s="9"/>
      <c r="GD521" s="9"/>
      <c r="GE521" s="9"/>
      <c r="GF521" s="9"/>
      <c r="GG521" s="9"/>
      <c r="GH521" s="9"/>
      <c r="GI521" s="9"/>
      <c r="GJ521" s="9"/>
      <c r="GK521" s="9"/>
      <c r="GL521" s="9"/>
      <c r="GM521" s="9"/>
      <c r="GN521" s="9"/>
      <c r="GO521" s="9"/>
      <c r="GP521" s="9"/>
      <c r="GQ521" s="9"/>
      <c r="GR521" s="9"/>
      <c r="GS521" s="9"/>
      <c r="GT521" s="9"/>
      <c r="GU521" s="9"/>
      <c r="GV521" s="9"/>
      <c r="GW521" s="9"/>
      <c r="GX521" s="9"/>
      <c r="GY521" s="9"/>
      <c r="GZ521" s="9"/>
      <c r="HA521" s="9"/>
      <c r="HB521" s="9"/>
      <c r="HC521" s="9"/>
      <c r="HD521" s="9"/>
      <c r="HE521" s="9"/>
      <c r="HF521" s="9"/>
      <c r="HG521" s="9"/>
      <c r="HH521" s="9"/>
      <c r="HI521" s="9"/>
      <c r="HJ521" s="9"/>
      <c r="HK521" s="9"/>
      <c r="HL521" s="9"/>
      <c r="HM521" s="9"/>
      <c r="HN521" s="9"/>
      <c r="HO521" s="9"/>
      <c r="HP521" s="9"/>
      <c r="HQ521" s="9"/>
      <c r="HR521" s="9"/>
      <c r="HS521" s="9"/>
      <c r="HT521" s="9"/>
      <c r="HU521" s="9"/>
      <c r="HV521" s="9"/>
      <c r="HW521" s="9"/>
      <c r="HX521" s="9"/>
      <c r="HY521" s="9"/>
      <c r="HZ521" s="9"/>
      <c r="IA521" s="9"/>
      <c r="IB521" s="9"/>
      <c r="IC521" s="9"/>
      <c r="ID521" s="9"/>
      <c r="IE521" s="9"/>
      <c r="IF521" s="9"/>
      <c r="IG521" s="9"/>
      <c r="IH521" s="9"/>
      <c r="II521" s="9"/>
      <c r="IJ521" s="9"/>
      <c r="IK521" s="9"/>
      <c r="IL521" s="9"/>
      <c r="IM521" s="9"/>
      <c r="IN521" s="9"/>
      <c r="IO521" s="9"/>
      <c r="IP521" s="9"/>
      <c r="IQ521" s="9"/>
      <c r="IR521" s="9"/>
      <c r="IS521" s="9"/>
      <c r="IT521" s="9"/>
      <c r="IU521" s="9"/>
      <c r="IV521" s="9"/>
      <c r="IW521" s="9"/>
      <c r="IX521" s="9"/>
      <c r="IY521" s="9"/>
      <c r="IZ521" s="9"/>
      <c r="JA521" s="9"/>
      <c r="JB521" s="9"/>
      <c r="JC521" s="9"/>
      <c r="JD521" s="9"/>
      <c r="JE521" s="9"/>
      <c r="JF521" s="9"/>
      <c r="JG521" s="9"/>
      <c r="JH521" s="9"/>
      <c r="JI521" s="9"/>
      <c r="JJ521" s="9"/>
      <c r="JK521" s="9"/>
      <c r="JL521" s="9"/>
      <c r="JM521" s="9"/>
      <c r="JN521" s="9"/>
      <c r="JO521" s="9"/>
      <c r="JP521" s="9"/>
      <c r="JQ521" s="9"/>
      <c r="JR521" s="9"/>
      <c r="JS521" s="9"/>
      <c r="JT521" s="9"/>
      <c r="JU521" s="9"/>
      <c r="JV521" s="9"/>
      <c r="JW521" s="9"/>
      <c r="JX521" s="9"/>
      <c r="JY521" s="9"/>
      <c r="JZ521" s="9"/>
      <c r="KA521" s="9"/>
      <c r="KB521" s="9"/>
      <c r="KC521" s="9"/>
      <c r="KD521" s="9"/>
      <c r="KE521" s="9"/>
      <c r="KF521" s="9"/>
      <c r="KG521" s="9"/>
      <c r="KH521" s="9"/>
      <c r="KI521" s="9"/>
      <c r="KJ521" s="9"/>
      <c r="KK521" s="9"/>
      <c r="KL521" s="9"/>
      <c r="KM521" s="9"/>
      <c r="KN521" s="9"/>
      <c r="KO521" s="9"/>
      <c r="KP521" s="9"/>
      <c r="KQ521" s="9"/>
      <c r="KR521" s="9"/>
      <c r="KS521" s="9"/>
      <c r="KT521" s="9"/>
      <c r="KU521" s="9"/>
      <c r="KV521" s="9"/>
      <c r="KW521" s="9"/>
      <c r="KX521" s="9"/>
      <c r="KY521" s="9"/>
      <c r="KZ521" s="9"/>
      <c r="LA521" s="9"/>
      <c r="LB521" s="9"/>
      <c r="LC521" s="9"/>
      <c r="LD521" s="9"/>
      <c r="LE521" s="9"/>
      <c r="LF521" s="9"/>
      <c r="LG521" s="9"/>
      <c r="LH521" s="9"/>
      <c r="LI521" s="9"/>
      <c r="LJ521" s="9"/>
      <c r="LK521" s="9"/>
      <c r="LL521" s="9"/>
      <c r="LM521" s="9"/>
      <c r="LN521" s="9"/>
      <c r="LO521" s="9"/>
      <c r="LP521" s="9"/>
      <c r="LQ521" s="9"/>
      <c r="LR521" s="9"/>
      <c r="LS521" s="9"/>
      <c r="LT521" s="9"/>
      <c r="LU521" s="9"/>
      <c r="LV521" s="9"/>
      <c r="LW521" s="9"/>
      <c r="LX521" s="9"/>
      <c r="LY521" s="9"/>
      <c r="LZ521" s="9"/>
      <c r="MA521" s="9"/>
      <c r="MB521" s="9"/>
      <c r="MC521" s="9"/>
      <c r="MD521" s="9"/>
      <c r="ME521" s="9"/>
      <c r="MF521" s="9"/>
      <c r="MG521" s="9"/>
      <c r="MH521" s="9"/>
      <c r="MI521" s="9"/>
      <c r="MJ521" s="9"/>
      <c r="MK521" s="9"/>
      <c r="ML521" s="9"/>
      <c r="MM521" s="9"/>
      <c r="MN521" s="9"/>
      <c r="MO521" s="9"/>
      <c r="MP521" s="9"/>
      <c r="MQ521" s="9"/>
      <c r="MR521" s="9"/>
      <c r="MS521" s="9"/>
      <c r="MT521" s="9"/>
      <c r="MU521" s="9"/>
      <c r="MV521" s="9"/>
      <c r="MW521" s="9"/>
      <c r="MX521" s="9"/>
      <c r="MY521" s="9"/>
      <c r="MZ521" s="9"/>
      <c r="NA521" s="9"/>
      <c r="NB521" s="9"/>
      <c r="NC521" s="9"/>
      <c r="ND521" s="9"/>
      <c r="NE521" s="9"/>
      <c r="NF521" s="9"/>
      <c r="NG521" s="9"/>
      <c r="NH521" s="9"/>
      <c r="NI521" s="9"/>
      <c r="NJ521" s="9"/>
      <c r="NK521" s="9"/>
      <c r="NL521" s="9"/>
      <c r="NM521" s="9"/>
      <c r="NN521" s="9"/>
      <c r="NO521" s="9"/>
      <c r="NP521" s="9"/>
      <c r="NQ521" s="9"/>
      <c r="NR521" s="9"/>
      <c r="NS521" s="9"/>
      <c r="NT521" s="9"/>
      <c r="NU521" s="9"/>
      <c r="NV521" s="9"/>
      <c r="NW521" s="9"/>
      <c r="NX521" s="9"/>
      <c r="NY521" s="9"/>
      <c r="NZ521" s="9"/>
      <c r="OA521" s="9"/>
      <c r="OB521" s="9"/>
      <c r="OC521" s="9"/>
      <c r="OD521" s="9"/>
      <c r="OE521" s="9"/>
      <c r="OF521" s="9"/>
      <c r="OG521" s="9"/>
      <c r="OH521" s="9"/>
      <c r="OI521" s="9"/>
      <c r="OJ521" s="9"/>
      <c r="OK521" s="9"/>
      <c r="OL521" s="9"/>
      <c r="OM521" s="9"/>
      <c r="ON521" s="9"/>
      <c r="OO521" s="9"/>
      <c r="OP521" s="9"/>
      <c r="OQ521" s="9"/>
      <c r="OR521" s="9"/>
      <c r="OS521" s="9"/>
      <c r="OT521" s="9"/>
      <c r="OU521" s="9"/>
      <c r="OV521" s="9"/>
      <c r="OW521" s="9"/>
      <c r="OX521" s="9"/>
      <c r="OY521" s="9"/>
      <c r="OZ521" s="9"/>
      <c r="PA521" s="9"/>
      <c r="PB521" s="9"/>
      <c r="PC521" s="9"/>
      <c r="PD521" s="9"/>
      <c r="PE521" s="9"/>
      <c r="PF521" s="9"/>
      <c r="PG521" s="9"/>
      <c r="PH521" s="9"/>
      <c r="PI521" s="9"/>
      <c r="PJ521" s="9"/>
      <c r="PK521" s="9"/>
      <c r="PL521" s="9"/>
      <c r="PM521" s="9"/>
      <c r="PN521" s="9"/>
      <c r="PO521" s="9"/>
      <c r="PP521" s="9"/>
      <c r="PQ521" s="9"/>
      <c r="PR521" s="9"/>
      <c r="PS521" s="9"/>
      <c r="PT521" s="9"/>
      <c r="PU521" s="9"/>
      <c r="PV521" s="9"/>
      <c r="PW521" s="9"/>
      <c r="PX521" s="9"/>
      <c r="PY521" s="9"/>
      <c r="PZ521" s="9"/>
      <c r="QA521" s="9"/>
      <c r="QB521" s="9"/>
      <c r="QC521" s="9"/>
      <c r="QD521" s="9"/>
      <c r="QE521" s="9"/>
      <c r="QF521" s="9"/>
      <c r="QG521" s="9"/>
      <c r="QH521" s="9"/>
      <c r="QI521" s="9"/>
      <c r="QJ521" s="9"/>
      <c r="QK521" s="9"/>
      <c r="QL521" s="9"/>
      <c r="QM521" s="9"/>
      <c r="QN521" s="9"/>
      <c r="QO521" s="9"/>
      <c r="QP521" s="9"/>
      <c r="QQ521" s="9"/>
      <c r="QR521" s="9"/>
      <c r="QS521" s="9"/>
      <c r="QT521" s="9"/>
      <c r="QU521" s="9"/>
      <c r="QV521" s="9"/>
      <c r="QW521" s="9"/>
      <c r="QX521" s="9"/>
      <c r="QY521" s="9"/>
      <c r="QZ521" s="9"/>
      <c r="RA521" s="9"/>
      <c r="RB521" s="9"/>
      <c r="RC521" s="9"/>
      <c r="RD521" s="9"/>
      <c r="RE521" s="9"/>
      <c r="RF521" s="9"/>
      <c r="RG521" s="9"/>
      <c r="RH521" s="9"/>
      <c r="RI521" s="9"/>
      <c r="RJ521" s="9"/>
      <c r="RK521" s="9"/>
      <c r="RL521" s="9"/>
      <c r="RM521" s="9"/>
      <c r="RN521" s="9"/>
      <c r="RO521" s="9"/>
      <c r="RP521" s="9"/>
      <c r="RQ521" s="9"/>
      <c r="RR521" s="9"/>
      <c r="RS521" s="9"/>
      <c r="RT521" s="9"/>
      <c r="RU521" s="9"/>
      <c r="RV521" s="9"/>
      <c r="RW521" s="9"/>
      <c r="RX521" s="9"/>
      <c r="RY521" s="9"/>
      <c r="RZ521" s="9"/>
      <c r="SA521" s="9"/>
      <c r="SB521" s="9"/>
      <c r="SC521" s="9"/>
      <c r="SD521" s="9"/>
      <c r="SE521" s="9"/>
      <c r="SF521" s="9"/>
      <c r="SG521" s="9"/>
      <c r="SH521" s="9"/>
      <c r="SI521" s="9"/>
      <c r="SJ521" s="9"/>
      <c r="SK521" s="9"/>
      <c r="SL521" s="9"/>
      <c r="SM521" s="9"/>
      <c r="SN521" s="9"/>
      <c r="SO521" s="9"/>
      <c r="SP521" s="9"/>
      <c r="SQ521" s="9"/>
      <c r="SR521" s="9"/>
      <c r="SS521" s="9"/>
      <c r="ST521" s="9"/>
      <c r="SU521" s="9"/>
      <c r="SV521" s="9"/>
      <c r="SW521" s="9"/>
      <c r="SX521" s="9"/>
      <c r="SY521" s="9"/>
      <c r="SZ521" s="9"/>
      <c r="TA521" s="9"/>
      <c r="TB521" s="9"/>
      <c r="TC521" s="9"/>
      <c r="TD521" s="9"/>
      <c r="TE521" s="9"/>
      <c r="TF521" s="9"/>
      <c r="TG521" s="9"/>
      <c r="TH521" s="9"/>
      <c r="TI521" s="9"/>
      <c r="TJ521" s="9"/>
      <c r="TK521" s="9"/>
      <c r="TL521" s="9"/>
      <c r="TM521" s="9"/>
      <c r="TN521" s="9"/>
      <c r="TO521" s="9"/>
      <c r="TP521" s="9"/>
      <c r="TQ521" s="9"/>
      <c r="TR521" s="9"/>
      <c r="TS521" s="9"/>
      <c r="TT521" s="9"/>
      <c r="TU521" s="9"/>
      <c r="TV521" s="9"/>
      <c r="TW521" s="9"/>
      <c r="TX521" s="9"/>
      <c r="TY521" s="9"/>
      <c r="TZ521" s="9"/>
      <c r="UA521" s="9"/>
      <c r="UB521" s="9"/>
      <c r="UC521" s="9"/>
      <c r="UD521" s="9"/>
      <c r="UE521" s="9"/>
      <c r="UF521" s="9"/>
      <c r="UG521" s="9"/>
      <c r="UH521" s="9"/>
      <c r="UI521" s="9"/>
      <c r="UJ521" s="9"/>
      <c r="UK521" s="9"/>
      <c r="UL521" s="9"/>
      <c r="UM521" s="9"/>
      <c r="UN521" s="9"/>
      <c r="UO521" s="9"/>
      <c r="UP521" s="9"/>
      <c r="UQ521" s="9"/>
      <c r="UR521" s="9"/>
      <c r="US521" s="9"/>
      <c r="UT521" s="9"/>
      <c r="UU521" s="9"/>
      <c r="UV521" s="9"/>
      <c r="UW521" s="9"/>
      <c r="UX521" s="9"/>
      <c r="UY521" s="9"/>
      <c r="UZ521" s="9"/>
      <c r="VA521" s="9"/>
      <c r="VB521" s="9"/>
      <c r="VC521" s="9"/>
      <c r="VD521" s="9"/>
      <c r="VE521" s="9"/>
      <c r="VF521" s="9"/>
      <c r="VG521" s="9"/>
      <c r="VH521" s="9"/>
      <c r="VI521" s="9"/>
      <c r="VJ521" s="9"/>
      <c r="VK521" s="9"/>
      <c r="VL521" s="9"/>
      <c r="VM521" s="9"/>
      <c r="VN521" s="9"/>
      <c r="VO521" s="9"/>
      <c r="VP521" s="9"/>
      <c r="VQ521" s="9"/>
      <c r="VR521" s="9"/>
      <c r="VS521" s="9"/>
      <c r="VT521" s="9"/>
      <c r="VU521" s="9"/>
      <c r="VV521" s="9"/>
      <c r="VW521" s="9"/>
      <c r="VX521" s="9"/>
      <c r="VY521" s="9"/>
      <c r="VZ521" s="9"/>
      <c r="WA521" s="9"/>
      <c r="WB521" s="9"/>
      <c r="WC521" s="9"/>
      <c r="WD521" s="9"/>
      <c r="WE521" s="9"/>
      <c r="WF521" s="9"/>
      <c r="WG521" s="9"/>
      <c r="WH521" s="9"/>
      <c r="WI521" s="9"/>
      <c r="WJ521" s="9"/>
      <c r="WK521" s="9"/>
      <c r="WL521" s="9"/>
      <c r="WM521" s="9"/>
      <c r="WN521" s="9"/>
      <c r="WO521" s="9"/>
      <c r="WP521" s="9"/>
      <c r="WQ521" s="9"/>
      <c r="WR521" s="9"/>
      <c r="WS521" s="9"/>
      <c r="WT521" s="9"/>
      <c r="WU521" s="9"/>
      <c r="WV521" s="9"/>
      <c r="WW521" s="9"/>
      <c r="WX521" s="9"/>
      <c r="WY521" s="9"/>
      <c r="WZ521" s="9"/>
      <c r="XA521" s="9"/>
      <c r="XB521" s="9"/>
      <c r="XC521" s="9"/>
      <c r="XD521" s="9"/>
      <c r="XE521" s="9"/>
      <c r="XF521" s="9"/>
      <c r="XG521" s="9"/>
      <c r="XH521" s="9"/>
      <c r="XI521" s="9"/>
      <c r="XJ521" s="9"/>
      <c r="XK521" s="9"/>
      <c r="XL521" s="9"/>
      <c r="XM521" s="9"/>
      <c r="XN521" s="9"/>
      <c r="XO521" s="9"/>
      <c r="XP521" s="9"/>
      <c r="XQ521" s="9"/>
      <c r="XR521" s="9"/>
      <c r="XS521" s="9"/>
      <c r="XT521" s="9"/>
      <c r="XU521" s="9"/>
      <c r="XV521" s="9"/>
      <c r="XW521" s="9"/>
      <c r="XX521" s="9"/>
      <c r="XY521" s="9"/>
      <c r="XZ521" s="9"/>
      <c r="YA521" s="9"/>
      <c r="YB521" s="9"/>
      <c r="YC521" s="9"/>
      <c r="YD521" s="9"/>
      <c r="YE521" s="9"/>
      <c r="YF521" s="9"/>
      <c r="YG521" s="9"/>
      <c r="YH521" s="9"/>
      <c r="YI521" s="9"/>
      <c r="YJ521" s="9"/>
      <c r="YK521" s="9"/>
      <c r="YL521" s="9"/>
      <c r="YM521" s="9"/>
      <c r="YN521" s="9"/>
      <c r="YO521" s="9"/>
      <c r="YP521" s="9"/>
      <c r="YQ521" s="9"/>
      <c r="YR521" s="9"/>
      <c r="YS521" s="9"/>
      <c r="YT521" s="9"/>
      <c r="YU521" s="9"/>
      <c r="YV521" s="9"/>
      <c r="YW521" s="9"/>
      <c r="YX521" s="9"/>
      <c r="YY521" s="9"/>
      <c r="YZ521" s="9"/>
      <c r="ZA521" s="9"/>
      <c r="ZB521" s="9"/>
      <c r="ZC521" s="9"/>
      <c r="ZD521" s="9"/>
      <c r="ZE521" s="9"/>
      <c r="ZF521" s="9"/>
      <c r="ZG521" s="9"/>
      <c r="ZH521" s="9"/>
      <c r="ZI521" s="9"/>
      <c r="ZJ521" s="9"/>
      <c r="ZK521" s="9"/>
      <c r="ZL521" s="9"/>
      <c r="ZM521" s="9"/>
      <c r="ZN521" s="9"/>
      <c r="ZO521" s="9"/>
      <c r="ZP521" s="9"/>
      <c r="ZQ521" s="9"/>
      <c r="ZR521" s="9"/>
      <c r="ZS521" s="9"/>
      <c r="ZT521" s="9"/>
      <c r="ZU521" s="9"/>
      <c r="ZV521" s="9"/>
      <c r="ZW521" s="9"/>
      <c r="ZX521" s="9"/>
      <c r="ZY521" s="9"/>
      <c r="ZZ521" s="9"/>
      <c r="AAA521" s="9"/>
      <c r="AAB521" s="9"/>
      <c r="AAC521" s="9"/>
      <c r="AAD521" s="9"/>
      <c r="AAE521" s="9"/>
      <c r="AAF521" s="9"/>
      <c r="AAG521" s="9"/>
      <c r="AAH521" s="9"/>
      <c r="AAI521" s="9"/>
      <c r="AAJ521" s="9"/>
      <c r="AAK521" s="9"/>
      <c r="AAL521" s="9"/>
      <c r="AAM521" s="9"/>
      <c r="AAN521" s="9"/>
      <c r="AAO521" s="9"/>
      <c r="AAP521" s="9"/>
      <c r="AAQ521" s="9"/>
      <c r="AAR521" s="9"/>
      <c r="AAS521" s="9"/>
      <c r="AAT521" s="9"/>
      <c r="AAU521" s="9"/>
      <c r="AAV521" s="9"/>
      <c r="AAW521" s="9"/>
      <c r="AAX521" s="9"/>
      <c r="AAY521" s="9"/>
      <c r="AAZ521" s="9"/>
      <c r="ABA521" s="9"/>
      <c r="ABB521" s="9"/>
      <c r="ABC521" s="9"/>
      <c r="ABD521" s="9"/>
      <c r="ABE521" s="9"/>
      <c r="ABF521" s="9"/>
      <c r="ABG521" s="9"/>
      <c r="ABH521" s="9"/>
      <c r="ABI521" s="9"/>
      <c r="ABJ521" s="9"/>
      <c r="ABK521" s="9"/>
      <c r="ABL521" s="9"/>
      <c r="ABM521" s="9"/>
      <c r="ABN521" s="9"/>
      <c r="ABO521" s="9"/>
      <c r="ABP521" s="9"/>
      <c r="ABQ521" s="9"/>
      <c r="ABR521" s="9"/>
      <c r="ABS521" s="9"/>
      <c r="ABT521" s="9"/>
      <c r="ABU521" s="9"/>
      <c r="ABV521" s="9"/>
      <c r="ABW521" s="9"/>
      <c r="ABX521" s="9"/>
      <c r="ABY521" s="9"/>
      <c r="ABZ521" s="9"/>
      <c r="ACA521" s="9"/>
      <c r="ACB521" s="9"/>
      <c r="ACC521" s="9"/>
      <c r="ACD521" s="9"/>
      <c r="ACE521" s="9"/>
      <c r="ACF521" s="9"/>
      <c r="ACG521" s="9"/>
      <c r="ACH521" s="9"/>
      <c r="ACI521" s="9"/>
      <c r="ACJ521" s="9"/>
      <c r="ACK521" s="9"/>
      <c r="ACL521" s="9"/>
      <c r="ACM521" s="9"/>
      <c r="ACN521" s="9"/>
      <c r="ACO521" s="9"/>
      <c r="ACP521" s="9"/>
      <c r="ACQ521" s="9"/>
      <c r="ACR521" s="9"/>
      <c r="ACS521" s="9"/>
      <c r="ACT521" s="9"/>
      <c r="ACU521" s="9"/>
      <c r="ACV521" s="9"/>
      <c r="ACW521" s="9"/>
      <c r="ACX521" s="9"/>
      <c r="ACY521" s="9"/>
      <c r="ACZ521" s="9"/>
      <c r="ADA521" s="9"/>
      <c r="ADB521" s="9"/>
      <c r="ADC521" s="9"/>
      <c r="ADD521" s="9"/>
      <c r="ADE521" s="9"/>
      <c r="ADF521" s="9"/>
      <c r="ADG521" s="9"/>
      <c r="ADH521" s="9"/>
      <c r="ADI521" s="9"/>
      <c r="ADJ521" s="9"/>
      <c r="ADK521" s="9"/>
      <c r="ADL521" s="9"/>
      <c r="ADM521" s="9"/>
      <c r="ADN521" s="9"/>
      <c r="ADO521" s="9"/>
      <c r="ADP521" s="9"/>
      <c r="ADQ521" s="9"/>
      <c r="ADR521" s="9"/>
      <c r="ADS521" s="9"/>
      <c r="ADT521" s="9"/>
      <c r="ADU521" s="9"/>
      <c r="ADV521" s="9"/>
      <c r="ADW521" s="9"/>
      <c r="ADX521" s="9"/>
      <c r="ADY521" s="9"/>
      <c r="ADZ521" s="9"/>
      <c r="AEA521" s="9"/>
      <c r="AEB521" s="9"/>
      <c r="AEC521" s="9"/>
      <c r="AED521" s="9"/>
      <c r="AEE521" s="9"/>
      <c r="AEF521" s="9"/>
      <c r="AEG521" s="9"/>
      <c r="AEH521" s="9"/>
      <c r="AEI521" s="9"/>
      <c r="AEJ521" s="9"/>
      <c r="AEK521" s="9"/>
      <c r="AEL521" s="9"/>
      <c r="AEM521" s="9"/>
      <c r="AEN521" s="9"/>
      <c r="AEO521" s="9"/>
      <c r="AEP521" s="9"/>
      <c r="AEQ521" s="9"/>
      <c r="AER521" s="9"/>
      <c r="AES521" s="9"/>
      <c r="AET521" s="9"/>
      <c r="AEU521" s="9"/>
      <c r="AEV521" s="9"/>
      <c r="AEW521" s="9"/>
      <c r="AEX521" s="9"/>
      <c r="AEY521" s="9"/>
      <c r="AEZ521" s="9"/>
      <c r="AFA521" s="9"/>
      <c r="AFB521" s="9"/>
      <c r="AFC521" s="9"/>
      <c r="AFD521" s="9"/>
      <c r="AFE521" s="9"/>
      <c r="AFF521" s="9"/>
      <c r="AFG521" s="9"/>
      <c r="AFH521" s="9"/>
      <c r="AFI521" s="9"/>
      <c r="AFJ521" s="9"/>
      <c r="AFK521" s="9"/>
      <c r="AFL521" s="9"/>
      <c r="AFM521" s="9"/>
      <c r="AFN521" s="9"/>
      <c r="AFO521" s="9"/>
      <c r="AFP521" s="9"/>
      <c r="AFQ521" s="9"/>
      <c r="AFR521" s="9"/>
      <c r="AFS521" s="9"/>
      <c r="AFT521" s="9"/>
      <c r="AFU521" s="9"/>
      <c r="AFV521" s="9"/>
      <c r="AFW521" s="9"/>
      <c r="AFX521" s="9"/>
      <c r="AFY521" s="9"/>
      <c r="AFZ521" s="9"/>
      <c r="AGA521" s="9"/>
      <c r="AGB521" s="9"/>
      <c r="AGC521" s="9"/>
      <c r="AGD521" s="9"/>
      <c r="AGE521" s="9"/>
      <c r="AGF521" s="9"/>
      <c r="AGG521" s="9"/>
      <c r="AGH521" s="9"/>
      <c r="AGI521" s="9"/>
      <c r="AGJ521" s="9"/>
      <c r="AGK521" s="9"/>
      <c r="AGL521" s="9"/>
      <c r="AGM521" s="9"/>
      <c r="AGN521" s="9"/>
      <c r="AGO521" s="9"/>
      <c r="AGP521" s="9"/>
      <c r="AGQ521" s="9"/>
      <c r="AGR521" s="9"/>
      <c r="AGS521" s="9"/>
      <c r="AGT521" s="9"/>
      <c r="AGU521" s="9"/>
      <c r="AGV521" s="9"/>
      <c r="AGW521" s="9"/>
      <c r="AGX521" s="9"/>
      <c r="AGY521" s="9"/>
      <c r="AGZ521" s="9"/>
      <c r="AHA521" s="9"/>
      <c r="AHB521" s="9"/>
      <c r="AHC521" s="9"/>
      <c r="AHD521" s="9"/>
      <c r="AHE521" s="9"/>
      <c r="AHF521" s="9"/>
      <c r="AHG521" s="9"/>
      <c r="AHH521" s="9"/>
      <c r="AHI521" s="9"/>
      <c r="AHJ521" s="9"/>
      <c r="AHK521" s="9"/>
      <c r="AHL521" s="9"/>
      <c r="AHM521" s="9"/>
      <c r="AHN521" s="9"/>
      <c r="AHO521" s="9"/>
      <c r="AHP521" s="9"/>
      <c r="AHQ521" s="9"/>
      <c r="AHR521" s="9"/>
      <c r="AHS521" s="9"/>
      <c r="AHT521" s="9"/>
      <c r="AHU521" s="9"/>
      <c r="AHV521" s="9"/>
      <c r="AHW521" s="9"/>
      <c r="AHX521" s="9"/>
      <c r="AHY521" s="9"/>
      <c r="AHZ521" s="9"/>
      <c r="AIA521" s="9"/>
      <c r="AIB521" s="9"/>
      <c r="AIC521" s="9"/>
      <c r="AID521" s="9"/>
      <c r="AIE521" s="9"/>
      <c r="AIF521" s="9"/>
      <c r="AIG521" s="9"/>
      <c r="AIH521" s="9"/>
      <c r="AII521" s="9"/>
      <c r="AIJ521" s="9"/>
      <c r="AIK521" s="9"/>
      <c r="AIL521" s="9"/>
      <c r="AIM521" s="9"/>
      <c r="AIN521" s="9"/>
      <c r="AIO521" s="9"/>
      <c r="AIP521" s="9"/>
      <c r="AIQ521" s="9"/>
      <c r="AIR521" s="9"/>
      <c r="AIS521" s="9"/>
      <c r="AIT521" s="9"/>
      <c r="AIU521" s="9"/>
      <c r="AIV521" s="9"/>
      <c r="AIW521" s="9"/>
      <c r="AIX521" s="9"/>
      <c r="AIY521" s="9"/>
      <c r="AIZ521" s="9"/>
      <c r="AJA521" s="9"/>
      <c r="AJB521" s="9"/>
      <c r="AJC521" s="9"/>
      <c r="AJD521" s="9"/>
      <c r="AJE521" s="9"/>
      <c r="AJF521" s="9"/>
      <c r="AJG521" s="9"/>
      <c r="AJH521" s="9"/>
      <c r="AJI521" s="9"/>
      <c r="AJJ521" s="9"/>
      <c r="AJK521" s="9"/>
      <c r="AJL521" s="9"/>
      <c r="AJM521" s="9"/>
      <c r="AJN521" s="9"/>
      <c r="AJO521" s="9"/>
      <c r="AJP521" s="9"/>
      <c r="AJQ521" s="9"/>
      <c r="AJR521" s="9"/>
      <c r="AJS521" s="9"/>
      <c r="AJT521" s="9"/>
      <c r="AJU521" s="9"/>
      <c r="AJV521" s="9"/>
      <c r="AJW521" s="9"/>
      <c r="AJX521" s="9"/>
      <c r="AJY521" s="9"/>
      <c r="AJZ521" s="9"/>
      <c r="AKA521" s="9"/>
      <c r="AKB521" s="9"/>
      <c r="AKC521" s="9"/>
      <c r="AKD521" s="9"/>
      <c r="AKE521" s="9"/>
      <c r="AKF521" s="9"/>
      <c r="AKG521" s="9"/>
      <c r="AKH521" s="9"/>
      <c r="AKI521" s="9"/>
      <c r="AKJ521" s="9"/>
      <c r="AKK521" s="9"/>
      <c r="AKL521" s="9"/>
      <c r="AKM521" s="9"/>
      <c r="AKN521" s="9"/>
      <c r="AKO521" s="9"/>
      <c r="AKP521" s="9"/>
      <c r="AKQ521" s="9"/>
      <c r="AKR521" s="9"/>
      <c r="AKS521" s="9"/>
      <c r="AKT521" s="9"/>
      <c r="AKU521" s="9"/>
      <c r="AKV521" s="9"/>
      <c r="AKW521" s="9"/>
      <c r="AKX521" s="9"/>
      <c r="AKY521" s="9"/>
      <c r="AKZ521" s="9"/>
      <c r="ALA521" s="9"/>
      <c r="ALB521" s="9"/>
      <c r="ALC521" s="9"/>
      <c r="ALD521" s="9"/>
      <c r="ALE521" s="9"/>
      <c r="ALF521" s="9"/>
      <c r="ALG521" s="9"/>
      <c r="ALH521" s="9"/>
      <c r="ALI521" s="9"/>
      <c r="ALJ521" s="9"/>
      <c r="ALK521" s="9"/>
      <c r="ALL521" s="9"/>
      <c r="ALM521" s="9"/>
      <c r="ALN521" s="9"/>
      <c r="ALO521" s="9"/>
      <c r="ALP521" s="9"/>
      <c r="ALQ521" s="9"/>
      <c r="ALR521" s="9"/>
      <c r="ALS521" s="9"/>
      <c r="ALT521" s="9"/>
      <c r="ALU521" s="9"/>
      <c r="ALV521" s="9"/>
      <c r="ALW521" s="9"/>
      <c r="ALX521" s="9"/>
      <c r="ALY521" s="9"/>
      <c r="ALZ521" s="9"/>
      <c r="AMA521" s="9"/>
      <c r="AMB521" s="9"/>
      <c r="AMC521" s="9"/>
      <c r="AMD521" s="9"/>
      <c r="AME521" s="9"/>
      <c r="AMF521" s="9"/>
      <c r="AMG521" s="9"/>
      <c r="AMH521" s="9"/>
      <c r="AMI521" s="9"/>
      <c r="AMJ521" s="9"/>
      <c r="AMK521" s="9"/>
      <c r="AML521" s="9"/>
      <c r="AMM521" s="9"/>
      <c r="AMN521" s="9"/>
      <c r="AMO521" s="9"/>
      <c r="AMP521" s="9"/>
    </row>
    <row r="522" spans="1:1030" x14ac:dyDescent="0.2">
      <c r="A522" s="3" t="str">
        <f t="shared" si="4526"/>
        <v>smo_human__wt</v>
      </c>
      <c r="B522" s="3" t="s">
        <v>33</v>
      </c>
      <c r="C522" s="3" t="s">
        <v>100</v>
      </c>
      <c r="D522" s="3" t="str">
        <f>IFERROR(MID(VLOOKUP($B522,Seqs!$A:$B,2,0),E522,1),"")</f>
        <v>T</v>
      </c>
      <c r="E522" s="105">
        <v>223</v>
      </c>
      <c r="F522" s="3" t="str">
        <f>IFERROR(MID(VLOOKUP($B522,Seqs!$A:$B,2,0),G522,1),"")</f>
        <v>D</v>
      </c>
      <c r="G522" s="3">
        <v>255</v>
      </c>
      <c r="H522" s="3" t="str">
        <f>IFERROR(MID(VLOOKUP($B522,Seqs!$A:$B,2,0),I522,1),"")</f>
        <v>W</v>
      </c>
      <c r="I522" s="23">
        <v>256</v>
      </c>
      <c r="J522" s="3" t="str">
        <f>IFERROR(MID(VLOOKUP($B522,Seqs!$A:$B,2,0),K522,1),"")</f>
        <v>N</v>
      </c>
      <c r="K522" s="23">
        <v>260</v>
      </c>
      <c r="L522" s="3" t="str">
        <f>IFERROR(MID(VLOOKUP($B522,Seqs!$A:$B,2,0),M522,1),"")</f>
        <v>R</v>
      </c>
      <c r="M522" s="3">
        <v>261</v>
      </c>
      <c r="N522" s="3" t="str">
        <f>IFERROR(MID(VLOOKUP($B522,Seqs!$A:$B,2,0),O522,1),"")</f>
        <v>F</v>
      </c>
      <c r="O522" s="3">
        <v>285</v>
      </c>
      <c r="P522" s="3" t="str">
        <f>IFERROR(MID(VLOOKUP($B522,Seqs!$A:$B,2,0),Q522,1),"")</f>
        <v/>
      </c>
      <c r="Q522" s="3" t="s">
        <v>23</v>
      </c>
      <c r="R522" s="3" t="str">
        <f>IFERROR(MID(VLOOKUP($B522,Seqs!$A:$B,2,0),S522,1),"")</f>
        <v/>
      </c>
      <c r="S522" s="3" t="s">
        <v>23</v>
      </c>
      <c r="T522" s="3" t="str">
        <f>IFERROR(MID(VLOOKUP($B522,Seqs!$A:$B,2,0),U522,1),"")</f>
        <v>L</v>
      </c>
      <c r="U522" s="3">
        <v>312</v>
      </c>
      <c r="V522" s="3" t="str">
        <f>IFERROR(MID(VLOOKUP($B522,Seqs!$A:$B,2,0),W522,1),"")</f>
        <v>A</v>
      </c>
      <c r="W522" s="105">
        <v>345</v>
      </c>
      <c r="X522" s="3" t="str">
        <f>IFERROR(MID(VLOOKUP($B522,Seqs!$A:$B,2,0),Y522,1),"")</f>
        <v/>
      </c>
      <c r="Y522" s="3" t="s">
        <v>23</v>
      </c>
      <c r="Z522" s="3" t="str">
        <f>IFERROR(MID(VLOOKUP($B522,Seqs!$A:$B,2,0),AA522,1),"")</f>
        <v/>
      </c>
      <c r="AA522" s="3" t="s">
        <v>23</v>
      </c>
      <c r="AB522" s="3" t="str">
        <f>IFERROR(MID(VLOOKUP($B522,Seqs!$A:$B,2,0),AC522,1),"")</f>
        <v>K</v>
      </c>
      <c r="AC522" s="9">
        <v>356</v>
      </c>
      <c r="AD522" s="3" t="str">
        <f>IFERROR(MID(VLOOKUP($B522,Seqs!$A:$B,2,0),AE522,1),"")</f>
        <v>A</v>
      </c>
      <c r="AE522" s="105">
        <v>379</v>
      </c>
      <c r="AF522" s="3" t="str">
        <f>IFERROR(MID(VLOOKUP($B522,Seqs!$A:$B,2,0),AG522,1),"")</f>
        <v>C</v>
      </c>
      <c r="AG522" s="3">
        <v>390</v>
      </c>
      <c r="AH522" s="3" t="str">
        <f>IFERROR(MID(VLOOKUP($B522,Seqs!$A:$B,2,0),AI522,1),"")</f>
        <v>V</v>
      </c>
      <c r="AI522" s="3">
        <v>392</v>
      </c>
      <c r="AJ522" s="3" t="str">
        <f>IFERROR(MID(VLOOKUP($B522,Seqs!$A:$B,2,0),AK522,1),"")</f>
        <v>N</v>
      </c>
      <c r="AK522" s="105">
        <v>396</v>
      </c>
      <c r="AL522" s="3" t="str">
        <f>IFERROR(MID(VLOOKUP($B522,Seqs!$A:$B,2,0),AM522,1),"")</f>
        <v>H</v>
      </c>
      <c r="AM522" s="3">
        <v>433</v>
      </c>
      <c r="AN522" s="3" t="str">
        <f>IFERROR(MID(VLOOKUP($B522,Seqs!$A:$B,2,0),AO522,1),"")</f>
        <v>S</v>
      </c>
      <c r="AO522" s="105">
        <v>438</v>
      </c>
      <c r="AP522" s="3" t="str">
        <f>IFERROR(MID(VLOOKUP($B522,Seqs!$A:$B,2,0),AQ522,1),"")</f>
        <v>I</v>
      </c>
      <c r="AQ522" s="3">
        <v>496</v>
      </c>
      <c r="AR522" s="3" t="str">
        <f>IFERROR(MID(VLOOKUP($B522,Seqs!$A:$B,2,0),AS522,1),"")</f>
        <v>S</v>
      </c>
      <c r="AS522" s="105">
        <v>514</v>
      </c>
      <c r="AT522" s="3" t="str">
        <f>IFERROR(MID(VLOOKUP($B522,Seqs!$A:$B,2,0),AU522,1),"")</f>
        <v>W</v>
      </c>
      <c r="AU522" s="3">
        <v>537</v>
      </c>
      <c r="AV522" s="3" t="str">
        <f>IFERROR(MID(VLOOKUP($B522,Seqs!$A:$B,2,0),AW522,1),"")</f>
        <v>T</v>
      </c>
      <c r="AW522" s="3">
        <v>538</v>
      </c>
      <c r="AX522" s="3" t="str">
        <f>IFERROR(MID(VLOOKUP($B522,Seqs!$A:$B,2,0),AY522,1),"")</f>
        <v>T</v>
      </c>
      <c r="AY522" s="3">
        <v>553</v>
      </c>
      <c r="AZ522" s="77" t="str">
        <f>VLOOKUP(B522,Classification!A:D,2,0)</f>
        <v>F</v>
      </c>
      <c r="BA522" s="94" t="str">
        <f>VLOOKUP(B522,Classification!A:D,4,0)</f>
        <v>Frizzled</v>
      </c>
      <c r="BB522" s="27" t="b">
        <f t="shared" si="4527"/>
        <v>1</v>
      </c>
      <c r="BC522" s="23">
        <f t="shared" si="4416"/>
        <v>263</v>
      </c>
      <c r="BD522" s="56" t="s">
        <v>23</v>
      </c>
      <c r="BE522" s="3" t="s">
        <v>23</v>
      </c>
      <c r="BF522" s="118" t="s">
        <v>23</v>
      </c>
      <c r="BG522" s="49" t="s">
        <v>1366</v>
      </c>
      <c r="BH522" s="49" t="s">
        <v>1371</v>
      </c>
      <c r="BJ522" s="70" t="s">
        <v>1281</v>
      </c>
      <c r="BK522" s="57" t="s">
        <v>1281</v>
      </c>
      <c r="BL522" s="57" t="s">
        <v>1281</v>
      </c>
      <c r="BM522" s="57" t="s">
        <v>1281</v>
      </c>
      <c r="BN522" s="57" t="s">
        <v>1281</v>
      </c>
      <c r="BO522" s="57" t="s">
        <v>1281</v>
      </c>
      <c r="BP522" s="57" t="s">
        <v>1281</v>
      </c>
      <c r="BQ522" s="57" t="s">
        <v>1281</v>
      </c>
      <c r="BR522" s="57" t="s">
        <v>1281</v>
      </c>
      <c r="BS522" s="57" t="s">
        <v>1281</v>
      </c>
      <c r="BT522" s="57" t="s">
        <v>1281</v>
      </c>
      <c r="BU522" s="57" t="s">
        <v>1281</v>
      </c>
      <c r="BV522" s="70">
        <f t="shared" si="4417"/>
        <v>223</v>
      </c>
      <c r="BW522" s="71">
        <f t="shared" si="4418"/>
        <v>256</v>
      </c>
      <c r="BX522" s="72">
        <f t="shared" si="4419"/>
        <v>261</v>
      </c>
      <c r="BY522" s="71" t="str">
        <f t="shared" si="4420"/>
        <v>-</v>
      </c>
      <c r="BZ522" s="72">
        <f t="shared" si="4421"/>
        <v>312</v>
      </c>
      <c r="CA522" s="71" t="str">
        <f t="shared" si="4422"/>
        <v>-</v>
      </c>
      <c r="CB522" s="72">
        <f t="shared" si="4423"/>
        <v>356</v>
      </c>
      <c r="CC522" s="71">
        <f t="shared" si="4424"/>
        <v>390</v>
      </c>
      <c r="CD522" s="72">
        <f t="shared" si="4425"/>
        <v>396</v>
      </c>
      <c r="CE522" s="71">
        <f t="shared" si="4426"/>
        <v>438</v>
      </c>
      <c r="CF522" s="72">
        <f t="shared" si="4427"/>
        <v>514</v>
      </c>
      <c r="CG522" s="71">
        <f t="shared" si="4428"/>
        <v>538</v>
      </c>
      <c r="CH522" s="70">
        <f t="shared" si="4429"/>
        <v>255</v>
      </c>
      <c r="CI522" s="71">
        <f t="shared" si="4430"/>
        <v>260</v>
      </c>
      <c r="CJ522" s="72">
        <f t="shared" si="4431"/>
        <v>285</v>
      </c>
      <c r="CK522" s="72" t="str">
        <f t="shared" si="4432"/>
        <v>-</v>
      </c>
      <c r="CL522" s="72">
        <f t="shared" si="4433"/>
        <v>345</v>
      </c>
      <c r="CM522" s="72" t="str">
        <f t="shared" si="4434"/>
        <v>-</v>
      </c>
      <c r="CN522" s="72">
        <f t="shared" si="4435"/>
        <v>379</v>
      </c>
      <c r="CO522" s="72">
        <f t="shared" si="4436"/>
        <v>392</v>
      </c>
      <c r="CP522" s="72">
        <f t="shared" si="4437"/>
        <v>433</v>
      </c>
      <c r="CQ522" s="72">
        <f t="shared" si="4438"/>
        <v>496</v>
      </c>
      <c r="CR522" s="72">
        <f t="shared" si="4439"/>
        <v>537</v>
      </c>
      <c r="CS522" s="72">
        <f t="shared" si="4440"/>
        <v>553</v>
      </c>
      <c r="CT522" s="23">
        <f t="shared" si="4441"/>
        <v>1</v>
      </c>
    </row>
    <row r="523" spans="1:1030" x14ac:dyDescent="0.2">
      <c r="A523" s="3" t="str">
        <f t="shared" si="4526"/>
        <v>smo_human_4JKV</v>
      </c>
      <c r="B523" s="3" t="s">
        <v>33</v>
      </c>
      <c r="C523" s="3" t="s">
        <v>86</v>
      </c>
      <c r="D523" s="3" t="str">
        <f>IFERROR(MID(VLOOKUP($B523,Seqs!$A:$B,2,0),E523,1),"")</f>
        <v>T</v>
      </c>
      <c r="E523" s="105">
        <v>223</v>
      </c>
      <c r="F523" s="3" t="str">
        <f>IFERROR(MID(VLOOKUP($B523,Seqs!$A:$B,2,0),G523,1),"")</f>
        <v>D</v>
      </c>
      <c r="G523" s="3">
        <v>255</v>
      </c>
      <c r="H523" s="3" t="str">
        <f>IFERROR(MID(VLOOKUP($B523,Seqs!$A:$B,2,0),I523,1),"")</f>
        <v>W</v>
      </c>
      <c r="I523" s="23">
        <v>256</v>
      </c>
      <c r="J523" s="3" t="str">
        <f>IFERROR(MID(VLOOKUP($B523,Seqs!$A:$B,2,0),K523,1),"")</f>
        <v>N</v>
      </c>
      <c r="K523" s="23">
        <v>260</v>
      </c>
      <c r="L523" s="3" t="str">
        <f>IFERROR(MID(VLOOKUP($B523,Seqs!$A:$B,2,0),M523,1),"")</f>
        <v>R</v>
      </c>
      <c r="M523" s="3">
        <v>261</v>
      </c>
      <c r="N523" s="3" t="str">
        <f>IFERROR(MID(VLOOKUP($B523,Seqs!$A:$B,2,0),O523,1),"")</f>
        <v>F</v>
      </c>
      <c r="O523" s="3">
        <v>285</v>
      </c>
      <c r="P523" s="3" t="str">
        <f>IFERROR(MID(VLOOKUP($B523,Seqs!$A:$B,2,0),Q523,1),"")</f>
        <v/>
      </c>
      <c r="Q523" s="3" t="s">
        <v>23</v>
      </c>
      <c r="R523" s="3" t="str">
        <f>IFERROR(MID(VLOOKUP($B523,Seqs!$A:$B,2,0),S523,1),"")</f>
        <v/>
      </c>
      <c r="S523" s="3" t="s">
        <v>23</v>
      </c>
      <c r="T523" s="3" t="str">
        <f>IFERROR(MID(VLOOKUP($B523,Seqs!$A:$B,2,0),U523,1),"")</f>
        <v>L</v>
      </c>
      <c r="U523" s="3">
        <v>312</v>
      </c>
      <c r="V523" s="3" t="str">
        <f>IFERROR(MID(VLOOKUP($B523,Seqs!$A:$B,2,0),W523,1),"")</f>
        <v>T</v>
      </c>
      <c r="W523" s="3">
        <v>348</v>
      </c>
      <c r="X523" s="3" t="str">
        <f>IFERROR(MID(VLOOKUP($B523,Seqs!$A:$B,2,0),Y523,1),"")</f>
        <v/>
      </c>
      <c r="Y523" s="3" t="s">
        <v>23</v>
      </c>
      <c r="Z523" s="3" t="str">
        <f>IFERROR(MID(VLOOKUP($B523,Seqs!$A:$B,2,0),AA523,1),"")</f>
        <v/>
      </c>
      <c r="AA523" s="3" t="s">
        <v>23</v>
      </c>
      <c r="AB523" s="3" t="str">
        <f>IFERROR(MID(VLOOKUP($B523,Seqs!$A:$B,2,0),AC523,1),"")</f>
        <v>F</v>
      </c>
      <c r="AC523" s="9">
        <v>360</v>
      </c>
      <c r="AD523" s="3" t="str">
        <f>IFERROR(MID(VLOOKUP($B523,Seqs!$A:$B,2,0),AE523,1),"")</f>
        <v>A</v>
      </c>
      <c r="AE523" s="3">
        <v>379</v>
      </c>
      <c r="AF523" s="3" t="str">
        <f>IFERROR(MID(VLOOKUP($B523,Seqs!$A:$B,2,0),AG523,1),"")</f>
        <v>C</v>
      </c>
      <c r="AG523" s="3">
        <v>390</v>
      </c>
      <c r="AH523" s="3" t="str">
        <f>IFERROR(MID(VLOOKUP($B523,Seqs!$A:$B,2,0),AI523,1),"")</f>
        <v>V</v>
      </c>
      <c r="AI523" s="3">
        <v>392</v>
      </c>
      <c r="AJ523" s="3" t="str">
        <f>IFERROR(MID(VLOOKUP($B523,Seqs!$A:$B,2,0),AK523,1),"")</f>
        <v>N</v>
      </c>
      <c r="AK523" s="105">
        <v>396</v>
      </c>
      <c r="AL523" s="3" t="str">
        <f>IFERROR(MID(VLOOKUP($B523,Seqs!$A:$B,2,0),AM523,1),"")</f>
        <v>H</v>
      </c>
      <c r="AM523" s="3">
        <v>433</v>
      </c>
      <c r="AN523" s="3" t="str">
        <f>IFERROR(MID(VLOOKUP($B523,Seqs!$A:$B,2,0),AO523,1),"")</f>
        <v>A</v>
      </c>
      <c r="AO523" s="3">
        <v>442</v>
      </c>
      <c r="AP523" s="3" t="str">
        <f>IFERROR(MID(VLOOKUP($B523,Seqs!$A:$B,2,0),AQ523,1),"")</f>
        <v>N</v>
      </c>
      <c r="AQ523" s="3">
        <v>493</v>
      </c>
      <c r="AR523" s="3" t="str">
        <f>IFERROR(MID(VLOOKUP($B523,Seqs!$A:$B,2,0),AS523,1),"")</f>
        <v>S</v>
      </c>
      <c r="AS523" s="105">
        <v>514</v>
      </c>
      <c r="AT523" s="3" t="str">
        <f>IFERROR(MID(VLOOKUP($B523,Seqs!$A:$B,2,0),AU523,1),"")</f>
        <v>W</v>
      </c>
      <c r="AU523" s="3">
        <v>537</v>
      </c>
      <c r="AV523" s="3" t="str">
        <f>IFERROR(MID(VLOOKUP($B523,Seqs!$A:$B,2,0),AW523,1),"")</f>
        <v>T</v>
      </c>
      <c r="AW523" s="3">
        <v>538</v>
      </c>
      <c r="AX523" s="3" t="str">
        <f>IFERROR(MID(VLOOKUP($B523,Seqs!$A:$B,2,0),AY523,1),"")</f>
        <v>C</v>
      </c>
      <c r="AY523" s="3">
        <v>550</v>
      </c>
      <c r="AZ523" s="77" t="str">
        <f>VLOOKUP(B523,Classification!A:D,2,0)</f>
        <v>F</v>
      </c>
      <c r="BA523" s="94" t="str">
        <f>VLOOKUP(B523,Classification!A:D,4,0)</f>
        <v>Frizzled</v>
      </c>
      <c r="BB523" s="27" t="b">
        <f t="shared" si="4527"/>
        <v>1</v>
      </c>
      <c r="BC523" s="23">
        <f t="shared" si="4416"/>
        <v>252</v>
      </c>
      <c r="BD523" s="4" t="s">
        <v>23</v>
      </c>
      <c r="BE523" s="3" t="s">
        <v>1368</v>
      </c>
      <c r="BF523" s="118">
        <v>2.4500000000000002</v>
      </c>
      <c r="BG523" s="49" t="s">
        <v>1371</v>
      </c>
      <c r="BH523" s="49" t="s">
        <v>1371</v>
      </c>
      <c r="BJ523" s="70" t="s">
        <v>1281</v>
      </c>
      <c r="BK523" s="57" t="s">
        <v>1281</v>
      </c>
      <c r="BL523" s="57" t="s">
        <v>1281</v>
      </c>
      <c r="BM523" s="57" t="s">
        <v>1281</v>
      </c>
      <c r="BN523" s="57" t="s">
        <v>1281</v>
      </c>
      <c r="BO523" s="57" t="s">
        <v>1281</v>
      </c>
      <c r="BP523" s="57" t="s">
        <v>1281</v>
      </c>
      <c r="BQ523" s="57" t="s">
        <v>1281</v>
      </c>
      <c r="BR523" s="57" t="s">
        <v>1281</v>
      </c>
      <c r="BS523" s="57" t="s">
        <v>1281</v>
      </c>
      <c r="BT523" s="57" t="s">
        <v>1281</v>
      </c>
      <c r="BU523" s="57" t="s">
        <v>1281</v>
      </c>
      <c r="BV523" s="70">
        <f t="shared" si="4417"/>
        <v>223</v>
      </c>
      <c r="BW523" s="71">
        <f t="shared" si="4418"/>
        <v>256</v>
      </c>
      <c r="BX523" s="72">
        <f t="shared" si="4419"/>
        <v>261</v>
      </c>
      <c r="BY523" s="71" t="str">
        <f t="shared" si="4420"/>
        <v>-</v>
      </c>
      <c r="BZ523" s="72">
        <f t="shared" si="4421"/>
        <v>312</v>
      </c>
      <c r="CA523" s="71" t="str">
        <f t="shared" si="4422"/>
        <v>-</v>
      </c>
      <c r="CB523" s="72">
        <f t="shared" si="4423"/>
        <v>360</v>
      </c>
      <c r="CC523" s="71">
        <f t="shared" si="4424"/>
        <v>390</v>
      </c>
      <c r="CD523" s="72">
        <f t="shared" si="4425"/>
        <v>396</v>
      </c>
      <c r="CE523" s="71">
        <f t="shared" si="4426"/>
        <v>442</v>
      </c>
      <c r="CF523" s="72">
        <f t="shared" si="4427"/>
        <v>514</v>
      </c>
      <c r="CG523" s="71">
        <f t="shared" si="4428"/>
        <v>538</v>
      </c>
      <c r="CH523" s="70">
        <f t="shared" si="4429"/>
        <v>255</v>
      </c>
      <c r="CI523" s="71">
        <f t="shared" si="4430"/>
        <v>260</v>
      </c>
      <c r="CJ523" s="72">
        <f t="shared" si="4431"/>
        <v>285</v>
      </c>
      <c r="CK523" s="72" t="str">
        <f t="shared" si="4432"/>
        <v>-</v>
      </c>
      <c r="CL523" s="72">
        <f t="shared" si="4433"/>
        <v>348</v>
      </c>
      <c r="CM523" s="72" t="str">
        <f t="shared" si="4434"/>
        <v>-</v>
      </c>
      <c r="CN523" s="72">
        <f t="shared" si="4435"/>
        <v>379</v>
      </c>
      <c r="CO523" s="72">
        <f t="shared" si="4436"/>
        <v>392</v>
      </c>
      <c r="CP523" s="72">
        <f t="shared" si="4437"/>
        <v>433</v>
      </c>
      <c r="CQ523" s="72">
        <f t="shared" si="4438"/>
        <v>493</v>
      </c>
      <c r="CR523" s="72">
        <f t="shared" si="4439"/>
        <v>537</v>
      </c>
      <c r="CS523" s="72">
        <f t="shared" si="4440"/>
        <v>550</v>
      </c>
      <c r="CT523" s="23">
        <f t="shared" si="4441"/>
        <v>1</v>
      </c>
    </row>
    <row r="524" spans="1:1030" x14ac:dyDescent="0.2">
      <c r="A524" s="3" t="str">
        <f t="shared" si="4526"/>
        <v>smo_human_4N4W</v>
      </c>
      <c r="B524" s="3" t="s">
        <v>33</v>
      </c>
      <c r="C524" s="3" t="s">
        <v>1041</v>
      </c>
      <c r="D524" s="3" t="str">
        <f>IFERROR(MID(VLOOKUP($B524,Seqs!$A:$B,2,0),E524,1),"")</f>
        <v>T</v>
      </c>
      <c r="E524" s="105">
        <v>223</v>
      </c>
      <c r="F524" s="3" t="str">
        <f>IFERROR(MID(VLOOKUP($B524,Seqs!$A:$B,2,0),G524,1),"")</f>
        <v>D</v>
      </c>
      <c r="G524" s="3">
        <v>255</v>
      </c>
      <c r="H524" s="3" t="str">
        <f>IFERROR(MID(VLOOKUP($B524,Seqs!$A:$B,2,0),I524,1),"")</f>
        <v>W</v>
      </c>
      <c r="I524" s="23">
        <v>256</v>
      </c>
      <c r="J524" s="3" t="str">
        <f>IFERROR(MID(VLOOKUP($B524,Seqs!$A:$B,2,0),K524,1),"")</f>
        <v>N</v>
      </c>
      <c r="K524" s="23">
        <v>260</v>
      </c>
      <c r="L524" s="3" t="str">
        <f>IFERROR(MID(VLOOKUP($B524,Seqs!$A:$B,2,0),M524,1),"")</f>
        <v>R</v>
      </c>
      <c r="M524" s="3">
        <v>261</v>
      </c>
      <c r="N524" s="3" t="str">
        <f>IFERROR(MID(VLOOKUP($B524,Seqs!$A:$B,2,0),O524,1),"")</f>
        <v>F</v>
      </c>
      <c r="O524" s="3">
        <v>285</v>
      </c>
      <c r="P524" s="3" t="str">
        <f>IFERROR(MID(VLOOKUP($B524,Seqs!$A:$B,2,0),Q524,1),"")</f>
        <v/>
      </c>
      <c r="Q524" s="3" t="s">
        <v>23</v>
      </c>
      <c r="R524" s="3" t="str">
        <f>IFERROR(MID(VLOOKUP($B524,Seqs!$A:$B,2,0),S524,1),"")</f>
        <v/>
      </c>
      <c r="S524" s="3" t="s">
        <v>23</v>
      </c>
      <c r="T524" s="3" t="str">
        <f>IFERROR(MID(VLOOKUP($B524,Seqs!$A:$B,2,0),U524,1),"")</f>
        <v>L</v>
      </c>
      <c r="U524" s="3">
        <v>312</v>
      </c>
      <c r="V524" s="3" t="str">
        <f>IFERROR(MID(VLOOKUP($B524,Seqs!$A:$B,2,0),W524,1),"")</f>
        <v>A</v>
      </c>
      <c r="W524" s="3">
        <v>345</v>
      </c>
      <c r="X524" s="3" t="str">
        <f>IFERROR(MID(VLOOKUP($B524,Seqs!$A:$B,2,0),Y524,1),"")</f>
        <v/>
      </c>
      <c r="Y524" s="3" t="s">
        <v>23</v>
      </c>
      <c r="Z524" s="3" t="str">
        <f>IFERROR(MID(VLOOKUP($B524,Seqs!$A:$B,2,0),AA524,1),"")</f>
        <v/>
      </c>
      <c r="AA524" s="3" t="s">
        <v>23</v>
      </c>
      <c r="AB524" s="3" t="str">
        <f>IFERROR(MID(VLOOKUP($B524,Seqs!$A:$B,2,0),AC524,1),"")</f>
        <v>K</v>
      </c>
      <c r="AC524" s="9">
        <v>356</v>
      </c>
      <c r="AD524" s="3" t="str">
        <f>IFERROR(MID(VLOOKUP($B524,Seqs!$A:$B,2,0),AE524,1),"")</f>
        <v>V</v>
      </c>
      <c r="AE524" s="3">
        <v>378</v>
      </c>
      <c r="AF524" s="3" t="str">
        <f>IFERROR(MID(VLOOKUP($B524,Seqs!$A:$B,2,0),AG524,1),"")</f>
        <v>C</v>
      </c>
      <c r="AG524" s="3">
        <v>390</v>
      </c>
      <c r="AH524" s="3" t="str">
        <f>IFERROR(MID(VLOOKUP($B524,Seqs!$A:$B,2,0),AI524,1),"")</f>
        <v>V</v>
      </c>
      <c r="AI524" s="3">
        <v>392</v>
      </c>
      <c r="AJ524" s="3" t="str">
        <f>IFERROR(MID(VLOOKUP($B524,Seqs!$A:$B,2,0),AK524,1),"")</f>
        <v>N</v>
      </c>
      <c r="AK524" s="105">
        <v>396</v>
      </c>
      <c r="AL524" s="3" t="str">
        <f>IFERROR(MID(VLOOKUP($B524,Seqs!$A:$B,2,0),AM524,1),"")</f>
        <v>H</v>
      </c>
      <c r="AM524" s="3">
        <v>433</v>
      </c>
      <c r="AN524" s="3" t="str">
        <f>IFERROR(MID(VLOOKUP($B524,Seqs!$A:$B,2,0),AO524,1),"")</f>
        <v>S</v>
      </c>
      <c r="AO524" s="3">
        <v>443</v>
      </c>
      <c r="AP524" s="3" t="str">
        <f>IFERROR(MID(VLOOKUP($B524,Seqs!$A:$B,2,0),AQ524,1),"")</f>
        <v>Q</v>
      </c>
      <c r="AQ524" s="3">
        <v>491</v>
      </c>
      <c r="AR524" s="3" t="str">
        <f>IFERROR(MID(VLOOKUP($B524,Seqs!$A:$B,2,0),AS524,1),"")</f>
        <v>S</v>
      </c>
      <c r="AS524" s="105">
        <v>514</v>
      </c>
      <c r="AT524" s="3" t="str">
        <f>IFERROR(MID(VLOOKUP($B524,Seqs!$A:$B,2,0),AU524,1),"")</f>
        <v>W</v>
      </c>
      <c r="AU524" s="3">
        <v>537</v>
      </c>
      <c r="AV524" s="3" t="str">
        <f>IFERROR(MID(VLOOKUP($B524,Seqs!$A:$B,2,0),AW524,1),"")</f>
        <v>T</v>
      </c>
      <c r="AW524" s="3">
        <v>538</v>
      </c>
      <c r="AX524" s="3" t="str">
        <f>IFERROR(MID(VLOOKUP($B524,Seqs!$A:$B,2,0),AY524,1),"")</f>
        <v>L</v>
      </c>
      <c r="AY524" s="3">
        <v>552</v>
      </c>
      <c r="AZ524" s="77" t="str">
        <f>VLOOKUP(B524,Classification!A:D,2,0)</f>
        <v>F</v>
      </c>
      <c r="BA524" s="94" t="str">
        <f>VLOOKUP(B524,Classification!A:D,4,0)</f>
        <v>Frizzled</v>
      </c>
      <c r="BB524" s="27" t="b">
        <f t="shared" si="4527"/>
        <v>1</v>
      </c>
      <c r="BC524" s="23">
        <f t="shared" si="4416"/>
        <v>251</v>
      </c>
      <c r="BD524" s="2" t="s">
        <v>23</v>
      </c>
      <c r="BE524" s="3" t="s">
        <v>1368</v>
      </c>
      <c r="BF524" s="118">
        <v>2.8</v>
      </c>
      <c r="BG524" s="49" t="s">
        <v>1371</v>
      </c>
      <c r="BH524" s="49" t="s">
        <v>1371</v>
      </c>
      <c r="BJ524" s="70" t="s">
        <v>1281</v>
      </c>
      <c r="BK524" s="57" t="s">
        <v>1281</v>
      </c>
      <c r="BL524" s="57" t="s">
        <v>1281</v>
      </c>
      <c r="BM524" s="57" t="s">
        <v>1281</v>
      </c>
      <c r="BN524" s="57" t="s">
        <v>1281</v>
      </c>
      <c r="BO524" s="57" t="s">
        <v>1281</v>
      </c>
      <c r="BP524" s="57" t="s">
        <v>1281</v>
      </c>
      <c r="BQ524" s="57" t="s">
        <v>1281</v>
      </c>
      <c r="BR524" s="57" t="s">
        <v>1281</v>
      </c>
      <c r="BS524" s="57" t="s">
        <v>1281</v>
      </c>
      <c r="BT524" s="57" t="s">
        <v>1281</v>
      </c>
      <c r="BU524" s="57" t="s">
        <v>1281</v>
      </c>
      <c r="BV524" s="70">
        <f t="shared" si="4417"/>
        <v>223</v>
      </c>
      <c r="BW524" s="71">
        <f t="shared" si="4418"/>
        <v>256</v>
      </c>
      <c r="BX524" s="72">
        <f t="shared" si="4419"/>
        <v>261</v>
      </c>
      <c r="BY524" s="71" t="str">
        <f t="shared" si="4420"/>
        <v>-</v>
      </c>
      <c r="BZ524" s="72">
        <f t="shared" si="4421"/>
        <v>312</v>
      </c>
      <c r="CA524" s="71" t="str">
        <f t="shared" si="4422"/>
        <v>-</v>
      </c>
      <c r="CB524" s="72">
        <f t="shared" si="4423"/>
        <v>356</v>
      </c>
      <c r="CC524" s="71">
        <f t="shared" si="4424"/>
        <v>390</v>
      </c>
      <c r="CD524" s="72">
        <f t="shared" si="4425"/>
        <v>396</v>
      </c>
      <c r="CE524" s="71">
        <f t="shared" si="4426"/>
        <v>443</v>
      </c>
      <c r="CF524" s="72">
        <f t="shared" si="4427"/>
        <v>514</v>
      </c>
      <c r="CG524" s="71">
        <f t="shared" si="4428"/>
        <v>538</v>
      </c>
      <c r="CH524" s="70">
        <f t="shared" si="4429"/>
        <v>255</v>
      </c>
      <c r="CI524" s="71">
        <f t="shared" si="4430"/>
        <v>260</v>
      </c>
      <c r="CJ524" s="72">
        <f t="shared" si="4431"/>
        <v>285</v>
      </c>
      <c r="CK524" s="72" t="str">
        <f t="shared" si="4432"/>
        <v>-</v>
      </c>
      <c r="CL524" s="72">
        <f t="shared" si="4433"/>
        <v>345</v>
      </c>
      <c r="CM524" s="72" t="str">
        <f t="shared" si="4434"/>
        <v>-</v>
      </c>
      <c r="CN524" s="72">
        <f t="shared" si="4435"/>
        <v>378</v>
      </c>
      <c r="CO524" s="72">
        <f t="shared" si="4436"/>
        <v>392</v>
      </c>
      <c r="CP524" s="72">
        <f t="shared" si="4437"/>
        <v>433</v>
      </c>
      <c r="CQ524" s="72">
        <f t="shared" si="4438"/>
        <v>491</v>
      </c>
      <c r="CR524" s="72">
        <f t="shared" si="4439"/>
        <v>537</v>
      </c>
      <c r="CS524" s="72">
        <f t="shared" si="4440"/>
        <v>552</v>
      </c>
      <c r="CT524" s="23">
        <f t="shared" si="4441"/>
        <v>1</v>
      </c>
    </row>
    <row r="525" spans="1:1030" x14ac:dyDescent="0.2">
      <c r="A525" s="3" t="str">
        <f t="shared" si="4526"/>
        <v>smo_human_4O9R</v>
      </c>
      <c r="B525" s="3" t="s">
        <v>33</v>
      </c>
      <c r="C525" s="3" t="s">
        <v>1043</v>
      </c>
      <c r="D525" s="3" t="str">
        <f>IFERROR(MID(VLOOKUP($B525,Seqs!$A:$B,2,0),E525,1),"")</f>
        <v>T</v>
      </c>
      <c r="E525" s="105">
        <v>223</v>
      </c>
      <c r="F525" s="3" t="str">
        <f>IFERROR(MID(VLOOKUP($B525,Seqs!$A:$B,2,0),G525,1),"")</f>
        <v>D</v>
      </c>
      <c r="G525" s="3">
        <v>255</v>
      </c>
      <c r="H525" s="3" t="str">
        <f>IFERROR(MID(VLOOKUP($B525,Seqs!$A:$B,2,0),I525,1),"")</f>
        <v>W</v>
      </c>
      <c r="I525" s="23">
        <v>256</v>
      </c>
      <c r="J525" s="3" t="str">
        <f>IFERROR(MID(VLOOKUP($B525,Seqs!$A:$B,2,0),K525,1),"")</f>
        <v>N</v>
      </c>
      <c r="K525" s="23">
        <v>260</v>
      </c>
      <c r="L525" s="3" t="str">
        <f>IFERROR(MID(VLOOKUP($B525,Seqs!$A:$B,2,0),M525,1),"")</f>
        <v>R</v>
      </c>
      <c r="M525" s="3">
        <v>261</v>
      </c>
      <c r="N525" s="3" t="str">
        <f>IFERROR(MID(VLOOKUP($B525,Seqs!$A:$B,2,0),O525,1),"")</f>
        <v>F</v>
      </c>
      <c r="O525" s="3">
        <v>285</v>
      </c>
      <c r="P525" s="3" t="str">
        <f>IFERROR(MID(VLOOKUP($B525,Seqs!$A:$B,2,0),Q525,1),"")</f>
        <v/>
      </c>
      <c r="Q525" s="3" t="s">
        <v>23</v>
      </c>
      <c r="R525" s="3" t="str">
        <f>IFERROR(MID(VLOOKUP($B525,Seqs!$A:$B,2,0),S525,1),"")</f>
        <v/>
      </c>
      <c r="S525" s="3" t="s">
        <v>23</v>
      </c>
      <c r="T525" s="3" t="str">
        <f>IFERROR(MID(VLOOKUP($B525,Seqs!$A:$B,2,0),U525,1),"")</f>
        <v>L</v>
      </c>
      <c r="U525" s="3">
        <v>312</v>
      </c>
      <c r="V525" s="3" t="str">
        <f>IFERROR(MID(VLOOKUP($B525,Seqs!$A:$B,2,0),W525,1),"")</f>
        <v>F</v>
      </c>
      <c r="W525" s="3">
        <v>343</v>
      </c>
      <c r="X525" s="3" t="str">
        <f>IFERROR(MID(VLOOKUP($B525,Seqs!$A:$B,2,0),Y525,1),"")</f>
        <v/>
      </c>
      <c r="Y525" s="3" t="s">
        <v>23</v>
      </c>
      <c r="Z525" s="3" t="str">
        <f>IFERROR(MID(VLOOKUP($B525,Seqs!$A:$B,2,0),AA525,1),"")</f>
        <v/>
      </c>
      <c r="AA525" s="3" t="s">
        <v>23</v>
      </c>
      <c r="AB525" s="3" t="str">
        <f>IFERROR(MID(VLOOKUP($B525,Seqs!$A:$B,2,0),AC525,1),"")</f>
        <v>F</v>
      </c>
      <c r="AC525" s="9">
        <v>360</v>
      </c>
      <c r="AD525" s="3" t="str">
        <f>IFERROR(MID(VLOOKUP($B525,Seqs!$A:$B,2,0),AE525,1),"")</f>
        <v>V</v>
      </c>
      <c r="AE525" s="3">
        <v>378</v>
      </c>
      <c r="AF525" s="3" t="str">
        <f>IFERROR(MID(VLOOKUP($B525,Seqs!$A:$B,2,0),AG525,1),"")</f>
        <v>C</v>
      </c>
      <c r="AG525" s="3">
        <v>390</v>
      </c>
      <c r="AH525" s="3" t="str">
        <f>IFERROR(MID(VLOOKUP($B525,Seqs!$A:$B,2,0),AI525,1),"")</f>
        <v>V</v>
      </c>
      <c r="AI525" s="3">
        <v>392</v>
      </c>
      <c r="AJ525" s="3" t="str">
        <f>IFERROR(MID(VLOOKUP($B525,Seqs!$A:$B,2,0),AK525,1),"")</f>
        <v>N</v>
      </c>
      <c r="AK525" s="105">
        <v>396</v>
      </c>
      <c r="AL525" s="3" t="str">
        <f>IFERROR(MID(VLOOKUP($B525,Seqs!$A:$B,2,0),AM525,1),"")</f>
        <v>H</v>
      </c>
      <c r="AM525" s="3">
        <v>433</v>
      </c>
      <c r="AN525" s="3" t="str">
        <f>IFERROR(MID(VLOOKUP($B525,Seqs!$A:$B,2,0),AO525,1),"")</f>
        <v>E</v>
      </c>
      <c r="AO525" s="3">
        <v>447</v>
      </c>
      <c r="AP525" s="3" t="str">
        <f>IFERROR(MID(VLOOKUP($B525,Seqs!$A:$B,2,0),AQ525,1),"")</f>
        <v>N</v>
      </c>
      <c r="AQ525" s="3">
        <v>493</v>
      </c>
      <c r="AR525" s="3" t="str">
        <f>IFERROR(MID(VLOOKUP($B525,Seqs!$A:$B,2,0),AS525,1),"")</f>
        <v>S</v>
      </c>
      <c r="AS525" s="105">
        <v>514</v>
      </c>
      <c r="AT525" s="3" t="str">
        <f>IFERROR(MID(VLOOKUP($B525,Seqs!$A:$B,2,0),AU525,1),"")</f>
        <v>W</v>
      </c>
      <c r="AU525" s="3">
        <v>537</v>
      </c>
      <c r="AV525" s="3" t="str">
        <f>IFERROR(MID(VLOOKUP($B525,Seqs!$A:$B,2,0),AW525,1),"")</f>
        <v>T</v>
      </c>
      <c r="AW525" s="3">
        <v>538</v>
      </c>
      <c r="AX525" s="3" t="str">
        <f>IFERROR(MID(VLOOKUP($B525,Seqs!$A:$B,2,0),AY525,1),"")</f>
        <v>W</v>
      </c>
      <c r="AY525" s="3">
        <v>549</v>
      </c>
      <c r="AZ525" s="78" t="str">
        <f>VLOOKUP(B525,Classification!A:D,2,0)</f>
        <v>F</v>
      </c>
      <c r="BA525" s="94" t="str">
        <f>VLOOKUP(B525,Classification!A:D,4,0)</f>
        <v>Frizzled</v>
      </c>
      <c r="BB525" s="92" t="b">
        <f t="shared" si="4527"/>
        <v>1</v>
      </c>
      <c r="BC525" s="23">
        <f t="shared" si="4416"/>
        <v>240</v>
      </c>
      <c r="BD525" s="74" t="s">
        <v>23</v>
      </c>
      <c r="BE525" s="3" t="s">
        <v>1368</v>
      </c>
      <c r="BF525" s="118">
        <v>3.2</v>
      </c>
      <c r="BG525" s="49" t="s">
        <v>1371</v>
      </c>
      <c r="BH525" s="49" t="s">
        <v>1371</v>
      </c>
      <c r="BJ525" s="75" t="s">
        <v>1281</v>
      </c>
      <c r="BK525" s="57" t="s">
        <v>1281</v>
      </c>
      <c r="BL525" s="57" t="s">
        <v>1281</v>
      </c>
      <c r="BM525" s="57" t="s">
        <v>1281</v>
      </c>
      <c r="BN525" s="57" t="s">
        <v>1281</v>
      </c>
      <c r="BO525" s="57" t="s">
        <v>1281</v>
      </c>
      <c r="BP525" s="57" t="s">
        <v>1281</v>
      </c>
      <c r="BQ525" s="57" t="s">
        <v>1281</v>
      </c>
      <c r="BR525" s="57" t="s">
        <v>1281</v>
      </c>
      <c r="BS525" s="57" t="s">
        <v>1281</v>
      </c>
      <c r="BT525" s="57" t="s">
        <v>1281</v>
      </c>
      <c r="BU525" s="57" t="s">
        <v>1281</v>
      </c>
      <c r="BV525" s="75">
        <f t="shared" si="4417"/>
        <v>223</v>
      </c>
      <c r="BW525" s="71">
        <f t="shared" si="4418"/>
        <v>256</v>
      </c>
      <c r="BX525" s="72">
        <f t="shared" si="4419"/>
        <v>261</v>
      </c>
      <c r="BY525" s="71" t="str">
        <f t="shared" si="4420"/>
        <v>-</v>
      </c>
      <c r="BZ525" s="72">
        <f t="shared" si="4421"/>
        <v>312</v>
      </c>
      <c r="CA525" s="71" t="str">
        <f t="shared" si="4422"/>
        <v>-</v>
      </c>
      <c r="CB525" s="72">
        <f t="shared" si="4423"/>
        <v>360</v>
      </c>
      <c r="CC525" s="71">
        <f t="shared" si="4424"/>
        <v>390</v>
      </c>
      <c r="CD525" s="72">
        <f t="shared" si="4425"/>
        <v>396</v>
      </c>
      <c r="CE525" s="71">
        <f t="shared" si="4426"/>
        <v>447</v>
      </c>
      <c r="CF525" s="72">
        <f t="shared" si="4427"/>
        <v>514</v>
      </c>
      <c r="CG525" s="71">
        <f t="shared" si="4428"/>
        <v>538</v>
      </c>
      <c r="CH525" s="75">
        <f t="shared" si="4429"/>
        <v>255</v>
      </c>
      <c r="CI525" s="71">
        <f t="shared" si="4430"/>
        <v>260</v>
      </c>
      <c r="CJ525" s="72">
        <f t="shared" si="4431"/>
        <v>285</v>
      </c>
      <c r="CK525" s="72" t="str">
        <f t="shared" si="4432"/>
        <v>-</v>
      </c>
      <c r="CL525" s="72">
        <f t="shared" si="4433"/>
        <v>343</v>
      </c>
      <c r="CM525" s="72" t="str">
        <f t="shared" si="4434"/>
        <v>-</v>
      </c>
      <c r="CN525" s="72">
        <f t="shared" si="4435"/>
        <v>378</v>
      </c>
      <c r="CO525" s="72">
        <f t="shared" si="4436"/>
        <v>392</v>
      </c>
      <c r="CP525" s="72">
        <f t="shared" si="4437"/>
        <v>433</v>
      </c>
      <c r="CQ525" s="72">
        <f t="shared" si="4438"/>
        <v>493</v>
      </c>
      <c r="CR525" s="72">
        <f t="shared" si="4439"/>
        <v>537</v>
      </c>
      <c r="CS525" s="72">
        <f t="shared" si="4440"/>
        <v>549</v>
      </c>
      <c r="CT525" s="23">
        <f t="shared" si="4441"/>
        <v>1</v>
      </c>
    </row>
    <row r="526" spans="1:1030" s="6" customFormat="1" x14ac:dyDescent="0.2">
      <c r="A526" s="3" t="str">
        <f t="shared" si="4526"/>
        <v>smo_human_4QIM</v>
      </c>
      <c r="B526" s="3" t="s">
        <v>33</v>
      </c>
      <c r="C526" s="3" t="s">
        <v>1045</v>
      </c>
      <c r="D526" s="3" t="str">
        <f>IFERROR(MID(VLOOKUP($B526,Seqs!$A:$B,2,0),E526,1),"")</f>
        <v>T</v>
      </c>
      <c r="E526" s="105">
        <v>223</v>
      </c>
      <c r="F526" s="3" t="str">
        <f>IFERROR(MID(VLOOKUP($B526,Seqs!$A:$B,2,0),G526,1),"")</f>
        <v>D</v>
      </c>
      <c r="G526" s="3">
        <v>255</v>
      </c>
      <c r="H526" s="3" t="str">
        <f>IFERROR(MID(VLOOKUP($B526,Seqs!$A:$B,2,0),I526,1),"")</f>
        <v>W</v>
      </c>
      <c r="I526" s="23">
        <v>256</v>
      </c>
      <c r="J526" s="3" t="str">
        <f>IFERROR(MID(VLOOKUP($B526,Seqs!$A:$B,2,0),K526,1),"")</f>
        <v>N</v>
      </c>
      <c r="K526" s="23">
        <v>260</v>
      </c>
      <c r="L526" s="3" t="str">
        <f>IFERROR(MID(VLOOKUP($B526,Seqs!$A:$B,2,0),M526,1),"")</f>
        <v>R</v>
      </c>
      <c r="M526" s="3">
        <v>261</v>
      </c>
      <c r="N526" s="3" t="str">
        <f>IFERROR(MID(VLOOKUP($B526,Seqs!$A:$B,2,0),O526,1),"")</f>
        <v>F</v>
      </c>
      <c r="O526" s="3">
        <v>285</v>
      </c>
      <c r="P526" s="3" t="str">
        <f>IFERROR(MID(VLOOKUP($B526,Seqs!$A:$B,2,0),Q526,1),"")</f>
        <v/>
      </c>
      <c r="Q526" s="3" t="s">
        <v>23</v>
      </c>
      <c r="R526" s="3" t="str">
        <f>IFERROR(MID(VLOOKUP($B526,Seqs!$A:$B,2,0),S526,1),"")</f>
        <v/>
      </c>
      <c r="S526" s="3" t="s">
        <v>23</v>
      </c>
      <c r="T526" s="3" t="str">
        <f>IFERROR(MID(VLOOKUP($B526,Seqs!$A:$B,2,0),U526,1),"")</f>
        <v>L</v>
      </c>
      <c r="U526" s="3">
        <v>312</v>
      </c>
      <c r="V526" s="3" t="str">
        <f>IFERROR(MID(VLOOKUP($B526,Seqs!$A:$B,2,0),W526,1),"")</f>
        <v>A</v>
      </c>
      <c r="W526" s="3">
        <v>345</v>
      </c>
      <c r="X526" s="3" t="str">
        <f>IFERROR(MID(VLOOKUP($B526,Seqs!$A:$B,2,0),Y526,1),"")</f>
        <v/>
      </c>
      <c r="Y526" s="3" t="s">
        <v>23</v>
      </c>
      <c r="Z526" s="3" t="str">
        <f>IFERROR(MID(VLOOKUP($B526,Seqs!$A:$B,2,0),AA526,1),"")</f>
        <v/>
      </c>
      <c r="AA526" s="3" t="s">
        <v>23</v>
      </c>
      <c r="AB526" s="3" t="str">
        <f>IFERROR(MID(VLOOKUP($B526,Seqs!$A:$B,2,0),AC526,1),"")</f>
        <v>K</v>
      </c>
      <c r="AC526" s="9">
        <v>356</v>
      </c>
      <c r="AD526" s="3" t="str">
        <f>IFERROR(MID(VLOOKUP($B526,Seqs!$A:$B,2,0),AE526,1),"")</f>
        <v>V</v>
      </c>
      <c r="AE526" s="3">
        <v>378</v>
      </c>
      <c r="AF526" s="3" t="str">
        <f>IFERROR(MID(VLOOKUP($B526,Seqs!$A:$B,2,0),AG526,1),"")</f>
        <v>C</v>
      </c>
      <c r="AG526" s="3">
        <v>390</v>
      </c>
      <c r="AH526" s="3" t="str">
        <f>IFERROR(MID(VLOOKUP($B526,Seqs!$A:$B,2,0),AI526,1),"")</f>
        <v>V</v>
      </c>
      <c r="AI526" s="3">
        <v>392</v>
      </c>
      <c r="AJ526" s="3" t="str">
        <f>IFERROR(MID(VLOOKUP($B526,Seqs!$A:$B,2,0),AK526,1),"")</f>
        <v>N</v>
      </c>
      <c r="AK526" s="105">
        <v>396</v>
      </c>
      <c r="AL526" s="3" t="str">
        <f>IFERROR(MID(VLOOKUP($B526,Seqs!$A:$B,2,0),AM526,1),"")</f>
        <v>H</v>
      </c>
      <c r="AM526" s="3">
        <v>433</v>
      </c>
      <c r="AN526" s="3" t="str">
        <f>IFERROR(MID(VLOOKUP($B526,Seqs!$A:$B,2,0),AO526,1),"")</f>
        <v>E</v>
      </c>
      <c r="AO526" s="3">
        <v>447</v>
      </c>
      <c r="AP526" s="3" t="str">
        <f>IFERROR(MID(VLOOKUP($B526,Seqs!$A:$B,2,0),AQ526,1),"")</f>
        <v>N</v>
      </c>
      <c r="AQ526" s="3">
        <v>493</v>
      </c>
      <c r="AR526" s="3" t="str">
        <f>IFERROR(MID(VLOOKUP($B526,Seqs!$A:$B,2,0),AS526,1),"")</f>
        <v>S</v>
      </c>
      <c r="AS526" s="105">
        <v>514</v>
      </c>
      <c r="AT526" s="3" t="str">
        <f>IFERROR(MID(VLOOKUP($B526,Seqs!$A:$B,2,0),AU526,1),"")</f>
        <v>W</v>
      </c>
      <c r="AU526" s="3">
        <v>537</v>
      </c>
      <c r="AV526" s="3" t="str">
        <f>IFERROR(MID(VLOOKUP($B526,Seqs!$A:$B,2,0),AW526,1),"")</f>
        <v>T</v>
      </c>
      <c r="AW526" s="3">
        <v>538</v>
      </c>
      <c r="AX526" s="3" t="str">
        <f>IFERROR(MID(VLOOKUP($B526,Seqs!$A:$B,2,0),AY526,1),"")</f>
        <v>T</v>
      </c>
      <c r="AY526" s="3">
        <v>553</v>
      </c>
      <c r="AZ526" s="78" t="str">
        <f>VLOOKUP(B526,Classification!A:D,2,0)</f>
        <v>F</v>
      </c>
      <c r="BA526" s="94" t="str">
        <f>VLOOKUP(B526,Classification!A:D,4,0)</f>
        <v>Frizzled</v>
      </c>
      <c r="BB526" s="92" t="b">
        <f t="shared" si="4527"/>
        <v>1</v>
      </c>
      <c r="BC526" s="23">
        <f t="shared" si="4416"/>
        <v>250</v>
      </c>
      <c r="BD526" s="74" t="s">
        <v>23</v>
      </c>
      <c r="BE526" s="3" t="s">
        <v>1368</v>
      </c>
      <c r="BF526" s="118">
        <v>2.61</v>
      </c>
      <c r="BG526" s="49" t="s">
        <v>1371</v>
      </c>
      <c r="BH526" s="49" t="s">
        <v>1371</v>
      </c>
      <c r="BI526" s="3"/>
      <c r="BJ526" s="75" t="s">
        <v>1281</v>
      </c>
      <c r="BK526" s="57" t="s">
        <v>1281</v>
      </c>
      <c r="BL526" s="57" t="s">
        <v>1281</v>
      </c>
      <c r="BM526" s="57" t="s">
        <v>1281</v>
      </c>
      <c r="BN526" s="57" t="s">
        <v>1281</v>
      </c>
      <c r="BO526" s="57" t="s">
        <v>1281</v>
      </c>
      <c r="BP526" s="57" t="s">
        <v>1281</v>
      </c>
      <c r="BQ526" s="57" t="s">
        <v>1281</v>
      </c>
      <c r="BR526" s="57" t="s">
        <v>1281</v>
      </c>
      <c r="BS526" s="57" t="s">
        <v>1281</v>
      </c>
      <c r="BT526" s="57" t="s">
        <v>1281</v>
      </c>
      <c r="BU526" s="57" t="s">
        <v>1281</v>
      </c>
      <c r="BV526" s="75">
        <f t="shared" si="4417"/>
        <v>223</v>
      </c>
      <c r="BW526" s="71">
        <f t="shared" si="4418"/>
        <v>256</v>
      </c>
      <c r="BX526" s="72">
        <f t="shared" si="4419"/>
        <v>261</v>
      </c>
      <c r="BY526" s="71" t="str">
        <f t="shared" si="4420"/>
        <v>-</v>
      </c>
      <c r="BZ526" s="72">
        <f t="shared" si="4421"/>
        <v>312</v>
      </c>
      <c r="CA526" s="71" t="str">
        <f t="shared" si="4422"/>
        <v>-</v>
      </c>
      <c r="CB526" s="72">
        <f t="shared" si="4423"/>
        <v>356</v>
      </c>
      <c r="CC526" s="71">
        <f t="shared" si="4424"/>
        <v>390</v>
      </c>
      <c r="CD526" s="72">
        <f t="shared" si="4425"/>
        <v>396</v>
      </c>
      <c r="CE526" s="71">
        <f t="shared" si="4426"/>
        <v>447</v>
      </c>
      <c r="CF526" s="72">
        <f t="shared" si="4427"/>
        <v>514</v>
      </c>
      <c r="CG526" s="71">
        <f t="shared" si="4428"/>
        <v>538</v>
      </c>
      <c r="CH526" s="75">
        <f t="shared" si="4429"/>
        <v>255</v>
      </c>
      <c r="CI526" s="71">
        <f t="shared" si="4430"/>
        <v>260</v>
      </c>
      <c r="CJ526" s="72">
        <f t="shared" si="4431"/>
        <v>285</v>
      </c>
      <c r="CK526" s="72" t="str">
        <f t="shared" si="4432"/>
        <v>-</v>
      </c>
      <c r="CL526" s="72">
        <f t="shared" si="4433"/>
        <v>345</v>
      </c>
      <c r="CM526" s="72" t="str">
        <f t="shared" si="4434"/>
        <v>-</v>
      </c>
      <c r="CN526" s="72">
        <f t="shared" si="4435"/>
        <v>378</v>
      </c>
      <c r="CO526" s="72">
        <f t="shared" si="4436"/>
        <v>392</v>
      </c>
      <c r="CP526" s="72">
        <f t="shared" si="4437"/>
        <v>433</v>
      </c>
      <c r="CQ526" s="72">
        <f t="shared" si="4438"/>
        <v>493</v>
      </c>
      <c r="CR526" s="72">
        <f t="shared" si="4439"/>
        <v>537</v>
      </c>
      <c r="CS526" s="72">
        <f t="shared" si="4440"/>
        <v>553</v>
      </c>
      <c r="CT526" s="23">
        <f t="shared" si="4441"/>
        <v>1</v>
      </c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3"/>
      <c r="OV526" s="3"/>
      <c r="OW526" s="3"/>
      <c r="OX526" s="3"/>
      <c r="OY526" s="3"/>
      <c r="OZ526" s="3"/>
      <c r="PA526" s="3"/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  <c r="PP526" s="3"/>
      <c r="PQ526" s="3"/>
      <c r="PR526" s="3"/>
      <c r="PS526" s="3"/>
      <c r="PT526" s="3"/>
      <c r="PU526" s="3"/>
      <c r="PV526" s="3"/>
      <c r="PW526" s="3"/>
      <c r="PX526" s="3"/>
      <c r="PY526" s="3"/>
      <c r="PZ526" s="3"/>
      <c r="QA526" s="3"/>
      <c r="QB526" s="3"/>
      <c r="QC526" s="3"/>
      <c r="QD526" s="3"/>
      <c r="QE526" s="3"/>
      <c r="QF526" s="3"/>
      <c r="QG526" s="3"/>
      <c r="QH526" s="3"/>
      <c r="QI526" s="3"/>
      <c r="QJ526" s="3"/>
      <c r="QK526" s="3"/>
      <c r="QL526" s="3"/>
      <c r="QM526" s="3"/>
      <c r="QN526" s="3"/>
      <c r="QO526" s="3"/>
      <c r="QP526" s="3"/>
      <c r="QQ526" s="3"/>
      <c r="QR526" s="3"/>
      <c r="QS526" s="3"/>
      <c r="QT526" s="3"/>
      <c r="QU526" s="3"/>
      <c r="QV526" s="3"/>
      <c r="QW526" s="3"/>
      <c r="QX526" s="3"/>
      <c r="QY526" s="3"/>
      <c r="QZ526" s="3"/>
      <c r="RA526" s="3"/>
      <c r="RB526" s="3"/>
      <c r="RC526" s="3"/>
      <c r="RD526" s="3"/>
      <c r="RE526" s="3"/>
      <c r="RF526" s="3"/>
      <c r="RG526" s="3"/>
      <c r="RH526" s="3"/>
      <c r="RI526" s="3"/>
      <c r="RJ526" s="3"/>
      <c r="RK526" s="3"/>
      <c r="RL526" s="3"/>
      <c r="RM526" s="3"/>
      <c r="RN526" s="3"/>
      <c r="RO526" s="3"/>
      <c r="RP526" s="3"/>
      <c r="RQ526" s="3"/>
      <c r="RR526" s="3"/>
      <c r="RS526" s="3"/>
      <c r="RT526" s="3"/>
      <c r="RU526" s="3"/>
      <c r="RV526" s="3"/>
      <c r="RW526" s="3"/>
      <c r="RX526" s="3"/>
      <c r="RY526" s="3"/>
      <c r="RZ526" s="3"/>
      <c r="SA526" s="3"/>
      <c r="SB526" s="3"/>
      <c r="SC526" s="3"/>
      <c r="SD526" s="3"/>
      <c r="SE526" s="3"/>
      <c r="SF526" s="3"/>
      <c r="SG526" s="3"/>
      <c r="SH526" s="3"/>
      <c r="SI526" s="3"/>
      <c r="SJ526" s="3"/>
      <c r="SK526" s="3"/>
      <c r="SL526" s="3"/>
      <c r="SM526" s="3"/>
      <c r="SN526" s="3"/>
      <c r="SO526" s="3"/>
      <c r="SP526" s="3"/>
      <c r="SQ526" s="3"/>
      <c r="SR526" s="3"/>
      <c r="SS526" s="3"/>
      <c r="ST526" s="3"/>
      <c r="SU526" s="3"/>
      <c r="SV526" s="3"/>
      <c r="SW526" s="3"/>
      <c r="SX526" s="3"/>
      <c r="SY526" s="3"/>
      <c r="SZ526" s="3"/>
      <c r="TA526" s="3"/>
      <c r="TB526" s="3"/>
      <c r="TC526" s="3"/>
      <c r="TD526" s="3"/>
      <c r="TE526" s="3"/>
      <c r="TF526" s="3"/>
      <c r="TG526" s="3"/>
      <c r="TH526" s="3"/>
      <c r="TI526" s="3"/>
      <c r="TJ526" s="3"/>
      <c r="TK526" s="3"/>
      <c r="TL526" s="3"/>
      <c r="TM526" s="3"/>
      <c r="TN526" s="3"/>
      <c r="TO526" s="3"/>
      <c r="TP526" s="3"/>
      <c r="TQ526" s="3"/>
      <c r="TR526" s="3"/>
      <c r="TS526" s="3"/>
      <c r="TT526" s="3"/>
      <c r="TU526" s="3"/>
      <c r="TV526" s="3"/>
      <c r="TW526" s="3"/>
      <c r="TX526" s="3"/>
      <c r="TY526" s="3"/>
      <c r="TZ526" s="3"/>
      <c r="UA526" s="3"/>
      <c r="UB526" s="3"/>
      <c r="UC526" s="3"/>
      <c r="UD526" s="3"/>
      <c r="UE526" s="3"/>
      <c r="UF526" s="3"/>
      <c r="UG526" s="3"/>
      <c r="UH526" s="3"/>
      <c r="UI526" s="3"/>
      <c r="UJ526" s="3"/>
      <c r="UK526" s="3"/>
      <c r="UL526" s="3"/>
      <c r="UM526" s="3"/>
      <c r="UN526" s="3"/>
      <c r="UO526" s="3"/>
      <c r="UP526" s="3"/>
      <c r="UQ526" s="3"/>
      <c r="UR526" s="3"/>
      <c r="US526" s="3"/>
      <c r="UT526" s="3"/>
      <c r="UU526" s="3"/>
      <c r="UV526" s="3"/>
      <c r="UW526" s="3"/>
      <c r="UX526" s="3"/>
      <c r="UY526" s="3"/>
      <c r="UZ526" s="3"/>
      <c r="VA526" s="3"/>
      <c r="VB526" s="3"/>
      <c r="VC526" s="3"/>
      <c r="VD526" s="3"/>
      <c r="VE526" s="3"/>
      <c r="VF526" s="3"/>
      <c r="VG526" s="3"/>
      <c r="VH526" s="3"/>
      <c r="VI526" s="3"/>
      <c r="VJ526" s="3"/>
      <c r="VK526" s="3"/>
      <c r="VL526" s="3"/>
      <c r="VM526" s="3"/>
      <c r="VN526" s="3"/>
      <c r="VO526" s="3"/>
      <c r="VP526" s="3"/>
      <c r="VQ526" s="3"/>
      <c r="VR526" s="3"/>
      <c r="VS526" s="3"/>
      <c r="VT526" s="3"/>
      <c r="VU526" s="3"/>
      <c r="VV526" s="3"/>
      <c r="VW526" s="3"/>
      <c r="VX526" s="3"/>
      <c r="VY526" s="3"/>
      <c r="VZ526" s="3"/>
      <c r="WA526" s="3"/>
      <c r="WB526" s="3"/>
      <c r="WC526" s="3"/>
      <c r="WD526" s="3"/>
      <c r="WE526" s="3"/>
      <c r="WF526" s="3"/>
      <c r="WG526" s="3"/>
      <c r="WH526" s="3"/>
      <c r="WI526" s="3"/>
      <c r="WJ526" s="3"/>
      <c r="WK526" s="3"/>
      <c r="WL526" s="3"/>
      <c r="WM526" s="3"/>
      <c r="WN526" s="3"/>
      <c r="WO526" s="3"/>
      <c r="WP526" s="3"/>
      <c r="WQ526" s="3"/>
      <c r="WR526" s="3"/>
      <c r="WS526" s="3"/>
      <c r="WT526" s="3"/>
      <c r="WU526" s="3"/>
      <c r="WV526" s="3"/>
      <c r="WW526" s="3"/>
      <c r="WX526" s="3"/>
      <c r="WY526" s="3"/>
      <c r="WZ526" s="3"/>
      <c r="XA526" s="3"/>
      <c r="XB526" s="3"/>
      <c r="XC526" s="3"/>
      <c r="XD526" s="3"/>
      <c r="XE526" s="3"/>
      <c r="XF526" s="3"/>
      <c r="XG526" s="3"/>
      <c r="XH526" s="3"/>
      <c r="XI526" s="3"/>
      <c r="XJ526" s="3"/>
      <c r="XK526" s="3"/>
      <c r="XL526" s="3"/>
      <c r="XM526" s="3"/>
      <c r="XN526" s="3"/>
      <c r="XO526" s="3"/>
      <c r="XP526" s="3"/>
      <c r="XQ526" s="3"/>
      <c r="XR526" s="3"/>
      <c r="XS526" s="3"/>
      <c r="XT526" s="3"/>
      <c r="XU526" s="3"/>
      <c r="XV526" s="3"/>
      <c r="XW526" s="3"/>
      <c r="XX526" s="3"/>
      <c r="XY526" s="3"/>
      <c r="XZ526" s="3"/>
      <c r="YA526" s="3"/>
      <c r="YB526" s="3"/>
      <c r="YC526" s="3"/>
      <c r="YD526" s="3"/>
      <c r="YE526" s="3"/>
      <c r="YF526" s="3"/>
      <c r="YG526" s="3"/>
      <c r="YH526" s="3"/>
      <c r="YI526" s="3"/>
      <c r="YJ526" s="3"/>
      <c r="YK526" s="3"/>
      <c r="YL526" s="3"/>
      <c r="YM526" s="3"/>
      <c r="YN526" s="3"/>
      <c r="YO526" s="3"/>
      <c r="YP526" s="3"/>
      <c r="YQ526" s="3"/>
      <c r="YR526" s="3"/>
      <c r="YS526" s="3"/>
      <c r="YT526" s="3"/>
      <c r="YU526" s="3"/>
      <c r="YV526" s="3"/>
      <c r="YW526" s="3"/>
      <c r="YX526" s="3"/>
      <c r="YY526" s="3"/>
      <c r="YZ526" s="3"/>
      <c r="ZA526" s="3"/>
      <c r="ZB526" s="3"/>
      <c r="ZC526" s="3"/>
      <c r="ZD526" s="3"/>
      <c r="ZE526" s="3"/>
      <c r="ZF526" s="3"/>
      <c r="ZG526" s="3"/>
      <c r="ZH526" s="3"/>
      <c r="ZI526" s="3"/>
      <c r="ZJ526" s="3"/>
      <c r="ZK526" s="3"/>
      <c r="ZL526" s="3"/>
      <c r="ZM526" s="3"/>
      <c r="ZN526" s="3"/>
      <c r="ZO526" s="3"/>
      <c r="ZP526" s="3"/>
      <c r="ZQ526" s="3"/>
      <c r="ZR526" s="3"/>
      <c r="ZS526" s="3"/>
      <c r="ZT526" s="3"/>
      <c r="ZU526" s="3"/>
      <c r="ZV526" s="3"/>
      <c r="ZW526" s="3"/>
      <c r="ZX526" s="3"/>
      <c r="ZY526" s="3"/>
      <c r="ZZ526" s="3"/>
      <c r="AAA526" s="3"/>
      <c r="AAB526" s="3"/>
      <c r="AAC526" s="3"/>
      <c r="AAD526" s="3"/>
      <c r="AAE526" s="3"/>
      <c r="AAF526" s="3"/>
      <c r="AAG526" s="3"/>
      <c r="AAH526" s="3"/>
      <c r="AAI526" s="3"/>
      <c r="AAJ526" s="3"/>
      <c r="AAK526" s="3"/>
      <c r="AAL526" s="3"/>
      <c r="AAM526" s="3"/>
      <c r="AAN526" s="3"/>
      <c r="AAO526" s="3"/>
      <c r="AAP526" s="3"/>
      <c r="AAQ526" s="3"/>
      <c r="AAR526" s="3"/>
      <c r="AAS526" s="3"/>
      <c r="AAT526" s="3"/>
      <c r="AAU526" s="3"/>
      <c r="AAV526" s="3"/>
      <c r="AAW526" s="3"/>
      <c r="AAX526" s="3"/>
      <c r="AAY526" s="3"/>
      <c r="AAZ526" s="3"/>
      <c r="ABA526" s="3"/>
      <c r="ABB526" s="3"/>
      <c r="ABC526" s="3"/>
      <c r="ABD526" s="3"/>
      <c r="ABE526" s="3"/>
      <c r="ABF526" s="3"/>
      <c r="ABG526" s="3"/>
      <c r="ABH526" s="3"/>
      <c r="ABI526" s="3"/>
      <c r="ABJ526" s="3"/>
      <c r="ABK526" s="3"/>
      <c r="ABL526" s="3"/>
      <c r="ABM526" s="3"/>
      <c r="ABN526" s="3"/>
      <c r="ABO526" s="3"/>
      <c r="ABP526" s="3"/>
      <c r="ABQ526" s="3"/>
      <c r="ABR526" s="3"/>
      <c r="ABS526" s="3"/>
      <c r="ABT526" s="3"/>
      <c r="ABU526" s="3"/>
      <c r="ABV526" s="3"/>
      <c r="ABW526" s="3"/>
      <c r="ABX526" s="3"/>
      <c r="ABY526" s="3"/>
      <c r="ABZ526" s="3"/>
      <c r="ACA526" s="3"/>
      <c r="ACB526" s="3"/>
      <c r="ACC526" s="3"/>
      <c r="ACD526" s="3"/>
      <c r="ACE526" s="3"/>
      <c r="ACF526" s="3"/>
      <c r="ACG526" s="3"/>
      <c r="ACH526" s="3"/>
      <c r="ACI526" s="3"/>
      <c r="ACJ526" s="3"/>
      <c r="ACK526" s="3"/>
      <c r="ACL526" s="3"/>
      <c r="ACM526" s="3"/>
      <c r="ACN526" s="3"/>
      <c r="ACO526" s="3"/>
      <c r="ACP526" s="3"/>
      <c r="ACQ526" s="3"/>
      <c r="ACR526" s="3"/>
      <c r="ACS526" s="3"/>
      <c r="ACT526" s="3"/>
      <c r="ACU526" s="3"/>
      <c r="ACV526" s="3"/>
      <c r="ACW526" s="3"/>
      <c r="ACX526" s="3"/>
      <c r="ACY526" s="3"/>
      <c r="ACZ526" s="3"/>
      <c r="ADA526" s="3"/>
      <c r="ADB526" s="3"/>
      <c r="ADC526" s="3"/>
      <c r="ADD526" s="3"/>
      <c r="ADE526" s="3"/>
      <c r="ADF526" s="3"/>
      <c r="ADG526" s="3"/>
      <c r="ADH526" s="3"/>
      <c r="ADI526" s="3"/>
      <c r="ADJ526" s="3"/>
      <c r="ADK526" s="3"/>
      <c r="ADL526" s="3"/>
      <c r="ADM526" s="3"/>
      <c r="ADN526" s="3"/>
      <c r="ADO526" s="3"/>
      <c r="ADP526" s="3"/>
      <c r="ADQ526" s="3"/>
      <c r="ADR526" s="3"/>
      <c r="ADS526" s="3"/>
      <c r="ADT526" s="3"/>
      <c r="ADU526" s="3"/>
      <c r="ADV526" s="3"/>
      <c r="ADW526" s="3"/>
      <c r="ADX526" s="3"/>
      <c r="ADY526" s="3"/>
      <c r="ADZ526" s="3"/>
      <c r="AEA526" s="3"/>
      <c r="AEB526" s="3"/>
      <c r="AEC526" s="3"/>
      <c r="AED526" s="3"/>
      <c r="AEE526" s="3"/>
      <c r="AEF526" s="3"/>
      <c r="AEG526" s="3"/>
      <c r="AEH526" s="3"/>
      <c r="AEI526" s="3"/>
      <c r="AEJ526" s="3"/>
      <c r="AEK526" s="3"/>
      <c r="AEL526" s="3"/>
      <c r="AEM526" s="3"/>
      <c r="AEN526" s="3"/>
      <c r="AEO526" s="3"/>
      <c r="AEP526" s="3"/>
      <c r="AEQ526" s="3"/>
      <c r="AER526" s="3"/>
      <c r="AES526" s="3"/>
      <c r="AET526" s="3"/>
      <c r="AEU526" s="3"/>
      <c r="AEV526" s="3"/>
      <c r="AEW526" s="3"/>
      <c r="AEX526" s="3"/>
      <c r="AEY526" s="3"/>
      <c r="AEZ526" s="3"/>
      <c r="AFA526" s="3"/>
      <c r="AFB526" s="3"/>
      <c r="AFC526" s="3"/>
      <c r="AFD526" s="3"/>
      <c r="AFE526" s="3"/>
      <c r="AFF526" s="3"/>
      <c r="AFG526" s="3"/>
      <c r="AFH526" s="3"/>
      <c r="AFI526" s="3"/>
      <c r="AFJ526" s="3"/>
      <c r="AFK526" s="3"/>
      <c r="AFL526" s="3"/>
      <c r="AFM526" s="3"/>
      <c r="AFN526" s="3"/>
      <c r="AFO526" s="3"/>
      <c r="AFP526" s="3"/>
      <c r="AFQ526" s="3"/>
      <c r="AFR526" s="3"/>
      <c r="AFS526" s="3"/>
      <c r="AFT526" s="3"/>
      <c r="AFU526" s="3"/>
      <c r="AFV526" s="3"/>
      <c r="AFW526" s="3"/>
      <c r="AFX526" s="3"/>
      <c r="AFY526" s="3"/>
      <c r="AFZ526" s="3"/>
      <c r="AGA526" s="3"/>
      <c r="AGB526" s="3"/>
      <c r="AGC526" s="3"/>
      <c r="AGD526" s="3"/>
      <c r="AGE526" s="3"/>
      <c r="AGF526" s="3"/>
      <c r="AGG526" s="3"/>
      <c r="AGH526" s="3"/>
      <c r="AGI526" s="3"/>
      <c r="AGJ526" s="3"/>
      <c r="AGK526" s="3"/>
      <c r="AGL526" s="3"/>
      <c r="AGM526" s="3"/>
      <c r="AGN526" s="3"/>
      <c r="AGO526" s="3"/>
      <c r="AGP526" s="3"/>
      <c r="AGQ526" s="3"/>
      <c r="AGR526" s="3"/>
      <c r="AGS526" s="3"/>
      <c r="AGT526" s="3"/>
      <c r="AGU526" s="3"/>
      <c r="AGV526" s="3"/>
      <c r="AGW526" s="3"/>
      <c r="AGX526" s="3"/>
      <c r="AGY526" s="3"/>
      <c r="AGZ526" s="3"/>
      <c r="AHA526" s="3"/>
      <c r="AHB526" s="3"/>
      <c r="AHC526" s="3"/>
      <c r="AHD526" s="3"/>
      <c r="AHE526" s="3"/>
      <c r="AHF526" s="3"/>
      <c r="AHG526" s="3"/>
      <c r="AHH526" s="3"/>
      <c r="AHI526" s="3"/>
      <c r="AHJ526" s="3"/>
      <c r="AHK526" s="3"/>
      <c r="AHL526" s="3"/>
      <c r="AHM526" s="3"/>
      <c r="AHN526" s="3"/>
      <c r="AHO526" s="3"/>
      <c r="AHP526" s="3"/>
      <c r="AHQ526" s="3"/>
      <c r="AHR526" s="3"/>
      <c r="AHS526" s="3"/>
      <c r="AHT526" s="3"/>
      <c r="AHU526" s="3"/>
      <c r="AHV526" s="3"/>
      <c r="AHW526" s="3"/>
      <c r="AHX526" s="3"/>
      <c r="AHY526" s="3"/>
      <c r="AHZ526" s="3"/>
      <c r="AIA526" s="3"/>
      <c r="AIB526" s="3"/>
      <c r="AIC526" s="3"/>
      <c r="AID526" s="3"/>
      <c r="AIE526" s="3"/>
      <c r="AIF526" s="3"/>
      <c r="AIG526" s="3"/>
      <c r="AIH526" s="3"/>
      <c r="AII526" s="3"/>
      <c r="AIJ526" s="3"/>
      <c r="AIK526" s="3"/>
      <c r="AIL526" s="3"/>
      <c r="AIM526" s="3"/>
      <c r="AIN526" s="3"/>
      <c r="AIO526" s="3"/>
      <c r="AIP526" s="3"/>
      <c r="AIQ526" s="3"/>
      <c r="AIR526" s="3"/>
      <c r="AIS526" s="3"/>
      <c r="AIT526" s="3"/>
      <c r="AIU526" s="3"/>
      <c r="AIV526" s="3"/>
      <c r="AIW526" s="3"/>
      <c r="AIX526" s="3"/>
      <c r="AIY526" s="3"/>
      <c r="AIZ526" s="3"/>
      <c r="AJA526" s="3"/>
      <c r="AJB526" s="3"/>
      <c r="AJC526" s="3"/>
      <c r="AJD526" s="3"/>
      <c r="AJE526" s="3"/>
      <c r="AJF526" s="3"/>
      <c r="AJG526" s="3"/>
      <c r="AJH526" s="3"/>
      <c r="AJI526" s="3"/>
      <c r="AJJ526" s="3"/>
      <c r="AJK526" s="3"/>
      <c r="AJL526" s="3"/>
      <c r="AJM526" s="3"/>
      <c r="AJN526" s="3"/>
      <c r="AJO526" s="3"/>
      <c r="AJP526" s="3"/>
      <c r="AJQ526" s="3"/>
      <c r="AJR526" s="3"/>
      <c r="AJS526" s="3"/>
      <c r="AJT526" s="3"/>
      <c r="AJU526" s="3"/>
      <c r="AJV526" s="3"/>
      <c r="AJW526" s="3"/>
      <c r="AJX526" s="3"/>
      <c r="AJY526" s="3"/>
      <c r="AJZ526" s="3"/>
      <c r="AKA526" s="3"/>
      <c r="AKB526" s="3"/>
      <c r="AKC526" s="3"/>
      <c r="AKD526" s="3"/>
      <c r="AKE526" s="3"/>
      <c r="AKF526" s="3"/>
      <c r="AKG526" s="3"/>
      <c r="AKH526" s="3"/>
      <c r="AKI526" s="3"/>
      <c r="AKJ526" s="3"/>
      <c r="AKK526" s="3"/>
      <c r="AKL526" s="3"/>
      <c r="AKM526" s="3"/>
      <c r="AKN526" s="3"/>
      <c r="AKO526" s="3"/>
      <c r="AKP526" s="3"/>
      <c r="AKQ526" s="3"/>
      <c r="AKR526" s="3"/>
      <c r="AKS526" s="3"/>
      <c r="AKT526" s="3"/>
      <c r="AKU526" s="3"/>
      <c r="AKV526" s="3"/>
      <c r="AKW526" s="3"/>
      <c r="AKX526" s="3"/>
      <c r="AKY526" s="3"/>
      <c r="AKZ526" s="3"/>
      <c r="ALA526" s="3"/>
      <c r="ALB526" s="3"/>
      <c r="ALC526" s="3"/>
      <c r="ALD526" s="3"/>
      <c r="ALE526" s="3"/>
      <c r="ALF526" s="3"/>
      <c r="ALG526" s="3"/>
      <c r="ALH526" s="3"/>
      <c r="ALI526" s="3"/>
      <c r="ALJ526" s="3"/>
      <c r="ALK526" s="3"/>
      <c r="ALL526" s="3"/>
      <c r="ALM526" s="3"/>
      <c r="ALN526" s="3"/>
      <c r="ALO526" s="3"/>
      <c r="ALP526" s="3"/>
      <c r="ALQ526" s="3"/>
      <c r="ALR526" s="3"/>
      <c r="ALS526" s="3"/>
      <c r="ALT526" s="3"/>
      <c r="ALU526" s="3"/>
      <c r="ALV526" s="3"/>
      <c r="ALW526" s="3"/>
      <c r="ALX526" s="3"/>
      <c r="ALY526" s="3"/>
      <c r="ALZ526" s="3"/>
      <c r="AMA526" s="3"/>
      <c r="AMB526" s="3"/>
      <c r="AMC526" s="3"/>
      <c r="AMD526" s="3"/>
      <c r="AME526" s="3"/>
      <c r="AMF526" s="3"/>
      <c r="AMG526" s="3"/>
      <c r="AMH526" s="3"/>
      <c r="AMI526" s="3"/>
      <c r="AMJ526" s="3"/>
      <c r="AMK526" s="3"/>
      <c r="AML526" s="3"/>
      <c r="AMM526" s="3"/>
      <c r="AMN526" s="3"/>
      <c r="AMO526" s="3"/>
      <c r="AMP526" s="1"/>
    </row>
    <row r="527" spans="1:1030" s="6" customFormat="1" x14ac:dyDescent="0.2">
      <c r="A527" s="3" t="str">
        <f t="shared" si="4526"/>
        <v>smo_human_4QIN</v>
      </c>
      <c r="B527" s="3" t="s">
        <v>33</v>
      </c>
      <c r="C527" s="3" t="s">
        <v>56</v>
      </c>
      <c r="D527" s="3" t="str">
        <f>IFERROR(MID(VLOOKUP($B527,Seqs!$A:$B,2,0),E527,1),"")</f>
        <v>T</v>
      </c>
      <c r="E527" s="105">
        <v>223</v>
      </c>
      <c r="F527" s="3" t="str">
        <f>IFERROR(MID(VLOOKUP($B527,Seqs!$A:$B,2,0),G527,1),"")</f>
        <v>D</v>
      </c>
      <c r="G527" s="3">
        <v>255</v>
      </c>
      <c r="H527" s="3" t="str">
        <f>IFERROR(MID(VLOOKUP($B527,Seqs!$A:$B,2,0),I527,1),"")</f>
        <v>W</v>
      </c>
      <c r="I527" s="23">
        <v>256</v>
      </c>
      <c r="J527" s="3" t="str">
        <f>IFERROR(MID(VLOOKUP($B527,Seqs!$A:$B,2,0),K527,1),"")</f>
        <v>N</v>
      </c>
      <c r="K527" s="23">
        <v>260</v>
      </c>
      <c r="L527" s="3" t="str">
        <f>IFERROR(MID(VLOOKUP($B527,Seqs!$A:$B,2,0),M527,1),"")</f>
        <v>R</v>
      </c>
      <c r="M527" s="3">
        <v>261</v>
      </c>
      <c r="N527" s="3" t="str">
        <f>IFERROR(MID(VLOOKUP($B527,Seqs!$A:$B,2,0),O527,1),"")</f>
        <v>F</v>
      </c>
      <c r="O527" s="3">
        <v>285</v>
      </c>
      <c r="P527" s="3" t="str">
        <f>IFERROR(MID(VLOOKUP($B527,Seqs!$A:$B,2,0),Q527,1),"")</f>
        <v/>
      </c>
      <c r="Q527" s="3" t="s">
        <v>23</v>
      </c>
      <c r="R527" s="3" t="str">
        <f>IFERROR(MID(VLOOKUP($B527,Seqs!$A:$B,2,0),S527,1),"")</f>
        <v/>
      </c>
      <c r="S527" s="3" t="s">
        <v>23</v>
      </c>
      <c r="T527" s="3" t="str">
        <f>IFERROR(MID(VLOOKUP($B527,Seqs!$A:$B,2,0),U527,1),"")</f>
        <v>L</v>
      </c>
      <c r="U527" s="3">
        <v>312</v>
      </c>
      <c r="V527" s="3" t="str">
        <f>IFERROR(MID(VLOOKUP($B527,Seqs!$A:$B,2,0),W527,1),"")</f>
        <v>A</v>
      </c>
      <c r="W527" s="3">
        <v>345</v>
      </c>
      <c r="X527" s="3" t="str">
        <f>IFERROR(MID(VLOOKUP($B527,Seqs!$A:$B,2,0),Y527,1),"")</f>
        <v/>
      </c>
      <c r="Y527" s="3" t="s">
        <v>23</v>
      </c>
      <c r="Z527" s="3" t="str">
        <f>IFERROR(MID(VLOOKUP($B527,Seqs!$A:$B,2,0),AA527,1),"")</f>
        <v/>
      </c>
      <c r="AA527" s="3" t="s">
        <v>23</v>
      </c>
      <c r="AB527" s="3" t="str">
        <f>IFERROR(MID(VLOOKUP($B527,Seqs!$A:$B,2,0),AC527,1),"")</f>
        <v>K</v>
      </c>
      <c r="AC527" s="9">
        <v>356</v>
      </c>
      <c r="AD527" s="3" t="str">
        <f>IFERROR(MID(VLOOKUP($B527,Seqs!$A:$B,2,0),AE527,1),"")</f>
        <v>A</v>
      </c>
      <c r="AE527" s="3">
        <v>379</v>
      </c>
      <c r="AF527" s="3" t="str">
        <f>IFERROR(MID(VLOOKUP($B527,Seqs!$A:$B,2,0),AG527,1),"")</f>
        <v>C</v>
      </c>
      <c r="AG527" s="3">
        <v>390</v>
      </c>
      <c r="AH527" s="3" t="str">
        <f>IFERROR(MID(VLOOKUP($B527,Seqs!$A:$B,2,0),AI527,1),"")</f>
        <v>V</v>
      </c>
      <c r="AI527" s="3">
        <v>392</v>
      </c>
      <c r="AJ527" s="3" t="str">
        <f>IFERROR(MID(VLOOKUP($B527,Seqs!$A:$B,2,0),AK527,1),"")</f>
        <v>N</v>
      </c>
      <c r="AK527" s="105">
        <v>396</v>
      </c>
      <c r="AL527" s="3" t="str">
        <f>IFERROR(MID(VLOOKUP($B527,Seqs!$A:$B,2,0),AM527,1),"")</f>
        <v>H</v>
      </c>
      <c r="AM527" s="3">
        <v>433</v>
      </c>
      <c r="AN527" s="3" t="str">
        <f>IFERROR(MID(VLOOKUP($B527,Seqs!$A:$B,2,0),AO527,1),"")</f>
        <v>E</v>
      </c>
      <c r="AO527" s="3">
        <v>447</v>
      </c>
      <c r="AP527" s="3" t="str">
        <f>IFERROR(MID(VLOOKUP($B527,Seqs!$A:$B,2,0),AQ527,1),"")</f>
        <v>A</v>
      </c>
      <c r="AQ527" s="3">
        <v>492</v>
      </c>
      <c r="AR527" s="3" t="str">
        <f>IFERROR(MID(VLOOKUP($B527,Seqs!$A:$B,2,0),AS527,1),"")</f>
        <v>S</v>
      </c>
      <c r="AS527" s="105">
        <v>514</v>
      </c>
      <c r="AT527" s="3" t="str">
        <f>IFERROR(MID(VLOOKUP($B527,Seqs!$A:$B,2,0),AU527,1),"")</f>
        <v>W</v>
      </c>
      <c r="AU527" s="3">
        <v>537</v>
      </c>
      <c r="AV527" s="3" t="str">
        <f>IFERROR(MID(VLOOKUP($B527,Seqs!$A:$B,2,0),AW527,1),"")</f>
        <v>T</v>
      </c>
      <c r="AW527" s="3">
        <v>538</v>
      </c>
      <c r="AX527" s="3" t="str">
        <f>IFERROR(MID(VLOOKUP($B527,Seqs!$A:$B,2,0),AY527,1),"")</f>
        <v>R</v>
      </c>
      <c r="AY527" s="3">
        <v>551</v>
      </c>
      <c r="AZ527" s="78" t="str">
        <f>VLOOKUP(B527,Classification!A:D,2,0)</f>
        <v>F</v>
      </c>
      <c r="BA527" s="94" t="str">
        <f>VLOOKUP(B527,Classification!A:D,4,0)</f>
        <v>Frizzled</v>
      </c>
      <c r="BB527" s="92" t="b">
        <f t="shared" si="4527"/>
        <v>1</v>
      </c>
      <c r="BC527" s="23">
        <f t="shared" si="4416"/>
        <v>248</v>
      </c>
      <c r="BD527" s="74" t="s">
        <v>23</v>
      </c>
      <c r="BE527" s="3" t="s">
        <v>1368</v>
      </c>
      <c r="BF527" s="118">
        <v>2.6</v>
      </c>
      <c r="BG527" s="49" t="s">
        <v>1371</v>
      </c>
      <c r="BH527" s="49" t="s">
        <v>1371</v>
      </c>
      <c r="BI527" s="3"/>
      <c r="BJ527" s="75" t="s">
        <v>1281</v>
      </c>
      <c r="BK527" s="57" t="s">
        <v>1281</v>
      </c>
      <c r="BL527" s="57" t="s">
        <v>1281</v>
      </c>
      <c r="BM527" s="57" t="s">
        <v>1281</v>
      </c>
      <c r="BN527" s="57" t="s">
        <v>1281</v>
      </c>
      <c r="BO527" s="57" t="s">
        <v>1281</v>
      </c>
      <c r="BP527" s="57" t="s">
        <v>1281</v>
      </c>
      <c r="BQ527" s="57" t="s">
        <v>1281</v>
      </c>
      <c r="BR527" s="57" t="s">
        <v>1281</v>
      </c>
      <c r="BS527" s="57" t="s">
        <v>1281</v>
      </c>
      <c r="BT527" s="57" t="s">
        <v>1281</v>
      </c>
      <c r="BU527" s="57" t="s">
        <v>1281</v>
      </c>
      <c r="BV527" s="75">
        <f t="shared" si="4417"/>
        <v>223</v>
      </c>
      <c r="BW527" s="71">
        <f t="shared" si="4418"/>
        <v>256</v>
      </c>
      <c r="BX527" s="72">
        <f t="shared" si="4419"/>
        <v>261</v>
      </c>
      <c r="BY527" s="71" t="str">
        <f t="shared" si="4420"/>
        <v>-</v>
      </c>
      <c r="BZ527" s="72">
        <f t="shared" si="4421"/>
        <v>312</v>
      </c>
      <c r="CA527" s="71" t="str">
        <f t="shared" si="4422"/>
        <v>-</v>
      </c>
      <c r="CB527" s="72">
        <f t="shared" si="4423"/>
        <v>356</v>
      </c>
      <c r="CC527" s="71">
        <f t="shared" si="4424"/>
        <v>390</v>
      </c>
      <c r="CD527" s="72">
        <f t="shared" si="4425"/>
        <v>396</v>
      </c>
      <c r="CE527" s="71">
        <f t="shared" si="4426"/>
        <v>447</v>
      </c>
      <c r="CF527" s="72">
        <f t="shared" si="4427"/>
        <v>514</v>
      </c>
      <c r="CG527" s="71">
        <f t="shared" si="4428"/>
        <v>538</v>
      </c>
      <c r="CH527" s="75">
        <f t="shared" si="4429"/>
        <v>255</v>
      </c>
      <c r="CI527" s="71">
        <f t="shared" si="4430"/>
        <v>260</v>
      </c>
      <c r="CJ527" s="72">
        <f t="shared" si="4431"/>
        <v>285</v>
      </c>
      <c r="CK527" s="72" t="str">
        <f t="shared" si="4432"/>
        <v>-</v>
      </c>
      <c r="CL527" s="72">
        <f t="shared" si="4433"/>
        <v>345</v>
      </c>
      <c r="CM527" s="72" t="str">
        <f t="shared" si="4434"/>
        <v>-</v>
      </c>
      <c r="CN527" s="72">
        <f t="shared" si="4435"/>
        <v>379</v>
      </c>
      <c r="CO527" s="72">
        <f t="shared" si="4436"/>
        <v>392</v>
      </c>
      <c r="CP527" s="72">
        <f t="shared" si="4437"/>
        <v>433</v>
      </c>
      <c r="CQ527" s="72">
        <f t="shared" si="4438"/>
        <v>492</v>
      </c>
      <c r="CR527" s="72">
        <f t="shared" si="4439"/>
        <v>537</v>
      </c>
      <c r="CS527" s="72">
        <f t="shared" si="4440"/>
        <v>551</v>
      </c>
      <c r="CT527" s="23">
        <f t="shared" si="4441"/>
        <v>1</v>
      </c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/>
      <c r="PQ527" s="3"/>
      <c r="PR527" s="3"/>
      <c r="PS527" s="3"/>
      <c r="PT527" s="3"/>
      <c r="PU527" s="3"/>
      <c r="PV527" s="3"/>
      <c r="PW527" s="3"/>
      <c r="PX527" s="3"/>
      <c r="PY527" s="3"/>
      <c r="PZ527" s="3"/>
      <c r="QA527" s="3"/>
      <c r="QB527" s="3"/>
      <c r="QC527" s="3"/>
      <c r="QD527" s="3"/>
      <c r="QE527" s="3"/>
      <c r="QF527" s="3"/>
      <c r="QG527" s="3"/>
      <c r="QH527" s="3"/>
      <c r="QI527" s="3"/>
      <c r="QJ527" s="3"/>
      <c r="QK527" s="3"/>
      <c r="QL527" s="3"/>
      <c r="QM527" s="3"/>
      <c r="QN527" s="3"/>
      <c r="QO527" s="3"/>
      <c r="QP527" s="3"/>
      <c r="QQ527" s="3"/>
      <c r="QR527" s="3"/>
      <c r="QS527" s="3"/>
      <c r="QT527" s="3"/>
      <c r="QU527" s="3"/>
      <c r="QV527" s="3"/>
      <c r="QW527" s="3"/>
      <c r="QX527" s="3"/>
      <c r="QY527" s="3"/>
      <c r="QZ527" s="3"/>
      <c r="RA527" s="3"/>
      <c r="RB527" s="3"/>
      <c r="RC527" s="3"/>
      <c r="RD527" s="3"/>
      <c r="RE527" s="3"/>
      <c r="RF527" s="3"/>
      <c r="RG527" s="3"/>
      <c r="RH527" s="3"/>
      <c r="RI527" s="3"/>
      <c r="RJ527" s="3"/>
      <c r="RK527" s="3"/>
      <c r="RL527" s="3"/>
      <c r="RM527" s="3"/>
      <c r="RN527" s="3"/>
      <c r="RO527" s="3"/>
      <c r="RP527" s="3"/>
      <c r="RQ527" s="3"/>
      <c r="RR527" s="3"/>
      <c r="RS527" s="3"/>
      <c r="RT527" s="3"/>
      <c r="RU527" s="3"/>
      <c r="RV527" s="3"/>
      <c r="RW527" s="3"/>
      <c r="RX527" s="3"/>
      <c r="RY527" s="3"/>
      <c r="RZ527" s="3"/>
      <c r="SA527" s="3"/>
      <c r="SB527" s="3"/>
      <c r="SC527" s="3"/>
      <c r="SD527" s="3"/>
      <c r="SE527" s="3"/>
      <c r="SF527" s="3"/>
      <c r="SG527" s="3"/>
      <c r="SH527" s="3"/>
      <c r="SI527" s="3"/>
      <c r="SJ527" s="3"/>
      <c r="SK527" s="3"/>
      <c r="SL527" s="3"/>
      <c r="SM527" s="3"/>
      <c r="SN527" s="3"/>
      <c r="SO527" s="3"/>
      <c r="SP527" s="3"/>
      <c r="SQ527" s="3"/>
      <c r="SR527" s="3"/>
      <c r="SS527" s="3"/>
      <c r="ST527" s="3"/>
      <c r="SU527" s="3"/>
      <c r="SV527" s="3"/>
      <c r="SW527" s="3"/>
      <c r="SX527" s="3"/>
      <c r="SY527" s="3"/>
      <c r="SZ527" s="3"/>
      <c r="TA527" s="3"/>
      <c r="TB527" s="3"/>
      <c r="TC527" s="3"/>
      <c r="TD527" s="3"/>
      <c r="TE527" s="3"/>
      <c r="TF527" s="3"/>
      <c r="TG527" s="3"/>
      <c r="TH527" s="3"/>
      <c r="TI527" s="3"/>
      <c r="TJ527" s="3"/>
      <c r="TK527" s="3"/>
      <c r="TL527" s="3"/>
      <c r="TM527" s="3"/>
      <c r="TN527" s="3"/>
      <c r="TO527" s="3"/>
      <c r="TP527" s="3"/>
      <c r="TQ527" s="3"/>
      <c r="TR527" s="3"/>
      <c r="TS527" s="3"/>
      <c r="TT527" s="3"/>
      <c r="TU527" s="3"/>
      <c r="TV527" s="3"/>
      <c r="TW527" s="3"/>
      <c r="TX527" s="3"/>
      <c r="TY527" s="3"/>
      <c r="TZ527" s="3"/>
      <c r="UA527" s="3"/>
      <c r="UB527" s="3"/>
      <c r="UC527" s="3"/>
      <c r="UD527" s="3"/>
      <c r="UE527" s="3"/>
      <c r="UF527" s="3"/>
      <c r="UG527" s="3"/>
      <c r="UH527" s="3"/>
      <c r="UI527" s="3"/>
      <c r="UJ527" s="3"/>
      <c r="UK527" s="3"/>
      <c r="UL527" s="3"/>
      <c r="UM527" s="3"/>
      <c r="UN527" s="3"/>
      <c r="UO527" s="3"/>
      <c r="UP527" s="3"/>
      <c r="UQ527" s="3"/>
      <c r="UR527" s="3"/>
      <c r="US527" s="3"/>
      <c r="UT527" s="3"/>
      <c r="UU527" s="3"/>
      <c r="UV527" s="3"/>
      <c r="UW527" s="3"/>
      <c r="UX527" s="3"/>
      <c r="UY527" s="3"/>
      <c r="UZ527" s="3"/>
      <c r="VA527" s="3"/>
      <c r="VB527" s="3"/>
      <c r="VC527" s="3"/>
      <c r="VD527" s="3"/>
      <c r="VE527" s="3"/>
      <c r="VF527" s="3"/>
      <c r="VG527" s="3"/>
      <c r="VH527" s="3"/>
      <c r="VI527" s="3"/>
      <c r="VJ527" s="3"/>
      <c r="VK527" s="3"/>
      <c r="VL527" s="3"/>
      <c r="VM527" s="3"/>
      <c r="VN527" s="3"/>
      <c r="VO527" s="3"/>
      <c r="VP527" s="3"/>
      <c r="VQ527" s="3"/>
      <c r="VR527" s="3"/>
      <c r="VS527" s="3"/>
      <c r="VT527" s="3"/>
      <c r="VU527" s="3"/>
      <c r="VV527" s="3"/>
      <c r="VW527" s="3"/>
      <c r="VX527" s="3"/>
      <c r="VY527" s="3"/>
      <c r="VZ527" s="3"/>
      <c r="WA527" s="3"/>
      <c r="WB527" s="3"/>
      <c r="WC527" s="3"/>
      <c r="WD527" s="3"/>
      <c r="WE527" s="3"/>
      <c r="WF527" s="3"/>
      <c r="WG527" s="3"/>
      <c r="WH527" s="3"/>
      <c r="WI527" s="3"/>
      <c r="WJ527" s="3"/>
      <c r="WK527" s="3"/>
      <c r="WL527" s="3"/>
      <c r="WM527" s="3"/>
      <c r="WN527" s="3"/>
      <c r="WO527" s="3"/>
      <c r="WP527" s="3"/>
      <c r="WQ527" s="3"/>
      <c r="WR527" s="3"/>
      <c r="WS527" s="3"/>
      <c r="WT527" s="3"/>
      <c r="WU527" s="3"/>
      <c r="WV527" s="3"/>
      <c r="WW527" s="3"/>
      <c r="WX527" s="3"/>
      <c r="WY527" s="3"/>
      <c r="WZ527" s="3"/>
      <c r="XA527" s="3"/>
      <c r="XB527" s="3"/>
      <c r="XC527" s="3"/>
      <c r="XD527" s="3"/>
      <c r="XE527" s="3"/>
      <c r="XF527" s="3"/>
      <c r="XG527" s="3"/>
      <c r="XH527" s="3"/>
      <c r="XI527" s="3"/>
      <c r="XJ527" s="3"/>
      <c r="XK527" s="3"/>
      <c r="XL527" s="3"/>
      <c r="XM527" s="3"/>
      <c r="XN527" s="3"/>
      <c r="XO527" s="3"/>
      <c r="XP527" s="3"/>
      <c r="XQ527" s="3"/>
      <c r="XR527" s="3"/>
      <c r="XS527" s="3"/>
      <c r="XT527" s="3"/>
      <c r="XU527" s="3"/>
      <c r="XV527" s="3"/>
      <c r="XW527" s="3"/>
      <c r="XX527" s="3"/>
      <c r="XY527" s="3"/>
      <c r="XZ527" s="3"/>
      <c r="YA527" s="3"/>
      <c r="YB527" s="3"/>
      <c r="YC527" s="3"/>
      <c r="YD527" s="3"/>
      <c r="YE527" s="3"/>
      <c r="YF527" s="3"/>
      <c r="YG527" s="3"/>
      <c r="YH527" s="3"/>
      <c r="YI527" s="3"/>
      <c r="YJ527" s="3"/>
      <c r="YK527" s="3"/>
      <c r="YL527" s="3"/>
      <c r="YM527" s="3"/>
      <c r="YN527" s="3"/>
      <c r="YO527" s="3"/>
      <c r="YP527" s="3"/>
      <c r="YQ527" s="3"/>
      <c r="YR527" s="3"/>
      <c r="YS527" s="3"/>
      <c r="YT527" s="3"/>
      <c r="YU527" s="3"/>
      <c r="YV527" s="3"/>
      <c r="YW527" s="3"/>
      <c r="YX527" s="3"/>
      <c r="YY527" s="3"/>
      <c r="YZ527" s="3"/>
      <c r="ZA527" s="3"/>
      <c r="ZB527" s="3"/>
      <c r="ZC527" s="3"/>
      <c r="ZD527" s="3"/>
      <c r="ZE527" s="3"/>
      <c r="ZF527" s="3"/>
      <c r="ZG527" s="3"/>
      <c r="ZH527" s="3"/>
      <c r="ZI527" s="3"/>
      <c r="ZJ527" s="3"/>
      <c r="ZK527" s="3"/>
      <c r="ZL527" s="3"/>
      <c r="ZM527" s="3"/>
      <c r="ZN527" s="3"/>
      <c r="ZO527" s="3"/>
      <c r="ZP527" s="3"/>
      <c r="ZQ527" s="3"/>
      <c r="ZR527" s="3"/>
      <c r="ZS527" s="3"/>
      <c r="ZT527" s="3"/>
      <c r="ZU527" s="3"/>
      <c r="ZV527" s="3"/>
      <c r="ZW527" s="3"/>
      <c r="ZX527" s="3"/>
      <c r="ZY527" s="3"/>
      <c r="ZZ527" s="3"/>
      <c r="AAA527" s="3"/>
      <c r="AAB527" s="3"/>
      <c r="AAC527" s="3"/>
      <c r="AAD527" s="3"/>
      <c r="AAE527" s="3"/>
      <c r="AAF527" s="3"/>
      <c r="AAG527" s="3"/>
      <c r="AAH527" s="3"/>
      <c r="AAI527" s="3"/>
      <c r="AAJ527" s="3"/>
      <c r="AAK527" s="3"/>
      <c r="AAL527" s="3"/>
      <c r="AAM527" s="3"/>
      <c r="AAN527" s="3"/>
      <c r="AAO527" s="3"/>
      <c r="AAP527" s="3"/>
      <c r="AAQ527" s="3"/>
      <c r="AAR527" s="3"/>
      <c r="AAS527" s="3"/>
      <c r="AAT527" s="3"/>
      <c r="AAU527" s="3"/>
      <c r="AAV527" s="3"/>
      <c r="AAW527" s="3"/>
      <c r="AAX527" s="3"/>
      <c r="AAY527" s="3"/>
      <c r="AAZ527" s="3"/>
      <c r="ABA527" s="3"/>
      <c r="ABB527" s="3"/>
      <c r="ABC527" s="3"/>
      <c r="ABD527" s="3"/>
      <c r="ABE527" s="3"/>
      <c r="ABF527" s="3"/>
      <c r="ABG527" s="3"/>
      <c r="ABH527" s="3"/>
      <c r="ABI527" s="3"/>
      <c r="ABJ527" s="3"/>
      <c r="ABK527" s="3"/>
      <c r="ABL527" s="3"/>
      <c r="ABM527" s="3"/>
      <c r="ABN527" s="3"/>
      <c r="ABO527" s="3"/>
      <c r="ABP527" s="3"/>
      <c r="ABQ527" s="3"/>
      <c r="ABR527" s="3"/>
      <c r="ABS527" s="3"/>
      <c r="ABT527" s="3"/>
      <c r="ABU527" s="3"/>
      <c r="ABV527" s="3"/>
      <c r="ABW527" s="3"/>
      <c r="ABX527" s="3"/>
      <c r="ABY527" s="3"/>
      <c r="ABZ527" s="3"/>
      <c r="ACA527" s="3"/>
      <c r="ACB527" s="3"/>
      <c r="ACC527" s="3"/>
      <c r="ACD527" s="3"/>
      <c r="ACE527" s="3"/>
      <c r="ACF527" s="3"/>
      <c r="ACG527" s="3"/>
      <c r="ACH527" s="3"/>
      <c r="ACI527" s="3"/>
      <c r="ACJ527" s="3"/>
      <c r="ACK527" s="3"/>
      <c r="ACL527" s="3"/>
      <c r="ACM527" s="3"/>
      <c r="ACN527" s="3"/>
      <c r="ACO527" s="3"/>
      <c r="ACP527" s="3"/>
      <c r="ACQ527" s="3"/>
      <c r="ACR527" s="3"/>
      <c r="ACS527" s="3"/>
      <c r="ACT527" s="3"/>
      <c r="ACU527" s="3"/>
      <c r="ACV527" s="3"/>
      <c r="ACW527" s="3"/>
      <c r="ACX527" s="3"/>
      <c r="ACY527" s="3"/>
      <c r="ACZ527" s="3"/>
      <c r="ADA527" s="3"/>
      <c r="ADB527" s="3"/>
      <c r="ADC527" s="3"/>
      <c r="ADD527" s="3"/>
      <c r="ADE527" s="3"/>
      <c r="ADF527" s="3"/>
      <c r="ADG527" s="3"/>
      <c r="ADH527" s="3"/>
      <c r="ADI527" s="3"/>
      <c r="ADJ527" s="3"/>
      <c r="ADK527" s="3"/>
      <c r="ADL527" s="3"/>
      <c r="ADM527" s="3"/>
      <c r="ADN527" s="3"/>
      <c r="ADO527" s="3"/>
      <c r="ADP527" s="3"/>
      <c r="ADQ527" s="3"/>
      <c r="ADR527" s="3"/>
      <c r="ADS527" s="3"/>
      <c r="ADT527" s="3"/>
      <c r="ADU527" s="3"/>
      <c r="ADV527" s="3"/>
      <c r="ADW527" s="3"/>
      <c r="ADX527" s="3"/>
      <c r="ADY527" s="3"/>
      <c r="ADZ527" s="3"/>
      <c r="AEA527" s="3"/>
      <c r="AEB527" s="3"/>
      <c r="AEC527" s="3"/>
      <c r="AED527" s="3"/>
      <c r="AEE527" s="3"/>
      <c r="AEF527" s="3"/>
      <c r="AEG527" s="3"/>
      <c r="AEH527" s="3"/>
      <c r="AEI527" s="3"/>
      <c r="AEJ527" s="3"/>
      <c r="AEK527" s="3"/>
      <c r="AEL527" s="3"/>
      <c r="AEM527" s="3"/>
      <c r="AEN527" s="3"/>
      <c r="AEO527" s="3"/>
      <c r="AEP527" s="3"/>
      <c r="AEQ527" s="3"/>
      <c r="AER527" s="3"/>
      <c r="AES527" s="3"/>
      <c r="AET527" s="3"/>
      <c r="AEU527" s="3"/>
      <c r="AEV527" s="3"/>
      <c r="AEW527" s="3"/>
      <c r="AEX527" s="3"/>
      <c r="AEY527" s="3"/>
      <c r="AEZ527" s="3"/>
      <c r="AFA527" s="3"/>
      <c r="AFB527" s="3"/>
      <c r="AFC527" s="3"/>
      <c r="AFD527" s="3"/>
      <c r="AFE527" s="3"/>
      <c r="AFF527" s="3"/>
      <c r="AFG527" s="3"/>
      <c r="AFH527" s="3"/>
      <c r="AFI527" s="3"/>
      <c r="AFJ527" s="3"/>
      <c r="AFK527" s="3"/>
      <c r="AFL527" s="3"/>
      <c r="AFM527" s="3"/>
      <c r="AFN527" s="3"/>
      <c r="AFO527" s="3"/>
      <c r="AFP527" s="3"/>
      <c r="AFQ527" s="3"/>
      <c r="AFR527" s="3"/>
      <c r="AFS527" s="3"/>
      <c r="AFT527" s="3"/>
      <c r="AFU527" s="3"/>
      <c r="AFV527" s="3"/>
      <c r="AFW527" s="3"/>
      <c r="AFX527" s="3"/>
      <c r="AFY527" s="3"/>
      <c r="AFZ527" s="3"/>
      <c r="AGA527" s="3"/>
      <c r="AGB527" s="3"/>
      <c r="AGC527" s="3"/>
      <c r="AGD527" s="3"/>
      <c r="AGE527" s="3"/>
      <c r="AGF527" s="3"/>
      <c r="AGG527" s="3"/>
      <c r="AGH527" s="3"/>
      <c r="AGI527" s="3"/>
      <c r="AGJ527" s="3"/>
      <c r="AGK527" s="3"/>
      <c r="AGL527" s="3"/>
      <c r="AGM527" s="3"/>
      <c r="AGN527" s="3"/>
      <c r="AGO527" s="3"/>
      <c r="AGP527" s="3"/>
      <c r="AGQ527" s="3"/>
      <c r="AGR527" s="3"/>
      <c r="AGS527" s="3"/>
      <c r="AGT527" s="3"/>
      <c r="AGU527" s="3"/>
      <c r="AGV527" s="3"/>
      <c r="AGW527" s="3"/>
      <c r="AGX527" s="3"/>
      <c r="AGY527" s="3"/>
      <c r="AGZ527" s="3"/>
      <c r="AHA527" s="3"/>
      <c r="AHB527" s="3"/>
      <c r="AHC527" s="3"/>
      <c r="AHD527" s="3"/>
      <c r="AHE527" s="3"/>
      <c r="AHF527" s="3"/>
      <c r="AHG527" s="3"/>
      <c r="AHH527" s="3"/>
      <c r="AHI527" s="3"/>
      <c r="AHJ527" s="3"/>
      <c r="AHK527" s="3"/>
      <c r="AHL527" s="3"/>
      <c r="AHM527" s="3"/>
      <c r="AHN527" s="3"/>
      <c r="AHO527" s="3"/>
      <c r="AHP527" s="3"/>
      <c r="AHQ527" s="3"/>
      <c r="AHR527" s="3"/>
      <c r="AHS527" s="3"/>
      <c r="AHT527" s="3"/>
      <c r="AHU527" s="3"/>
      <c r="AHV527" s="3"/>
      <c r="AHW527" s="3"/>
      <c r="AHX527" s="3"/>
      <c r="AHY527" s="3"/>
      <c r="AHZ527" s="3"/>
      <c r="AIA527" s="3"/>
      <c r="AIB527" s="3"/>
      <c r="AIC527" s="3"/>
      <c r="AID527" s="3"/>
      <c r="AIE527" s="3"/>
      <c r="AIF527" s="3"/>
      <c r="AIG527" s="3"/>
      <c r="AIH527" s="3"/>
      <c r="AII527" s="3"/>
      <c r="AIJ527" s="3"/>
      <c r="AIK527" s="3"/>
      <c r="AIL527" s="3"/>
      <c r="AIM527" s="3"/>
      <c r="AIN527" s="3"/>
      <c r="AIO527" s="3"/>
      <c r="AIP527" s="3"/>
      <c r="AIQ527" s="3"/>
      <c r="AIR527" s="3"/>
      <c r="AIS527" s="3"/>
      <c r="AIT527" s="3"/>
      <c r="AIU527" s="3"/>
      <c r="AIV527" s="3"/>
      <c r="AIW527" s="3"/>
      <c r="AIX527" s="3"/>
      <c r="AIY527" s="3"/>
      <c r="AIZ527" s="3"/>
      <c r="AJA527" s="3"/>
      <c r="AJB527" s="3"/>
      <c r="AJC527" s="3"/>
      <c r="AJD527" s="3"/>
      <c r="AJE527" s="3"/>
      <c r="AJF527" s="3"/>
      <c r="AJG527" s="3"/>
      <c r="AJH527" s="3"/>
      <c r="AJI527" s="3"/>
      <c r="AJJ527" s="3"/>
      <c r="AJK527" s="3"/>
      <c r="AJL527" s="3"/>
      <c r="AJM527" s="3"/>
      <c r="AJN527" s="3"/>
      <c r="AJO527" s="3"/>
      <c r="AJP527" s="3"/>
      <c r="AJQ527" s="3"/>
      <c r="AJR527" s="3"/>
      <c r="AJS527" s="3"/>
      <c r="AJT527" s="3"/>
      <c r="AJU527" s="3"/>
      <c r="AJV527" s="3"/>
      <c r="AJW527" s="3"/>
      <c r="AJX527" s="3"/>
      <c r="AJY527" s="3"/>
      <c r="AJZ527" s="3"/>
      <c r="AKA527" s="3"/>
      <c r="AKB527" s="3"/>
      <c r="AKC527" s="3"/>
      <c r="AKD527" s="3"/>
      <c r="AKE527" s="3"/>
      <c r="AKF527" s="3"/>
      <c r="AKG527" s="3"/>
      <c r="AKH527" s="3"/>
      <c r="AKI527" s="3"/>
      <c r="AKJ527" s="3"/>
      <c r="AKK527" s="3"/>
      <c r="AKL527" s="3"/>
      <c r="AKM527" s="3"/>
      <c r="AKN527" s="3"/>
      <c r="AKO527" s="3"/>
      <c r="AKP527" s="3"/>
      <c r="AKQ527" s="3"/>
      <c r="AKR527" s="3"/>
      <c r="AKS527" s="3"/>
      <c r="AKT527" s="3"/>
      <c r="AKU527" s="3"/>
      <c r="AKV527" s="3"/>
      <c r="AKW527" s="3"/>
      <c r="AKX527" s="3"/>
      <c r="AKY527" s="3"/>
      <c r="AKZ527" s="3"/>
      <c r="ALA527" s="3"/>
      <c r="ALB527" s="3"/>
      <c r="ALC527" s="3"/>
      <c r="ALD527" s="3"/>
      <c r="ALE527" s="3"/>
      <c r="ALF527" s="3"/>
      <c r="ALG527" s="3"/>
      <c r="ALH527" s="3"/>
      <c r="ALI527" s="3"/>
      <c r="ALJ527" s="3"/>
      <c r="ALK527" s="3"/>
      <c r="ALL527" s="3"/>
      <c r="ALM527" s="3"/>
      <c r="ALN527" s="3"/>
      <c r="ALO527" s="3"/>
      <c r="ALP527" s="3"/>
      <c r="ALQ527" s="3"/>
      <c r="ALR527" s="3"/>
      <c r="ALS527" s="3"/>
      <c r="ALT527" s="3"/>
      <c r="ALU527" s="3"/>
      <c r="ALV527" s="3"/>
      <c r="ALW527" s="3"/>
      <c r="ALX527" s="3"/>
      <c r="ALY527" s="3"/>
      <c r="ALZ527" s="3"/>
      <c r="AMA527" s="3"/>
      <c r="AMB527" s="3"/>
      <c r="AMC527" s="3"/>
      <c r="AMD527" s="3"/>
      <c r="AME527" s="3"/>
      <c r="AMF527" s="3"/>
      <c r="AMG527" s="3"/>
      <c r="AMH527" s="3"/>
      <c r="AMI527" s="3"/>
      <c r="AMJ527" s="3"/>
      <c r="AMK527" s="3"/>
      <c r="AML527" s="3"/>
      <c r="AMM527" s="3"/>
      <c r="AMN527" s="3"/>
      <c r="AMO527" s="3"/>
      <c r="AMP527" s="1"/>
    </row>
    <row r="528" spans="1:1030" s="6" customFormat="1" x14ac:dyDescent="0.2">
      <c r="A528" s="3" t="str">
        <f t="shared" si="4526"/>
        <v>smo_human_5L7D</v>
      </c>
      <c r="B528" s="3" t="s">
        <v>33</v>
      </c>
      <c r="C528" s="3" t="s">
        <v>1346</v>
      </c>
      <c r="D528" s="3" t="str">
        <f>IFERROR(MID(VLOOKUP($B528,Seqs!$A:$B,2,0),E528,1),"")</f>
        <v>T</v>
      </c>
      <c r="E528" s="105">
        <v>223</v>
      </c>
      <c r="F528" s="3" t="str">
        <f>IFERROR(MID(VLOOKUP($B528,Seqs!$A:$B,2,0),G528,1),"")</f>
        <v>D</v>
      </c>
      <c r="G528" s="3">
        <v>255</v>
      </c>
      <c r="H528" s="3" t="str">
        <f>IFERROR(MID(VLOOKUP($B528,Seqs!$A:$B,2,0),I528,1),"")</f>
        <v>W</v>
      </c>
      <c r="I528" s="23">
        <v>256</v>
      </c>
      <c r="J528" s="3" t="str">
        <f>IFERROR(MID(VLOOKUP($B528,Seqs!$A:$B,2,0),K528,1),"")</f>
        <v>N</v>
      </c>
      <c r="K528" s="23">
        <v>260</v>
      </c>
      <c r="L528" s="3" t="str">
        <f>IFERROR(MID(VLOOKUP($B528,Seqs!$A:$B,2,0),M528,1),"")</f>
        <v>R</v>
      </c>
      <c r="M528" s="3">
        <v>261</v>
      </c>
      <c r="N528" s="3" t="str">
        <f>IFERROR(MID(VLOOKUP($B528,Seqs!$A:$B,2,0),O528,1),"")</f>
        <v>F</v>
      </c>
      <c r="O528" s="3">
        <v>285</v>
      </c>
      <c r="P528" s="3" t="str">
        <f>IFERROR(MID(VLOOKUP($B528,Seqs!$A:$B,2,0),Q528,1),"")</f>
        <v/>
      </c>
      <c r="Q528" s="3" t="s">
        <v>23</v>
      </c>
      <c r="R528" s="3" t="str">
        <f>IFERROR(MID(VLOOKUP($B528,Seqs!$A:$B,2,0),S528,1),"")</f>
        <v/>
      </c>
      <c r="S528" s="3" t="s">
        <v>23</v>
      </c>
      <c r="T528" s="3" t="str">
        <f>IFERROR(MID(VLOOKUP($B528,Seqs!$A:$B,2,0),U528,1),"")</f>
        <v>L</v>
      </c>
      <c r="U528" s="3">
        <v>312</v>
      </c>
      <c r="V528" s="3" t="str">
        <f>IFERROR(MID(VLOOKUP($B528,Seqs!$A:$B,2,0),W528,1),"")</f>
        <v>L</v>
      </c>
      <c r="W528" s="3">
        <v>346</v>
      </c>
      <c r="X528" s="3" t="str">
        <f>IFERROR(MID(VLOOKUP($B528,Seqs!$A:$B,2,0),Y528,1),"")</f>
        <v/>
      </c>
      <c r="Y528" s="3" t="s">
        <v>23</v>
      </c>
      <c r="Z528" s="3" t="str">
        <f>IFERROR(MID(VLOOKUP($B528,Seqs!$A:$B,2,0),AA528,1),"")</f>
        <v/>
      </c>
      <c r="AA528" s="3" t="s">
        <v>23</v>
      </c>
      <c r="AB528" s="3" t="str">
        <f>IFERROR(MID(VLOOKUP($B528,Seqs!$A:$B,2,0),AC528,1),"")</f>
        <v>K</v>
      </c>
      <c r="AC528" s="9">
        <v>356</v>
      </c>
      <c r="AD528" s="3" t="str">
        <f>IFERROR(MID(VLOOKUP($B528,Seqs!$A:$B,2,0),AE528,1),"")</f>
        <v>V</v>
      </c>
      <c r="AE528" s="3">
        <v>378</v>
      </c>
      <c r="AF528" s="3" t="str">
        <f>IFERROR(MID(VLOOKUP($B528,Seqs!$A:$B,2,0),AG528,1),"")</f>
        <v>C</v>
      </c>
      <c r="AG528" s="3">
        <v>390</v>
      </c>
      <c r="AH528" s="3" t="str">
        <f>IFERROR(MID(VLOOKUP($B528,Seqs!$A:$B,2,0),AI528,1),"")</f>
        <v>V</v>
      </c>
      <c r="AI528" s="3">
        <v>392</v>
      </c>
      <c r="AJ528" s="3" t="str">
        <f>IFERROR(MID(VLOOKUP($B528,Seqs!$A:$B,2,0),AK528,1),"")</f>
        <v>N</v>
      </c>
      <c r="AK528" s="105">
        <v>396</v>
      </c>
      <c r="AL528" s="3" t="str">
        <f>IFERROR(MID(VLOOKUP($B528,Seqs!$A:$B,2,0),AM528,1),"")</f>
        <v>S</v>
      </c>
      <c r="AM528" s="3">
        <v>428</v>
      </c>
      <c r="AN528" s="3" t="str">
        <f>IFERROR(MID(VLOOKUP($B528,Seqs!$A:$B,2,0),AO528,1),"")</f>
        <v>E</v>
      </c>
      <c r="AO528" s="3">
        <v>447</v>
      </c>
      <c r="AP528" s="3" t="str">
        <f>IFERROR(MID(VLOOKUP($B528,Seqs!$A:$B,2,0),AQ528,1),"")</f>
        <v>I</v>
      </c>
      <c r="AQ528" s="3">
        <v>496</v>
      </c>
      <c r="AR528" s="3" t="str">
        <f>IFERROR(MID(VLOOKUP($B528,Seqs!$A:$B,2,0),AS528,1),"")</f>
        <v>S</v>
      </c>
      <c r="AS528" s="105">
        <v>514</v>
      </c>
      <c r="AT528" s="3" t="str">
        <f>IFERROR(MID(VLOOKUP($B528,Seqs!$A:$B,2,0),AU528,1),"")</f>
        <v>W</v>
      </c>
      <c r="AU528" s="3">
        <v>537</v>
      </c>
      <c r="AV528" s="3" t="str">
        <f>IFERROR(MID(VLOOKUP($B528,Seqs!$A:$B,2,0),AW528,1),"")</f>
        <v>T</v>
      </c>
      <c r="AW528" s="3">
        <v>538</v>
      </c>
      <c r="AX528" s="3" t="str">
        <f>IFERROR(MID(VLOOKUP($B528,Seqs!$A:$B,2,0),AY528,1),"")</f>
        <v>T</v>
      </c>
      <c r="AY528" s="3">
        <v>553</v>
      </c>
      <c r="AZ528" s="78" t="str">
        <f>VLOOKUP(B528,Classification!A:D,2,0)</f>
        <v>F</v>
      </c>
      <c r="BA528" s="94" t="str">
        <f>VLOOKUP(B528,Classification!A:D,4,0)</f>
        <v>Frizzled</v>
      </c>
      <c r="BB528" s="92" t="b">
        <f t="shared" si="4527"/>
        <v>1</v>
      </c>
      <c r="BC528" s="23">
        <f t="shared" si="4416"/>
        <v>249</v>
      </c>
      <c r="BD528" s="74" t="s">
        <v>1370</v>
      </c>
      <c r="BE528" s="3" t="s">
        <v>1368</v>
      </c>
      <c r="BF528" s="118">
        <v>3.2</v>
      </c>
      <c r="BG528" s="49" t="s">
        <v>1275</v>
      </c>
      <c r="BH528" s="49" t="s">
        <v>1371</v>
      </c>
      <c r="BI528" s="3"/>
      <c r="BJ528" s="75" t="s">
        <v>1281</v>
      </c>
      <c r="BK528" s="57" t="s">
        <v>1281</v>
      </c>
      <c r="BL528" s="57" t="s">
        <v>1281</v>
      </c>
      <c r="BM528" s="57" t="s">
        <v>1281</v>
      </c>
      <c r="BN528" s="57" t="s">
        <v>1281</v>
      </c>
      <c r="BO528" s="57" t="s">
        <v>1281</v>
      </c>
      <c r="BP528" s="57" t="s">
        <v>1281</v>
      </c>
      <c r="BQ528" s="57" t="s">
        <v>1281</v>
      </c>
      <c r="BR528" s="57" t="s">
        <v>1281</v>
      </c>
      <c r="BS528" s="57" t="s">
        <v>1281</v>
      </c>
      <c r="BT528" s="57" t="s">
        <v>1281</v>
      </c>
      <c r="BU528" s="57" t="s">
        <v>1281</v>
      </c>
      <c r="BV528" s="75">
        <f t="shared" si="4417"/>
        <v>223</v>
      </c>
      <c r="BW528" s="71">
        <f t="shared" si="4418"/>
        <v>256</v>
      </c>
      <c r="BX528" s="72">
        <f t="shared" si="4419"/>
        <v>261</v>
      </c>
      <c r="BY528" s="71" t="str">
        <f t="shared" si="4420"/>
        <v>-</v>
      </c>
      <c r="BZ528" s="72">
        <f t="shared" si="4421"/>
        <v>312</v>
      </c>
      <c r="CA528" s="71" t="str">
        <f t="shared" si="4422"/>
        <v>-</v>
      </c>
      <c r="CB528" s="72">
        <f t="shared" si="4423"/>
        <v>356</v>
      </c>
      <c r="CC528" s="71">
        <f t="shared" si="4424"/>
        <v>390</v>
      </c>
      <c r="CD528" s="72">
        <f t="shared" si="4425"/>
        <v>396</v>
      </c>
      <c r="CE528" s="71">
        <f t="shared" si="4426"/>
        <v>447</v>
      </c>
      <c r="CF528" s="72">
        <f t="shared" si="4427"/>
        <v>514</v>
      </c>
      <c r="CG528" s="71">
        <f t="shared" si="4428"/>
        <v>538</v>
      </c>
      <c r="CH528" s="75">
        <f t="shared" si="4429"/>
        <v>255</v>
      </c>
      <c r="CI528" s="71">
        <f t="shared" si="4430"/>
        <v>260</v>
      </c>
      <c r="CJ528" s="72">
        <f t="shared" si="4431"/>
        <v>285</v>
      </c>
      <c r="CK528" s="72" t="str">
        <f t="shared" si="4432"/>
        <v>-</v>
      </c>
      <c r="CL528" s="72">
        <f t="shared" si="4433"/>
        <v>346</v>
      </c>
      <c r="CM528" s="72" t="str">
        <f t="shared" si="4434"/>
        <v>-</v>
      </c>
      <c r="CN528" s="72">
        <f t="shared" si="4435"/>
        <v>378</v>
      </c>
      <c r="CO528" s="72">
        <f t="shared" si="4436"/>
        <v>392</v>
      </c>
      <c r="CP528" s="72">
        <f t="shared" si="4437"/>
        <v>428</v>
      </c>
      <c r="CQ528" s="72">
        <f t="shared" si="4438"/>
        <v>496</v>
      </c>
      <c r="CR528" s="72">
        <f t="shared" si="4439"/>
        <v>537</v>
      </c>
      <c r="CS528" s="72">
        <f t="shared" si="4440"/>
        <v>553</v>
      </c>
      <c r="CT528" s="23">
        <f t="shared" si="4441"/>
        <v>1</v>
      </c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r="PN528" s="3"/>
      <c r="PO528" s="3"/>
      <c r="PP528" s="3"/>
      <c r="PQ528" s="3"/>
      <c r="PR528" s="3"/>
      <c r="PS528" s="3"/>
      <c r="PT528" s="3"/>
      <c r="PU528" s="3"/>
      <c r="PV528" s="3"/>
      <c r="PW528" s="3"/>
      <c r="PX528" s="3"/>
      <c r="PY528" s="3"/>
      <c r="PZ528" s="3"/>
      <c r="QA528" s="3"/>
      <c r="QB528" s="3"/>
      <c r="QC528" s="3"/>
      <c r="QD528" s="3"/>
      <c r="QE528" s="3"/>
      <c r="QF528" s="3"/>
      <c r="QG528" s="3"/>
      <c r="QH528" s="3"/>
      <c r="QI528" s="3"/>
      <c r="QJ528" s="3"/>
      <c r="QK528" s="3"/>
      <c r="QL528" s="3"/>
      <c r="QM528" s="3"/>
      <c r="QN528" s="3"/>
      <c r="QO528" s="3"/>
      <c r="QP528" s="3"/>
      <c r="QQ528" s="3"/>
      <c r="QR528" s="3"/>
      <c r="QS528" s="3"/>
      <c r="QT528" s="3"/>
      <c r="QU528" s="3"/>
      <c r="QV528" s="3"/>
      <c r="QW528" s="3"/>
      <c r="QX528" s="3"/>
      <c r="QY528" s="3"/>
      <c r="QZ528" s="3"/>
      <c r="RA528" s="3"/>
      <c r="RB528" s="3"/>
      <c r="RC528" s="3"/>
      <c r="RD528" s="3"/>
      <c r="RE528" s="3"/>
      <c r="RF528" s="3"/>
      <c r="RG528" s="3"/>
      <c r="RH528" s="3"/>
      <c r="RI528" s="3"/>
      <c r="RJ528" s="3"/>
      <c r="RK528" s="3"/>
      <c r="RL528" s="3"/>
      <c r="RM528" s="3"/>
      <c r="RN528" s="3"/>
      <c r="RO528" s="3"/>
      <c r="RP528" s="3"/>
      <c r="RQ528" s="3"/>
      <c r="RR528" s="3"/>
      <c r="RS528" s="3"/>
      <c r="RT528" s="3"/>
      <c r="RU528" s="3"/>
      <c r="RV528" s="3"/>
      <c r="RW528" s="3"/>
      <c r="RX528" s="3"/>
      <c r="RY528" s="3"/>
      <c r="RZ528" s="3"/>
      <c r="SA528" s="3"/>
      <c r="SB528" s="3"/>
      <c r="SC528" s="3"/>
      <c r="SD528" s="3"/>
      <c r="SE528" s="3"/>
      <c r="SF528" s="3"/>
      <c r="SG528" s="3"/>
      <c r="SH528" s="3"/>
      <c r="SI528" s="3"/>
      <c r="SJ528" s="3"/>
      <c r="SK528" s="3"/>
      <c r="SL528" s="3"/>
      <c r="SM528" s="3"/>
      <c r="SN528" s="3"/>
      <c r="SO528" s="3"/>
      <c r="SP528" s="3"/>
      <c r="SQ528" s="3"/>
      <c r="SR528" s="3"/>
      <c r="SS528" s="3"/>
      <c r="ST528" s="3"/>
      <c r="SU528" s="3"/>
      <c r="SV528" s="3"/>
      <c r="SW528" s="3"/>
      <c r="SX528" s="3"/>
      <c r="SY528" s="3"/>
      <c r="SZ528" s="3"/>
      <c r="TA528" s="3"/>
      <c r="TB528" s="3"/>
      <c r="TC528" s="3"/>
      <c r="TD528" s="3"/>
      <c r="TE528" s="3"/>
      <c r="TF528" s="3"/>
      <c r="TG528" s="3"/>
      <c r="TH528" s="3"/>
      <c r="TI528" s="3"/>
      <c r="TJ528" s="3"/>
      <c r="TK528" s="3"/>
      <c r="TL528" s="3"/>
      <c r="TM528" s="3"/>
      <c r="TN528" s="3"/>
      <c r="TO528" s="3"/>
      <c r="TP528" s="3"/>
      <c r="TQ528" s="3"/>
      <c r="TR528" s="3"/>
      <c r="TS528" s="3"/>
      <c r="TT528" s="3"/>
      <c r="TU528" s="3"/>
      <c r="TV528" s="3"/>
      <c r="TW528" s="3"/>
      <c r="TX528" s="3"/>
      <c r="TY528" s="3"/>
      <c r="TZ528" s="3"/>
      <c r="UA528" s="3"/>
      <c r="UB528" s="3"/>
      <c r="UC528" s="3"/>
      <c r="UD528" s="3"/>
      <c r="UE528" s="3"/>
      <c r="UF528" s="3"/>
      <c r="UG528" s="3"/>
      <c r="UH528" s="3"/>
      <c r="UI528" s="3"/>
      <c r="UJ528" s="3"/>
      <c r="UK528" s="3"/>
      <c r="UL528" s="3"/>
      <c r="UM528" s="3"/>
      <c r="UN528" s="3"/>
      <c r="UO528" s="3"/>
      <c r="UP528" s="3"/>
      <c r="UQ528" s="3"/>
      <c r="UR528" s="3"/>
      <c r="US528" s="3"/>
      <c r="UT528" s="3"/>
      <c r="UU528" s="3"/>
      <c r="UV528" s="3"/>
      <c r="UW528" s="3"/>
      <c r="UX528" s="3"/>
      <c r="UY528" s="3"/>
      <c r="UZ528" s="3"/>
      <c r="VA528" s="3"/>
      <c r="VB528" s="3"/>
      <c r="VC528" s="3"/>
      <c r="VD528" s="3"/>
      <c r="VE528" s="3"/>
      <c r="VF528" s="3"/>
      <c r="VG528" s="3"/>
      <c r="VH528" s="3"/>
      <c r="VI528" s="3"/>
      <c r="VJ528" s="3"/>
      <c r="VK528" s="3"/>
      <c r="VL528" s="3"/>
      <c r="VM528" s="3"/>
      <c r="VN528" s="3"/>
      <c r="VO528" s="3"/>
      <c r="VP528" s="3"/>
      <c r="VQ528" s="3"/>
      <c r="VR528" s="3"/>
      <c r="VS528" s="3"/>
      <c r="VT528" s="3"/>
      <c r="VU528" s="3"/>
      <c r="VV528" s="3"/>
      <c r="VW528" s="3"/>
      <c r="VX528" s="3"/>
      <c r="VY528" s="3"/>
      <c r="VZ528" s="3"/>
      <c r="WA528" s="3"/>
      <c r="WB528" s="3"/>
      <c r="WC528" s="3"/>
      <c r="WD528" s="3"/>
      <c r="WE528" s="3"/>
      <c r="WF528" s="3"/>
      <c r="WG528" s="3"/>
      <c r="WH528" s="3"/>
      <c r="WI528" s="3"/>
      <c r="WJ528" s="3"/>
      <c r="WK528" s="3"/>
      <c r="WL528" s="3"/>
      <c r="WM528" s="3"/>
      <c r="WN528" s="3"/>
      <c r="WO528" s="3"/>
      <c r="WP528" s="3"/>
      <c r="WQ528" s="3"/>
      <c r="WR528" s="3"/>
      <c r="WS528" s="3"/>
      <c r="WT528" s="3"/>
      <c r="WU528" s="3"/>
      <c r="WV528" s="3"/>
      <c r="WW528" s="3"/>
      <c r="WX528" s="3"/>
      <c r="WY528" s="3"/>
      <c r="WZ528" s="3"/>
      <c r="XA528" s="3"/>
      <c r="XB528" s="3"/>
      <c r="XC528" s="3"/>
      <c r="XD528" s="3"/>
      <c r="XE528" s="3"/>
      <c r="XF528" s="3"/>
      <c r="XG528" s="3"/>
      <c r="XH528" s="3"/>
      <c r="XI528" s="3"/>
      <c r="XJ528" s="3"/>
      <c r="XK528" s="3"/>
      <c r="XL528" s="3"/>
      <c r="XM528" s="3"/>
      <c r="XN528" s="3"/>
      <c r="XO528" s="3"/>
      <c r="XP528" s="3"/>
      <c r="XQ528" s="3"/>
      <c r="XR528" s="3"/>
      <c r="XS528" s="3"/>
      <c r="XT528" s="3"/>
      <c r="XU528" s="3"/>
      <c r="XV528" s="3"/>
      <c r="XW528" s="3"/>
      <c r="XX528" s="3"/>
      <c r="XY528" s="3"/>
      <c r="XZ528" s="3"/>
      <c r="YA528" s="3"/>
      <c r="YB528" s="3"/>
      <c r="YC528" s="3"/>
      <c r="YD528" s="3"/>
      <c r="YE528" s="3"/>
      <c r="YF528" s="3"/>
      <c r="YG528" s="3"/>
      <c r="YH528" s="3"/>
      <c r="YI528" s="3"/>
      <c r="YJ528" s="3"/>
      <c r="YK528" s="3"/>
      <c r="YL528" s="3"/>
      <c r="YM528" s="3"/>
      <c r="YN528" s="3"/>
      <c r="YO528" s="3"/>
      <c r="YP528" s="3"/>
      <c r="YQ528" s="3"/>
      <c r="YR528" s="3"/>
      <c r="YS528" s="3"/>
      <c r="YT528" s="3"/>
      <c r="YU528" s="3"/>
      <c r="YV528" s="3"/>
      <c r="YW528" s="3"/>
      <c r="YX528" s="3"/>
      <c r="YY528" s="3"/>
      <c r="YZ528" s="3"/>
      <c r="ZA528" s="3"/>
      <c r="ZB528" s="3"/>
      <c r="ZC528" s="3"/>
      <c r="ZD528" s="3"/>
      <c r="ZE528" s="3"/>
      <c r="ZF528" s="3"/>
      <c r="ZG528" s="3"/>
      <c r="ZH528" s="3"/>
      <c r="ZI528" s="3"/>
      <c r="ZJ528" s="3"/>
      <c r="ZK528" s="3"/>
      <c r="ZL528" s="3"/>
      <c r="ZM528" s="3"/>
      <c r="ZN528" s="3"/>
      <c r="ZO528" s="3"/>
      <c r="ZP528" s="3"/>
      <c r="ZQ528" s="3"/>
      <c r="ZR528" s="3"/>
      <c r="ZS528" s="3"/>
      <c r="ZT528" s="3"/>
      <c r="ZU528" s="3"/>
      <c r="ZV528" s="3"/>
      <c r="ZW528" s="3"/>
      <c r="ZX528" s="3"/>
      <c r="ZY528" s="3"/>
      <c r="ZZ528" s="3"/>
      <c r="AAA528" s="3"/>
      <c r="AAB528" s="3"/>
      <c r="AAC528" s="3"/>
      <c r="AAD528" s="3"/>
      <c r="AAE528" s="3"/>
      <c r="AAF528" s="3"/>
      <c r="AAG528" s="3"/>
      <c r="AAH528" s="3"/>
      <c r="AAI528" s="3"/>
      <c r="AAJ528" s="3"/>
      <c r="AAK528" s="3"/>
      <c r="AAL528" s="3"/>
      <c r="AAM528" s="3"/>
      <c r="AAN528" s="3"/>
      <c r="AAO528" s="3"/>
      <c r="AAP528" s="3"/>
      <c r="AAQ528" s="3"/>
      <c r="AAR528" s="3"/>
      <c r="AAS528" s="3"/>
      <c r="AAT528" s="3"/>
      <c r="AAU528" s="3"/>
      <c r="AAV528" s="3"/>
      <c r="AAW528" s="3"/>
      <c r="AAX528" s="3"/>
      <c r="AAY528" s="3"/>
      <c r="AAZ528" s="3"/>
      <c r="ABA528" s="3"/>
      <c r="ABB528" s="3"/>
      <c r="ABC528" s="3"/>
      <c r="ABD528" s="3"/>
      <c r="ABE528" s="3"/>
      <c r="ABF528" s="3"/>
      <c r="ABG528" s="3"/>
      <c r="ABH528" s="3"/>
      <c r="ABI528" s="3"/>
      <c r="ABJ528" s="3"/>
      <c r="ABK528" s="3"/>
      <c r="ABL528" s="3"/>
      <c r="ABM528" s="3"/>
      <c r="ABN528" s="3"/>
      <c r="ABO528" s="3"/>
      <c r="ABP528" s="3"/>
      <c r="ABQ528" s="3"/>
      <c r="ABR528" s="3"/>
      <c r="ABS528" s="3"/>
      <c r="ABT528" s="3"/>
      <c r="ABU528" s="3"/>
      <c r="ABV528" s="3"/>
      <c r="ABW528" s="3"/>
      <c r="ABX528" s="3"/>
      <c r="ABY528" s="3"/>
      <c r="ABZ528" s="3"/>
      <c r="ACA528" s="3"/>
      <c r="ACB528" s="3"/>
      <c r="ACC528" s="3"/>
      <c r="ACD528" s="3"/>
      <c r="ACE528" s="3"/>
      <c r="ACF528" s="3"/>
      <c r="ACG528" s="3"/>
      <c r="ACH528" s="3"/>
      <c r="ACI528" s="3"/>
      <c r="ACJ528" s="3"/>
      <c r="ACK528" s="3"/>
      <c r="ACL528" s="3"/>
      <c r="ACM528" s="3"/>
      <c r="ACN528" s="3"/>
      <c r="ACO528" s="3"/>
      <c r="ACP528" s="3"/>
      <c r="ACQ528" s="3"/>
      <c r="ACR528" s="3"/>
      <c r="ACS528" s="3"/>
      <c r="ACT528" s="3"/>
      <c r="ACU528" s="3"/>
      <c r="ACV528" s="3"/>
      <c r="ACW528" s="3"/>
      <c r="ACX528" s="3"/>
      <c r="ACY528" s="3"/>
      <c r="ACZ528" s="3"/>
      <c r="ADA528" s="3"/>
      <c r="ADB528" s="3"/>
      <c r="ADC528" s="3"/>
      <c r="ADD528" s="3"/>
      <c r="ADE528" s="3"/>
      <c r="ADF528" s="3"/>
      <c r="ADG528" s="3"/>
      <c r="ADH528" s="3"/>
      <c r="ADI528" s="3"/>
      <c r="ADJ528" s="3"/>
      <c r="ADK528" s="3"/>
      <c r="ADL528" s="3"/>
      <c r="ADM528" s="3"/>
      <c r="ADN528" s="3"/>
      <c r="ADO528" s="3"/>
      <c r="ADP528" s="3"/>
      <c r="ADQ528" s="3"/>
      <c r="ADR528" s="3"/>
      <c r="ADS528" s="3"/>
      <c r="ADT528" s="3"/>
      <c r="ADU528" s="3"/>
      <c r="ADV528" s="3"/>
      <c r="ADW528" s="3"/>
      <c r="ADX528" s="3"/>
      <c r="ADY528" s="3"/>
      <c r="ADZ528" s="3"/>
      <c r="AEA528" s="3"/>
      <c r="AEB528" s="3"/>
      <c r="AEC528" s="3"/>
      <c r="AED528" s="3"/>
      <c r="AEE528" s="3"/>
      <c r="AEF528" s="3"/>
      <c r="AEG528" s="3"/>
      <c r="AEH528" s="3"/>
      <c r="AEI528" s="3"/>
      <c r="AEJ528" s="3"/>
      <c r="AEK528" s="3"/>
      <c r="AEL528" s="3"/>
      <c r="AEM528" s="3"/>
      <c r="AEN528" s="3"/>
      <c r="AEO528" s="3"/>
      <c r="AEP528" s="3"/>
      <c r="AEQ528" s="3"/>
      <c r="AER528" s="3"/>
      <c r="AES528" s="3"/>
      <c r="AET528" s="3"/>
      <c r="AEU528" s="3"/>
      <c r="AEV528" s="3"/>
      <c r="AEW528" s="3"/>
      <c r="AEX528" s="3"/>
      <c r="AEY528" s="3"/>
      <c r="AEZ528" s="3"/>
      <c r="AFA528" s="3"/>
      <c r="AFB528" s="3"/>
      <c r="AFC528" s="3"/>
      <c r="AFD528" s="3"/>
      <c r="AFE528" s="3"/>
      <c r="AFF528" s="3"/>
      <c r="AFG528" s="3"/>
      <c r="AFH528" s="3"/>
      <c r="AFI528" s="3"/>
      <c r="AFJ528" s="3"/>
      <c r="AFK528" s="3"/>
      <c r="AFL528" s="3"/>
      <c r="AFM528" s="3"/>
      <c r="AFN528" s="3"/>
      <c r="AFO528" s="3"/>
      <c r="AFP528" s="3"/>
      <c r="AFQ528" s="3"/>
      <c r="AFR528" s="3"/>
      <c r="AFS528" s="3"/>
      <c r="AFT528" s="3"/>
      <c r="AFU528" s="3"/>
      <c r="AFV528" s="3"/>
      <c r="AFW528" s="3"/>
      <c r="AFX528" s="3"/>
      <c r="AFY528" s="3"/>
      <c r="AFZ528" s="3"/>
      <c r="AGA528" s="3"/>
      <c r="AGB528" s="3"/>
      <c r="AGC528" s="3"/>
      <c r="AGD528" s="3"/>
      <c r="AGE528" s="3"/>
      <c r="AGF528" s="3"/>
      <c r="AGG528" s="3"/>
      <c r="AGH528" s="3"/>
      <c r="AGI528" s="3"/>
      <c r="AGJ528" s="3"/>
      <c r="AGK528" s="3"/>
      <c r="AGL528" s="3"/>
      <c r="AGM528" s="3"/>
      <c r="AGN528" s="3"/>
      <c r="AGO528" s="3"/>
      <c r="AGP528" s="3"/>
      <c r="AGQ528" s="3"/>
      <c r="AGR528" s="3"/>
      <c r="AGS528" s="3"/>
      <c r="AGT528" s="3"/>
      <c r="AGU528" s="3"/>
      <c r="AGV528" s="3"/>
      <c r="AGW528" s="3"/>
      <c r="AGX528" s="3"/>
      <c r="AGY528" s="3"/>
      <c r="AGZ528" s="3"/>
      <c r="AHA528" s="3"/>
      <c r="AHB528" s="3"/>
      <c r="AHC528" s="3"/>
      <c r="AHD528" s="3"/>
      <c r="AHE528" s="3"/>
      <c r="AHF528" s="3"/>
      <c r="AHG528" s="3"/>
      <c r="AHH528" s="3"/>
      <c r="AHI528" s="3"/>
      <c r="AHJ528" s="3"/>
      <c r="AHK528" s="3"/>
      <c r="AHL528" s="3"/>
      <c r="AHM528" s="3"/>
      <c r="AHN528" s="3"/>
      <c r="AHO528" s="3"/>
      <c r="AHP528" s="3"/>
      <c r="AHQ528" s="3"/>
      <c r="AHR528" s="3"/>
      <c r="AHS528" s="3"/>
      <c r="AHT528" s="3"/>
      <c r="AHU528" s="3"/>
      <c r="AHV528" s="3"/>
      <c r="AHW528" s="3"/>
      <c r="AHX528" s="3"/>
      <c r="AHY528" s="3"/>
      <c r="AHZ528" s="3"/>
      <c r="AIA528" s="3"/>
      <c r="AIB528" s="3"/>
      <c r="AIC528" s="3"/>
      <c r="AID528" s="3"/>
      <c r="AIE528" s="3"/>
      <c r="AIF528" s="3"/>
      <c r="AIG528" s="3"/>
      <c r="AIH528" s="3"/>
      <c r="AII528" s="3"/>
      <c r="AIJ528" s="3"/>
      <c r="AIK528" s="3"/>
      <c r="AIL528" s="3"/>
      <c r="AIM528" s="3"/>
      <c r="AIN528" s="3"/>
      <c r="AIO528" s="3"/>
      <c r="AIP528" s="3"/>
      <c r="AIQ528" s="3"/>
      <c r="AIR528" s="3"/>
      <c r="AIS528" s="3"/>
      <c r="AIT528" s="3"/>
      <c r="AIU528" s="3"/>
      <c r="AIV528" s="3"/>
      <c r="AIW528" s="3"/>
      <c r="AIX528" s="3"/>
      <c r="AIY528" s="3"/>
      <c r="AIZ528" s="3"/>
      <c r="AJA528" s="3"/>
      <c r="AJB528" s="3"/>
      <c r="AJC528" s="3"/>
      <c r="AJD528" s="3"/>
      <c r="AJE528" s="3"/>
      <c r="AJF528" s="3"/>
      <c r="AJG528" s="3"/>
      <c r="AJH528" s="3"/>
      <c r="AJI528" s="3"/>
      <c r="AJJ528" s="3"/>
      <c r="AJK528" s="3"/>
      <c r="AJL528" s="3"/>
      <c r="AJM528" s="3"/>
      <c r="AJN528" s="3"/>
      <c r="AJO528" s="3"/>
      <c r="AJP528" s="3"/>
      <c r="AJQ528" s="3"/>
      <c r="AJR528" s="3"/>
      <c r="AJS528" s="3"/>
      <c r="AJT528" s="3"/>
      <c r="AJU528" s="3"/>
      <c r="AJV528" s="3"/>
      <c r="AJW528" s="3"/>
      <c r="AJX528" s="3"/>
      <c r="AJY528" s="3"/>
      <c r="AJZ528" s="3"/>
      <c r="AKA528" s="3"/>
      <c r="AKB528" s="3"/>
      <c r="AKC528" s="3"/>
      <c r="AKD528" s="3"/>
      <c r="AKE528" s="3"/>
      <c r="AKF528" s="3"/>
      <c r="AKG528" s="3"/>
      <c r="AKH528" s="3"/>
      <c r="AKI528" s="3"/>
      <c r="AKJ528" s="3"/>
      <c r="AKK528" s="3"/>
      <c r="AKL528" s="3"/>
      <c r="AKM528" s="3"/>
      <c r="AKN528" s="3"/>
      <c r="AKO528" s="3"/>
      <c r="AKP528" s="3"/>
      <c r="AKQ528" s="3"/>
      <c r="AKR528" s="3"/>
      <c r="AKS528" s="3"/>
      <c r="AKT528" s="3"/>
      <c r="AKU528" s="3"/>
      <c r="AKV528" s="3"/>
      <c r="AKW528" s="3"/>
      <c r="AKX528" s="3"/>
      <c r="AKY528" s="3"/>
      <c r="AKZ528" s="3"/>
      <c r="ALA528" s="3"/>
      <c r="ALB528" s="3"/>
      <c r="ALC528" s="3"/>
      <c r="ALD528" s="3"/>
      <c r="ALE528" s="3"/>
      <c r="ALF528" s="3"/>
      <c r="ALG528" s="3"/>
      <c r="ALH528" s="3"/>
      <c r="ALI528" s="3"/>
      <c r="ALJ528" s="3"/>
      <c r="ALK528" s="3"/>
      <c r="ALL528" s="3"/>
      <c r="ALM528" s="3"/>
      <c r="ALN528" s="3"/>
      <c r="ALO528" s="3"/>
      <c r="ALP528" s="3"/>
      <c r="ALQ528" s="3"/>
      <c r="ALR528" s="3"/>
      <c r="ALS528" s="3"/>
      <c r="ALT528" s="3"/>
      <c r="ALU528" s="3"/>
      <c r="ALV528" s="3"/>
      <c r="ALW528" s="3"/>
      <c r="ALX528" s="3"/>
      <c r="ALY528" s="3"/>
      <c r="ALZ528" s="3"/>
      <c r="AMA528" s="3"/>
      <c r="AMB528" s="3"/>
      <c r="AMC528" s="3"/>
      <c r="AMD528" s="3"/>
      <c r="AME528" s="3"/>
      <c r="AMF528" s="3"/>
      <c r="AMG528" s="3"/>
      <c r="AMH528" s="3"/>
      <c r="AMI528" s="3"/>
      <c r="AMJ528" s="3"/>
      <c r="AMK528" s="3"/>
      <c r="AML528" s="3"/>
      <c r="AMM528" s="3"/>
      <c r="AMN528" s="3"/>
      <c r="AMO528" s="3"/>
      <c r="AMP528" s="1"/>
    </row>
    <row r="529" spans="1:1030" s="6" customFormat="1" x14ac:dyDescent="0.2">
      <c r="A529" s="3" t="str">
        <f t="shared" si="4526"/>
        <v>smo_human_5L7I</v>
      </c>
      <c r="B529" s="3" t="s">
        <v>33</v>
      </c>
      <c r="C529" s="3" t="s">
        <v>1347</v>
      </c>
      <c r="D529" s="3" t="str">
        <f>IFERROR(MID(VLOOKUP($B529,Seqs!$A:$B,2,0),E529,1),"")</f>
        <v>T</v>
      </c>
      <c r="E529" s="105">
        <v>223</v>
      </c>
      <c r="F529" s="3" t="str">
        <f>IFERROR(MID(VLOOKUP($B529,Seqs!$A:$B,2,0),G529,1),"")</f>
        <v>D</v>
      </c>
      <c r="G529" s="3">
        <v>255</v>
      </c>
      <c r="H529" s="3" t="str">
        <f>IFERROR(MID(VLOOKUP($B529,Seqs!$A:$B,2,0),I529,1),"")</f>
        <v>W</v>
      </c>
      <c r="I529" s="23">
        <v>256</v>
      </c>
      <c r="J529" s="3" t="str">
        <f>IFERROR(MID(VLOOKUP($B529,Seqs!$A:$B,2,0),K529,1),"")</f>
        <v>N</v>
      </c>
      <c r="K529" s="23">
        <v>260</v>
      </c>
      <c r="L529" s="3" t="str">
        <f>IFERROR(MID(VLOOKUP($B529,Seqs!$A:$B,2,0),M529,1),"")</f>
        <v>R</v>
      </c>
      <c r="M529" s="3">
        <v>261</v>
      </c>
      <c r="N529" s="3" t="str">
        <f>IFERROR(MID(VLOOKUP($B529,Seqs!$A:$B,2,0),O529,1),"")</f>
        <v>F</v>
      </c>
      <c r="O529" s="3">
        <v>285</v>
      </c>
      <c r="P529" s="3" t="str">
        <f>IFERROR(MID(VLOOKUP($B529,Seqs!$A:$B,2,0),Q529,1),"")</f>
        <v/>
      </c>
      <c r="Q529" s="3" t="s">
        <v>23</v>
      </c>
      <c r="R529" s="3" t="str">
        <f>IFERROR(MID(VLOOKUP($B529,Seqs!$A:$B,2,0),S529,1),"")</f>
        <v/>
      </c>
      <c r="S529" s="3" t="s">
        <v>23</v>
      </c>
      <c r="T529" s="3" t="str">
        <f>IFERROR(MID(VLOOKUP($B529,Seqs!$A:$B,2,0),U529,1),"")</f>
        <v>L</v>
      </c>
      <c r="U529" s="3">
        <v>312</v>
      </c>
      <c r="V529" s="3" t="str">
        <f>IFERROR(MID(VLOOKUP($B529,Seqs!$A:$B,2,0),W529,1),"")</f>
        <v>L</v>
      </c>
      <c r="W529" s="3">
        <v>346</v>
      </c>
      <c r="X529" s="3" t="str">
        <f>IFERROR(MID(VLOOKUP($B529,Seqs!$A:$B,2,0),Y529,1),"")</f>
        <v/>
      </c>
      <c r="Y529" s="3" t="s">
        <v>23</v>
      </c>
      <c r="Z529" s="3" t="str">
        <f>IFERROR(MID(VLOOKUP($B529,Seqs!$A:$B,2,0),AA529,1),"")</f>
        <v/>
      </c>
      <c r="AA529" s="3" t="s">
        <v>23</v>
      </c>
      <c r="AB529" s="3" t="str">
        <f>IFERROR(MID(VLOOKUP($B529,Seqs!$A:$B,2,0),AC529,1),"")</f>
        <v>K</v>
      </c>
      <c r="AC529" s="9">
        <v>356</v>
      </c>
      <c r="AD529" s="3" t="str">
        <f>IFERROR(MID(VLOOKUP($B529,Seqs!$A:$B,2,0),AE529,1),"")</f>
        <v>V</v>
      </c>
      <c r="AE529" s="3">
        <v>378</v>
      </c>
      <c r="AF529" s="3" t="str">
        <f>IFERROR(MID(VLOOKUP($B529,Seqs!$A:$B,2,0),AG529,1),"")</f>
        <v>C</v>
      </c>
      <c r="AG529" s="3">
        <v>390</v>
      </c>
      <c r="AH529" s="3" t="str">
        <f>IFERROR(MID(VLOOKUP($B529,Seqs!$A:$B,2,0),AI529,1),"")</f>
        <v>V</v>
      </c>
      <c r="AI529" s="3">
        <v>392</v>
      </c>
      <c r="AJ529" s="3" t="str">
        <f>IFERROR(MID(VLOOKUP($B529,Seqs!$A:$B,2,0),AK529,1),"")</f>
        <v>N</v>
      </c>
      <c r="AK529" s="105">
        <v>396</v>
      </c>
      <c r="AL529" s="3" t="str">
        <f>IFERROR(MID(VLOOKUP($B529,Seqs!$A:$B,2,0),AM529,1),"")</f>
        <v>S</v>
      </c>
      <c r="AM529" s="3">
        <v>428</v>
      </c>
      <c r="AN529" s="3" t="str">
        <f>IFERROR(MID(VLOOKUP($B529,Seqs!$A:$B,2,0),AO529,1),"")</f>
        <v>E</v>
      </c>
      <c r="AO529" s="3">
        <v>447</v>
      </c>
      <c r="AP529" s="3" t="str">
        <f>IFERROR(MID(VLOOKUP($B529,Seqs!$A:$B,2,0),AQ529,1),"")</f>
        <v>N</v>
      </c>
      <c r="AQ529" s="3">
        <v>493</v>
      </c>
      <c r="AR529" s="3" t="str">
        <f>IFERROR(MID(VLOOKUP($B529,Seqs!$A:$B,2,0),AS529,1),"")</f>
        <v>S</v>
      </c>
      <c r="AS529" s="105">
        <v>514</v>
      </c>
      <c r="AT529" s="3" t="str">
        <f>IFERROR(MID(VLOOKUP($B529,Seqs!$A:$B,2,0),AU529,1),"")</f>
        <v>W</v>
      </c>
      <c r="AU529" s="3">
        <v>537</v>
      </c>
      <c r="AV529" s="3" t="str">
        <f>IFERROR(MID(VLOOKUP($B529,Seqs!$A:$B,2,0),AW529,1),"")</f>
        <v>T</v>
      </c>
      <c r="AW529" s="3">
        <v>538</v>
      </c>
      <c r="AX529" s="3" t="str">
        <f>IFERROR(MID(VLOOKUP($B529,Seqs!$A:$B,2,0),AY529,1),"")</f>
        <v>R</v>
      </c>
      <c r="AY529" s="3">
        <v>551</v>
      </c>
      <c r="AZ529" s="78" t="str">
        <f>VLOOKUP(B529,Classification!A:D,2,0)</f>
        <v>F</v>
      </c>
      <c r="BA529" s="94" t="str">
        <f>VLOOKUP(B529,Classification!A:D,4,0)</f>
        <v>Frizzled</v>
      </c>
      <c r="BB529" s="92" t="b">
        <f t="shared" si="4527"/>
        <v>1</v>
      </c>
      <c r="BC529" s="23">
        <f t="shared" si="4416"/>
        <v>244</v>
      </c>
      <c r="BD529" s="74" t="s">
        <v>23</v>
      </c>
      <c r="BE529" s="3" t="s">
        <v>1368</v>
      </c>
      <c r="BF529" s="118">
        <v>3.3</v>
      </c>
      <c r="BG529" s="49" t="s">
        <v>1275</v>
      </c>
      <c r="BH529" s="49" t="s">
        <v>1371</v>
      </c>
      <c r="BI529" s="3" t="s">
        <v>1355</v>
      </c>
      <c r="BJ529" s="75" t="s">
        <v>1281</v>
      </c>
      <c r="BK529" s="57" t="s">
        <v>1281</v>
      </c>
      <c r="BL529" s="57" t="s">
        <v>1281</v>
      </c>
      <c r="BM529" s="57" t="s">
        <v>1281</v>
      </c>
      <c r="BN529" s="57" t="s">
        <v>1281</v>
      </c>
      <c r="BO529" s="57" t="s">
        <v>1281</v>
      </c>
      <c r="BP529" s="57" t="s">
        <v>1281</v>
      </c>
      <c r="BQ529" s="57" t="s">
        <v>1281</v>
      </c>
      <c r="BR529" s="57" t="s">
        <v>1281</v>
      </c>
      <c r="BS529" s="57" t="s">
        <v>1281</v>
      </c>
      <c r="BT529" s="57" t="s">
        <v>1281</v>
      </c>
      <c r="BU529" s="57" t="s">
        <v>1281</v>
      </c>
      <c r="BV529" s="75">
        <f t="shared" si="4417"/>
        <v>223</v>
      </c>
      <c r="BW529" s="71">
        <f t="shared" si="4418"/>
        <v>256</v>
      </c>
      <c r="BX529" s="72">
        <f t="shared" si="4419"/>
        <v>261</v>
      </c>
      <c r="BY529" s="71" t="str">
        <f t="shared" si="4420"/>
        <v>-</v>
      </c>
      <c r="BZ529" s="72">
        <f t="shared" si="4421"/>
        <v>312</v>
      </c>
      <c r="CA529" s="71" t="str">
        <f t="shared" si="4422"/>
        <v>-</v>
      </c>
      <c r="CB529" s="72">
        <f t="shared" si="4423"/>
        <v>356</v>
      </c>
      <c r="CC529" s="71">
        <f t="shared" si="4424"/>
        <v>390</v>
      </c>
      <c r="CD529" s="72">
        <f t="shared" si="4425"/>
        <v>396</v>
      </c>
      <c r="CE529" s="71">
        <f t="shared" si="4426"/>
        <v>447</v>
      </c>
      <c r="CF529" s="72">
        <f t="shared" si="4427"/>
        <v>514</v>
      </c>
      <c r="CG529" s="71">
        <f t="shared" si="4428"/>
        <v>538</v>
      </c>
      <c r="CH529" s="75">
        <f t="shared" si="4429"/>
        <v>255</v>
      </c>
      <c r="CI529" s="71">
        <f t="shared" si="4430"/>
        <v>260</v>
      </c>
      <c r="CJ529" s="72">
        <f t="shared" si="4431"/>
        <v>285</v>
      </c>
      <c r="CK529" s="72" t="str">
        <f t="shared" si="4432"/>
        <v>-</v>
      </c>
      <c r="CL529" s="72">
        <f t="shared" si="4433"/>
        <v>346</v>
      </c>
      <c r="CM529" s="72" t="str">
        <f t="shared" si="4434"/>
        <v>-</v>
      </c>
      <c r="CN529" s="72">
        <f t="shared" si="4435"/>
        <v>378</v>
      </c>
      <c r="CO529" s="72">
        <f t="shared" si="4436"/>
        <v>392</v>
      </c>
      <c r="CP529" s="72">
        <f t="shared" si="4437"/>
        <v>428</v>
      </c>
      <c r="CQ529" s="72">
        <f t="shared" si="4438"/>
        <v>493</v>
      </c>
      <c r="CR529" s="72">
        <f t="shared" si="4439"/>
        <v>537</v>
      </c>
      <c r="CS529" s="72">
        <f t="shared" si="4440"/>
        <v>551</v>
      </c>
      <c r="CT529" s="23">
        <f t="shared" si="4441"/>
        <v>1</v>
      </c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  <c r="QG529" s="3"/>
      <c r="QH529" s="3"/>
      <c r="QI529" s="3"/>
      <c r="QJ529" s="3"/>
      <c r="QK529" s="3"/>
      <c r="QL529" s="3"/>
      <c r="QM529" s="3"/>
      <c r="QN529" s="3"/>
      <c r="QO529" s="3"/>
      <c r="QP529" s="3"/>
      <c r="QQ529" s="3"/>
      <c r="QR529" s="3"/>
      <c r="QS529" s="3"/>
      <c r="QT529" s="3"/>
      <c r="QU529" s="3"/>
      <c r="QV529" s="3"/>
      <c r="QW529" s="3"/>
      <c r="QX529" s="3"/>
      <c r="QY529" s="3"/>
      <c r="QZ529" s="3"/>
      <c r="RA529" s="3"/>
      <c r="RB529" s="3"/>
      <c r="RC529" s="3"/>
      <c r="RD529" s="3"/>
      <c r="RE529" s="3"/>
      <c r="RF529" s="3"/>
      <c r="RG529" s="3"/>
      <c r="RH529" s="3"/>
      <c r="RI529" s="3"/>
      <c r="RJ529" s="3"/>
      <c r="RK529" s="3"/>
      <c r="RL529" s="3"/>
      <c r="RM529" s="3"/>
      <c r="RN529" s="3"/>
      <c r="RO529" s="3"/>
      <c r="RP529" s="3"/>
      <c r="RQ529" s="3"/>
      <c r="RR529" s="3"/>
      <c r="RS529" s="3"/>
      <c r="RT529" s="3"/>
      <c r="RU529" s="3"/>
      <c r="RV529" s="3"/>
      <c r="RW529" s="3"/>
      <c r="RX529" s="3"/>
      <c r="RY529" s="3"/>
      <c r="RZ529" s="3"/>
      <c r="SA529" s="3"/>
      <c r="SB529" s="3"/>
      <c r="SC529" s="3"/>
      <c r="SD529" s="3"/>
      <c r="SE529" s="3"/>
      <c r="SF529" s="3"/>
      <c r="SG529" s="3"/>
      <c r="SH529" s="3"/>
      <c r="SI529" s="3"/>
      <c r="SJ529" s="3"/>
      <c r="SK529" s="3"/>
      <c r="SL529" s="3"/>
      <c r="SM529" s="3"/>
      <c r="SN529" s="3"/>
      <c r="SO529" s="3"/>
      <c r="SP529" s="3"/>
      <c r="SQ529" s="3"/>
      <c r="SR529" s="3"/>
      <c r="SS529" s="3"/>
      <c r="ST529" s="3"/>
      <c r="SU529" s="3"/>
      <c r="SV529" s="3"/>
      <c r="SW529" s="3"/>
      <c r="SX529" s="3"/>
      <c r="SY529" s="3"/>
      <c r="SZ529" s="3"/>
      <c r="TA529" s="3"/>
      <c r="TB529" s="3"/>
      <c r="TC529" s="3"/>
      <c r="TD529" s="3"/>
      <c r="TE529" s="3"/>
      <c r="TF529" s="3"/>
      <c r="TG529" s="3"/>
      <c r="TH529" s="3"/>
      <c r="TI529" s="3"/>
      <c r="TJ529" s="3"/>
      <c r="TK529" s="3"/>
      <c r="TL529" s="3"/>
      <c r="TM529" s="3"/>
      <c r="TN529" s="3"/>
      <c r="TO529" s="3"/>
      <c r="TP529" s="3"/>
      <c r="TQ529" s="3"/>
      <c r="TR529" s="3"/>
      <c r="TS529" s="3"/>
      <c r="TT529" s="3"/>
      <c r="TU529" s="3"/>
      <c r="TV529" s="3"/>
      <c r="TW529" s="3"/>
      <c r="TX529" s="3"/>
      <c r="TY529" s="3"/>
      <c r="TZ529" s="3"/>
      <c r="UA529" s="3"/>
      <c r="UB529" s="3"/>
      <c r="UC529" s="3"/>
      <c r="UD529" s="3"/>
      <c r="UE529" s="3"/>
      <c r="UF529" s="3"/>
      <c r="UG529" s="3"/>
      <c r="UH529" s="3"/>
      <c r="UI529" s="3"/>
      <c r="UJ529" s="3"/>
      <c r="UK529" s="3"/>
      <c r="UL529" s="3"/>
      <c r="UM529" s="3"/>
      <c r="UN529" s="3"/>
      <c r="UO529" s="3"/>
      <c r="UP529" s="3"/>
      <c r="UQ529" s="3"/>
      <c r="UR529" s="3"/>
      <c r="US529" s="3"/>
      <c r="UT529" s="3"/>
      <c r="UU529" s="3"/>
      <c r="UV529" s="3"/>
      <c r="UW529" s="3"/>
      <c r="UX529" s="3"/>
      <c r="UY529" s="3"/>
      <c r="UZ529" s="3"/>
      <c r="VA529" s="3"/>
      <c r="VB529" s="3"/>
      <c r="VC529" s="3"/>
      <c r="VD529" s="3"/>
      <c r="VE529" s="3"/>
      <c r="VF529" s="3"/>
      <c r="VG529" s="3"/>
      <c r="VH529" s="3"/>
      <c r="VI529" s="3"/>
      <c r="VJ529" s="3"/>
      <c r="VK529" s="3"/>
      <c r="VL529" s="3"/>
      <c r="VM529" s="3"/>
      <c r="VN529" s="3"/>
      <c r="VO529" s="3"/>
      <c r="VP529" s="3"/>
      <c r="VQ529" s="3"/>
      <c r="VR529" s="3"/>
      <c r="VS529" s="3"/>
      <c r="VT529" s="3"/>
      <c r="VU529" s="3"/>
      <c r="VV529" s="3"/>
      <c r="VW529" s="3"/>
      <c r="VX529" s="3"/>
      <c r="VY529" s="3"/>
      <c r="VZ529" s="3"/>
      <c r="WA529" s="3"/>
      <c r="WB529" s="3"/>
      <c r="WC529" s="3"/>
      <c r="WD529" s="3"/>
      <c r="WE529" s="3"/>
      <c r="WF529" s="3"/>
      <c r="WG529" s="3"/>
      <c r="WH529" s="3"/>
      <c r="WI529" s="3"/>
      <c r="WJ529" s="3"/>
      <c r="WK529" s="3"/>
      <c r="WL529" s="3"/>
      <c r="WM529" s="3"/>
      <c r="WN529" s="3"/>
      <c r="WO529" s="3"/>
      <c r="WP529" s="3"/>
      <c r="WQ529" s="3"/>
      <c r="WR529" s="3"/>
      <c r="WS529" s="3"/>
      <c r="WT529" s="3"/>
      <c r="WU529" s="3"/>
      <c r="WV529" s="3"/>
      <c r="WW529" s="3"/>
      <c r="WX529" s="3"/>
      <c r="WY529" s="3"/>
      <c r="WZ529" s="3"/>
      <c r="XA529" s="3"/>
      <c r="XB529" s="3"/>
      <c r="XC529" s="3"/>
      <c r="XD529" s="3"/>
      <c r="XE529" s="3"/>
      <c r="XF529" s="3"/>
      <c r="XG529" s="3"/>
      <c r="XH529" s="3"/>
      <c r="XI529" s="3"/>
      <c r="XJ529" s="3"/>
      <c r="XK529" s="3"/>
      <c r="XL529" s="3"/>
      <c r="XM529" s="3"/>
      <c r="XN529" s="3"/>
      <c r="XO529" s="3"/>
      <c r="XP529" s="3"/>
      <c r="XQ529" s="3"/>
      <c r="XR529" s="3"/>
      <c r="XS529" s="3"/>
      <c r="XT529" s="3"/>
      <c r="XU529" s="3"/>
      <c r="XV529" s="3"/>
      <c r="XW529" s="3"/>
      <c r="XX529" s="3"/>
      <c r="XY529" s="3"/>
      <c r="XZ529" s="3"/>
      <c r="YA529" s="3"/>
      <c r="YB529" s="3"/>
      <c r="YC529" s="3"/>
      <c r="YD529" s="3"/>
      <c r="YE529" s="3"/>
      <c r="YF529" s="3"/>
      <c r="YG529" s="3"/>
      <c r="YH529" s="3"/>
      <c r="YI529" s="3"/>
      <c r="YJ529" s="3"/>
      <c r="YK529" s="3"/>
      <c r="YL529" s="3"/>
      <c r="YM529" s="3"/>
      <c r="YN529" s="3"/>
      <c r="YO529" s="3"/>
      <c r="YP529" s="3"/>
      <c r="YQ529" s="3"/>
      <c r="YR529" s="3"/>
      <c r="YS529" s="3"/>
      <c r="YT529" s="3"/>
      <c r="YU529" s="3"/>
      <c r="YV529" s="3"/>
      <c r="YW529" s="3"/>
      <c r="YX529" s="3"/>
      <c r="YY529" s="3"/>
      <c r="YZ529" s="3"/>
      <c r="ZA529" s="3"/>
      <c r="ZB529" s="3"/>
      <c r="ZC529" s="3"/>
      <c r="ZD529" s="3"/>
      <c r="ZE529" s="3"/>
      <c r="ZF529" s="3"/>
      <c r="ZG529" s="3"/>
      <c r="ZH529" s="3"/>
      <c r="ZI529" s="3"/>
      <c r="ZJ529" s="3"/>
      <c r="ZK529" s="3"/>
      <c r="ZL529" s="3"/>
      <c r="ZM529" s="3"/>
      <c r="ZN529" s="3"/>
      <c r="ZO529" s="3"/>
      <c r="ZP529" s="3"/>
      <c r="ZQ529" s="3"/>
      <c r="ZR529" s="3"/>
      <c r="ZS529" s="3"/>
      <c r="ZT529" s="3"/>
      <c r="ZU529" s="3"/>
      <c r="ZV529" s="3"/>
      <c r="ZW529" s="3"/>
      <c r="ZX529" s="3"/>
      <c r="ZY529" s="3"/>
      <c r="ZZ529" s="3"/>
      <c r="AAA529" s="3"/>
      <c r="AAB529" s="3"/>
      <c r="AAC529" s="3"/>
      <c r="AAD529" s="3"/>
      <c r="AAE529" s="3"/>
      <c r="AAF529" s="3"/>
      <c r="AAG529" s="3"/>
      <c r="AAH529" s="3"/>
      <c r="AAI529" s="3"/>
      <c r="AAJ529" s="3"/>
      <c r="AAK529" s="3"/>
      <c r="AAL529" s="3"/>
      <c r="AAM529" s="3"/>
      <c r="AAN529" s="3"/>
      <c r="AAO529" s="3"/>
      <c r="AAP529" s="3"/>
      <c r="AAQ529" s="3"/>
      <c r="AAR529" s="3"/>
      <c r="AAS529" s="3"/>
      <c r="AAT529" s="3"/>
      <c r="AAU529" s="3"/>
      <c r="AAV529" s="3"/>
      <c r="AAW529" s="3"/>
      <c r="AAX529" s="3"/>
      <c r="AAY529" s="3"/>
      <c r="AAZ529" s="3"/>
      <c r="ABA529" s="3"/>
      <c r="ABB529" s="3"/>
      <c r="ABC529" s="3"/>
      <c r="ABD529" s="3"/>
      <c r="ABE529" s="3"/>
      <c r="ABF529" s="3"/>
      <c r="ABG529" s="3"/>
      <c r="ABH529" s="3"/>
      <c r="ABI529" s="3"/>
      <c r="ABJ529" s="3"/>
      <c r="ABK529" s="3"/>
      <c r="ABL529" s="3"/>
      <c r="ABM529" s="3"/>
      <c r="ABN529" s="3"/>
      <c r="ABO529" s="3"/>
      <c r="ABP529" s="3"/>
      <c r="ABQ529" s="3"/>
      <c r="ABR529" s="3"/>
      <c r="ABS529" s="3"/>
      <c r="ABT529" s="3"/>
      <c r="ABU529" s="3"/>
      <c r="ABV529" s="3"/>
      <c r="ABW529" s="3"/>
      <c r="ABX529" s="3"/>
      <c r="ABY529" s="3"/>
      <c r="ABZ529" s="3"/>
      <c r="ACA529" s="3"/>
      <c r="ACB529" s="3"/>
      <c r="ACC529" s="3"/>
      <c r="ACD529" s="3"/>
      <c r="ACE529" s="3"/>
      <c r="ACF529" s="3"/>
      <c r="ACG529" s="3"/>
      <c r="ACH529" s="3"/>
      <c r="ACI529" s="3"/>
      <c r="ACJ529" s="3"/>
      <c r="ACK529" s="3"/>
      <c r="ACL529" s="3"/>
      <c r="ACM529" s="3"/>
      <c r="ACN529" s="3"/>
      <c r="ACO529" s="3"/>
      <c r="ACP529" s="3"/>
      <c r="ACQ529" s="3"/>
      <c r="ACR529" s="3"/>
      <c r="ACS529" s="3"/>
      <c r="ACT529" s="3"/>
      <c r="ACU529" s="3"/>
      <c r="ACV529" s="3"/>
      <c r="ACW529" s="3"/>
      <c r="ACX529" s="3"/>
      <c r="ACY529" s="3"/>
      <c r="ACZ529" s="3"/>
      <c r="ADA529" s="3"/>
      <c r="ADB529" s="3"/>
      <c r="ADC529" s="3"/>
      <c r="ADD529" s="3"/>
      <c r="ADE529" s="3"/>
      <c r="ADF529" s="3"/>
      <c r="ADG529" s="3"/>
      <c r="ADH529" s="3"/>
      <c r="ADI529" s="3"/>
      <c r="ADJ529" s="3"/>
      <c r="ADK529" s="3"/>
      <c r="ADL529" s="3"/>
      <c r="ADM529" s="3"/>
      <c r="ADN529" s="3"/>
      <c r="ADO529" s="3"/>
      <c r="ADP529" s="3"/>
      <c r="ADQ529" s="3"/>
      <c r="ADR529" s="3"/>
      <c r="ADS529" s="3"/>
      <c r="ADT529" s="3"/>
      <c r="ADU529" s="3"/>
      <c r="ADV529" s="3"/>
      <c r="ADW529" s="3"/>
      <c r="ADX529" s="3"/>
      <c r="ADY529" s="3"/>
      <c r="ADZ529" s="3"/>
      <c r="AEA529" s="3"/>
      <c r="AEB529" s="3"/>
      <c r="AEC529" s="3"/>
      <c r="AED529" s="3"/>
      <c r="AEE529" s="3"/>
      <c r="AEF529" s="3"/>
      <c r="AEG529" s="3"/>
      <c r="AEH529" s="3"/>
      <c r="AEI529" s="3"/>
      <c r="AEJ529" s="3"/>
      <c r="AEK529" s="3"/>
      <c r="AEL529" s="3"/>
      <c r="AEM529" s="3"/>
      <c r="AEN529" s="3"/>
      <c r="AEO529" s="3"/>
      <c r="AEP529" s="3"/>
      <c r="AEQ529" s="3"/>
      <c r="AER529" s="3"/>
      <c r="AES529" s="3"/>
      <c r="AET529" s="3"/>
      <c r="AEU529" s="3"/>
      <c r="AEV529" s="3"/>
      <c r="AEW529" s="3"/>
      <c r="AEX529" s="3"/>
      <c r="AEY529" s="3"/>
      <c r="AEZ529" s="3"/>
      <c r="AFA529" s="3"/>
      <c r="AFB529" s="3"/>
      <c r="AFC529" s="3"/>
      <c r="AFD529" s="3"/>
      <c r="AFE529" s="3"/>
      <c r="AFF529" s="3"/>
      <c r="AFG529" s="3"/>
      <c r="AFH529" s="3"/>
      <c r="AFI529" s="3"/>
      <c r="AFJ529" s="3"/>
      <c r="AFK529" s="3"/>
      <c r="AFL529" s="3"/>
      <c r="AFM529" s="3"/>
      <c r="AFN529" s="3"/>
      <c r="AFO529" s="3"/>
      <c r="AFP529" s="3"/>
      <c r="AFQ529" s="3"/>
      <c r="AFR529" s="3"/>
      <c r="AFS529" s="3"/>
      <c r="AFT529" s="3"/>
      <c r="AFU529" s="3"/>
      <c r="AFV529" s="3"/>
      <c r="AFW529" s="3"/>
      <c r="AFX529" s="3"/>
      <c r="AFY529" s="3"/>
      <c r="AFZ529" s="3"/>
      <c r="AGA529" s="3"/>
      <c r="AGB529" s="3"/>
      <c r="AGC529" s="3"/>
      <c r="AGD529" s="3"/>
      <c r="AGE529" s="3"/>
      <c r="AGF529" s="3"/>
      <c r="AGG529" s="3"/>
      <c r="AGH529" s="3"/>
      <c r="AGI529" s="3"/>
      <c r="AGJ529" s="3"/>
      <c r="AGK529" s="3"/>
      <c r="AGL529" s="3"/>
      <c r="AGM529" s="3"/>
      <c r="AGN529" s="3"/>
      <c r="AGO529" s="3"/>
      <c r="AGP529" s="3"/>
      <c r="AGQ529" s="3"/>
      <c r="AGR529" s="3"/>
      <c r="AGS529" s="3"/>
      <c r="AGT529" s="3"/>
      <c r="AGU529" s="3"/>
      <c r="AGV529" s="3"/>
      <c r="AGW529" s="3"/>
      <c r="AGX529" s="3"/>
      <c r="AGY529" s="3"/>
      <c r="AGZ529" s="3"/>
      <c r="AHA529" s="3"/>
      <c r="AHB529" s="3"/>
      <c r="AHC529" s="3"/>
      <c r="AHD529" s="3"/>
      <c r="AHE529" s="3"/>
      <c r="AHF529" s="3"/>
      <c r="AHG529" s="3"/>
      <c r="AHH529" s="3"/>
      <c r="AHI529" s="3"/>
      <c r="AHJ529" s="3"/>
      <c r="AHK529" s="3"/>
      <c r="AHL529" s="3"/>
      <c r="AHM529" s="3"/>
      <c r="AHN529" s="3"/>
      <c r="AHO529" s="3"/>
      <c r="AHP529" s="3"/>
      <c r="AHQ529" s="3"/>
      <c r="AHR529" s="3"/>
      <c r="AHS529" s="3"/>
      <c r="AHT529" s="3"/>
      <c r="AHU529" s="3"/>
      <c r="AHV529" s="3"/>
      <c r="AHW529" s="3"/>
      <c r="AHX529" s="3"/>
      <c r="AHY529" s="3"/>
      <c r="AHZ529" s="3"/>
      <c r="AIA529" s="3"/>
      <c r="AIB529" s="3"/>
      <c r="AIC529" s="3"/>
      <c r="AID529" s="3"/>
      <c r="AIE529" s="3"/>
      <c r="AIF529" s="3"/>
      <c r="AIG529" s="3"/>
      <c r="AIH529" s="3"/>
      <c r="AII529" s="3"/>
      <c r="AIJ529" s="3"/>
      <c r="AIK529" s="3"/>
      <c r="AIL529" s="3"/>
      <c r="AIM529" s="3"/>
      <c r="AIN529" s="3"/>
      <c r="AIO529" s="3"/>
      <c r="AIP529" s="3"/>
      <c r="AIQ529" s="3"/>
      <c r="AIR529" s="3"/>
      <c r="AIS529" s="3"/>
      <c r="AIT529" s="3"/>
      <c r="AIU529" s="3"/>
      <c r="AIV529" s="3"/>
      <c r="AIW529" s="3"/>
      <c r="AIX529" s="3"/>
      <c r="AIY529" s="3"/>
      <c r="AIZ529" s="3"/>
      <c r="AJA529" s="3"/>
      <c r="AJB529" s="3"/>
      <c r="AJC529" s="3"/>
      <c r="AJD529" s="3"/>
      <c r="AJE529" s="3"/>
      <c r="AJF529" s="3"/>
      <c r="AJG529" s="3"/>
      <c r="AJH529" s="3"/>
      <c r="AJI529" s="3"/>
      <c r="AJJ529" s="3"/>
      <c r="AJK529" s="3"/>
      <c r="AJL529" s="3"/>
      <c r="AJM529" s="3"/>
      <c r="AJN529" s="3"/>
      <c r="AJO529" s="3"/>
      <c r="AJP529" s="3"/>
      <c r="AJQ529" s="3"/>
      <c r="AJR529" s="3"/>
      <c r="AJS529" s="3"/>
      <c r="AJT529" s="3"/>
      <c r="AJU529" s="3"/>
      <c r="AJV529" s="3"/>
      <c r="AJW529" s="3"/>
      <c r="AJX529" s="3"/>
      <c r="AJY529" s="3"/>
      <c r="AJZ529" s="3"/>
      <c r="AKA529" s="3"/>
      <c r="AKB529" s="3"/>
      <c r="AKC529" s="3"/>
      <c r="AKD529" s="3"/>
      <c r="AKE529" s="3"/>
      <c r="AKF529" s="3"/>
      <c r="AKG529" s="3"/>
      <c r="AKH529" s="3"/>
      <c r="AKI529" s="3"/>
      <c r="AKJ529" s="3"/>
      <c r="AKK529" s="3"/>
      <c r="AKL529" s="3"/>
      <c r="AKM529" s="3"/>
      <c r="AKN529" s="3"/>
      <c r="AKO529" s="3"/>
      <c r="AKP529" s="3"/>
      <c r="AKQ529" s="3"/>
      <c r="AKR529" s="3"/>
      <c r="AKS529" s="3"/>
      <c r="AKT529" s="3"/>
      <c r="AKU529" s="3"/>
      <c r="AKV529" s="3"/>
      <c r="AKW529" s="3"/>
      <c r="AKX529" s="3"/>
      <c r="AKY529" s="3"/>
      <c r="AKZ529" s="3"/>
      <c r="ALA529" s="3"/>
      <c r="ALB529" s="3"/>
      <c r="ALC529" s="3"/>
      <c r="ALD529" s="3"/>
      <c r="ALE529" s="3"/>
      <c r="ALF529" s="3"/>
      <c r="ALG529" s="3"/>
      <c r="ALH529" s="3"/>
      <c r="ALI529" s="3"/>
      <c r="ALJ529" s="3"/>
      <c r="ALK529" s="3"/>
      <c r="ALL529" s="3"/>
      <c r="ALM529" s="3"/>
      <c r="ALN529" s="3"/>
      <c r="ALO529" s="3"/>
      <c r="ALP529" s="3"/>
      <c r="ALQ529" s="3"/>
      <c r="ALR529" s="3"/>
      <c r="ALS529" s="3"/>
      <c r="ALT529" s="3"/>
      <c r="ALU529" s="3"/>
      <c r="ALV529" s="3"/>
      <c r="ALW529" s="3"/>
      <c r="ALX529" s="3"/>
      <c r="ALY529" s="3"/>
      <c r="ALZ529" s="3"/>
      <c r="AMA529" s="3"/>
      <c r="AMB529" s="3"/>
      <c r="AMC529" s="3"/>
      <c r="AMD529" s="3"/>
      <c r="AME529" s="3"/>
      <c r="AMF529" s="3"/>
      <c r="AMG529" s="3"/>
      <c r="AMH529" s="3"/>
      <c r="AMI529" s="3"/>
      <c r="AMJ529" s="3"/>
      <c r="AMK529" s="3"/>
      <c r="AML529" s="3"/>
      <c r="AMM529" s="3"/>
      <c r="AMN529" s="3"/>
      <c r="AMO529" s="3"/>
      <c r="AMP529" s="1"/>
    </row>
    <row r="530" spans="1:1030" x14ac:dyDescent="0.2">
      <c r="A530" s="3" t="str">
        <f t="shared" ref="A530:A537" si="5536">CONCATENATE(B530,"_",C530)</f>
        <v>smo_human_5V56</v>
      </c>
      <c r="B530" s="3" t="s">
        <v>33</v>
      </c>
      <c r="C530" s="3" t="s">
        <v>1471</v>
      </c>
      <c r="D530" s="3" t="str">
        <f>IFERROR(MID(VLOOKUP($B530,Seqs!$A:$B,2,0),E530,1),"")</f>
        <v>T</v>
      </c>
      <c r="E530" s="3">
        <v>223</v>
      </c>
      <c r="F530" s="3" t="str">
        <f>IFERROR(MID(VLOOKUP($B530,Seqs!$A:$B,2,0),G530,1),"")</f>
        <v>D</v>
      </c>
      <c r="G530" s="3">
        <v>255</v>
      </c>
      <c r="H530" s="3" t="str">
        <f>IFERROR(MID(VLOOKUP($B530,Seqs!$A:$B,2,0),I530,1),"")</f>
        <v>W</v>
      </c>
      <c r="I530" s="23">
        <v>256</v>
      </c>
      <c r="J530" s="3" t="str">
        <f>IFERROR(MID(VLOOKUP($B530,Seqs!$A:$B,2,0),K530,1),"")</f>
        <v>N</v>
      </c>
      <c r="K530" s="23">
        <v>260</v>
      </c>
      <c r="L530" s="3" t="str">
        <f>IFERROR(MID(VLOOKUP($B530,Seqs!$A:$B,2,0),M530,1),"")</f>
        <v>R</v>
      </c>
      <c r="M530" s="3">
        <v>261</v>
      </c>
      <c r="N530" s="3" t="str">
        <f>IFERROR(MID(VLOOKUP($B530,Seqs!$A:$B,2,0),O530,1),"")</f>
        <v>F</v>
      </c>
      <c r="O530" s="3">
        <v>285</v>
      </c>
      <c r="P530" s="3" t="str">
        <f>IFERROR(MID(VLOOKUP($B530,Seqs!$A:$B,2,0),Q530,1),"")</f>
        <v/>
      </c>
      <c r="Q530" s="3" t="s">
        <v>23</v>
      </c>
      <c r="R530" s="3" t="str">
        <f>IFERROR(MID(VLOOKUP($B530,Seqs!$A:$B,2,0),S530,1),"")</f>
        <v/>
      </c>
      <c r="S530" s="3" t="s">
        <v>23</v>
      </c>
      <c r="T530" s="3" t="str">
        <f>IFERROR(MID(VLOOKUP($B530,Seqs!$A:$B,2,0),U530,1),"")</f>
        <v>L</v>
      </c>
      <c r="U530" s="3">
        <v>312</v>
      </c>
      <c r="V530" s="3" t="str">
        <f>IFERROR(MID(VLOOKUP($B530,Seqs!$A:$B,2,0),W530,1),"")</f>
        <v>S</v>
      </c>
      <c r="W530" s="3">
        <v>342</v>
      </c>
      <c r="X530" s="3" t="str">
        <f>IFERROR(MID(VLOOKUP($B530,Seqs!$A:$B,2,0),Y530,1),"")</f>
        <v/>
      </c>
      <c r="Y530" s="3" t="s">
        <v>23</v>
      </c>
      <c r="Z530" s="3" t="str">
        <f>IFERROR(MID(VLOOKUP($B530,Seqs!$A:$B,2,0),AA530,1),"")</f>
        <v/>
      </c>
      <c r="AA530" s="3" t="s">
        <v>23</v>
      </c>
      <c r="AB530" s="3" t="str">
        <f>IFERROR(MID(VLOOKUP($B530,Seqs!$A:$B,2,0),AC530,1),"")</f>
        <v>K</v>
      </c>
      <c r="AC530" s="3">
        <v>356</v>
      </c>
      <c r="AD530" s="3" t="str">
        <f>IFERROR(MID(VLOOKUP($B530,Seqs!$A:$B,2,0),AE530,1),"")</f>
        <v>V</v>
      </c>
      <c r="AE530" s="3">
        <v>378</v>
      </c>
      <c r="AF530" s="3" t="str">
        <f>IFERROR(MID(VLOOKUP($B530,Seqs!$A:$B,2,0),AG530,1),"")</f>
        <v>C</v>
      </c>
      <c r="AG530" s="3">
        <v>390</v>
      </c>
      <c r="AH530" s="3" t="str">
        <f>IFERROR(MID(VLOOKUP($B530,Seqs!$A:$B,2,0),AI530,1),"")</f>
        <v>V</v>
      </c>
      <c r="AI530" s="3">
        <v>392</v>
      </c>
      <c r="AJ530" s="3" t="str">
        <f>IFERROR(MID(VLOOKUP($B530,Seqs!$A:$B,2,0),AK530,1),"")</f>
        <v>N</v>
      </c>
      <c r="AK530" s="3">
        <v>396</v>
      </c>
      <c r="AL530" s="3" t="str">
        <f>IFERROR(MID(VLOOKUP($B530,Seqs!$A:$B,2,0),AM530,1),"")</f>
        <v>I</v>
      </c>
      <c r="AM530" s="3">
        <v>429</v>
      </c>
      <c r="AN530" s="3" t="str">
        <f>IFERROR(MID(VLOOKUP($B530,Seqs!$A:$B,2,0),AO530,1),"")</f>
        <v>N</v>
      </c>
      <c r="AO530" s="3">
        <v>446</v>
      </c>
      <c r="AP530" s="3" t="str">
        <f>IFERROR(MID(VLOOKUP($B530,Seqs!$A:$B,2,0),AQ530,1),"")</f>
        <v>N</v>
      </c>
      <c r="AQ530" s="3">
        <v>493</v>
      </c>
      <c r="AR530" s="3" t="str">
        <f>IFERROR(MID(VLOOKUP($B530,Seqs!$A:$B,2,0),AS530,1),"")</f>
        <v>S</v>
      </c>
      <c r="AS530" s="3">
        <v>514</v>
      </c>
      <c r="AT530" s="3" t="str">
        <f>IFERROR(MID(VLOOKUP($B530,Seqs!$A:$B,2,0),AU530,1),"")</f>
        <v>W</v>
      </c>
      <c r="AU530" s="3">
        <v>537</v>
      </c>
      <c r="AV530" s="3" t="str">
        <f>IFERROR(MID(VLOOKUP($B530,Seqs!$A:$B,2,0),AW530,1),"")</f>
        <v>T</v>
      </c>
      <c r="AW530" s="3">
        <v>538</v>
      </c>
      <c r="AX530" s="3" t="str">
        <f>IFERROR(MID(VLOOKUP($B530,Seqs!$A:$B,2,0),AY530,1),"")</f>
        <v>T</v>
      </c>
      <c r="AY530" s="3">
        <v>553</v>
      </c>
      <c r="AZ530" s="78" t="str">
        <f>VLOOKUP(B530,Classification!A:D,2,0)</f>
        <v>F</v>
      </c>
      <c r="BA530" s="94" t="str">
        <f>VLOOKUP(B530,Classification!A:D,4,0)</f>
        <v>Frizzled</v>
      </c>
      <c r="BB530" s="92" t="b">
        <f t="shared" ref="BB530:BB537" si="5537">AND(E530&lt;G530,OR(G530&lt;I530,I530="-"),OR(I530&lt;K530,I530="-"),OR(K530&lt;M530,K530="-"),M530&lt;O530,OR(O530&lt;Q530,Q530="-"),OR(Q530&lt;S530,Q530="-"),OR(S530&lt;U530,S530="-"),U530&lt;W530,OR(W530&lt;Y530,Y530="-"),OR(Y530&lt;AA530,Y530="-"),OR(AA530&lt;AC530,AA530="-"),AC530&lt;AE530,OR(AE530&lt;AG530,AG530="-"),OR(AG530&lt;AI530,AG530="-"),OR(AI530&lt;AK530,AI530="-"),AK530&lt;AM530,AM530&lt;AO530,AO530&lt;AQ530,AQ530&lt;AS530,AS530&lt;AU530,OR(AU530&lt;AW530,AW530="-"),OR(AW530&lt;AY530,AW530="-"))</f>
        <v>1</v>
      </c>
      <c r="BC530" s="23">
        <f t="shared" ref="BC530:BC537" si="5538">_xlfn.AGGREGATE(9,6,CH530:CS530)-_xlfn.AGGREGATE(9,6,BV530:CG530)+12</f>
        <v>244</v>
      </c>
      <c r="BD530" s="74" t="s">
        <v>23</v>
      </c>
      <c r="BE530" s="3" t="s">
        <v>1368</v>
      </c>
      <c r="BF530" s="118">
        <v>2.9</v>
      </c>
      <c r="BG530" s="49" t="s">
        <v>1275</v>
      </c>
      <c r="BH530" s="49" t="s">
        <v>1275</v>
      </c>
      <c r="BJ530" s="75" t="s">
        <v>1281</v>
      </c>
      <c r="BK530" s="57" t="s">
        <v>1281</v>
      </c>
      <c r="BL530" s="57" t="s">
        <v>1281</v>
      </c>
      <c r="BM530" s="57" t="s">
        <v>1281</v>
      </c>
      <c r="BN530" s="57" t="s">
        <v>1281</v>
      </c>
      <c r="BO530" s="57" t="s">
        <v>1281</v>
      </c>
      <c r="BP530" s="57" t="s">
        <v>1281</v>
      </c>
      <c r="BQ530" s="57" t="s">
        <v>1281</v>
      </c>
      <c r="BR530" s="57" t="s">
        <v>1281</v>
      </c>
      <c r="BS530" s="57" t="s">
        <v>1281</v>
      </c>
      <c r="BT530" s="57" t="s">
        <v>1281</v>
      </c>
      <c r="BU530" s="57" t="s">
        <v>1281</v>
      </c>
      <c r="BV530" s="75">
        <f t="shared" ref="BV530:BV537" si="5539">E530</f>
        <v>223</v>
      </c>
      <c r="BW530" s="71">
        <f t="shared" ref="BW530:BW537" si="5540">I530</f>
        <v>256</v>
      </c>
      <c r="BX530" s="72">
        <f t="shared" ref="BX530:BX537" si="5541">M530</f>
        <v>261</v>
      </c>
      <c r="BY530" s="71" t="str">
        <f t="shared" ref="BY530:BY537" si="5542">Q530</f>
        <v>-</v>
      </c>
      <c r="BZ530" s="72">
        <f t="shared" ref="BZ530:BZ537" si="5543">U530</f>
        <v>312</v>
      </c>
      <c r="CA530" s="71" t="str">
        <f t="shared" ref="CA530:CA537" si="5544">Y530</f>
        <v>-</v>
      </c>
      <c r="CB530" s="72">
        <f t="shared" ref="CB530:CB537" si="5545">AC530</f>
        <v>356</v>
      </c>
      <c r="CC530" s="71">
        <f t="shared" ref="CC530:CC537" si="5546">AG530</f>
        <v>390</v>
      </c>
      <c r="CD530" s="72">
        <f t="shared" ref="CD530:CD537" si="5547">AK530</f>
        <v>396</v>
      </c>
      <c r="CE530" s="71">
        <f t="shared" ref="CE530:CE537" si="5548">AO530</f>
        <v>446</v>
      </c>
      <c r="CF530" s="72">
        <f t="shared" ref="CF530:CF537" si="5549">AS530</f>
        <v>514</v>
      </c>
      <c r="CG530" s="71">
        <f t="shared" ref="CG530:CG537" si="5550">AW530</f>
        <v>538</v>
      </c>
      <c r="CH530" s="75">
        <f t="shared" ref="CH530:CH537" si="5551">G530</f>
        <v>255</v>
      </c>
      <c r="CI530" s="71">
        <f t="shared" ref="CI530:CI537" si="5552">K530</f>
        <v>260</v>
      </c>
      <c r="CJ530" s="72">
        <f t="shared" ref="CJ530:CJ537" si="5553">O530</f>
        <v>285</v>
      </c>
      <c r="CK530" s="72" t="str">
        <f t="shared" ref="CK530:CK537" si="5554">S530</f>
        <v>-</v>
      </c>
      <c r="CL530" s="72">
        <f t="shared" ref="CL530:CL537" si="5555">W530</f>
        <v>342</v>
      </c>
      <c r="CM530" s="72" t="str">
        <f t="shared" ref="CM530:CM537" si="5556">AA530</f>
        <v>-</v>
      </c>
      <c r="CN530" s="72">
        <f t="shared" ref="CN530:CN537" si="5557">AE530</f>
        <v>378</v>
      </c>
      <c r="CO530" s="72">
        <f t="shared" ref="CO530:CO537" si="5558">AI530</f>
        <v>392</v>
      </c>
      <c r="CP530" s="72">
        <f t="shared" ref="CP530:CP537" si="5559">AM530</f>
        <v>429</v>
      </c>
      <c r="CQ530" s="72">
        <f t="shared" ref="CQ530:CQ537" si="5560">AQ530</f>
        <v>493</v>
      </c>
      <c r="CR530" s="72">
        <f t="shared" ref="CR530:CR537" si="5561">AU530</f>
        <v>537</v>
      </c>
      <c r="CS530" s="72">
        <f t="shared" ref="CS530:CS537" si="5562">AY530</f>
        <v>553</v>
      </c>
      <c r="CT530" s="23">
        <f t="shared" ref="CT530:CT537" si="5563">M530-K530</f>
        <v>1</v>
      </c>
    </row>
    <row r="531" spans="1:1030" x14ac:dyDescent="0.2">
      <c r="A531" s="3" t="str">
        <f t="shared" si="5536"/>
        <v>smo_human_5V57</v>
      </c>
      <c r="B531" s="3" t="s">
        <v>33</v>
      </c>
      <c r="C531" s="3" t="s">
        <v>1472</v>
      </c>
      <c r="D531" s="3" t="str">
        <f>IFERROR(MID(VLOOKUP($B531,Seqs!$A:$B,2,0),E531,1),"")</f>
        <v>T</v>
      </c>
      <c r="E531" s="3">
        <v>223</v>
      </c>
      <c r="F531" s="3" t="str">
        <f>IFERROR(MID(VLOOKUP($B531,Seqs!$A:$B,2,0),G531,1),"")</f>
        <v>D</v>
      </c>
      <c r="G531" s="3">
        <v>255</v>
      </c>
      <c r="H531" s="3" t="str">
        <f>IFERROR(MID(VLOOKUP($B531,Seqs!$A:$B,2,0),I531,1),"")</f>
        <v>W</v>
      </c>
      <c r="I531" s="23">
        <v>256</v>
      </c>
      <c r="J531" s="3" t="str">
        <f>IFERROR(MID(VLOOKUP($B531,Seqs!$A:$B,2,0),K531,1),"")</f>
        <v>N</v>
      </c>
      <c r="K531" s="23">
        <v>260</v>
      </c>
      <c r="L531" s="3" t="str">
        <f>IFERROR(MID(VLOOKUP($B531,Seqs!$A:$B,2,0),M531,1),"")</f>
        <v>R</v>
      </c>
      <c r="M531" s="3">
        <v>261</v>
      </c>
      <c r="N531" s="3" t="str">
        <f>IFERROR(MID(VLOOKUP($B531,Seqs!$A:$B,2,0),O531,1),"")</f>
        <v>F</v>
      </c>
      <c r="O531" s="3">
        <v>285</v>
      </c>
      <c r="P531" s="3" t="str">
        <f>IFERROR(MID(VLOOKUP($B531,Seqs!$A:$B,2,0),Q531,1),"")</f>
        <v/>
      </c>
      <c r="Q531" s="3" t="s">
        <v>23</v>
      </c>
      <c r="R531" s="3" t="str">
        <f>IFERROR(MID(VLOOKUP($B531,Seqs!$A:$B,2,0),S531,1),"")</f>
        <v/>
      </c>
      <c r="S531" s="3" t="s">
        <v>23</v>
      </c>
      <c r="T531" s="3" t="str">
        <f>IFERROR(MID(VLOOKUP($B531,Seqs!$A:$B,2,0),U531,1),"")</f>
        <v>L</v>
      </c>
      <c r="U531" s="3">
        <v>312</v>
      </c>
      <c r="V531" s="3" t="str">
        <f>IFERROR(MID(VLOOKUP($B531,Seqs!$A:$B,2,0),W531,1),"")</f>
        <v>S</v>
      </c>
      <c r="W531" s="3">
        <v>342</v>
      </c>
      <c r="X531" s="3" t="str">
        <f>IFERROR(MID(VLOOKUP($B531,Seqs!$A:$B,2,0),Y531,1),"")</f>
        <v/>
      </c>
      <c r="Y531" s="3" t="s">
        <v>23</v>
      </c>
      <c r="Z531" s="3" t="str">
        <f>IFERROR(MID(VLOOKUP($B531,Seqs!$A:$B,2,0),AA531,1),"")</f>
        <v/>
      </c>
      <c r="AA531" s="3" t="s">
        <v>23</v>
      </c>
      <c r="AB531" s="3" t="str">
        <f>IFERROR(MID(VLOOKUP($B531,Seqs!$A:$B,2,0),AC531,1),"")</f>
        <v>T</v>
      </c>
      <c r="AC531" s="3">
        <v>357</v>
      </c>
      <c r="AD531" s="3" t="str">
        <f>IFERROR(MID(VLOOKUP($B531,Seqs!$A:$B,2,0),AE531,1),"")</f>
        <v>V</v>
      </c>
      <c r="AE531" s="3">
        <v>378</v>
      </c>
      <c r="AF531" s="3" t="str">
        <f>IFERROR(MID(VLOOKUP($B531,Seqs!$A:$B,2,0),AG531,1),"")</f>
        <v>C</v>
      </c>
      <c r="AG531" s="3">
        <v>390</v>
      </c>
      <c r="AH531" s="3" t="str">
        <f>IFERROR(MID(VLOOKUP($B531,Seqs!$A:$B,2,0),AI531,1),"")</f>
        <v>V</v>
      </c>
      <c r="AI531" s="3">
        <v>392</v>
      </c>
      <c r="AJ531" s="3" t="str">
        <f>IFERROR(MID(VLOOKUP($B531,Seqs!$A:$B,2,0),AK531,1),"")</f>
        <v>N</v>
      </c>
      <c r="AK531" s="3">
        <v>396</v>
      </c>
      <c r="AL531" s="3" t="str">
        <f>IFERROR(MID(VLOOKUP($B531,Seqs!$A:$B,2,0),AM531,1),"")</f>
        <v>N</v>
      </c>
      <c r="AM531" s="3">
        <v>432</v>
      </c>
      <c r="AN531" s="3" t="str">
        <f>IFERROR(MID(VLOOKUP($B531,Seqs!$A:$B,2,0),AO531,1),"")</f>
        <v>E</v>
      </c>
      <c r="AO531" s="3">
        <v>447</v>
      </c>
      <c r="AP531" s="3" t="str">
        <f>IFERROR(MID(VLOOKUP($B531,Seqs!$A:$B,2,0),AQ531,1),"")</f>
        <v>N</v>
      </c>
      <c r="AQ531" s="3">
        <v>493</v>
      </c>
      <c r="AR531" s="3" t="str">
        <f>IFERROR(MID(VLOOKUP($B531,Seqs!$A:$B,2,0),AS531,1),"")</f>
        <v>S</v>
      </c>
      <c r="AS531" s="3">
        <v>514</v>
      </c>
      <c r="AT531" s="3" t="str">
        <f>IFERROR(MID(VLOOKUP($B531,Seqs!$A:$B,2,0),AU531,1),"")</f>
        <v>W</v>
      </c>
      <c r="AU531" s="3">
        <v>537</v>
      </c>
      <c r="AV531" s="3" t="str">
        <f>IFERROR(MID(VLOOKUP($B531,Seqs!$A:$B,2,0),AW531,1),"")</f>
        <v>T</v>
      </c>
      <c r="AW531" s="3">
        <v>538</v>
      </c>
      <c r="AX531" s="3" t="str">
        <f>IFERROR(MID(VLOOKUP($B531,Seqs!$A:$B,2,0),AY531,1),"")</f>
        <v>G</v>
      </c>
      <c r="AY531" s="3">
        <v>554</v>
      </c>
      <c r="AZ531" s="78" t="str">
        <f>VLOOKUP(B531,Classification!A:D,2,0)</f>
        <v>F</v>
      </c>
      <c r="BA531" s="94" t="str">
        <f>VLOOKUP(B531,Classification!A:D,4,0)</f>
        <v>Frizzled</v>
      </c>
      <c r="BB531" s="92" t="b">
        <f t="shared" si="5537"/>
        <v>1</v>
      </c>
      <c r="BC531" s="23">
        <f t="shared" si="5538"/>
        <v>246</v>
      </c>
      <c r="BD531" s="74" t="s">
        <v>23</v>
      </c>
      <c r="BE531" s="3" t="s">
        <v>1368</v>
      </c>
      <c r="BF531" s="118">
        <v>3</v>
      </c>
      <c r="BG531" s="49" t="s">
        <v>1</v>
      </c>
      <c r="BH531" s="49" t="s">
        <v>1</v>
      </c>
      <c r="BJ531" s="75" t="s">
        <v>1281</v>
      </c>
      <c r="BK531" s="57" t="s">
        <v>1281</v>
      </c>
      <c r="BL531" s="57" t="s">
        <v>1281</v>
      </c>
      <c r="BM531" s="57" t="s">
        <v>1281</v>
      </c>
      <c r="BN531" s="57" t="s">
        <v>1281</v>
      </c>
      <c r="BO531" s="57" t="s">
        <v>1281</v>
      </c>
      <c r="BP531" s="57" t="s">
        <v>1281</v>
      </c>
      <c r="BQ531" s="57" t="s">
        <v>1281</v>
      </c>
      <c r="BR531" s="57" t="s">
        <v>1281</v>
      </c>
      <c r="BS531" s="57" t="s">
        <v>1281</v>
      </c>
      <c r="BT531" s="57" t="s">
        <v>1281</v>
      </c>
      <c r="BU531" s="57" t="s">
        <v>1281</v>
      </c>
      <c r="BV531" s="75">
        <f t="shared" si="5539"/>
        <v>223</v>
      </c>
      <c r="BW531" s="71">
        <f t="shared" si="5540"/>
        <v>256</v>
      </c>
      <c r="BX531" s="72">
        <f t="shared" si="5541"/>
        <v>261</v>
      </c>
      <c r="BY531" s="71" t="str">
        <f t="shared" si="5542"/>
        <v>-</v>
      </c>
      <c r="BZ531" s="72">
        <f t="shared" si="5543"/>
        <v>312</v>
      </c>
      <c r="CA531" s="71" t="str">
        <f t="shared" si="5544"/>
        <v>-</v>
      </c>
      <c r="CB531" s="72">
        <f t="shared" si="5545"/>
        <v>357</v>
      </c>
      <c r="CC531" s="71">
        <f t="shared" si="5546"/>
        <v>390</v>
      </c>
      <c r="CD531" s="72">
        <f t="shared" si="5547"/>
        <v>396</v>
      </c>
      <c r="CE531" s="71">
        <f t="shared" si="5548"/>
        <v>447</v>
      </c>
      <c r="CF531" s="72">
        <f t="shared" si="5549"/>
        <v>514</v>
      </c>
      <c r="CG531" s="71">
        <f t="shared" si="5550"/>
        <v>538</v>
      </c>
      <c r="CH531" s="75">
        <f t="shared" si="5551"/>
        <v>255</v>
      </c>
      <c r="CI531" s="71">
        <f t="shared" si="5552"/>
        <v>260</v>
      </c>
      <c r="CJ531" s="72">
        <f t="shared" si="5553"/>
        <v>285</v>
      </c>
      <c r="CK531" s="72" t="str">
        <f t="shared" si="5554"/>
        <v>-</v>
      </c>
      <c r="CL531" s="72">
        <f t="shared" si="5555"/>
        <v>342</v>
      </c>
      <c r="CM531" s="72" t="str">
        <f t="shared" si="5556"/>
        <v>-</v>
      </c>
      <c r="CN531" s="72">
        <f t="shared" si="5557"/>
        <v>378</v>
      </c>
      <c r="CO531" s="72">
        <f t="shared" si="5558"/>
        <v>392</v>
      </c>
      <c r="CP531" s="72">
        <f t="shared" si="5559"/>
        <v>432</v>
      </c>
      <c r="CQ531" s="72">
        <f t="shared" si="5560"/>
        <v>493</v>
      </c>
      <c r="CR531" s="72">
        <f t="shared" si="5561"/>
        <v>537</v>
      </c>
      <c r="CS531" s="72">
        <f t="shared" si="5562"/>
        <v>554</v>
      </c>
      <c r="CT531" s="23">
        <f t="shared" si="5563"/>
        <v>1</v>
      </c>
    </row>
    <row r="532" spans="1:1030" x14ac:dyDescent="0.2">
      <c r="A532" s="3" t="str">
        <f t="shared" si="5536"/>
        <v>smo_human_6OT0</v>
      </c>
      <c r="B532" s="3" t="s">
        <v>33</v>
      </c>
      <c r="C532" s="3" t="s">
        <v>1574</v>
      </c>
      <c r="D532" s="3" t="str">
        <f>IFERROR(MID(VLOOKUP($B532,Seqs!$A:$B,2,0),E532,1),"")</f>
        <v>T</v>
      </c>
      <c r="E532" s="3">
        <v>223</v>
      </c>
      <c r="F532" s="3" t="str">
        <f>IFERROR(MID(VLOOKUP($B532,Seqs!$A:$B,2,0),G532,1),"")</f>
        <v>D</v>
      </c>
      <c r="G532" s="3">
        <v>255</v>
      </c>
      <c r="H532" s="3" t="str">
        <f>IFERROR(MID(VLOOKUP($B532,Seqs!$A:$B,2,0),I532,1),"")</f>
        <v>W</v>
      </c>
      <c r="I532" s="23">
        <v>256</v>
      </c>
      <c r="J532" s="3" t="str">
        <f>IFERROR(MID(VLOOKUP($B532,Seqs!$A:$B,2,0),K532,1),"")</f>
        <v>N</v>
      </c>
      <c r="K532" s="23">
        <v>260</v>
      </c>
      <c r="L532" s="3" t="str">
        <f>IFERROR(MID(VLOOKUP($B532,Seqs!$A:$B,2,0),M532,1),"")</f>
        <v>P</v>
      </c>
      <c r="M532" s="3">
        <v>263</v>
      </c>
      <c r="N532" s="3" t="str">
        <f>IFERROR(MID(VLOOKUP($B532,Seqs!$A:$B,2,0),O532,1),"")</f>
        <v>A</v>
      </c>
      <c r="O532" s="3">
        <v>283</v>
      </c>
      <c r="P532" s="3" t="str">
        <f>IFERROR(MID(VLOOKUP($B532,Seqs!$A:$B,2,0),Q532,1),"")</f>
        <v/>
      </c>
      <c r="Q532" s="3" t="s">
        <v>23</v>
      </c>
      <c r="R532" s="3" t="str">
        <f>IFERROR(MID(VLOOKUP($B532,Seqs!$A:$B,2,0),S532,1),"")</f>
        <v/>
      </c>
      <c r="S532" s="3" t="s">
        <v>23</v>
      </c>
      <c r="T532" s="3" t="str">
        <f>IFERROR(MID(VLOOKUP($B532,Seqs!$A:$B,2,0),U532,1),"")</f>
        <v>C</v>
      </c>
      <c r="U532" s="3">
        <v>314</v>
      </c>
      <c r="V532" s="3" t="str">
        <f>IFERROR(MID(VLOOKUP($B532,Seqs!$A:$B,2,0),W532,1),"")</f>
        <v>A</v>
      </c>
      <c r="W532" s="3">
        <v>345</v>
      </c>
      <c r="X532" s="3" t="str">
        <f>IFERROR(MID(VLOOKUP($B532,Seqs!$A:$B,2,0),Y532,1),"")</f>
        <v/>
      </c>
      <c r="Y532" s="3" t="s">
        <v>23</v>
      </c>
      <c r="Z532" s="3" t="str">
        <f>IFERROR(MID(VLOOKUP($B532,Seqs!$A:$B,2,0),AA532,1),"")</f>
        <v/>
      </c>
      <c r="AA532" s="3" t="s">
        <v>23</v>
      </c>
      <c r="AB532" s="3" t="str">
        <f>IFERROR(MID(VLOOKUP($B532,Seqs!$A:$B,2,0),AC532,1),"")</f>
        <v>K</v>
      </c>
      <c r="AC532" s="3">
        <v>356</v>
      </c>
      <c r="AD532" s="3" t="str">
        <f>IFERROR(MID(VLOOKUP($B532,Seqs!$A:$B,2,0),AE532,1),"")</f>
        <v>L</v>
      </c>
      <c r="AE532" s="3">
        <v>376</v>
      </c>
      <c r="AF532" s="3" t="str">
        <f>IFERROR(MID(VLOOKUP($B532,Seqs!$A:$B,2,0),AG532,1),"")</f>
        <v>C</v>
      </c>
      <c r="AG532" s="3">
        <v>390</v>
      </c>
      <c r="AH532" s="3" t="str">
        <f>IFERROR(MID(VLOOKUP($B532,Seqs!$A:$B,2,0),AI532,1),"")</f>
        <v>V</v>
      </c>
      <c r="AI532" s="3">
        <v>392</v>
      </c>
      <c r="AJ532" s="3" t="str">
        <f>IFERROR(MID(VLOOKUP($B532,Seqs!$A:$B,2,0),AK532,1),"")</f>
        <v>A</v>
      </c>
      <c r="AK532" s="3">
        <v>406</v>
      </c>
      <c r="AL532" s="3" t="str">
        <f>IFERROR(MID(VLOOKUP($B532,Seqs!$A:$B,2,0),AM532,1),"")</f>
        <v>S</v>
      </c>
      <c r="AM532" s="3">
        <v>428</v>
      </c>
      <c r="AN532" s="3" t="str">
        <f>IFERROR(MID(VLOOKUP($B532,Seqs!$A:$B,2,0),AO532,1),"")</f>
        <v>S</v>
      </c>
      <c r="AO532" s="3">
        <v>438</v>
      </c>
      <c r="AP532" s="3" t="str">
        <f>IFERROR(MID(VLOOKUP($B532,Seqs!$A:$B,2,0),AQ532,1),"")</f>
        <v>V</v>
      </c>
      <c r="AQ532" s="3">
        <v>494</v>
      </c>
      <c r="AR532" s="3" t="str">
        <f>IFERROR(MID(VLOOKUP($B532,Seqs!$A:$B,2,0),AS532,1),"")</f>
        <v>L</v>
      </c>
      <c r="AS532" s="3">
        <v>516</v>
      </c>
      <c r="AT532" s="3" t="str">
        <f>IFERROR(MID(VLOOKUP($B532,Seqs!$A:$B,2,0),AU532,1),"")</f>
        <v>W</v>
      </c>
      <c r="AU532" s="3">
        <v>537</v>
      </c>
      <c r="AV532" s="3" t="str">
        <f>IFERROR(MID(VLOOKUP($B532,Seqs!$A:$B,2,0),AW532,1),"")</f>
        <v>A</v>
      </c>
      <c r="AW532" s="3">
        <v>540</v>
      </c>
      <c r="AX532" s="3" t="str">
        <f>IFERROR(MID(VLOOKUP($B532,Seqs!$A:$B,2,0),AY532,1),"")</f>
        <v>L</v>
      </c>
      <c r="AY532" s="3">
        <v>552</v>
      </c>
      <c r="AZ532" s="78" t="str">
        <f>VLOOKUP(B532,Classification!A:D,2,0)</f>
        <v>F</v>
      </c>
      <c r="BA532" s="94" t="str">
        <f>VLOOKUP(B532,Classification!A:D,4,0)</f>
        <v>Frizzled</v>
      </c>
      <c r="BB532" s="92" t="b">
        <f t="shared" si="5537"/>
        <v>1</v>
      </c>
      <c r="BC532" s="23">
        <f t="shared" si="5538"/>
        <v>232</v>
      </c>
      <c r="BD532" s="74" t="s">
        <v>1369</v>
      </c>
      <c r="BE532" s="3" t="s">
        <v>1285</v>
      </c>
      <c r="BF532" s="118">
        <v>3.84</v>
      </c>
      <c r="BG532" s="49" t="s">
        <v>1416</v>
      </c>
      <c r="BH532" s="49" t="s">
        <v>1416</v>
      </c>
      <c r="BJ532" s="75" t="s">
        <v>1281</v>
      </c>
      <c r="BK532" s="57" t="s">
        <v>1281</v>
      </c>
      <c r="BL532" s="57" t="s">
        <v>1281</v>
      </c>
      <c r="BM532" s="57" t="s">
        <v>1281</v>
      </c>
      <c r="BN532" s="57" t="s">
        <v>1281</v>
      </c>
      <c r="BO532" s="57" t="s">
        <v>1281</v>
      </c>
      <c r="BP532" s="57" t="s">
        <v>1281</v>
      </c>
      <c r="BQ532" s="57" t="s">
        <v>1281</v>
      </c>
      <c r="BR532" s="57" t="s">
        <v>1281</v>
      </c>
      <c r="BS532" s="57" t="s">
        <v>1281</v>
      </c>
      <c r="BT532" s="57" t="s">
        <v>1281</v>
      </c>
      <c r="BU532" s="57" t="s">
        <v>1281</v>
      </c>
      <c r="BV532" s="75">
        <f t="shared" si="5539"/>
        <v>223</v>
      </c>
      <c r="BW532" s="71">
        <f t="shared" si="5540"/>
        <v>256</v>
      </c>
      <c r="BX532" s="72">
        <f t="shared" si="5541"/>
        <v>263</v>
      </c>
      <c r="BY532" s="71" t="str">
        <f t="shared" si="5542"/>
        <v>-</v>
      </c>
      <c r="BZ532" s="72">
        <f t="shared" si="5543"/>
        <v>314</v>
      </c>
      <c r="CA532" s="71" t="str">
        <f t="shared" si="5544"/>
        <v>-</v>
      </c>
      <c r="CB532" s="72">
        <f t="shared" si="5545"/>
        <v>356</v>
      </c>
      <c r="CC532" s="71">
        <f t="shared" si="5546"/>
        <v>390</v>
      </c>
      <c r="CD532" s="72">
        <f t="shared" si="5547"/>
        <v>406</v>
      </c>
      <c r="CE532" s="71">
        <f t="shared" si="5548"/>
        <v>438</v>
      </c>
      <c r="CF532" s="72">
        <f t="shared" si="5549"/>
        <v>516</v>
      </c>
      <c r="CG532" s="71">
        <f t="shared" si="5550"/>
        <v>540</v>
      </c>
      <c r="CH532" s="75">
        <f t="shared" si="5551"/>
        <v>255</v>
      </c>
      <c r="CI532" s="71">
        <f t="shared" si="5552"/>
        <v>260</v>
      </c>
      <c r="CJ532" s="72">
        <f t="shared" si="5553"/>
        <v>283</v>
      </c>
      <c r="CK532" s="72" t="str">
        <f t="shared" si="5554"/>
        <v>-</v>
      </c>
      <c r="CL532" s="72">
        <f t="shared" si="5555"/>
        <v>345</v>
      </c>
      <c r="CM532" s="72" t="str">
        <f t="shared" si="5556"/>
        <v>-</v>
      </c>
      <c r="CN532" s="72">
        <f t="shared" si="5557"/>
        <v>376</v>
      </c>
      <c r="CO532" s="72">
        <f t="shared" si="5558"/>
        <v>392</v>
      </c>
      <c r="CP532" s="72">
        <f t="shared" si="5559"/>
        <v>428</v>
      </c>
      <c r="CQ532" s="72">
        <f t="shared" si="5560"/>
        <v>494</v>
      </c>
      <c r="CR532" s="72">
        <f t="shared" si="5561"/>
        <v>537</v>
      </c>
      <c r="CS532" s="72">
        <f t="shared" si="5562"/>
        <v>552</v>
      </c>
      <c r="CT532" s="23">
        <f t="shared" si="5563"/>
        <v>3</v>
      </c>
    </row>
    <row r="533" spans="1:1030" x14ac:dyDescent="0.2">
      <c r="A533" s="3" t="str">
        <f t="shared" ref="A533:A534" si="5564">CONCATENATE(B533,"_",C533)</f>
        <v>smo_mouse__wt</v>
      </c>
      <c r="B533" s="3" t="s">
        <v>1588</v>
      </c>
      <c r="C533" s="3" t="s">
        <v>100</v>
      </c>
      <c r="D533" s="3" t="str">
        <f>IFERROR(MID(VLOOKUP($B533,Seqs!$A:$B,2,0),E533,1),"")</f>
        <v>T</v>
      </c>
      <c r="E533" s="3">
        <v>227</v>
      </c>
      <c r="F533" s="3" t="str">
        <f>IFERROR(MID(VLOOKUP($B533,Seqs!$A:$B,2,0),G533,1),"")</f>
        <v>D</v>
      </c>
      <c r="G533" s="3">
        <v>259</v>
      </c>
      <c r="H533" s="3" t="str">
        <f>IFERROR(MID(VLOOKUP($B533,Seqs!$A:$B,2,0),I533,1),"")</f>
        <v>W</v>
      </c>
      <c r="I533" s="23">
        <v>260</v>
      </c>
      <c r="J533" s="3" t="str">
        <f>IFERROR(MID(VLOOKUP($B533,Seqs!$A:$B,2,0),K533,1),"")</f>
        <v>N</v>
      </c>
      <c r="K533" s="23">
        <v>264</v>
      </c>
      <c r="L533" s="3" t="str">
        <f>IFERROR(MID(VLOOKUP($B533,Seqs!$A:$B,2,0),M533,1),"")</f>
        <v>R</v>
      </c>
      <c r="M533" s="3">
        <v>265</v>
      </c>
      <c r="N533" s="3" t="str">
        <f>IFERROR(MID(VLOOKUP($B533,Seqs!$A:$B,2,0),O533,1),"")</f>
        <v>F</v>
      </c>
      <c r="O533" s="3">
        <v>289</v>
      </c>
      <c r="P533" s="3" t="str">
        <f>IFERROR(MID(VLOOKUP($B533,Seqs!$A:$B,2,0),Q533,1),"")</f>
        <v/>
      </c>
      <c r="Q533" s="3" t="s">
        <v>23</v>
      </c>
      <c r="R533" s="3" t="str">
        <f>IFERROR(MID(VLOOKUP($B533,Seqs!$A:$B,2,0),S533,1),"")</f>
        <v/>
      </c>
      <c r="S533" s="3" t="s">
        <v>23</v>
      </c>
      <c r="T533" s="3" t="str">
        <f>IFERROR(MID(VLOOKUP($B533,Seqs!$A:$B,2,0),U533,1),"")</f>
        <v>L</v>
      </c>
      <c r="U533" s="3">
        <v>316</v>
      </c>
      <c r="V533" s="3" t="str">
        <f>IFERROR(MID(VLOOKUP($B533,Seqs!$A:$B,2,0),W533,1),"")</f>
        <v>A</v>
      </c>
      <c r="W533" s="3">
        <v>349</v>
      </c>
      <c r="X533" s="3" t="str">
        <f>IFERROR(MID(VLOOKUP($B533,Seqs!$A:$B,2,0),Y533,1),"")</f>
        <v/>
      </c>
      <c r="Y533" s="3" t="s">
        <v>23</v>
      </c>
      <c r="Z533" s="3" t="str">
        <f>IFERROR(MID(VLOOKUP($B533,Seqs!$A:$B,2,0),AA533,1),"")</f>
        <v/>
      </c>
      <c r="AA533" s="3" t="s">
        <v>23</v>
      </c>
      <c r="AB533" s="3" t="str">
        <f>IFERROR(MID(VLOOKUP($B533,Seqs!$A:$B,2,0),AC533,1),"")</f>
        <v>K</v>
      </c>
      <c r="AC533" s="3">
        <v>360</v>
      </c>
      <c r="AD533" s="3" t="str">
        <f>IFERROR(MID(VLOOKUP($B533,Seqs!$A:$B,2,0),AE533,1),"")</f>
        <v>A</v>
      </c>
      <c r="AE533" s="3">
        <v>383</v>
      </c>
      <c r="AF533" s="3" t="str">
        <f>IFERROR(MID(VLOOKUP($B533,Seqs!$A:$B,2,0),AG533,1),"")</f>
        <v>C</v>
      </c>
      <c r="AG533" s="3">
        <v>394</v>
      </c>
      <c r="AH533" s="3" t="str">
        <f>IFERROR(MID(VLOOKUP($B533,Seqs!$A:$B,2,0),AI533,1),"")</f>
        <v>V</v>
      </c>
      <c r="AI533" s="3">
        <v>396</v>
      </c>
      <c r="AJ533" s="3" t="str">
        <f>IFERROR(MID(VLOOKUP($B533,Seqs!$A:$B,2,0),AK533,1),"")</f>
        <v>N</v>
      </c>
      <c r="AK533" s="3">
        <v>400</v>
      </c>
      <c r="AL533" s="3" t="str">
        <f>IFERROR(MID(VLOOKUP($B533,Seqs!$A:$B,2,0),AM533,1),"")</f>
        <v>H</v>
      </c>
      <c r="AM533" s="3">
        <v>437</v>
      </c>
      <c r="AN533" s="3" t="str">
        <f>IFERROR(MID(VLOOKUP($B533,Seqs!$A:$B,2,0),AO533,1),"")</f>
        <v>S</v>
      </c>
      <c r="AO533" s="3">
        <v>442</v>
      </c>
      <c r="AP533" s="3" t="str">
        <f>IFERROR(MID(VLOOKUP($B533,Seqs!$A:$B,2,0),AQ533,1),"")</f>
        <v>I</v>
      </c>
      <c r="AQ533" s="3">
        <v>500</v>
      </c>
      <c r="AR533" s="3" t="str">
        <f>IFERROR(MID(VLOOKUP($B533,Seqs!$A:$B,2,0),AS533,1),"")</f>
        <v>S</v>
      </c>
      <c r="AS533" s="3">
        <v>518</v>
      </c>
      <c r="AT533" s="3" t="str">
        <f>IFERROR(MID(VLOOKUP($B533,Seqs!$A:$B,2,0),AU533,1),"")</f>
        <v>W</v>
      </c>
      <c r="AU533" s="3">
        <v>541</v>
      </c>
      <c r="AV533" s="3" t="str">
        <f>IFERROR(MID(VLOOKUP($B533,Seqs!$A:$B,2,0),AW533,1),"")</f>
        <v>T</v>
      </c>
      <c r="AW533" s="3">
        <v>542</v>
      </c>
      <c r="AX533" s="3" t="str">
        <f>IFERROR(MID(VLOOKUP($B533,Seqs!$A:$B,2,0),AY533,1),"")</f>
        <v>T</v>
      </c>
      <c r="AY533" s="3">
        <v>557</v>
      </c>
      <c r="AZ533" s="78" t="str">
        <f>VLOOKUP(B533,Classification!A:D,2,0)</f>
        <v>F</v>
      </c>
      <c r="BA533" s="94" t="str">
        <f>VLOOKUP(B533,Classification!A:D,4,0)</f>
        <v>Frizzled</v>
      </c>
      <c r="BB533" s="92" t="b">
        <f t="shared" ref="BB533:BB534" si="5565">AND(E533&lt;G533,OR(G533&lt;I533,I533="-"),OR(I533&lt;K533,I533="-"),OR(K533&lt;M533,K533="-"),M533&lt;O533,OR(O533&lt;Q533,Q533="-"),OR(Q533&lt;S533,Q533="-"),OR(S533&lt;U533,S533="-"),U533&lt;W533,OR(W533&lt;Y533,Y533="-"),OR(Y533&lt;AA533,Y533="-"),OR(AA533&lt;AC533,AA533="-"),AC533&lt;AE533,OR(AE533&lt;AG533,AG533="-"),OR(AG533&lt;AI533,AG533="-"),OR(AI533&lt;AK533,AI533="-"),AK533&lt;AM533,AM533&lt;AO533,AO533&lt;AQ533,AQ533&lt;AS533,AS533&lt;AU533,OR(AU533&lt;AW533,AW533="-"),OR(AW533&lt;AY533,AW533="-"))</f>
        <v>1</v>
      </c>
      <c r="BC533" s="23">
        <f t="shared" ref="BC533:BC534" si="5566">_xlfn.AGGREGATE(9,6,CH533:CS533)-_xlfn.AGGREGATE(9,6,BV533:CG533)+12</f>
        <v>263</v>
      </c>
      <c r="BD533" s="74" t="s">
        <v>23</v>
      </c>
      <c r="BE533" s="3" t="s">
        <v>1285</v>
      </c>
      <c r="BF533" s="118">
        <v>4.84</v>
      </c>
      <c r="BG533" s="49" t="s">
        <v>1416</v>
      </c>
      <c r="BH533" s="49" t="s">
        <v>1416</v>
      </c>
      <c r="BJ533" s="75" t="s">
        <v>1281</v>
      </c>
      <c r="BK533" s="57" t="s">
        <v>1281</v>
      </c>
      <c r="BL533" s="57" t="s">
        <v>1281</v>
      </c>
      <c r="BM533" s="57" t="s">
        <v>1281</v>
      </c>
      <c r="BN533" s="57" t="s">
        <v>1281</v>
      </c>
      <c r="BO533" s="57" t="s">
        <v>1281</v>
      </c>
      <c r="BP533" s="57" t="s">
        <v>1281</v>
      </c>
      <c r="BQ533" s="57" t="s">
        <v>1281</v>
      </c>
      <c r="BR533" s="57" t="s">
        <v>1281</v>
      </c>
      <c r="BS533" s="57" t="s">
        <v>1281</v>
      </c>
      <c r="BT533" s="57" t="s">
        <v>1281</v>
      </c>
      <c r="BU533" s="57" t="s">
        <v>1281</v>
      </c>
      <c r="BV533" s="75">
        <f t="shared" ref="BV533:BV534" si="5567">E533</f>
        <v>227</v>
      </c>
      <c r="BW533" s="71">
        <f t="shared" ref="BW533:BW534" si="5568">I533</f>
        <v>260</v>
      </c>
      <c r="BX533" s="72">
        <f t="shared" ref="BX533:BX534" si="5569">M533</f>
        <v>265</v>
      </c>
      <c r="BY533" s="71" t="str">
        <f t="shared" ref="BY533:BY534" si="5570">Q533</f>
        <v>-</v>
      </c>
      <c r="BZ533" s="72">
        <f t="shared" ref="BZ533:BZ534" si="5571">U533</f>
        <v>316</v>
      </c>
      <c r="CA533" s="71" t="str">
        <f t="shared" ref="CA533:CA534" si="5572">Y533</f>
        <v>-</v>
      </c>
      <c r="CB533" s="72">
        <f t="shared" ref="CB533:CB534" si="5573">AC533</f>
        <v>360</v>
      </c>
      <c r="CC533" s="71">
        <f t="shared" ref="CC533:CC534" si="5574">AG533</f>
        <v>394</v>
      </c>
      <c r="CD533" s="72">
        <f t="shared" ref="CD533:CD534" si="5575">AK533</f>
        <v>400</v>
      </c>
      <c r="CE533" s="71">
        <f t="shared" ref="CE533:CE534" si="5576">AO533</f>
        <v>442</v>
      </c>
      <c r="CF533" s="72">
        <f t="shared" ref="CF533:CF534" si="5577">AS533</f>
        <v>518</v>
      </c>
      <c r="CG533" s="71">
        <f t="shared" ref="CG533:CG534" si="5578">AW533</f>
        <v>542</v>
      </c>
      <c r="CH533" s="75">
        <f t="shared" ref="CH533:CH534" si="5579">G533</f>
        <v>259</v>
      </c>
      <c r="CI533" s="71">
        <f t="shared" ref="CI533:CI534" si="5580">K533</f>
        <v>264</v>
      </c>
      <c r="CJ533" s="72">
        <f t="shared" ref="CJ533:CJ534" si="5581">O533</f>
        <v>289</v>
      </c>
      <c r="CK533" s="72" t="str">
        <f t="shared" ref="CK533:CK534" si="5582">S533</f>
        <v>-</v>
      </c>
      <c r="CL533" s="72">
        <f t="shared" ref="CL533:CL534" si="5583">W533</f>
        <v>349</v>
      </c>
      <c r="CM533" s="72" t="str">
        <f t="shared" ref="CM533:CM534" si="5584">AA533</f>
        <v>-</v>
      </c>
      <c r="CN533" s="72">
        <f t="shared" ref="CN533:CN534" si="5585">AE533</f>
        <v>383</v>
      </c>
      <c r="CO533" s="72">
        <f t="shared" ref="CO533:CO534" si="5586">AI533</f>
        <v>396</v>
      </c>
      <c r="CP533" s="72">
        <f t="shared" ref="CP533:CP534" si="5587">AM533</f>
        <v>437</v>
      </c>
      <c r="CQ533" s="72">
        <f t="shared" ref="CQ533:CQ534" si="5588">AQ533</f>
        <v>500</v>
      </c>
      <c r="CR533" s="72">
        <f t="shared" ref="CR533:CR534" si="5589">AU533</f>
        <v>541</v>
      </c>
      <c r="CS533" s="72">
        <f t="shared" ref="CS533:CS534" si="5590">AY533</f>
        <v>557</v>
      </c>
      <c r="CT533" s="23">
        <f t="shared" ref="CT533:CT534" si="5591">M533-K533</f>
        <v>1</v>
      </c>
    </row>
    <row r="534" spans="1:1030" x14ac:dyDescent="0.2">
      <c r="A534" s="3" t="str">
        <f t="shared" si="5564"/>
        <v>smo_mouse_6O3C</v>
      </c>
      <c r="B534" s="3" t="s">
        <v>1588</v>
      </c>
      <c r="C534" s="3" t="s">
        <v>1589</v>
      </c>
      <c r="D534" s="3" t="str">
        <f>IFERROR(MID(VLOOKUP($B534,Seqs!$A:$B,2,0),E534,1),"")</f>
        <v>T</v>
      </c>
      <c r="E534" s="3">
        <v>227</v>
      </c>
      <c r="F534" s="3" t="str">
        <f>IFERROR(MID(VLOOKUP($B534,Seqs!$A:$B,2,0),G534,1),"")</f>
        <v>D</v>
      </c>
      <c r="G534" s="3">
        <v>259</v>
      </c>
      <c r="H534" s="3" t="str">
        <f>IFERROR(MID(VLOOKUP($B534,Seqs!$A:$B,2,0),I534,1),"")</f>
        <v>W</v>
      </c>
      <c r="I534" s="23">
        <v>260</v>
      </c>
      <c r="J534" s="3" t="str">
        <f>IFERROR(MID(VLOOKUP($B534,Seqs!$A:$B,2,0),K534,1),"")</f>
        <v>N</v>
      </c>
      <c r="K534" s="23">
        <v>264</v>
      </c>
      <c r="L534" s="3" t="str">
        <f>IFERROR(MID(VLOOKUP($B534,Seqs!$A:$B,2,0),M534,1),"")</f>
        <v>R</v>
      </c>
      <c r="M534" s="3">
        <v>265</v>
      </c>
      <c r="N534" s="3" t="str">
        <f>IFERROR(MID(VLOOKUP($B534,Seqs!$A:$B,2,0),O534,1),"")</f>
        <v>F</v>
      </c>
      <c r="O534" s="3">
        <v>289</v>
      </c>
      <c r="P534" s="3" t="str">
        <f>IFERROR(MID(VLOOKUP($B534,Seqs!$A:$B,2,0),Q534,1),"")</f>
        <v/>
      </c>
      <c r="Q534" s="3" t="s">
        <v>23</v>
      </c>
      <c r="R534" s="3" t="str">
        <f>IFERROR(MID(VLOOKUP($B534,Seqs!$A:$B,2,0),S534,1),"")</f>
        <v/>
      </c>
      <c r="S534" s="3" t="s">
        <v>23</v>
      </c>
      <c r="T534" s="3" t="str">
        <f>IFERROR(MID(VLOOKUP($B534,Seqs!$A:$B,2,0),U534,1),"")</f>
        <v>L</v>
      </c>
      <c r="U534" s="3">
        <v>316</v>
      </c>
      <c r="V534" s="3" t="str">
        <f>IFERROR(MID(VLOOKUP($B534,Seqs!$A:$B,2,0),W534,1),"")</f>
        <v>A</v>
      </c>
      <c r="W534" s="3">
        <v>349</v>
      </c>
      <c r="X534" s="3" t="str">
        <f>IFERROR(MID(VLOOKUP($B534,Seqs!$A:$B,2,0),Y534,1),"")</f>
        <v/>
      </c>
      <c r="Y534" s="3" t="s">
        <v>23</v>
      </c>
      <c r="Z534" s="3" t="str">
        <f>IFERROR(MID(VLOOKUP($B534,Seqs!$A:$B,2,0),AA534,1),"")</f>
        <v/>
      </c>
      <c r="AA534" s="3" t="s">
        <v>23</v>
      </c>
      <c r="AB534" s="3" t="str">
        <f>IFERROR(MID(VLOOKUP($B534,Seqs!$A:$B,2,0),AC534,1),"")</f>
        <v>K</v>
      </c>
      <c r="AC534" s="3">
        <v>360</v>
      </c>
      <c r="AD534" s="3" t="str">
        <f>IFERROR(MID(VLOOKUP($B534,Seqs!$A:$B,2,0),AE534,1),"")</f>
        <v>A</v>
      </c>
      <c r="AE534" s="3">
        <v>383</v>
      </c>
      <c r="AF534" s="3" t="str">
        <f>IFERROR(MID(VLOOKUP($B534,Seqs!$A:$B,2,0),AG534,1),"")</f>
        <v>C</v>
      </c>
      <c r="AG534" s="3">
        <v>394</v>
      </c>
      <c r="AH534" s="3" t="str">
        <f>IFERROR(MID(VLOOKUP($B534,Seqs!$A:$B,2,0),AI534,1),"")</f>
        <v>V</v>
      </c>
      <c r="AI534" s="3">
        <v>396</v>
      </c>
      <c r="AJ534" s="3" t="str">
        <f>IFERROR(MID(VLOOKUP($B534,Seqs!$A:$B,2,0),AK534,1),"")</f>
        <v>N</v>
      </c>
      <c r="AK534" s="3">
        <v>400</v>
      </c>
      <c r="AL534" s="3" t="str">
        <f>IFERROR(MID(VLOOKUP($B534,Seqs!$A:$B,2,0),AM534,1),"")</f>
        <v>H</v>
      </c>
      <c r="AM534" s="3">
        <v>437</v>
      </c>
      <c r="AN534" s="3" t="str">
        <f>IFERROR(MID(VLOOKUP($B534,Seqs!$A:$B,2,0),AO534,1),"")</f>
        <v>S</v>
      </c>
      <c r="AO534" s="3">
        <v>442</v>
      </c>
      <c r="AP534" s="3" t="str">
        <f>IFERROR(MID(VLOOKUP($B534,Seqs!$A:$B,2,0),AQ534,1),"")</f>
        <v>T</v>
      </c>
      <c r="AQ534" s="3">
        <v>499</v>
      </c>
      <c r="AR534" s="3" t="str">
        <f>IFERROR(MID(VLOOKUP($B534,Seqs!$A:$B,2,0),AS534,1),"")</f>
        <v>S</v>
      </c>
      <c r="AS534" s="3">
        <v>518</v>
      </c>
      <c r="AT534" s="3" t="str">
        <f>IFERROR(MID(VLOOKUP($B534,Seqs!$A:$B,2,0),AU534,1),"")</f>
        <v>W</v>
      </c>
      <c r="AU534" s="3">
        <v>541</v>
      </c>
      <c r="AV534" s="3" t="str">
        <f>IFERROR(MID(VLOOKUP($B534,Seqs!$A:$B,2,0),AW534,1),"")</f>
        <v>T</v>
      </c>
      <c r="AW534" s="3">
        <v>542</v>
      </c>
      <c r="AX534" s="3" t="str">
        <f>IFERROR(MID(VLOOKUP($B534,Seqs!$A:$B,2,0),AY534,1),"")</f>
        <v>R</v>
      </c>
      <c r="AY534" s="3">
        <v>555</v>
      </c>
      <c r="AZ534" s="78" t="str">
        <f>VLOOKUP(B534,Classification!A:D,2,0)</f>
        <v>F</v>
      </c>
      <c r="BA534" s="94" t="str">
        <f>VLOOKUP(B534,Classification!A:D,4,0)</f>
        <v>Frizzled</v>
      </c>
      <c r="BB534" s="92" t="b">
        <f t="shared" si="5565"/>
        <v>1</v>
      </c>
      <c r="BC534" s="23">
        <f t="shared" si="5566"/>
        <v>260</v>
      </c>
      <c r="BD534" s="74" t="s">
        <v>23</v>
      </c>
      <c r="BE534" s="3" t="s">
        <v>1285</v>
      </c>
      <c r="BF534" s="118">
        <v>5.84</v>
      </c>
      <c r="BG534" s="49" t="s">
        <v>1416</v>
      </c>
      <c r="BH534" s="49" t="s">
        <v>1416</v>
      </c>
      <c r="BJ534" s="75" t="s">
        <v>1281</v>
      </c>
      <c r="BK534" s="57" t="s">
        <v>1281</v>
      </c>
      <c r="BL534" s="57" t="s">
        <v>1281</v>
      </c>
      <c r="BM534" s="57" t="s">
        <v>1281</v>
      </c>
      <c r="BN534" s="57" t="s">
        <v>1281</v>
      </c>
      <c r="BO534" s="57" t="s">
        <v>1281</v>
      </c>
      <c r="BP534" s="57" t="s">
        <v>1281</v>
      </c>
      <c r="BQ534" s="57" t="s">
        <v>1281</v>
      </c>
      <c r="BR534" s="57" t="s">
        <v>1281</v>
      </c>
      <c r="BS534" s="57" t="s">
        <v>1281</v>
      </c>
      <c r="BT534" s="57" t="s">
        <v>1281</v>
      </c>
      <c r="BU534" s="57" t="s">
        <v>1281</v>
      </c>
      <c r="BV534" s="75">
        <f t="shared" si="5567"/>
        <v>227</v>
      </c>
      <c r="BW534" s="71">
        <f t="shared" si="5568"/>
        <v>260</v>
      </c>
      <c r="BX534" s="72">
        <f t="shared" si="5569"/>
        <v>265</v>
      </c>
      <c r="BY534" s="71" t="str">
        <f t="shared" si="5570"/>
        <v>-</v>
      </c>
      <c r="BZ534" s="72">
        <f t="shared" si="5571"/>
        <v>316</v>
      </c>
      <c r="CA534" s="71" t="str">
        <f t="shared" si="5572"/>
        <v>-</v>
      </c>
      <c r="CB534" s="72">
        <f t="shared" si="5573"/>
        <v>360</v>
      </c>
      <c r="CC534" s="71">
        <f t="shared" si="5574"/>
        <v>394</v>
      </c>
      <c r="CD534" s="72">
        <f t="shared" si="5575"/>
        <v>400</v>
      </c>
      <c r="CE534" s="71">
        <f t="shared" si="5576"/>
        <v>442</v>
      </c>
      <c r="CF534" s="72">
        <f t="shared" si="5577"/>
        <v>518</v>
      </c>
      <c r="CG534" s="71">
        <f t="shared" si="5578"/>
        <v>542</v>
      </c>
      <c r="CH534" s="75">
        <f t="shared" si="5579"/>
        <v>259</v>
      </c>
      <c r="CI534" s="71">
        <f t="shared" si="5580"/>
        <v>264</v>
      </c>
      <c r="CJ534" s="72">
        <f t="shared" si="5581"/>
        <v>289</v>
      </c>
      <c r="CK534" s="72" t="str">
        <f t="shared" si="5582"/>
        <v>-</v>
      </c>
      <c r="CL534" s="72">
        <f t="shared" si="5583"/>
        <v>349</v>
      </c>
      <c r="CM534" s="72" t="str">
        <f t="shared" si="5584"/>
        <v>-</v>
      </c>
      <c r="CN534" s="72">
        <f t="shared" si="5585"/>
        <v>383</v>
      </c>
      <c r="CO534" s="72">
        <f t="shared" si="5586"/>
        <v>396</v>
      </c>
      <c r="CP534" s="72">
        <f t="shared" si="5587"/>
        <v>437</v>
      </c>
      <c r="CQ534" s="72">
        <f t="shared" si="5588"/>
        <v>499</v>
      </c>
      <c r="CR534" s="72">
        <f t="shared" si="5589"/>
        <v>541</v>
      </c>
      <c r="CS534" s="72">
        <f t="shared" si="5590"/>
        <v>555</v>
      </c>
      <c r="CT534" s="23">
        <f t="shared" si="5591"/>
        <v>1</v>
      </c>
    </row>
    <row r="535" spans="1:1030" x14ac:dyDescent="0.2">
      <c r="A535" s="3" t="str">
        <f t="shared" si="5536"/>
        <v>q98sw5_xenla__wt</v>
      </c>
      <c r="B535" s="3" t="s">
        <v>1489</v>
      </c>
      <c r="C535" s="3" t="s">
        <v>100</v>
      </c>
      <c r="D535" s="3" t="str">
        <f>IFERROR(MID(VLOOKUP($B535,Seqs!$A:$B,2,0),E535,1),"")</f>
        <v>T</v>
      </c>
      <c r="E535" s="3">
        <v>196</v>
      </c>
      <c r="F535" s="3" t="str">
        <f>IFERROR(MID(VLOOKUP($B535,Seqs!$A:$B,2,0),G535,1),"")</f>
        <v>D</v>
      </c>
      <c r="G535" s="3">
        <v>228</v>
      </c>
      <c r="H535" s="3" t="str">
        <f>IFERROR(MID(VLOOKUP($B535,Seqs!$A:$B,2,0),I535,1),"")</f>
        <v>W</v>
      </c>
      <c r="I535" s="23">
        <v>229</v>
      </c>
      <c r="J535" s="3" t="str">
        <f>IFERROR(MID(VLOOKUP($B535,Seqs!$A:$B,2,0),K535,1),"")</f>
        <v>N</v>
      </c>
      <c r="K535" s="23">
        <v>233</v>
      </c>
      <c r="L535" s="3" t="str">
        <f>IFERROR(MID(VLOOKUP($B535,Seqs!$A:$B,2,0),M535,1),"")</f>
        <v>R</v>
      </c>
      <c r="M535" s="3">
        <v>234</v>
      </c>
      <c r="N535" s="3" t="str">
        <f>IFERROR(MID(VLOOKUP($B535,Seqs!$A:$B,2,0),O535,1),"")</f>
        <v>A</v>
      </c>
      <c r="O535" s="3">
        <v>256</v>
      </c>
      <c r="P535" s="3" t="str">
        <f>IFERROR(MID(VLOOKUP($B535,Seqs!$A:$B,2,0),Q535,1),"")</f>
        <v/>
      </c>
      <c r="Q535" s="3" t="s">
        <v>23</v>
      </c>
      <c r="R535" s="3" t="str">
        <f>IFERROR(MID(VLOOKUP($B535,Seqs!$A:$B,2,0),S535,1),"")</f>
        <v/>
      </c>
      <c r="S535" s="3" t="s">
        <v>23</v>
      </c>
      <c r="T535" s="3" t="str">
        <f>IFERROR(MID(VLOOKUP($B535,Seqs!$A:$B,2,0),U535,1),"")</f>
        <v>L</v>
      </c>
      <c r="U535" s="3">
        <v>285</v>
      </c>
      <c r="V535" s="3" t="str">
        <f>IFERROR(MID(VLOOKUP($B535,Seqs!$A:$B,2,0),W535,1),"")</f>
        <v>T</v>
      </c>
      <c r="W535" s="3">
        <v>321</v>
      </c>
      <c r="X535" s="3" t="str">
        <f>IFERROR(MID(VLOOKUP($B535,Seqs!$A:$B,2,0),Y535,1),"")</f>
        <v/>
      </c>
      <c r="Y535" s="3" t="s">
        <v>23</v>
      </c>
      <c r="Z535" s="3" t="str">
        <f>IFERROR(MID(VLOOKUP($B535,Seqs!$A:$B,2,0),AA535,1),"")</f>
        <v/>
      </c>
      <c r="AA535" s="3" t="s">
        <v>23</v>
      </c>
      <c r="AB535" s="3" t="str">
        <f>IFERROR(MID(VLOOKUP($B535,Seqs!$A:$B,2,0),AC535,1),"")</f>
        <v>L</v>
      </c>
      <c r="AC535" s="3">
        <v>326</v>
      </c>
      <c r="AD535" s="3" t="str">
        <f>IFERROR(MID(VLOOKUP($B535,Seqs!$A:$B,2,0),AE535,1),"")</f>
        <v>V</v>
      </c>
      <c r="AE535" s="3">
        <v>351</v>
      </c>
      <c r="AF535" s="3" t="str">
        <f>IFERROR(MID(VLOOKUP($B535,Seqs!$A:$B,2,0),AG535,1),"")</f>
        <v>C</v>
      </c>
      <c r="AG535" s="3">
        <v>363</v>
      </c>
      <c r="AH535" s="3" t="str">
        <f>IFERROR(MID(VLOOKUP($B535,Seqs!$A:$B,2,0),AI535,1),"")</f>
        <v>V</v>
      </c>
      <c r="AI535" s="3">
        <v>365</v>
      </c>
      <c r="AJ535" s="3" t="str">
        <f>IFERROR(MID(VLOOKUP($B535,Seqs!$A:$B,2,0),AK535,1),"")</f>
        <v>N</v>
      </c>
      <c r="AK535" s="3">
        <v>369</v>
      </c>
      <c r="AL535" s="3" t="str">
        <f>IFERROR(MID(VLOOKUP($B535,Seqs!$A:$B,2,0),AM535,1),"")</f>
        <v>H</v>
      </c>
      <c r="AM535" s="3">
        <v>406</v>
      </c>
      <c r="AN535" s="3" t="str">
        <f>IFERROR(MID(VLOOKUP($B535,Seqs!$A:$B,2,0),AO535,1),"")</f>
        <v>A</v>
      </c>
      <c r="AO535" s="3">
        <v>415</v>
      </c>
      <c r="AP535" s="3" t="str">
        <f>IFERROR(MID(VLOOKUP($B535,Seqs!$A:$B,2,0),AQ535,1),"")</f>
        <v>Q</v>
      </c>
      <c r="AQ535" s="3">
        <v>472</v>
      </c>
      <c r="AR535" s="3" t="str">
        <f>IFERROR(MID(VLOOKUP($B535,Seqs!$A:$B,2,0),AS535,1),"")</f>
        <v>S</v>
      </c>
      <c r="AS535" s="3">
        <v>487</v>
      </c>
      <c r="AT535" s="3" t="str">
        <f>IFERROR(MID(VLOOKUP($B535,Seqs!$A:$B,2,0),AU535,1),"")</f>
        <v>W</v>
      </c>
      <c r="AU535" s="3">
        <v>510</v>
      </c>
      <c r="AV535" s="3" t="str">
        <f>IFERROR(MID(VLOOKUP($B535,Seqs!$A:$B,2,0),AW535,1),"")</f>
        <v>T</v>
      </c>
      <c r="AW535" s="3">
        <v>511</v>
      </c>
      <c r="AX535" s="3" t="str">
        <f>IFERROR(MID(VLOOKUP($B535,Seqs!$A:$B,2,0),AY535,1),"")</f>
        <v>L</v>
      </c>
      <c r="AY535" s="3">
        <v>526</v>
      </c>
      <c r="AZ535" s="78" t="str">
        <f>VLOOKUP(B535,Classification!A:D,2,0)</f>
        <v>F</v>
      </c>
      <c r="BA535" s="94" t="str">
        <f>VLOOKUP(B535,Classification!A:D,4,0)</f>
        <v>Frizzled</v>
      </c>
      <c r="BB535" s="92" t="b">
        <f t="shared" si="5537"/>
        <v>1</v>
      </c>
      <c r="BC535" s="23">
        <f t="shared" si="5538"/>
        <v>265</v>
      </c>
      <c r="BD535" s="74" t="s">
        <v>23</v>
      </c>
      <c r="BE535" s="3" t="s">
        <v>1368</v>
      </c>
      <c r="BF535" s="118" t="s">
        <v>23</v>
      </c>
      <c r="BG535" s="49" t="s">
        <v>1</v>
      </c>
      <c r="BH535" s="49" t="s">
        <v>1</v>
      </c>
      <c r="BJ535" s="75" t="s">
        <v>1281</v>
      </c>
      <c r="BK535" s="57" t="s">
        <v>1281</v>
      </c>
      <c r="BL535" s="57" t="s">
        <v>1281</v>
      </c>
      <c r="BM535" s="57" t="s">
        <v>1281</v>
      </c>
      <c r="BN535" s="57" t="s">
        <v>1281</v>
      </c>
      <c r="BO535" s="57" t="s">
        <v>1281</v>
      </c>
      <c r="BP535" s="57" t="s">
        <v>1281</v>
      </c>
      <c r="BQ535" s="57" t="s">
        <v>1281</v>
      </c>
      <c r="BR535" s="57" t="s">
        <v>1281</v>
      </c>
      <c r="BS535" s="57" t="s">
        <v>1281</v>
      </c>
      <c r="BT535" s="57" t="s">
        <v>1281</v>
      </c>
      <c r="BU535" s="57" t="s">
        <v>1281</v>
      </c>
      <c r="BV535" s="75">
        <f t="shared" si="5539"/>
        <v>196</v>
      </c>
      <c r="BW535" s="71">
        <f t="shared" si="5540"/>
        <v>229</v>
      </c>
      <c r="BX535" s="72">
        <f t="shared" si="5541"/>
        <v>234</v>
      </c>
      <c r="BY535" s="71" t="str">
        <f t="shared" si="5542"/>
        <v>-</v>
      </c>
      <c r="BZ535" s="72">
        <f t="shared" si="5543"/>
        <v>285</v>
      </c>
      <c r="CA535" s="71" t="str">
        <f t="shared" si="5544"/>
        <v>-</v>
      </c>
      <c r="CB535" s="72">
        <f t="shared" si="5545"/>
        <v>326</v>
      </c>
      <c r="CC535" s="71">
        <f t="shared" si="5546"/>
        <v>363</v>
      </c>
      <c r="CD535" s="72">
        <f t="shared" si="5547"/>
        <v>369</v>
      </c>
      <c r="CE535" s="71">
        <f t="shared" si="5548"/>
        <v>415</v>
      </c>
      <c r="CF535" s="72">
        <f t="shared" si="5549"/>
        <v>487</v>
      </c>
      <c r="CG535" s="71">
        <f t="shared" si="5550"/>
        <v>511</v>
      </c>
      <c r="CH535" s="75">
        <f t="shared" si="5551"/>
        <v>228</v>
      </c>
      <c r="CI535" s="71">
        <f t="shared" si="5552"/>
        <v>233</v>
      </c>
      <c r="CJ535" s="72">
        <f t="shared" si="5553"/>
        <v>256</v>
      </c>
      <c r="CK535" s="72" t="str">
        <f t="shared" si="5554"/>
        <v>-</v>
      </c>
      <c r="CL535" s="72">
        <f t="shared" si="5555"/>
        <v>321</v>
      </c>
      <c r="CM535" s="72" t="str">
        <f t="shared" si="5556"/>
        <v>-</v>
      </c>
      <c r="CN535" s="72">
        <f t="shared" si="5557"/>
        <v>351</v>
      </c>
      <c r="CO535" s="72">
        <f t="shared" si="5558"/>
        <v>365</v>
      </c>
      <c r="CP535" s="72">
        <f t="shared" si="5559"/>
        <v>406</v>
      </c>
      <c r="CQ535" s="72">
        <f t="shared" si="5560"/>
        <v>472</v>
      </c>
      <c r="CR535" s="72">
        <f t="shared" si="5561"/>
        <v>510</v>
      </c>
      <c r="CS535" s="72">
        <f t="shared" si="5562"/>
        <v>526</v>
      </c>
      <c r="CT535" s="23">
        <f t="shared" si="5563"/>
        <v>1</v>
      </c>
    </row>
    <row r="536" spans="1:1030" x14ac:dyDescent="0.2">
      <c r="A536" s="3" t="str">
        <f t="shared" si="5536"/>
        <v>q98sw5_xenla_6D32</v>
      </c>
      <c r="B536" s="3" t="s">
        <v>1489</v>
      </c>
      <c r="C536" s="3" t="s">
        <v>1488</v>
      </c>
      <c r="D536" s="3" t="str">
        <f>IFERROR(MID(VLOOKUP($B536,Seqs!$A:$B,2,0),E536,1),"")</f>
        <v>T</v>
      </c>
      <c r="E536" s="3">
        <v>196</v>
      </c>
      <c r="F536" s="3" t="str">
        <f>IFERROR(MID(VLOOKUP($B536,Seqs!$A:$B,2,0),G536,1),"")</f>
        <v>D</v>
      </c>
      <c r="G536" s="3">
        <v>228</v>
      </c>
      <c r="H536" s="3" t="str">
        <f>IFERROR(MID(VLOOKUP($B536,Seqs!$A:$B,2,0),I536,1),"")</f>
        <v>W</v>
      </c>
      <c r="I536" s="23">
        <v>229</v>
      </c>
      <c r="J536" s="3" t="str">
        <f>IFERROR(MID(VLOOKUP($B536,Seqs!$A:$B,2,0),K536,1),"")</f>
        <v>N</v>
      </c>
      <c r="K536" s="23">
        <v>233</v>
      </c>
      <c r="L536" s="3" t="str">
        <f>IFERROR(MID(VLOOKUP($B536,Seqs!$A:$B,2,0),M536,1),"")</f>
        <v>R</v>
      </c>
      <c r="M536" s="3">
        <v>234</v>
      </c>
      <c r="N536" s="3" t="str">
        <f>IFERROR(MID(VLOOKUP($B536,Seqs!$A:$B,2,0),O536,1),"")</f>
        <v>A</v>
      </c>
      <c r="O536" s="3">
        <v>256</v>
      </c>
      <c r="P536" s="3" t="str">
        <f>IFERROR(MID(VLOOKUP($B536,Seqs!$A:$B,2,0),Q536,1),"")</f>
        <v/>
      </c>
      <c r="Q536" s="3" t="s">
        <v>23</v>
      </c>
      <c r="R536" s="3" t="str">
        <f>IFERROR(MID(VLOOKUP($B536,Seqs!$A:$B,2,0),S536,1),"")</f>
        <v/>
      </c>
      <c r="S536" s="3" t="s">
        <v>23</v>
      </c>
      <c r="T536" s="3" t="str">
        <f>IFERROR(MID(VLOOKUP($B536,Seqs!$A:$B,2,0),U536,1),"")</f>
        <v>L</v>
      </c>
      <c r="U536" s="3">
        <v>285</v>
      </c>
      <c r="V536" s="3" t="str">
        <f>IFERROR(MID(VLOOKUP($B536,Seqs!$A:$B,2,0),W536,1),"")</f>
        <v>K</v>
      </c>
      <c r="W536" s="3">
        <v>317</v>
      </c>
      <c r="X536" s="3" t="str">
        <f>IFERROR(MID(VLOOKUP($B536,Seqs!$A:$B,2,0),Y536,1),"")</f>
        <v/>
      </c>
      <c r="Y536" s="3" t="s">
        <v>23</v>
      </c>
      <c r="Z536" s="3" t="str">
        <f>IFERROR(MID(VLOOKUP($B536,Seqs!$A:$B,2,0),AA536,1),"")</f>
        <v/>
      </c>
      <c r="AA536" s="3" t="s">
        <v>23</v>
      </c>
      <c r="AB536" s="3" t="str">
        <f>IFERROR(MID(VLOOKUP($B536,Seqs!$A:$B,2,0),AC536,1),"")</f>
        <v>K</v>
      </c>
      <c r="AC536" s="3">
        <v>329</v>
      </c>
      <c r="AD536" s="3" t="str">
        <f>IFERROR(MID(VLOOKUP($B536,Seqs!$A:$B,2,0),AE536,1),"")</f>
        <v>V</v>
      </c>
      <c r="AE536" s="3">
        <v>351</v>
      </c>
      <c r="AF536" s="3" t="str">
        <f>IFERROR(MID(VLOOKUP($B536,Seqs!$A:$B,2,0),AG536,1),"")</f>
        <v>C</v>
      </c>
      <c r="AG536" s="3">
        <v>363</v>
      </c>
      <c r="AH536" s="3" t="str">
        <f>IFERROR(MID(VLOOKUP($B536,Seqs!$A:$B,2,0),AI536,1),"")</f>
        <v>V</v>
      </c>
      <c r="AI536" s="3">
        <v>365</v>
      </c>
      <c r="AJ536" s="3" t="str">
        <f>IFERROR(MID(VLOOKUP($B536,Seqs!$A:$B,2,0),AK536,1),"")</f>
        <v>N</v>
      </c>
      <c r="AK536" s="3">
        <v>369</v>
      </c>
      <c r="AL536" s="3" t="str">
        <f>IFERROR(MID(VLOOKUP($B536,Seqs!$A:$B,2,0),AM536,1),"")</f>
        <v>S</v>
      </c>
      <c r="AM536" s="3">
        <v>401</v>
      </c>
      <c r="AN536" s="3" t="str">
        <f>IFERROR(MID(VLOOKUP($B536,Seqs!$A:$B,2,0),AO536,1),"")</f>
        <v>S</v>
      </c>
      <c r="AO536" s="3">
        <v>416</v>
      </c>
      <c r="AP536" s="3" t="str">
        <f>IFERROR(MID(VLOOKUP($B536,Seqs!$A:$B,2,0),AQ536,1),"")</f>
        <v>Q</v>
      </c>
      <c r="AQ536" s="3">
        <v>472</v>
      </c>
      <c r="AR536" s="3" t="str">
        <f>IFERROR(MID(VLOOKUP($B536,Seqs!$A:$B,2,0),AS536,1),"")</f>
        <v>S</v>
      </c>
      <c r="AS536" s="3">
        <v>487</v>
      </c>
      <c r="AT536" s="3" t="str">
        <f>IFERROR(MID(VLOOKUP($B536,Seqs!$A:$B,2,0),AU536,1),"")</f>
        <v>W</v>
      </c>
      <c r="AU536" s="3">
        <v>510</v>
      </c>
      <c r="AV536" s="3" t="str">
        <f>IFERROR(MID(VLOOKUP($B536,Seqs!$A:$B,2,0),AW536,1),"")</f>
        <v>T</v>
      </c>
      <c r="AW536" s="3">
        <v>511</v>
      </c>
      <c r="AX536" s="3" t="str">
        <f>IFERROR(MID(VLOOKUP($B536,Seqs!$A:$B,2,0),AY536,1),"")</f>
        <v>R</v>
      </c>
      <c r="AY536" s="3">
        <v>520</v>
      </c>
      <c r="AZ536" s="78" t="str">
        <f>VLOOKUP(B536,Classification!A:D,2,0)</f>
        <v>F</v>
      </c>
      <c r="BA536" s="94" t="str">
        <f>VLOOKUP(B536,Classification!A:D,4,0)</f>
        <v>Frizzled</v>
      </c>
      <c r="BB536" s="92" t="b">
        <f t="shared" si="5537"/>
        <v>1</v>
      </c>
      <c r="BC536" s="23">
        <f t="shared" si="5538"/>
        <v>246</v>
      </c>
      <c r="BD536" s="74" t="s">
        <v>23</v>
      </c>
      <c r="BE536" s="3" t="s">
        <v>1368</v>
      </c>
      <c r="BF536" s="118">
        <v>3.7509999999999999</v>
      </c>
      <c r="BG536" s="49" t="s">
        <v>1</v>
      </c>
      <c r="BH536" s="49" t="s">
        <v>1</v>
      </c>
      <c r="BJ536" s="75" t="s">
        <v>1281</v>
      </c>
      <c r="BK536" s="57" t="s">
        <v>1281</v>
      </c>
      <c r="BL536" s="57" t="s">
        <v>1281</v>
      </c>
      <c r="BM536" s="57" t="s">
        <v>1281</v>
      </c>
      <c r="BN536" s="57" t="s">
        <v>1281</v>
      </c>
      <c r="BO536" s="57" t="s">
        <v>1281</v>
      </c>
      <c r="BP536" s="57" t="s">
        <v>1281</v>
      </c>
      <c r="BQ536" s="57" t="s">
        <v>1281</v>
      </c>
      <c r="BR536" s="57" t="s">
        <v>1281</v>
      </c>
      <c r="BS536" s="57" t="s">
        <v>1281</v>
      </c>
      <c r="BT536" s="57" t="s">
        <v>1281</v>
      </c>
      <c r="BU536" s="57" t="s">
        <v>1281</v>
      </c>
      <c r="BV536" s="75">
        <f t="shared" si="5539"/>
        <v>196</v>
      </c>
      <c r="BW536" s="71">
        <f t="shared" si="5540"/>
        <v>229</v>
      </c>
      <c r="BX536" s="72">
        <f t="shared" si="5541"/>
        <v>234</v>
      </c>
      <c r="BY536" s="71" t="str">
        <f t="shared" si="5542"/>
        <v>-</v>
      </c>
      <c r="BZ536" s="72">
        <f t="shared" si="5543"/>
        <v>285</v>
      </c>
      <c r="CA536" s="71" t="str">
        <f t="shared" si="5544"/>
        <v>-</v>
      </c>
      <c r="CB536" s="72">
        <f t="shared" si="5545"/>
        <v>329</v>
      </c>
      <c r="CC536" s="71">
        <f t="shared" si="5546"/>
        <v>363</v>
      </c>
      <c r="CD536" s="72">
        <f t="shared" si="5547"/>
        <v>369</v>
      </c>
      <c r="CE536" s="71">
        <f t="shared" si="5548"/>
        <v>416</v>
      </c>
      <c r="CF536" s="72">
        <f t="shared" si="5549"/>
        <v>487</v>
      </c>
      <c r="CG536" s="71">
        <f t="shared" si="5550"/>
        <v>511</v>
      </c>
      <c r="CH536" s="75">
        <f t="shared" si="5551"/>
        <v>228</v>
      </c>
      <c r="CI536" s="71">
        <f t="shared" si="5552"/>
        <v>233</v>
      </c>
      <c r="CJ536" s="72">
        <f t="shared" si="5553"/>
        <v>256</v>
      </c>
      <c r="CK536" s="72" t="str">
        <f t="shared" si="5554"/>
        <v>-</v>
      </c>
      <c r="CL536" s="72">
        <f t="shared" si="5555"/>
        <v>317</v>
      </c>
      <c r="CM536" s="72" t="str">
        <f t="shared" si="5556"/>
        <v>-</v>
      </c>
      <c r="CN536" s="72">
        <f t="shared" si="5557"/>
        <v>351</v>
      </c>
      <c r="CO536" s="72">
        <f t="shared" si="5558"/>
        <v>365</v>
      </c>
      <c r="CP536" s="72">
        <f t="shared" si="5559"/>
        <v>401</v>
      </c>
      <c r="CQ536" s="72">
        <f t="shared" si="5560"/>
        <v>472</v>
      </c>
      <c r="CR536" s="72">
        <f t="shared" si="5561"/>
        <v>510</v>
      </c>
      <c r="CS536" s="72">
        <f t="shared" si="5562"/>
        <v>520</v>
      </c>
      <c r="CT536" s="23">
        <f t="shared" si="5563"/>
        <v>1</v>
      </c>
    </row>
    <row r="537" spans="1:1030" x14ac:dyDescent="0.2">
      <c r="A537" s="3" t="str">
        <f t="shared" si="5536"/>
        <v>q98sw5_xenla_6D35</v>
      </c>
      <c r="B537" s="3" t="s">
        <v>1489</v>
      </c>
      <c r="C537" s="3" t="s">
        <v>1491</v>
      </c>
      <c r="D537" s="3" t="str">
        <f>IFERROR(MID(VLOOKUP($B537,Seqs!$A:$B,2,0),E537,1),"")</f>
        <v>T</v>
      </c>
      <c r="E537" s="3">
        <v>196</v>
      </c>
      <c r="F537" s="3" t="str">
        <f>IFERROR(MID(VLOOKUP($B537,Seqs!$A:$B,2,0),G537,1),"")</f>
        <v>D</v>
      </c>
      <c r="G537" s="3">
        <v>228</v>
      </c>
      <c r="H537" s="3" t="str">
        <f>IFERROR(MID(VLOOKUP($B537,Seqs!$A:$B,2,0),I537,1),"")</f>
        <v>W</v>
      </c>
      <c r="I537" s="23">
        <v>229</v>
      </c>
      <c r="J537" s="3" t="str">
        <f>IFERROR(MID(VLOOKUP($B537,Seqs!$A:$B,2,0),K537,1),"")</f>
        <v>N</v>
      </c>
      <c r="K537" s="23">
        <v>233</v>
      </c>
      <c r="L537" s="3" t="str">
        <f>IFERROR(MID(VLOOKUP($B537,Seqs!$A:$B,2,0),M537,1),"")</f>
        <v>R</v>
      </c>
      <c r="M537" s="3">
        <v>234</v>
      </c>
      <c r="N537" s="3" t="str">
        <f>IFERROR(MID(VLOOKUP($B537,Seqs!$A:$B,2,0),O537,1),"")</f>
        <v>A</v>
      </c>
      <c r="O537" s="3">
        <v>256</v>
      </c>
      <c r="P537" s="3" t="str">
        <f>IFERROR(MID(VLOOKUP($B537,Seqs!$A:$B,2,0),Q537,1),"")</f>
        <v/>
      </c>
      <c r="Q537" s="3" t="s">
        <v>23</v>
      </c>
      <c r="R537" s="3" t="str">
        <f>IFERROR(MID(VLOOKUP($B537,Seqs!$A:$B,2,0),S537,1),"")</f>
        <v/>
      </c>
      <c r="S537" s="3" t="s">
        <v>23</v>
      </c>
      <c r="T537" s="3" t="str">
        <f>IFERROR(MID(VLOOKUP($B537,Seqs!$A:$B,2,0),U537,1),"")</f>
        <v>L</v>
      </c>
      <c r="U537" s="3">
        <v>285</v>
      </c>
      <c r="V537" s="3" t="str">
        <f>IFERROR(MID(VLOOKUP($B537,Seqs!$A:$B,2,0),W537,1),"")</f>
        <v>K</v>
      </c>
      <c r="W537" s="3">
        <v>317</v>
      </c>
      <c r="X537" s="3" t="str">
        <f>IFERROR(MID(VLOOKUP($B537,Seqs!$A:$B,2,0),Y537,1),"")</f>
        <v/>
      </c>
      <c r="Y537" s="3" t="s">
        <v>23</v>
      </c>
      <c r="Z537" s="3" t="str">
        <f>IFERROR(MID(VLOOKUP($B537,Seqs!$A:$B,2,0),AA537,1),"")</f>
        <v/>
      </c>
      <c r="AA537" s="3" t="s">
        <v>23</v>
      </c>
      <c r="AB537" s="3" t="str">
        <f>IFERROR(MID(VLOOKUP($B537,Seqs!$A:$B,2,0),AC537,1),"")</f>
        <v>K</v>
      </c>
      <c r="AC537" s="3">
        <v>329</v>
      </c>
      <c r="AD537" s="3" t="str">
        <f>IFERROR(MID(VLOOKUP($B537,Seqs!$A:$B,2,0),AE537,1),"")</f>
        <v>V</v>
      </c>
      <c r="AE537" s="3">
        <v>351</v>
      </c>
      <c r="AF537" s="3" t="str">
        <f>IFERROR(MID(VLOOKUP($B537,Seqs!$A:$B,2,0),AG537,1),"")</f>
        <v>C</v>
      </c>
      <c r="AG537" s="3">
        <v>363</v>
      </c>
      <c r="AH537" s="3" t="str">
        <f>IFERROR(MID(VLOOKUP($B537,Seqs!$A:$B,2,0),AI537,1),"")</f>
        <v>V</v>
      </c>
      <c r="AI537" s="3">
        <v>365</v>
      </c>
      <c r="AJ537" s="3" t="str">
        <f>IFERROR(MID(VLOOKUP($B537,Seqs!$A:$B,2,0),AK537,1),"")</f>
        <v>N</v>
      </c>
      <c r="AK537" s="3">
        <v>369</v>
      </c>
      <c r="AL537" s="3" t="str">
        <f>IFERROR(MID(VLOOKUP($B537,Seqs!$A:$B,2,0),AM537,1),"")</f>
        <v>S</v>
      </c>
      <c r="AM537" s="3">
        <v>401</v>
      </c>
      <c r="AN537" s="3" t="str">
        <f>IFERROR(MID(VLOOKUP($B537,Seqs!$A:$B,2,0),AO537,1),"")</f>
        <v>S</v>
      </c>
      <c r="AO537" s="3">
        <v>416</v>
      </c>
      <c r="AP537" s="3" t="str">
        <f>IFERROR(MID(VLOOKUP($B537,Seqs!$A:$B,2,0),AQ537,1),"")</f>
        <v>Q</v>
      </c>
      <c r="AQ537" s="3">
        <v>472</v>
      </c>
      <c r="AR537" s="3" t="str">
        <f>IFERROR(MID(VLOOKUP($B537,Seqs!$A:$B,2,0),AS537,1),"")</f>
        <v>S</v>
      </c>
      <c r="AS537" s="3">
        <v>487</v>
      </c>
      <c r="AT537" s="3" t="str">
        <f>IFERROR(MID(VLOOKUP($B537,Seqs!$A:$B,2,0),AU537,1),"")</f>
        <v>W</v>
      </c>
      <c r="AU537" s="3">
        <v>510</v>
      </c>
      <c r="AV537" s="3" t="str">
        <f>IFERROR(MID(VLOOKUP($B537,Seqs!$A:$B,2,0),AW537,1),"")</f>
        <v>T</v>
      </c>
      <c r="AW537" s="3">
        <v>511</v>
      </c>
      <c r="AX537" s="3" t="str">
        <f>IFERROR(MID(VLOOKUP($B537,Seqs!$A:$B,2,0),AY537,1),"")</f>
        <v>R</v>
      </c>
      <c r="AY537" s="3">
        <v>520</v>
      </c>
      <c r="AZ537" s="78" t="str">
        <f>VLOOKUP(B537,Classification!A:D,2,0)</f>
        <v>F</v>
      </c>
      <c r="BA537" s="94" t="str">
        <f>VLOOKUP(B537,Classification!A:D,4,0)</f>
        <v>Frizzled</v>
      </c>
      <c r="BB537" s="92" t="b">
        <f t="shared" si="5537"/>
        <v>1</v>
      </c>
      <c r="BC537" s="23">
        <f t="shared" si="5538"/>
        <v>246</v>
      </c>
      <c r="BD537" s="74" t="s">
        <v>23</v>
      </c>
      <c r="BE537" s="3" t="s">
        <v>1368</v>
      </c>
      <c r="BF537" s="118">
        <v>3.9</v>
      </c>
      <c r="BG537" s="49" t="s">
        <v>1</v>
      </c>
      <c r="BH537" s="49" t="s">
        <v>1</v>
      </c>
      <c r="BJ537" s="75" t="s">
        <v>1281</v>
      </c>
      <c r="BK537" s="57" t="s">
        <v>1281</v>
      </c>
      <c r="BL537" s="57" t="s">
        <v>1281</v>
      </c>
      <c r="BM537" s="57" t="s">
        <v>1281</v>
      </c>
      <c r="BN537" s="57" t="s">
        <v>1281</v>
      </c>
      <c r="BO537" s="57" t="s">
        <v>1281</v>
      </c>
      <c r="BP537" s="57" t="s">
        <v>1281</v>
      </c>
      <c r="BQ537" s="57" t="s">
        <v>1281</v>
      </c>
      <c r="BR537" s="57" t="s">
        <v>1281</v>
      </c>
      <c r="BS537" s="57" t="s">
        <v>1281</v>
      </c>
      <c r="BT537" s="57" t="s">
        <v>1281</v>
      </c>
      <c r="BU537" s="57" t="s">
        <v>1281</v>
      </c>
      <c r="BV537" s="75">
        <f t="shared" si="5539"/>
        <v>196</v>
      </c>
      <c r="BW537" s="71">
        <f t="shared" si="5540"/>
        <v>229</v>
      </c>
      <c r="BX537" s="72">
        <f t="shared" si="5541"/>
        <v>234</v>
      </c>
      <c r="BY537" s="71" t="str">
        <f t="shared" si="5542"/>
        <v>-</v>
      </c>
      <c r="BZ537" s="72">
        <f t="shared" si="5543"/>
        <v>285</v>
      </c>
      <c r="CA537" s="71" t="str">
        <f t="shared" si="5544"/>
        <v>-</v>
      </c>
      <c r="CB537" s="72">
        <f t="shared" si="5545"/>
        <v>329</v>
      </c>
      <c r="CC537" s="71">
        <f t="shared" si="5546"/>
        <v>363</v>
      </c>
      <c r="CD537" s="72">
        <f t="shared" si="5547"/>
        <v>369</v>
      </c>
      <c r="CE537" s="71">
        <f t="shared" si="5548"/>
        <v>416</v>
      </c>
      <c r="CF537" s="72">
        <f t="shared" si="5549"/>
        <v>487</v>
      </c>
      <c r="CG537" s="71">
        <f t="shared" si="5550"/>
        <v>511</v>
      </c>
      <c r="CH537" s="75">
        <f t="shared" si="5551"/>
        <v>228</v>
      </c>
      <c r="CI537" s="71">
        <f t="shared" si="5552"/>
        <v>233</v>
      </c>
      <c r="CJ537" s="72">
        <f t="shared" si="5553"/>
        <v>256</v>
      </c>
      <c r="CK537" s="72" t="str">
        <f t="shared" si="5554"/>
        <v>-</v>
      </c>
      <c r="CL537" s="72">
        <f t="shared" si="5555"/>
        <v>317</v>
      </c>
      <c r="CM537" s="72" t="str">
        <f t="shared" si="5556"/>
        <v>-</v>
      </c>
      <c r="CN537" s="72">
        <f t="shared" si="5557"/>
        <v>351</v>
      </c>
      <c r="CO537" s="72">
        <f t="shared" si="5558"/>
        <v>365</v>
      </c>
      <c r="CP537" s="72">
        <f t="shared" si="5559"/>
        <v>401</v>
      </c>
      <c r="CQ537" s="72">
        <f t="shared" si="5560"/>
        <v>472</v>
      </c>
      <c r="CR537" s="72">
        <f t="shared" si="5561"/>
        <v>510</v>
      </c>
      <c r="CS537" s="72">
        <f t="shared" si="5562"/>
        <v>520</v>
      </c>
      <c r="CT537" s="23">
        <f t="shared" si="5563"/>
        <v>1</v>
      </c>
    </row>
    <row r="611" spans="52:86" x14ac:dyDescent="0.2">
      <c r="AZ611" s="77"/>
      <c r="BA611" s="28"/>
      <c r="BB611" s="16"/>
      <c r="BD611" s="2"/>
      <c r="BJ611" s="70"/>
      <c r="BV611" s="70"/>
      <c r="CH611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66 BB81 BB33:BB37 BB40:BB44">
    <cfRule type="cellIs" dxfId="70" priority="10" operator="equal">
      <formula>0</formula>
    </cfRule>
  </conditionalFormatting>
  <conditionalFormatting sqref="BB399:BB400">
    <cfRule type="cellIs" dxfId="69" priority="11" operator="equal">
      <formula>0</formula>
    </cfRule>
  </conditionalFormatting>
  <conditionalFormatting sqref="BB16">
    <cfRule type="cellIs" dxfId="68" priority="12" operator="equal">
      <formula>0</formula>
    </cfRule>
  </conditionalFormatting>
  <conditionalFormatting sqref="BB424">
    <cfRule type="cellIs" dxfId="67" priority="13" operator="equal">
      <formula>0</formula>
    </cfRule>
  </conditionalFormatting>
  <conditionalFormatting sqref="E424 AW424 AU424 AS424 AQ424 AO424 AM424 AK424 AI424 AG424 AE424 AC424 AA424 Y424 W424 U424 S424 Q424 O424 M424 K424 I424 G424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32">
    <cfRule type="cellIs" dxfId="64" priority="16" operator="equal">
      <formula>0</formula>
    </cfRule>
  </conditionalFormatting>
  <conditionalFormatting sqref="BB15">
    <cfRule type="cellIs" dxfId="63" priority="20" operator="equal">
      <formula>0</formula>
    </cfRule>
  </conditionalFormatting>
  <conditionalFormatting sqref="E15 AW15 AU15 AS15 AQ15 AO15 AM15 AK15 AI15 AG15 AE15 AC15 AA15 Y15 W15 U15 S15 Q15 O15 M15 K15 I15 G15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7 BB40:BB1048576">
    <cfRule type="cellIs" dxfId="60" priority="8" operator="equal">
      <formula>FALSE</formula>
    </cfRule>
  </conditionalFormatting>
  <conditionalFormatting sqref="BG40:BG51 BG31:BG37 BH31:BH51 BG1:BH30 BG52:BH1048576">
    <cfRule type="cellIs" dxfId="59" priority="7" operator="equal">
      <formula>"?"</formula>
    </cfRule>
  </conditionalFormatting>
  <conditionalFormatting sqref="BB38:BB39">
    <cfRule type="cellIs" dxfId="58" priority="6" operator="equal">
      <formula>FALSE</formula>
    </cfRule>
  </conditionalFormatting>
  <conditionalFormatting sqref="BG38:BG39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94" numberStoredAsText="1"/>
  </ignoredErrors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BE2:BE611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7"/>
  <sheetViews>
    <sheetView workbookViewId="0">
      <pane ySplit="1" topLeftCell="A51" activePane="bottomLeft" state="frozenSplit"/>
      <selection pane="bottomLeft" activeCell="C96" sqref="C96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1070</v>
      </c>
      <c r="B1" s="30" t="s">
        <v>31</v>
      </c>
      <c r="C1" s="30" t="s">
        <v>1054</v>
      </c>
      <c r="D1" s="30" t="s">
        <v>1055</v>
      </c>
      <c r="E1" s="30" t="s">
        <v>1071</v>
      </c>
      <c r="F1" s="30" t="s">
        <v>1072</v>
      </c>
      <c r="G1" s="30" t="s">
        <v>1056</v>
      </c>
      <c r="H1" s="30" t="s">
        <v>1057</v>
      </c>
      <c r="I1" s="30" t="s">
        <v>1073</v>
      </c>
      <c r="J1" s="30" t="s">
        <v>1074</v>
      </c>
      <c r="K1" s="30" t="s">
        <v>1058</v>
      </c>
      <c r="L1" s="30" t="s">
        <v>1059</v>
      </c>
      <c r="M1" s="30" t="s">
        <v>1086</v>
      </c>
      <c r="N1" s="30" t="s">
        <v>1087</v>
      </c>
      <c r="O1" s="30" t="s">
        <v>1060</v>
      </c>
      <c r="P1" s="30" t="s">
        <v>1061</v>
      </c>
      <c r="Q1" s="30" t="s">
        <v>1089</v>
      </c>
      <c r="R1" s="30" t="s">
        <v>1090</v>
      </c>
      <c r="S1" s="30" t="s">
        <v>1062</v>
      </c>
      <c r="T1" s="30" t="s">
        <v>1063</v>
      </c>
      <c r="U1" s="30" t="s">
        <v>1064</v>
      </c>
      <c r="V1" s="30" t="s">
        <v>1065</v>
      </c>
      <c r="W1" s="30" t="s">
        <v>1066</v>
      </c>
      <c r="X1" s="30" t="s">
        <v>1067</v>
      </c>
      <c r="Y1" s="30" t="s">
        <v>1068</v>
      </c>
      <c r="Z1" s="30" t="s">
        <v>1069</v>
      </c>
      <c r="AA1" s="30" t="s">
        <v>99</v>
      </c>
      <c r="AB1" s="95" t="s">
        <v>1374</v>
      </c>
      <c r="AC1" s="30" t="s">
        <v>1283</v>
      </c>
      <c r="AD1" s="30" t="s">
        <v>1282</v>
      </c>
      <c r="AE1" s="30" t="s">
        <v>1276</v>
      </c>
      <c r="AF1" s="30" t="s">
        <v>1224</v>
      </c>
      <c r="AG1" s="30" t="s">
        <v>1277</v>
      </c>
      <c r="AH1" s="30" t="s">
        <v>1235</v>
      </c>
      <c r="AI1" s="30" t="s">
        <v>1279</v>
      </c>
      <c r="AJ1" s="30" t="s">
        <v>1269</v>
      </c>
      <c r="AK1" s="30" t="s">
        <v>1278</v>
      </c>
      <c r="AL1" s="30" t="s">
        <v>1284</v>
      </c>
      <c r="AM1" s="30" t="s">
        <v>1233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1361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1373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1458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1249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1439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68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2</v>
      </c>
      <c r="AG6" s="49">
        <f>VLOOKUP(B6,'SegEnds_NonXtal_Prot#'!A:AL,13,FALSE)-VLOOKUP(B6,'SegEnds_NonXtal_Prot#'!A:AL,11,FALSE)</f>
        <v>3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35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1237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1238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1462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1243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68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61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1</v>
      </c>
      <c r="AG10" s="49">
        <f>VLOOKUP(B10,'SegEnds_NonXtal_Prot#'!A:AL,13,FALSE)-VLOOKUP(B10,'SegEnds_NonXtal_Prot#'!A:AL,11,FALSE)</f>
        <v>2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34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1240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60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1242</v>
      </c>
      <c r="B12" s="2" t="s">
        <v>903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1241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1384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1239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1271</v>
      </c>
    </row>
    <row r="16" spans="1:64" s="2" customFormat="1" x14ac:dyDescent="0.2">
      <c r="A16" s="2" t="s">
        <v>1245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68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1</v>
      </c>
      <c r="AG16" s="49">
        <f>VLOOKUP(B16,'SegEnds_NonXtal_Prot#'!A:AL,13,FALSE)-VLOOKUP(B16,'SegEnds_NonXtal_Prot#'!A:AL,11,FALSE)</f>
        <v>2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34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1244</v>
      </c>
      <c r="B17" s="2" t="s">
        <v>905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68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1</v>
      </c>
      <c r="AG17" s="49">
        <f>VLOOKUP(B17,'SegEnds_NonXtal_Prot#'!A:AL,13,FALSE)-VLOOKUP(B17,'SegEnds_NonXtal_Prot#'!A:AL,11,FALSE)</f>
        <v>2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34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1246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2</v>
      </c>
      <c r="AG18" s="49">
        <f>VLOOKUP(B18,'SegEnds_NonXtal_Prot#'!A:AL,13,FALSE)-VLOOKUP(B18,'SegEnds_NonXtal_Prot#'!A:AL,11,FALSE)</f>
        <v>3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35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1387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1409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1356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1248</v>
      </c>
      <c r="B22" s="2" t="s">
        <v>1165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1268</v>
      </c>
      <c r="B23" s="2" t="s">
        <v>917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1247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1323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1250</v>
      </c>
      <c r="B26" s="2" t="s">
        <v>1166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1251</v>
      </c>
      <c r="B27" s="2" t="s">
        <v>277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1252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1267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1253</v>
      </c>
      <c r="B30" s="2" t="s">
        <v>907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1255</v>
      </c>
      <c r="B31" s="2" t="s">
        <v>909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67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30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1</v>
      </c>
      <c r="AG31" s="49">
        <f>VLOOKUP(B31,'SegEnds_NonXtal_Prot#'!A:AL,13,FALSE)-VLOOKUP(B31,'SegEnds_NonXtal_Prot#'!A:AL,11,FALSE)</f>
        <v>2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34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1256</v>
      </c>
      <c r="B32" s="2" t="s">
        <v>335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1</v>
      </c>
      <c r="AG32" s="49">
        <f>VLOOKUP(B32,'SegEnds_NonXtal_Prot#'!A:AL,13,FALSE)-VLOOKUP(B32,'SegEnds_NonXtal_Prot#'!A:AL,11,FALSE)</f>
        <v>2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34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1258</v>
      </c>
      <c r="B33" s="2" t="s">
        <v>1167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30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1</v>
      </c>
      <c r="AG33" s="49">
        <f>VLOOKUP(B33,'SegEnds_NonXtal_Prot#'!A:AL,13,FALSE)-VLOOKUP(B33,'SegEnds_NonXtal_Prot#'!A:AL,11,FALSE)</f>
        <v>2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34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1257</v>
      </c>
      <c r="B34" s="2" t="s">
        <v>911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30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1</v>
      </c>
      <c r="AG34" s="49">
        <f>VLOOKUP(B34,'SegEnds_NonXtal_Prot#'!A:AL,13,FALSE)-VLOOKUP(B34,'SegEnds_NonXtal_Prot#'!A:AL,11,FALSE)</f>
        <v>2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34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1254</v>
      </c>
      <c r="B35" s="2" t="s">
        <v>334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30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1</v>
      </c>
      <c r="AG35" s="49">
        <f>VLOOKUP(B35,'SegEnds_NonXtal_Prot#'!A:AL,13,FALSE)-VLOOKUP(B35,'SegEnds_NonXtal_Prot#'!A:AL,11,FALSE)</f>
        <v>2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34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1259</v>
      </c>
      <c r="B36" s="2" t="s">
        <v>913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68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1</v>
      </c>
      <c r="AG36" s="49">
        <f>VLOOKUP(B36,'SegEnds_NonXtal_Prot#'!A:AL,13,FALSE)-VLOOKUP(B36,'SegEnds_NonXtal_Prot#'!A:AL,11,FALSE)</f>
        <v>2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34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1272</v>
      </c>
      <c r="AP36" s="2" t="s">
        <v>1274</v>
      </c>
    </row>
    <row r="37" spans="1:64" s="2" customFormat="1" x14ac:dyDescent="0.2">
      <c r="A37" s="2" t="s">
        <v>1261</v>
      </c>
      <c r="B37" s="2" t="s">
        <v>915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1260</v>
      </c>
      <c r="B38" s="2" t="s">
        <v>338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1263</v>
      </c>
      <c r="B39" s="2" t="s">
        <v>1169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1262</v>
      </c>
      <c r="B40" s="2" t="s">
        <v>1168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1264</v>
      </c>
      <c r="B41" s="2" t="s">
        <v>344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1265</v>
      </c>
      <c r="B42" s="2" t="s">
        <v>351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1266</v>
      </c>
      <c r="B43" s="2" t="s">
        <v>354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355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400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40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405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73</v>
      </c>
      <c r="U48" s="2">
        <f>IFERROR(50+VLOOKUP($A48,'SegEnds_Xtal_Prot#'!$A:$AY,41,FALSE)-VLOOKUP($B48,'SegEnds_NonXtal_Prot#'!$A:$AL,31,FALSE),"-")</f>
        <v>25</v>
      </c>
      <c r="V48" s="2">
        <f>IFERROR(50+VLOOKUP($A48,'SegEnds_Xtal_Prot#'!$A:$AY,43,FALSE)-VLOOKUP($B48,'SegEnds_NonXtal_Prot#'!$A:$AL,31,FALSE),"-")</f>
        <v>55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1414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37</v>
      </c>
      <c r="H52" s="2">
        <f>IFERROR(50+VLOOKUP($A52,'SegEnds_Xtal_Prot#'!$A:$AY,15,FALSE)-VLOOKUP($B52,'SegEnds_NonXtal_Prot#'!$A:$AL,10,FALSE),"-")</f>
        <v>61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23</v>
      </c>
      <c r="V52" s="2">
        <f>IFERROR(50+VLOOKUP($A52,'SegEnds_Xtal_Prot#'!$A:$AY,43,FALSE)-VLOOKUP($B52,'SegEnds_NonXtal_Prot#'!$A:$AL,31,FALSE),"-")</f>
        <v>81</v>
      </c>
      <c r="W52" s="2">
        <f>IFERROR(50+VLOOKUP($A52,'SegEnds_Xtal_Prot#'!$A:$AY,45,FALSE)-VLOOKUP($B52,'SegEnds_NonXtal_Prot#'!$A:$AL,34,FALSE),"-")</f>
        <v>31</v>
      </c>
      <c r="X52" s="2">
        <f>IFERROR(50+VLOOKUP($A52,'SegEnds_Xtal_Prot#'!$A:$AY,47,FALSE)-VLOOKUP($B52,'SegEnds_NonXtal_Prot#'!$A:$AL,34,FALSE),"-")</f>
        <v>54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65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68</v>
      </c>
    </row>
    <row r="53" spans="1:40" x14ac:dyDescent="0.2">
      <c r="A53" s="2" t="str">
        <f t="shared" si="0"/>
        <v>q98sw5_xenla__wt</v>
      </c>
      <c r="B53" s="122" t="s">
        <v>1489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59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27</v>
      </c>
      <c r="V53" s="2">
        <f>IFERROR(50+VLOOKUP($A53,'SegEnds_Xtal_Prot#'!$A:$AY,43,FALSE)-VLOOKUP($B53,'SegEnds_NonXtal_Prot#'!$A:$AL,31,FALSE),"-")</f>
        <v>84</v>
      </c>
      <c r="W53" s="2">
        <f>IFERROR(50+VLOOKUP($A53,'SegEnds_Xtal_Prot#'!$A:$AY,45,FALSE)-VLOOKUP($B53,'SegEnds_NonXtal_Prot#'!$A:$AL,34,FALSE),"-")</f>
        <v>31</v>
      </c>
      <c r="X53" s="2">
        <f>IFERROR(50+VLOOKUP($A53,'SegEnds_Xtal_Prot#'!$A:$AY,47,FALSE)-VLOOKUP($B53,'SegEnds_NonXtal_Prot#'!$A:$AL,34,FALSE),"-")</f>
        <v>54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65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68</v>
      </c>
    </row>
    <row r="54" spans="1:40" x14ac:dyDescent="0.2">
      <c r="A54" s="2" t="str">
        <f t="shared" si="0"/>
        <v>q08bg4_danre__wt</v>
      </c>
      <c r="B54" s="2" t="s">
        <v>1434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1445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324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370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1501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401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359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408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313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362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39" x14ac:dyDescent="0.2">
      <c r="A65" s="2" t="str">
        <f t="shared" si="0"/>
        <v>pe2r4_human__wt</v>
      </c>
      <c r="B65" s="2" t="s">
        <v>363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39" x14ac:dyDescent="0.2">
      <c r="A66" s="2" t="str">
        <f t="shared" si="0"/>
        <v>ta2r_human__wt</v>
      </c>
      <c r="B66" s="2" t="s">
        <v>469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39" x14ac:dyDescent="0.2">
      <c r="A67" s="2" t="str">
        <f t="shared" si="0"/>
        <v>fzd4_human__wt</v>
      </c>
      <c r="B67" s="2" t="s">
        <v>446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38</v>
      </c>
      <c r="H67" s="2">
        <f>IFERROR(50+VLOOKUP($A67,'SegEnds_Xtal_Prot#'!$A:$AY,15,FALSE)-VLOOKUP($B67,'SegEnds_NonXtal_Prot#'!$A:$AL,10,FALSE),"-")</f>
        <v>64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31</v>
      </c>
      <c r="V67" s="2">
        <f>IFERROR(50+VLOOKUP($A67,'SegEnds_Xtal_Prot#'!$A:$AY,43,FALSE)-VLOOKUP($B67,'SegEnds_NonXtal_Prot#'!$A:$AL,31,FALSE),"-")</f>
        <v>61</v>
      </c>
      <c r="W67" s="2">
        <f>IFERROR(50+VLOOKUP($A67,'SegEnds_Xtal_Prot#'!$A:$AY,45,FALSE)-VLOOKUP($B67,'SegEnds_NonXtal_Prot#'!$A:$AL,34,FALSE),"-")</f>
        <v>31</v>
      </c>
      <c r="X67" s="2">
        <f>IFERROR(50+VLOOKUP($A67,'SegEnds_Xtal_Prot#'!$A:$AY,47,FALSE)-VLOOKUP($B67,'SegEnds_NonXtal_Prot#'!$A:$AL,34,FALSE),"-")</f>
        <v>54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65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42</v>
      </c>
    </row>
    <row r="68" spans="1:39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28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39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39" x14ac:dyDescent="0.2">
      <c r="A70" s="2" t="str">
        <f t="shared" ref="A70:A76" si="1">CONCATENATE(B70,"__wt",)</f>
        <v>mtr1a_human__wt</v>
      </c>
      <c r="B70" s="2" t="s">
        <v>310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39" x14ac:dyDescent="0.2">
      <c r="A71" s="2" t="str">
        <f t="shared" si="1"/>
        <v>mtr1b_human__wt</v>
      </c>
      <c r="B71" s="2" t="s">
        <v>311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39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39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39" x14ac:dyDescent="0.2">
      <c r="A74" s="2" t="str">
        <f t="shared" si="1"/>
        <v>smo_mouse__wt</v>
      </c>
      <c r="B74" s="2" t="s">
        <v>1588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37</v>
      </c>
      <c r="H74" s="2">
        <f>IFERROR(50+VLOOKUP($A74,'SegEnds_Xtal_Prot#'!$A:$AY,15,FALSE)-VLOOKUP($B74,'SegEnds_NonXtal_Prot#'!$A:$AL,10,FALSE),"-")</f>
        <v>61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23</v>
      </c>
      <c r="V74" s="2">
        <f>IFERROR(50+VLOOKUP($A74,'SegEnds_Xtal_Prot#'!$A:$AY,43,FALSE)-VLOOKUP($B74,'SegEnds_NonXtal_Prot#'!$A:$AL,31,FALSE),"-")</f>
        <v>81</v>
      </c>
      <c r="W74" s="2">
        <f>IFERROR(50+VLOOKUP($A74,'SegEnds_Xtal_Prot#'!$A:$AY,45,FALSE)-VLOOKUP($B74,'SegEnds_NonXtal_Prot#'!$A:$AL,34,FALSE),"-")</f>
        <v>31</v>
      </c>
      <c r="X74" s="2">
        <f>IFERROR(50+VLOOKUP($A74,'SegEnds_Xtal_Prot#'!$A:$AY,47,FALSE)-VLOOKUP($B74,'SegEnds_NonXtal_Prot#'!$A:$AL,34,FALSE),"-")</f>
        <v>54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65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68</v>
      </c>
    </row>
    <row r="75" spans="1:39" x14ac:dyDescent="0.2">
      <c r="A75" s="2" t="str">
        <f t="shared" si="1"/>
        <v>sucr1_rat__wt</v>
      </c>
      <c r="B75" s="2" t="s">
        <v>1591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39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39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39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39" x14ac:dyDescent="0.2">
      <c r="A79" s="2" t="str">
        <f t="shared" ref="A79" si="4">CONCATENATE(B79,"__wt",)</f>
        <v>pacr_human__wt</v>
      </c>
      <c r="B79" s="2" t="s">
        <v>407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39" x14ac:dyDescent="0.2">
      <c r="A80" s="2" t="str">
        <f t="shared" ref="A80" si="5">CONCATENATE(B80,"__wt",)</f>
        <v>crfr2_human__wt</v>
      </c>
      <c r="B80" s="2" t="s">
        <v>402</v>
      </c>
      <c r="C80" s="2">
        <f>IFERROR(50+VLOOKUP($A80,'SegEnds_Xtal_Prot#'!$A:$AY,5,FALSE)-VLOOKUP($B80,'SegEnds_NonXtal_Prot#'!$A:$AL,4,FALSE),"-")</f>
        <v>19</v>
      </c>
      <c r="D80" s="2">
        <f>IFERROR(50+VLOOKUP($A80,'SegEnds_Xtal_Prot#'!$A:$AY,7,FALSE)-VLOOKUP($B80,'SegEnds_NonXtal_Prot#'!$A:$AL,4,FALSE),"-")</f>
        <v>60</v>
      </c>
      <c r="E80" s="2">
        <f>IFERROR(50+VLOOKUP($A80,'SegEnds_Xtal_Prot#'!$A:$AY,9,FALSE)-VLOOKUP($B80,'SegEnds_NonXtal_Prot#'!$A:$AL,7,FALSE),"-")</f>
        <v>48</v>
      </c>
      <c r="F80" s="2">
        <f>IFERROR(50+VLOOKUP($A80,'SegEnds_Xtal_Prot#'!$A:$AY,11,FALSE)-VLOOKUP($B80,'SegEnds_NonXtal_Prot#'!$A:$AL,7,FALSE),"-")</f>
        <v>51</v>
      </c>
      <c r="G80" s="2">
        <f>IFERROR(50+VLOOKUP($A80,'SegEnds_Xtal_Prot#'!$A:$AY,13,FALSE)-VLOOKUP($B80,'SegEnds_NonXtal_Prot#'!$A:$AL,10,FALSE),"-")</f>
        <v>37</v>
      </c>
      <c r="H80" s="2">
        <f>IFERROR(50+VLOOKUP($A80,'SegEnds_Xtal_Prot#'!$A:$AY,15,FALSE)-VLOOKUP($B80,'SegEnds_NonXtal_Prot#'!$A:$AL,10,FALSE),"-")</f>
        <v>63</v>
      </c>
      <c r="I80" s="2" t="str">
        <f>IFERROR(50+VLOOKUP($A80,'SegEnds_Xtal_Prot#'!$A:$AY,17,FALSE)-VLOOKUP($B80,'SegEnds_NonXtal_Prot#'!$A:$AL,13,FALSE),"-")</f>
        <v>-</v>
      </c>
      <c r="J80" s="2" t="str">
        <f>IFERROR(50+VLOOKUP($A80,'SegEnds_Xtal_Prot#'!$A:$AY,19,FALSE)-VLOOKUP($B80,'SegEnds_NonXtal_Prot#'!$A:$AL,13,FALSE),"-")</f>
        <v>-</v>
      </c>
      <c r="K80" s="2">
        <f>IFERROR(50+VLOOKUP($A80,'SegEnds_Xtal_Prot#'!$A:$AY,21,FALSE)-VLOOKUP($B80,'SegEnds_NonXtal_Prot#'!$A:$AL,16,FALSE),"-")</f>
        <v>22</v>
      </c>
      <c r="L80" s="2">
        <f>IFERROR(50+VLOOKUP($A80,'SegEnds_Xtal_Prot#'!$A:$AY,23,FALSE)-VLOOKUP($B80,'SegEnds_NonXtal_Prot#'!$A:$AL,16,FALSE),"-")</f>
        <v>56</v>
      </c>
      <c r="M80" s="2" t="str">
        <f>IFERROR(50+VLOOKUP($A80,'SegEnds_Xtal_Prot#'!$A:$AY,25,FALSE)-VLOOKUP($B80,'SegEnds_NonXtal_Prot#'!$A:$AL,19,FALSE),"-")</f>
        <v>-</v>
      </c>
      <c r="N80" s="2" t="str">
        <f>IFERROR(50+VLOOKUP($A80,'SegEnds_Xtal_Prot#'!$A:$AY,27,FALSE)-VLOOKUP($B80,'SegEnds_NonXtal_Prot#'!$A:$AL,19,FALSE),"-")</f>
        <v>-</v>
      </c>
      <c r="O80" s="2">
        <f>IFERROR(50+VLOOKUP($A80,'SegEnds_Xtal_Prot#'!$A:$AY,29,FALSE)-VLOOKUP($B80,'SegEnds_NonXtal_Prot#'!$A:$AL,22,FALSE),"-")</f>
        <v>41</v>
      </c>
      <c r="P80" s="2">
        <f>IFERROR(50+VLOOKUP($A80,'SegEnds_Xtal_Prot#'!$A:$AY,31,FALSE)-VLOOKUP($B80,'SegEnds_NonXtal_Prot#'!$A:$AL,22,FALSE),"-")</f>
        <v>68</v>
      </c>
      <c r="Q80" s="2">
        <f>IFERROR(50+VLOOKUP($A80,'SegEnds_Xtal_Prot#'!$A:$AY,33,FALSE)-VLOOKUP($B80,'SegEnds_NonXtal_Prot#'!$A:$AL,25,FALSE),"-")</f>
        <v>50</v>
      </c>
      <c r="R80" s="2">
        <f>IFERROR(50+VLOOKUP($A80,'SegEnds_Xtal_Prot#'!$A:$AY,35,FALSE)-VLOOKUP($B80,'SegEnds_NonXtal_Prot#'!$A:$AL,25,FALSE),"-")</f>
        <v>52</v>
      </c>
      <c r="S80" s="2">
        <f>IFERROR(50+VLOOKUP($A80,'SegEnds_Xtal_Prot#'!$A:$AY,37,FALSE)-VLOOKUP($B80,'SegEnds_NonXtal_Prot#'!$A:$AL,28,FALSE),"-")</f>
        <v>39</v>
      </c>
      <c r="T80" s="2">
        <f>IFERROR(50+VLOOKUP($A80,'SegEnds_Xtal_Prot#'!$A:$AY,39,FALSE)-VLOOKUP($B80,'SegEnds_NonXtal_Prot#'!$A:$AL,28,FALSE),"-")</f>
        <v>71</v>
      </c>
      <c r="U80" s="2">
        <f>IFERROR(50+VLOOKUP($A80,'SegEnds_Xtal_Prot#'!$A:$AY,41,FALSE)-VLOOKUP($B80,'SegEnds_NonXtal_Prot#'!$A:$AL,31,FALSE),"-")</f>
        <v>25</v>
      </c>
      <c r="V80" s="2">
        <f>IFERROR(50+VLOOKUP($A80,'SegEnds_Xtal_Prot#'!$A:$AY,43,FALSE)-VLOOKUP($B80,'SegEnds_NonXtal_Prot#'!$A:$AL,31,FALSE),"-")</f>
        <v>53</v>
      </c>
      <c r="W80" s="2">
        <f>IFERROR(50+VLOOKUP($A80,'SegEnds_Xtal_Prot#'!$A:$AY,45,FALSE)-VLOOKUP($B80,'SegEnds_NonXtal_Prot#'!$A:$AL,34,FALSE),"-")</f>
        <v>28</v>
      </c>
      <c r="X80" s="2">
        <f>IFERROR(50+VLOOKUP($A80,'SegEnds_Xtal_Prot#'!$A:$AY,47,FALSE)-VLOOKUP($B80,'SegEnds_NonXtal_Prot#'!$A:$AL,34,FALSE),"-")</f>
        <v>56</v>
      </c>
      <c r="Y80" s="2">
        <f>IFERROR(50+VLOOKUP($A80,'SegEnds_Xtal_Prot#'!$A:$AY,49,FALSE)-VLOOKUP($B80,'SegEnds_NonXtal_Prot#'!$A:$AL,37,FALSE),"-")</f>
        <v>47</v>
      </c>
      <c r="Z80" s="2">
        <f>IFERROR(50+VLOOKUP($A80,'SegEnds_Xtal_Prot#'!$A:$AY,51,FALSE)-VLOOKUP($B80,'SegEnds_NonXtal_Prot#'!$A:$AL,37,FALSE),"-")</f>
        <v>72</v>
      </c>
      <c r="AA80" s="49" t="str">
        <f>VLOOKUP(B80,Classification!A:D,2,FALSE)</f>
        <v>B1</v>
      </c>
      <c r="AB80" s="94" t="str">
        <f>VLOOKUP(B80,Classification!A:D,4,0)</f>
        <v>Corticotropin-releasingfact</v>
      </c>
      <c r="AC80" s="49">
        <f>VLOOKUP(B80,'SegEnds_NonXtal_Prot#'!A:AL,6,FALSE)-VLOOKUP(B80,'SegEnds_NonXtal_Prot#'!A:AL,5,FALSE)</f>
        <v>1</v>
      </c>
      <c r="AD80" s="49">
        <f>VLOOKUP(B80,'SegEnds_NonXtal_Prot#'!A:AL,9,FALSE)-VLOOKUP(B80,'SegEnds_NonXtal_Prot#'!A:AL,8,FALSE)</f>
        <v>1</v>
      </c>
      <c r="AE80" s="49" t="e">
        <f>VLOOKUP(B80,'SegEnds_NonXtal_Prot#'!A:AL,13,FALSE)-VLOOKUP(B80,'SegEnds_NonXtal_Prot#'!A:AL,10,FALSE)</f>
        <v>#VALUE!</v>
      </c>
      <c r="AF80" s="49" t="e">
        <f>VLOOKUP(B80,'SegEnds_NonXtal_Prot#'!A:AL,12,FALSE)-VLOOKUP(B80,'SegEnds_NonXtal_Prot#'!A:AL,11,FALSE)</f>
        <v>#VALUE!</v>
      </c>
      <c r="AG80" s="49" t="e">
        <f>VLOOKUP(B80,'SegEnds_NonXtal_Prot#'!A:AL,13,FALSE)-VLOOKUP(B80,'SegEnds_NonXtal_Prot#'!A:AL,11,FALSE)</f>
        <v>#VALUE!</v>
      </c>
      <c r="AH80" s="49">
        <f>VLOOKUP(B80,'SegEnds_NonXtal_Prot#'!A:AL,16,FALSE)-VLOOKUP(B80,'SegEnds_NonXtal_Prot#'!A:AL,10,FALSE)</f>
        <v>50</v>
      </c>
      <c r="AI80" s="49">
        <f>VLOOKUP(B80,'SegEnds_NonXtal_Prot#'!A:AL,16,FALSE)-VLOOKUP(B80,'SegEnds_NonXtal_Prot#'!A:AL,11,FALSE)</f>
        <v>37</v>
      </c>
      <c r="AJ80" s="49" t="e">
        <f>VLOOKUP(B80,'SegEnds_NonXtal_Prot#'!A:AL,22,FALSE)-VLOOKUP(B80,'SegEnds_NonXtal_Prot#'!A:AL,19,FALSE)</f>
        <v>#VALUE!</v>
      </c>
      <c r="AK80" s="49" t="e">
        <f>VLOOKUP(B80,'SegEnds_NonXtal_Prot#'!A:AL,15,FALSE)-VLOOKUP(B80,'SegEnds_NonXtal_Prot#'!A:AL,14,FALSE)</f>
        <v>#VALUE!</v>
      </c>
      <c r="AL80" s="49" t="e">
        <f>VLOOKUP(B80,'SegEnds_NonXtal_Prot#'!A:AL,18,FALSE)-VLOOKUP(B80,'SegEnds_NonXtal_Prot#'!A:AL,17,FALSE)</f>
        <v>#VALUE!</v>
      </c>
      <c r="AM80" s="2">
        <f>VLOOKUP(B80,'SegEnds_NonXtal_Prot#'!A:AL,34,FALSE)-VLOOKUP(B80,'SegEnds_NonXtal_Prot#'!A:AL,31,FALSE)</f>
        <v>31</v>
      </c>
    </row>
    <row r="81" spans="1:39" x14ac:dyDescent="0.2">
      <c r="A81" s="2" t="str">
        <f t="shared" ref="A81" si="6">CONCATENATE(B81,"__wt",)</f>
        <v>fpr2_human__wt</v>
      </c>
      <c r="B81" s="2" t="s">
        <v>201</v>
      </c>
      <c r="C81" s="2">
        <f>IFERROR(50+VLOOKUP($A81,'SegEnds_Xtal_Prot#'!$A:$AY,5,FALSE)-VLOOKUP($B81,'SegEnds_NonXtal_Prot#'!$A:$AL,4,FALSE),"-")</f>
        <v>25</v>
      </c>
      <c r="D81" s="2">
        <f>IFERROR(50+VLOOKUP($A81,'SegEnds_Xtal_Prot#'!$A:$AY,7,FALSE)-VLOOKUP($B81,'SegEnds_NonXtal_Prot#'!$A:$AL,4,FALSE),"-")</f>
        <v>61</v>
      </c>
      <c r="E81" s="2" t="str">
        <f>IFERROR(50+VLOOKUP($A81,'SegEnds_Xtal_Prot#'!$A:$AY,9,FALSE)-VLOOKUP($B81,'SegEnds_NonXtal_Prot#'!$A:$AL,7,FALSE),"-")</f>
        <v>-</v>
      </c>
      <c r="F81" s="2" t="str">
        <f>IFERROR(50+VLOOKUP($A81,'SegEnds_Xtal_Prot#'!$A:$AY,11,FALSE)-VLOOKUP($B81,'SegEnds_NonXtal_Prot#'!$A:$AL,7,FALSE),"-")</f>
        <v>-</v>
      </c>
      <c r="G81" s="2">
        <f>IFERROR(50+VLOOKUP($A81,'SegEnds_Xtal_Prot#'!$A:$AY,13,FALSE)-VLOOKUP($B81,'SegEnds_NonXtal_Prot#'!$A:$AL,10,FALSE),"-")</f>
        <v>37</v>
      </c>
      <c r="H81" s="2">
        <f>IFERROR(50+VLOOKUP($A81,'SegEnds_Xtal_Prot#'!$A:$AY,15,FALSE)-VLOOKUP($B81,'SegEnds_NonXtal_Prot#'!$A:$AL,10,FALSE),"-")</f>
        <v>67</v>
      </c>
      <c r="I81" s="2">
        <f>IFERROR(50+VLOOKUP($A81,'SegEnds_Xtal_Prot#'!$A:$AY,17,FALSE)-VLOOKUP($B81,'SegEnds_NonXtal_Prot#'!$A:$AL,13,FALSE),"-")</f>
        <v>49</v>
      </c>
      <c r="J81" s="2">
        <f>IFERROR(50+VLOOKUP($A81,'SegEnds_Xtal_Prot#'!$A:$AY,19,FALSE)-VLOOKUP($B81,'SegEnds_NonXtal_Prot#'!$A:$AL,13,FALSE),"-")</f>
        <v>52</v>
      </c>
      <c r="K81" s="2">
        <f>IFERROR(50+VLOOKUP($A81,'SegEnds_Xtal_Prot#'!$A:$AY,21,FALSE)-VLOOKUP($B81,'SegEnds_NonXtal_Prot#'!$A:$AL,16,FALSE),"-")</f>
        <v>21</v>
      </c>
      <c r="L81" s="2">
        <f>IFERROR(50+VLOOKUP($A81,'SegEnds_Xtal_Prot#'!$A:$AY,23,FALSE)-VLOOKUP($B81,'SegEnds_NonXtal_Prot#'!$A:$AL,16,FALSE),"-")</f>
        <v>56</v>
      </c>
      <c r="M81" s="2">
        <f>IFERROR(50+VLOOKUP($A81,'SegEnds_Xtal_Prot#'!$A:$AY,25,FALSE)-VLOOKUP($B81,'SegEnds_NonXtal_Prot#'!$A:$AL,19,FALSE),"-")</f>
        <v>50</v>
      </c>
      <c r="N81" s="2">
        <f>IFERROR(50+VLOOKUP($A81,'SegEnds_Xtal_Prot#'!$A:$AY,27,FALSE)-VLOOKUP($B81,'SegEnds_NonXtal_Prot#'!$A:$AL,19,FALSE),"-")</f>
        <v>57</v>
      </c>
      <c r="O81" s="2">
        <f>IFERROR(50+VLOOKUP($A81,'SegEnds_Xtal_Prot#'!$A:$AY,29,FALSE)-VLOOKUP($B81,'SegEnds_NonXtal_Prot#'!$A:$AL,22,FALSE),"-")</f>
        <v>38</v>
      </c>
      <c r="P81" s="2">
        <f>IFERROR(50+VLOOKUP($A81,'SegEnds_Xtal_Prot#'!$A:$AY,31,FALSE)-VLOOKUP($B81,'SegEnds_NonXtal_Prot#'!$A:$AL,22,FALSE),"-")</f>
        <v>64</v>
      </c>
      <c r="Q81" s="2">
        <f>IFERROR(50+VLOOKUP($A81,'SegEnds_Xtal_Prot#'!$A:$AY,33,FALSE)-VLOOKUP($B81,'SegEnds_NonXtal_Prot#'!$A:$AL,25,FALSE),"-")</f>
        <v>50</v>
      </c>
      <c r="R81" s="2">
        <f>IFERROR(50+VLOOKUP($A81,'SegEnds_Xtal_Prot#'!$A:$AY,35,FALSE)-VLOOKUP($B81,'SegEnds_NonXtal_Prot#'!$A:$AL,25,FALSE),"-")</f>
        <v>52</v>
      </c>
      <c r="S81" s="2">
        <f>IFERROR(50+VLOOKUP($A81,'SegEnds_Xtal_Prot#'!$A:$AY,37,FALSE)-VLOOKUP($B81,'SegEnds_NonXtal_Prot#'!$A:$AL,28,FALSE),"-")</f>
        <v>23</v>
      </c>
      <c r="T81" s="2">
        <f>IFERROR(50+VLOOKUP($A81,'SegEnds_Xtal_Prot#'!$A:$AY,39,FALSE)-VLOOKUP($B81,'SegEnds_NonXtal_Prot#'!$A:$AL,28,FALSE),"-")</f>
        <v>69</v>
      </c>
      <c r="U81" s="2">
        <f>IFERROR(50+VLOOKUP($A81,'SegEnds_Xtal_Prot#'!$A:$AY,41,FALSE)-VLOOKUP($B81,'SegEnds_NonXtal_Prot#'!$A:$AL,31,FALSE),"-")</f>
        <v>31</v>
      </c>
      <c r="V81" s="2">
        <f>IFERROR(50+VLOOKUP($A81,'SegEnds_Xtal_Prot#'!$A:$AY,43,FALSE)-VLOOKUP($B81,'SegEnds_NonXtal_Prot#'!$A:$AL,31,FALSE),"-")</f>
        <v>61</v>
      </c>
      <c r="W81" s="2">
        <f>IFERROR(50+VLOOKUP($A81,'SegEnds_Xtal_Prot#'!$A:$AY,45,FALSE)-VLOOKUP($B81,'SegEnds_NonXtal_Prot#'!$A:$AL,34,FALSE),"-")</f>
        <v>28</v>
      </c>
      <c r="X81" s="2">
        <f>IFERROR(50+VLOOKUP($A81,'SegEnds_Xtal_Prot#'!$A:$AY,47,FALSE)-VLOOKUP($B81,'SegEnds_NonXtal_Prot#'!$A:$AL,34,FALSE),"-")</f>
        <v>56</v>
      </c>
      <c r="Y81" s="2">
        <f>IFERROR(50+VLOOKUP($A81,'SegEnds_Xtal_Prot#'!$A:$AY,49,FALSE)-VLOOKUP($B81,'SegEnds_NonXtal_Prot#'!$A:$AL,37,FALSE),"-")</f>
        <v>47</v>
      </c>
      <c r="Z81" s="2">
        <f>IFERROR(50+VLOOKUP($A81,'SegEnds_Xtal_Prot#'!$A:$AY,51,FALSE)-VLOOKUP($B81,'SegEnds_NonXtal_Prot#'!$A:$AL,37,FALSE),"-")</f>
        <v>58</v>
      </c>
      <c r="AA81" s="49" t="str">
        <f>VLOOKUP(B81,Classification!A:D,2,FALSE)</f>
        <v>A</v>
      </c>
      <c r="AB81" s="94" t="str">
        <f>VLOOKUP(B81,Classification!A:D,4,0)</f>
        <v>Formylpeptide</v>
      </c>
      <c r="AC81" s="49" t="e">
        <f>VLOOKUP(B81,'SegEnds_NonXtal_Prot#'!A:AL,6,FALSE)-VLOOKUP(B81,'SegEnds_NonXtal_Prot#'!A:AL,5,FALSE)</f>
        <v>#VALUE!</v>
      </c>
      <c r="AD81" s="49" t="e">
        <f>VLOOKUP(B81,'SegEnds_NonXtal_Prot#'!A:AL,9,FALSE)-VLOOKUP(B81,'SegEnds_NonXtal_Prot#'!A:AL,8,FALSE)</f>
        <v>#VALUE!</v>
      </c>
      <c r="AE81" s="49">
        <f>VLOOKUP(B81,'SegEnds_NonXtal_Prot#'!A:AL,13,FALSE)-VLOOKUP(B81,'SegEnds_NonXtal_Prot#'!A:AL,10,FALSE)</f>
        <v>20</v>
      </c>
      <c r="AF81" s="49">
        <f>VLOOKUP(B81,'SegEnds_NonXtal_Prot#'!A:AL,12,FALSE)-VLOOKUP(B81,'SegEnds_NonXtal_Prot#'!A:AL,11,FALSE)</f>
        <v>2</v>
      </c>
      <c r="AG81" s="49">
        <f>VLOOKUP(B81,'SegEnds_NonXtal_Prot#'!A:AL,13,FALSE)-VLOOKUP(B81,'SegEnds_NonXtal_Prot#'!A:AL,11,FALSE)</f>
        <v>3</v>
      </c>
      <c r="AH81" s="49">
        <f>VLOOKUP(B81,'SegEnds_NonXtal_Prot#'!A:AL,16,FALSE)-VLOOKUP(B81,'SegEnds_NonXtal_Prot#'!A:AL,10,FALSE)</f>
        <v>52</v>
      </c>
      <c r="AI81" s="49">
        <f>VLOOKUP(B81,'SegEnds_NonXtal_Prot#'!A:AL,16,FALSE)-VLOOKUP(B81,'SegEnds_NonXtal_Prot#'!A:AL,11,FALSE)</f>
        <v>35</v>
      </c>
      <c r="AJ81" s="49">
        <f>VLOOKUP(B81,'SegEnds_NonXtal_Prot#'!A:AL,22,FALSE)-VLOOKUP(B81,'SegEnds_NonXtal_Prot#'!A:AL,19,FALSE)</f>
        <v>20</v>
      </c>
      <c r="AK81" s="49">
        <f>VLOOKUP(B81,'SegEnds_NonXtal_Prot#'!A:AL,15,FALSE)-VLOOKUP(B81,'SegEnds_NonXtal_Prot#'!A:AL,14,FALSE)</f>
        <v>1</v>
      </c>
      <c r="AL81" s="49">
        <f>VLOOKUP(B81,'SegEnds_NonXtal_Prot#'!A:AL,18,FALSE)-VLOOKUP(B81,'SegEnds_NonXtal_Prot#'!A:AL,17,FALSE)</f>
        <v>1</v>
      </c>
      <c r="AM81" s="2">
        <f>VLOOKUP(B81,'SegEnds_NonXtal_Prot#'!A:AL,34,FALSE)-VLOOKUP(B81,'SegEnds_NonXtal_Prot#'!A:AL,31,FALSE)</f>
        <v>43</v>
      </c>
    </row>
    <row r="82" spans="1:39" x14ac:dyDescent="0.2">
      <c r="A82" s="2" t="str">
        <f t="shared" ref="A82" si="7">CONCATENATE(B82,"__wt",)</f>
        <v>gpr52_human__wt</v>
      </c>
      <c r="B82" s="2" t="s">
        <v>259</v>
      </c>
      <c r="C82" s="2">
        <f>IFERROR(50+VLOOKUP($A82,'SegEnds_Xtal_Prot#'!$A:$AY,5,FALSE)-VLOOKUP($B82,'SegEnds_NonXtal_Prot#'!$A:$AL,4,FALSE),"-")</f>
        <v>32</v>
      </c>
      <c r="D82" s="2">
        <f>IFERROR(50+VLOOKUP($A82,'SegEnds_Xtal_Prot#'!$A:$AY,7,FALSE)-VLOOKUP($B82,'SegEnds_NonXtal_Prot#'!$A:$AL,4,FALSE),"-")</f>
        <v>60</v>
      </c>
      <c r="E82" s="2">
        <f>IFERROR(50+VLOOKUP($A82,'SegEnds_Xtal_Prot#'!$A:$AY,9,FALSE)-VLOOKUP($B82,'SegEnds_NonXtal_Prot#'!$A:$AL,7,FALSE),"-")</f>
        <v>48</v>
      </c>
      <c r="F82" s="2">
        <f>IFERROR(50+VLOOKUP($A82,'SegEnds_Xtal_Prot#'!$A:$AY,11,FALSE)-VLOOKUP($B82,'SegEnds_NonXtal_Prot#'!$A:$AL,7,FALSE),"-")</f>
        <v>52</v>
      </c>
      <c r="G82" s="2">
        <f>IFERROR(50+VLOOKUP($A82,'SegEnds_Xtal_Prot#'!$A:$AY,13,FALSE)-VLOOKUP($B82,'SegEnds_NonXtal_Prot#'!$A:$AL,10,FALSE),"-")</f>
        <v>37</v>
      </c>
      <c r="H82" s="2">
        <f>IFERROR(50+VLOOKUP($A82,'SegEnds_Xtal_Prot#'!$A:$AY,15,FALSE)-VLOOKUP($B82,'SegEnds_NonXtal_Prot#'!$A:$AL,10,FALSE),"-")</f>
        <v>67</v>
      </c>
      <c r="I82" s="2" t="str">
        <f>IFERROR(50+VLOOKUP($A82,'SegEnds_Xtal_Prot#'!$A:$AY,17,FALSE)-VLOOKUP($B82,'SegEnds_NonXtal_Prot#'!$A:$AL,13,FALSE),"-")</f>
        <v>-</v>
      </c>
      <c r="J82" s="2" t="str">
        <f>IFERROR(50+VLOOKUP($A82,'SegEnds_Xtal_Prot#'!$A:$AY,19,FALSE)-VLOOKUP($B82,'SegEnds_NonXtal_Prot#'!$A:$AL,13,FALSE),"-")</f>
        <v>-</v>
      </c>
      <c r="K82" s="2">
        <f>IFERROR(50+VLOOKUP($A82,'SegEnds_Xtal_Prot#'!$A:$AY,21,FALSE)-VLOOKUP($B82,'SegEnds_NonXtal_Prot#'!$A:$AL,16,FALSE),"-")</f>
        <v>21</v>
      </c>
      <c r="L82" s="2">
        <f>IFERROR(50+VLOOKUP($A82,'SegEnds_Xtal_Prot#'!$A:$AY,23,FALSE)-VLOOKUP($B82,'SegEnds_NonXtal_Prot#'!$A:$AL,16,FALSE),"-")</f>
        <v>56</v>
      </c>
      <c r="M82" s="2">
        <f>IFERROR(50+VLOOKUP($A82,'SegEnds_Xtal_Prot#'!$A:$AY,25,FALSE)-VLOOKUP($B82,'SegEnds_NonXtal_Prot#'!$A:$AL,19,FALSE),"-")</f>
        <v>50</v>
      </c>
      <c r="N82" s="2">
        <f>IFERROR(50+VLOOKUP($A82,'SegEnds_Xtal_Prot#'!$A:$AY,27,FALSE)-VLOOKUP($B82,'SegEnds_NonXtal_Prot#'!$A:$AL,19,FALSE),"-")</f>
        <v>57</v>
      </c>
      <c r="O82" s="2">
        <f>IFERROR(50+VLOOKUP($A82,'SegEnds_Xtal_Prot#'!$A:$AY,29,FALSE)-VLOOKUP($B82,'SegEnds_NonXtal_Prot#'!$A:$AL,22,FALSE),"-")</f>
        <v>38</v>
      </c>
      <c r="P82" s="2">
        <f>IFERROR(50+VLOOKUP($A82,'SegEnds_Xtal_Prot#'!$A:$AY,31,FALSE)-VLOOKUP($B82,'SegEnds_NonXtal_Prot#'!$A:$AL,22,FALSE),"-")</f>
        <v>62</v>
      </c>
      <c r="Q82" s="2">
        <f>IFERROR(50+VLOOKUP($A82,'SegEnds_Xtal_Prot#'!$A:$AY,33,FALSE)-VLOOKUP($B82,'SegEnds_NonXtal_Prot#'!$A:$AL,25,FALSE),"-")</f>
        <v>50</v>
      </c>
      <c r="R82" s="2">
        <f>IFERROR(50+VLOOKUP($A82,'SegEnds_Xtal_Prot#'!$A:$AY,35,FALSE)-VLOOKUP($B82,'SegEnds_NonXtal_Prot#'!$A:$AL,25,FALSE),"-")</f>
        <v>52</v>
      </c>
      <c r="S82" s="2">
        <f>IFERROR(50+VLOOKUP($A82,'SegEnds_Xtal_Prot#'!$A:$AY,37,FALSE)-VLOOKUP($B82,'SegEnds_NonXtal_Prot#'!$A:$AL,28,FALSE),"-")</f>
        <v>36</v>
      </c>
      <c r="T82" s="2">
        <f>IFERROR(50+VLOOKUP($A82,'SegEnds_Xtal_Prot#'!$A:$AY,39,FALSE)-VLOOKUP($B82,'SegEnds_NonXtal_Prot#'!$A:$AL,28,FALSE),"-")</f>
        <v>74</v>
      </c>
      <c r="U82" s="2">
        <f>IFERROR(50+VLOOKUP($A82,'SegEnds_Xtal_Prot#'!$A:$AY,41,FALSE)-VLOOKUP($B82,'SegEnds_NonXtal_Prot#'!$A:$AL,31,FALSE),"-")</f>
        <v>21</v>
      </c>
      <c r="V82" s="2">
        <f>IFERROR(50+VLOOKUP($A82,'SegEnds_Xtal_Prot#'!$A:$AY,43,FALSE)-VLOOKUP($B82,'SegEnds_NonXtal_Prot#'!$A:$AL,31,FALSE),"-")</f>
        <v>61</v>
      </c>
      <c r="W82" s="2">
        <f>IFERROR(50+VLOOKUP($A82,'SegEnds_Xtal_Prot#'!$A:$AY,45,FALSE)-VLOOKUP($B82,'SegEnds_NonXtal_Prot#'!$A:$AL,34,FALSE),"-")</f>
        <v>31</v>
      </c>
      <c r="X82" s="2">
        <f>IFERROR(50+VLOOKUP($A82,'SegEnds_Xtal_Prot#'!$A:$AY,47,FALSE)-VLOOKUP($B82,'SegEnds_NonXtal_Prot#'!$A:$AL,34,FALSE),"-")</f>
        <v>56</v>
      </c>
      <c r="Y82" s="2">
        <f>IFERROR(50+VLOOKUP($A82,'SegEnds_Xtal_Prot#'!$A:$AY,49,FALSE)-VLOOKUP($B82,'SegEnds_NonXtal_Prot#'!$A:$AL,37,FALSE),"-")</f>
        <v>47</v>
      </c>
      <c r="Z82" s="2">
        <f>IFERROR(50+VLOOKUP($A82,'SegEnds_Xtal_Prot#'!$A:$AY,51,FALSE)-VLOOKUP($B82,'SegEnds_NonXtal_Prot#'!$A:$AL,37,FALSE),"-")</f>
        <v>67</v>
      </c>
      <c r="AA82" s="49" t="str">
        <f>VLOOKUP(B82,Classification!A:D,2,FALSE)</f>
        <v>A</v>
      </c>
      <c r="AB82" s="94" t="str">
        <f>VLOOKUP(B82,Classification!A:D,4,0)</f>
        <v>ClassAorphans</v>
      </c>
      <c r="AC82" s="49">
        <f>VLOOKUP(B82,'SegEnds_NonXtal_Prot#'!A:AL,6,FALSE)-VLOOKUP(B82,'SegEnds_NonXtal_Prot#'!A:AL,5,FALSE)</f>
        <v>1</v>
      </c>
      <c r="AD82" s="49">
        <f>VLOOKUP(B82,'SegEnds_NonXtal_Prot#'!A:AL,9,FALSE)-VLOOKUP(B82,'SegEnds_NonXtal_Prot#'!A:AL,8,FALSE)</f>
        <v>1</v>
      </c>
      <c r="AE82" s="49" t="e">
        <f>VLOOKUP(B82,'SegEnds_NonXtal_Prot#'!A:AL,13,FALSE)-VLOOKUP(B82,'SegEnds_NonXtal_Prot#'!A:AL,10,FALSE)</f>
        <v>#VALUE!</v>
      </c>
      <c r="AF82" s="49" t="e">
        <f>VLOOKUP(B82,'SegEnds_NonXtal_Prot#'!A:AL,12,FALSE)-VLOOKUP(B82,'SegEnds_NonXtal_Prot#'!A:AL,11,FALSE)</f>
        <v>#VALUE!</v>
      </c>
      <c r="AG82" s="49" t="e">
        <f>VLOOKUP(B82,'SegEnds_NonXtal_Prot#'!A:AL,13,FALSE)-VLOOKUP(B82,'SegEnds_NonXtal_Prot#'!A:AL,11,FALSE)</f>
        <v>#VALUE!</v>
      </c>
      <c r="AH82" s="49">
        <f>VLOOKUP(B82,'SegEnds_NonXtal_Prot#'!A:AL,16,FALSE)-VLOOKUP(B82,'SegEnds_NonXtal_Prot#'!A:AL,10,FALSE)</f>
        <v>52</v>
      </c>
      <c r="AI82" s="49">
        <f>VLOOKUP(B82,'SegEnds_NonXtal_Prot#'!A:AL,16,FALSE)-VLOOKUP(B82,'SegEnds_NonXtal_Prot#'!A:AL,11,FALSE)</f>
        <v>35</v>
      </c>
      <c r="AJ82" s="49">
        <f>VLOOKUP(B82,'SegEnds_NonXtal_Prot#'!A:AL,22,FALSE)-VLOOKUP(B82,'SegEnds_NonXtal_Prot#'!A:AL,19,FALSE)</f>
        <v>20</v>
      </c>
      <c r="AK82" s="49" t="e">
        <f>VLOOKUP(B82,'SegEnds_NonXtal_Prot#'!A:AL,15,FALSE)-VLOOKUP(B82,'SegEnds_NonXtal_Prot#'!A:AL,14,FALSE)</f>
        <v>#VALUE!</v>
      </c>
      <c r="AL82" s="49">
        <f>VLOOKUP(B82,'SegEnds_NonXtal_Prot#'!A:AL,18,FALSE)-VLOOKUP(B82,'SegEnds_NonXtal_Prot#'!A:AL,17,FALSE)</f>
        <v>1</v>
      </c>
      <c r="AM82" s="2">
        <f>VLOOKUP(B82,'SegEnds_NonXtal_Prot#'!A:AL,34,FALSE)-VLOOKUP(B82,'SegEnds_NonXtal_Prot#'!A:AL,31,FALSE)</f>
        <v>34</v>
      </c>
    </row>
    <row r="83" spans="1:39" x14ac:dyDescent="0.2">
      <c r="A83" s="2" t="str">
        <f t="shared" ref="A83" si="8">CONCATENATE(B83,"__wt",)</f>
        <v>ada2a_human__wt</v>
      </c>
      <c r="B83" s="2" t="s">
        <v>155</v>
      </c>
      <c r="C83" s="2">
        <f>IFERROR(50+VLOOKUP($A83,'SegEnds_Xtal_Prot#'!$A:$AY,5,FALSE)-VLOOKUP($B83,'SegEnds_NonXtal_Prot#'!$A:$AL,4,FALSE),"-")</f>
        <v>32</v>
      </c>
      <c r="D83" s="2">
        <f>IFERROR(50+VLOOKUP($A83,'SegEnds_Xtal_Prot#'!$A:$AY,7,FALSE)-VLOOKUP($B83,'SegEnds_NonXtal_Prot#'!$A:$AL,4,FALSE),"-")</f>
        <v>60</v>
      </c>
      <c r="E83" s="2">
        <f>IFERROR(50+VLOOKUP($A83,'SegEnds_Xtal_Prot#'!$A:$AY,9,FALSE)-VLOOKUP($B83,'SegEnds_NonXtal_Prot#'!$A:$AL,7,FALSE),"-")</f>
        <v>48</v>
      </c>
      <c r="F83" s="2">
        <f>IFERROR(50+VLOOKUP($A83,'SegEnds_Xtal_Prot#'!$A:$AY,11,FALSE)-VLOOKUP($B83,'SegEnds_NonXtal_Prot#'!$A:$AL,7,FALSE),"-")</f>
        <v>51</v>
      </c>
      <c r="G83" s="2">
        <f>IFERROR(50+VLOOKUP($A83,'SegEnds_Xtal_Prot#'!$A:$AY,13,FALSE)-VLOOKUP($B83,'SegEnds_NonXtal_Prot#'!$A:$AL,10,FALSE),"-")</f>
        <v>37</v>
      </c>
      <c r="H83" s="2">
        <f>IFERROR(50+VLOOKUP($A83,'SegEnds_Xtal_Prot#'!$A:$AY,15,FALSE)-VLOOKUP($B83,'SegEnds_NonXtal_Prot#'!$A:$AL,10,FALSE),"-")</f>
        <v>68</v>
      </c>
      <c r="I83" s="2">
        <f>IFERROR(50+VLOOKUP($A83,'SegEnds_Xtal_Prot#'!$A:$AY,17,FALSE)-VLOOKUP($B83,'SegEnds_NonXtal_Prot#'!$A:$AL,13,FALSE),"-")</f>
        <v>49</v>
      </c>
      <c r="J83" s="2">
        <f>IFERROR(50+VLOOKUP($A83,'SegEnds_Xtal_Prot#'!$A:$AY,19,FALSE)-VLOOKUP($B83,'SegEnds_NonXtal_Prot#'!$A:$AL,13,FALSE),"-")</f>
        <v>52</v>
      </c>
      <c r="K83" s="2">
        <f>IFERROR(50+VLOOKUP($A83,'SegEnds_Xtal_Prot#'!$A:$AY,21,FALSE)-VLOOKUP($B83,'SegEnds_NonXtal_Prot#'!$A:$AL,16,FALSE),"-")</f>
        <v>21</v>
      </c>
      <c r="L83" s="2">
        <f>IFERROR(50+VLOOKUP($A83,'SegEnds_Xtal_Prot#'!$A:$AY,23,FALSE)-VLOOKUP($B83,'SegEnds_NonXtal_Prot#'!$A:$AL,16,FALSE),"-")</f>
        <v>56</v>
      </c>
      <c r="M83" s="2">
        <f>IFERROR(50+VLOOKUP($A83,'SegEnds_Xtal_Prot#'!$A:$AY,25,FALSE)-VLOOKUP($B83,'SegEnds_NonXtal_Prot#'!$A:$AL,19,FALSE),"-")</f>
        <v>50</v>
      </c>
      <c r="N83" s="2">
        <f>IFERROR(50+VLOOKUP($A83,'SegEnds_Xtal_Prot#'!$A:$AY,27,FALSE)-VLOOKUP($B83,'SegEnds_NonXtal_Prot#'!$A:$AL,19,FALSE),"-")</f>
        <v>57</v>
      </c>
      <c r="O83" s="2">
        <f>IFERROR(50+VLOOKUP($A83,'SegEnds_Xtal_Prot#'!$A:$AY,29,FALSE)-VLOOKUP($B83,'SegEnds_NonXtal_Prot#'!$A:$AL,22,FALSE),"-")</f>
        <v>38</v>
      </c>
      <c r="P83" s="2">
        <f>IFERROR(50+VLOOKUP($A83,'SegEnds_Xtal_Prot#'!$A:$AY,31,FALSE)-VLOOKUP($B83,'SegEnds_NonXtal_Prot#'!$A:$AL,22,FALSE),"-")</f>
        <v>62</v>
      </c>
      <c r="Q83" s="2">
        <f>IFERROR(50+VLOOKUP($A83,'SegEnds_Xtal_Prot#'!$A:$AY,33,FALSE)-VLOOKUP($B83,'SegEnds_NonXtal_Prot#'!$A:$AL,25,FALSE),"-")</f>
        <v>50</v>
      </c>
      <c r="R83" s="2">
        <f>IFERROR(50+VLOOKUP($A83,'SegEnds_Xtal_Prot#'!$A:$AY,35,FALSE)-VLOOKUP($B83,'SegEnds_NonXtal_Prot#'!$A:$AL,25,FALSE),"-")</f>
        <v>52</v>
      </c>
      <c r="S83" s="2">
        <f>IFERROR(50+VLOOKUP($A83,'SegEnds_Xtal_Prot#'!$A:$AY,37,FALSE)-VLOOKUP($B83,'SegEnds_NonXtal_Prot#'!$A:$AL,28,FALSE),"-")</f>
        <v>35</v>
      </c>
      <c r="T83" s="2">
        <f>IFERROR(50+VLOOKUP($A83,'SegEnds_Xtal_Prot#'!$A:$AY,39,FALSE)-VLOOKUP($B83,'SegEnds_NonXtal_Prot#'!$A:$AL,28,FALSE),"-")</f>
        <v>75</v>
      </c>
      <c r="U83" s="2">
        <f>IFERROR(50+VLOOKUP($A83,'SegEnds_Xtal_Prot#'!$A:$AY,41,FALSE)-VLOOKUP($B83,'SegEnds_NonXtal_Prot#'!$A:$AL,31,FALSE),"-")</f>
        <v>24</v>
      </c>
      <c r="V83" s="2">
        <f>IFERROR(50+VLOOKUP($A83,'SegEnds_Xtal_Prot#'!$A:$AY,43,FALSE)-VLOOKUP($B83,'SegEnds_NonXtal_Prot#'!$A:$AL,31,FALSE),"-")</f>
        <v>61</v>
      </c>
      <c r="W83" s="2">
        <f>IFERROR(50+VLOOKUP($A83,'SegEnds_Xtal_Prot#'!$A:$AY,45,FALSE)-VLOOKUP($B83,'SegEnds_NonXtal_Prot#'!$A:$AL,34,FALSE),"-")</f>
        <v>31</v>
      </c>
      <c r="X83" s="2">
        <f>IFERROR(50+VLOOKUP($A83,'SegEnds_Xtal_Prot#'!$A:$AY,47,FALSE)-VLOOKUP($B83,'SegEnds_NonXtal_Prot#'!$A:$AL,34,FALSE),"-")</f>
        <v>56</v>
      </c>
      <c r="Y83" s="2">
        <f>IFERROR(50+VLOOKUP($A83,'SegEnds_Xtal_Prot#'!$A:$AY,49,FALSE)-VLOOKUP($B83,'SegEnds_NonXtal_Prot#'!$A:$AL,37,FALSE),"-")</f>
        <v>47</v>
      </c>
      <c r="Z83" s="2">
        <f>IFERROR(50+VLOOKUP($A83,'SegEnds_Xtal_Prot#'!$A:$AY,51,FALSE)-VLOOKUP($B83,'SegEnds_NonXtal_Prot#'!$A:$AL,37,FALSE),"-")</f>
        <v>60</v>
      </c>
      <c r="AA83" s="49" t="str">
        <f>VLOOKUP(B83,Classification!A:D,2,FALSE)</f>
        <v>A</v>
      </c>
      <c r="AB83" s="94" t="str">
        <f>VLOOKUP(B83,Classification!A:D,4,0)</f>
        <v>Adrenoceptors</v>
      </c>
      <c r="AC83" s="49">
        <f>VLOOKUP(B83,'SegEnds_NonXtal_Prot#'!A:AL,6,FALSE)-VLOOKUP(B83,'SegEnds_NonXtal_Prot#'!A:AL,5,FALSE)</f>
        <v>1</v>
      </c>
      <c r="AD83" s="49">
        <f>VLOOKUP(B83,'SegEnds_NonXtal_Prot#'!A:AL,9,FALSE)-VLOOKUP(B83,'SegEnds_NonXtal_Prot#'!A:AL,8,FALSE)</f>
        <v>1</v>
      </c>
      <c r="AE83" s="49">
        <f>VLOOKUP(B83,'SegEnds_NonXtal_Prot#'!A:AL,13,FALSE)-VLOOKUP(B83,'SegEnds_NonXtal_Prot#'!A:AL,10,FALSE)</f>
        <v>20</v>
      </c>
      <c r="AF83" s="49">
        <f>VLOOKUP(B83,'SegEnds_NonXtal_Prot#'!A:AL,12,FALSE)-VLOOKUP(B83,'SegEnds_NonXtal_Prot#'!A:AL,11,FALSE)</f>
        <v>1</v>
      </c>
      <c r="AG83" s="49">
        <f>VLOOKUP(B83,'SegEnds_NonXtal_Prot#'!A:AL,13,FALSE)-VLOOKUP(B83,'SegEnds_NonXtal_Prot#'!A:AL,11,FALSE)</f>
        <v>2</v>
      </c>
      <c r="AH83" s="49">
        <f>VLOOKUP(B83,'SegEnds_NonXtal_Prot#'!A:AL,16,FALSE)-VLOOKUP(B83,'SegEnds_NonXtal_Prot#'!A:AL,10,FALSE)</f>
        <v>52</v>
      </c>
      <c r="AI83" s="49">
        <f>VLOOKUP(B83,'SegEnds_NonXtal_Prot#'!A:AL,16,FALSE)-VLOOKUP(B83,'SegEnds_NonXtal_Prot#'!A:AL,11,FALSE)</f>
        <v>34</v>
      </c>
      <c r="AJ83" s="49">
        <f>VLOOKUP(B83,'SegEnds_NonXtal_Prot#'!A:AL,22,FALSE)-VLOOKUP(B83,'SegEnds_NonXtal_Prot#'!A:AL,19,FALSE)</f>
        <v>20</v>
      </c>
      <c r="AK83" s="49">
        <f>VLOOKUP(B83,'SegEnds_NonXtal_Prot#'!A:AL,15,FALSE)-VLOOKUP(B83,'SegEnds_NonXtal_Prot#'!A:AL,14,FALSE)</f>
        <v>1</v>
      </c>
      <c r="AL83" s="49">
        <f>VLOOKUP(B83,'SegEnds_NonXtal_Prot#'!A:AL,18,FALSE)-VLOOKUP(B83,'SegEnds_NonXtal_Prot#'!A:AL,17,FALSE)</f>
        <v>1</v>
      </c>
      <c r="AM83" s="2">
        <f>VLOOKUP(B83,'SegEnds_NonXtal_Prot#'!A:AL,34,FALSE)-VLOOKUP(B83,'SegEnds_NonXtal_Prot#'!A:AL,31,FALSE)</f>
        <v>34</v>
      </c>
    </row>
    <row r="84" spans="1:39" x14ac:dyDescent="0.2">
      <c r="A84" s="2" t="str">
        <f t="shared" ref="A84" si="9">CONCATENATE(B84,"__wt",)</f>
        <v>ada2b_human__wt</v>
      </c>
      <c r="B84" s="2" t="s">
        <v>156</v>
      </c>
      <c r="C84" s="2">
        <f>IFERROR(50+VLOOKUP($A84,'SegEnds_Xtal_Prot#'!$A:$AY,5,FALSE)-VLOOKUP($B84,'SegEnds_NonXtal_Prot#'!$A:$AL,4,FALSE),"-")</f>
        <v>31</v>
      </c>
      <c r="D84" s="2">
        <f>IFERROR(50+VLOOKUP($A84,'SegEnds_Xtal_Prot#'!$A:$AY,7,FALSE)-VLOOKUP($B84,'SegEnds_NonXtal_Prot#'!$A:$AL,4,FALSE),"-")</f>
        <v>60</v>
      </c>
      <c r="E84" s="2">
        <f>IFERROR(50+VLOOKUP($A84,'SegEnds_Xtal_Prot#'!$A:$AY,9,FALSE)-VLOOKUP($B84,'SegEnds_NonXtal_Prot#'!$A:$AL,7,FALSE),"-")</f>
        <v>48</v>
      </c>
      <c r="F84" s="2">
        <f>IFERROR(50+VLOOKUP($A84,'SegEnds_Xtal_Prot#'!$A:$AY,11,FALSE)-VLOOKUP($B84,'SegEnds_NonXtal_Prot#'!$A:$AL,7,FALSE),"-")</f>
        <v>51</v>
      </c>
      <c r="G84" s="2">
        <f>IFERROR(50+VLOOKUP($A84,'SegEnds_Xtal_Prot#'!$A:$AY,13,FALSE)-VLOOKUP($B84,'SegEnds_NonXtal_Prot#'!$A:$AL,10,FALSE),"-")</f>
        <v>37</v>
      </c>
      <c r="H84" s="2">
        <f>IFERROR(50+VLOOKUP($A84,'SegEnds_Xtal_Prot#'!$A:$AY,15,FALSE)-VLOOKUP($B84,'SegEnds_NonXtal_Prot#'!$A:$AL,10,FALSE),"-")</f>
        <v>68</v>
      </c>
      <c r="I84" s="2">
        <f>IFERROR(50+VLOOKUP($A84,'SegEnds_Xtal_Prot#'!$A:$AY,17,FALSE)-VLOOKUP($B84,'SegEnds_NonXtal_Prot#'!$A:$AL,13,FALSE),"-")</f>
        <v>49</v>
      </c>
      <c r="J84" s="2">
        <f>IFERROR(50+VLOOKUP($A84,'SegEnds_Xtal_Prot#'!$A:$AY,19,FALSE)-VLOOKUP($B84,'SegEnds_NonXtal_Prot#'!$A:$AL,13,FALSE),"-")</f>
        <v>52</v>
      </c>
      <c r="K84" s="2">
        <f>IFERROR(50+VLOOKUP($A84,'SegEnds_Xtal_Prot#'!$A:$AY,21,FALSE)-VLOOKUP($B84,'SegEnds_NonXtal_Prot#'!$A:$AL,16,FALSE),"-")</f>
        <v>21</v>
      </c>
      <c r="L84" s="2">
        <f>IFERROR(50+VLOOKUP($A84,'SegEnds_Xtal_Prot#'!$A:$AY,23,FALSE)-VLOOKUP($B84,'SegEnds_NonXtal_Prot#'!$A:$AL,16,FALSE),"-")</f>
        <v>56</v>
      </c>
      <c r="M84" s="2">
        <f>IFERROR(50+VLOOKUP($A84,'SegEnds_Xtal_Prot#'!$A:$AY,25,FALSE)-VLOOKUP($B84,'SegEnds_NonXtal_Prot#'!$A:$AL,19,FALSE),"-")</f>
        <v>50</v>
      </c>
      <c r="N84" s="2">
        <f>IFERROR(50+VLOOKUP($A84,'SegEnds_Xtal_Prot#'!$A:$AY,27,FALSE)-VLOOKUP($B84,'SegEnds_NonXtal_Prot#'!$A:$AL,19,FALSE),"-")</f>
        <v>57</v>
      </c>
      <c r="O84" s="2">
        <f>IFERROR(50+VLOOKUP($A84,'SegEnds_Xtal_Prot#'!$A:$AY,29,FALSE)-VLOOKUP($B84,'SegEnds_NonXtal_Prot#'!$A:$AL,22,FALSE),"-")</f>
        <v>38</v>
      </c>
      <c r="P84" s="2">
        <f>IFERROR(50+VLOOKUP($A84,'SegEnds_Xtal_Prot#'!$A:$AY,31,FALSE)-VLOOKUP($B84,'SegEnds_NonXtal_Prot#'!$A:$AL,22,FALSE),"-")</f>
        <v>62</v>
      </c>
      <c r="Q84" s="2">
        <f>IFERROR(50+VLOOKUP($A84,'SegEnds_Xtal_Prot#'!$A:$AY,33,FALSE)-VLOOKUP($B84,'SegEnds_NonXtal_Prot#'!$A:$AL,25,FALSE),"-")</f>
        <v>50</v>
      </c>
      <c r="R84" s="2">
        <f>IFERROR(50+VLOOKUP($A84,'SegEnds_Xtal_Prot#'!$A:$AY,35,FALSE)-VLOOKUP($B84,'SegEnds_NonXtal_Prot#'!$A:$AL,25,FALSE),"-")</f>
        <v>52</v>
      </c>
      <c r="S84" s="2">
        <f>IFERROR(50+VLOOKUP($A84,'SegEnds_Xtal_Prot#'!$A:$AY,37,FALSE)-VLOOKUP($B84,'SegEnds_NonXtal_Prot#'!$A:$AL,28,FALSE),"-")</f>
        <v>35</v>
      </c>
      <c r="T84" s="2">
        <f>IFERROR(50+VLOOKUP($A84,'SegEnds_Xtal_Prot#'!$A:$AY,39,FALSE)-VLOOKUP($B84,'SegEnds_NonXtal_Prot#'!$A:$AL,28,FALSE),"-")</f>
        <v>75</v>
      </c>
      <c r="U84" s="2">
        <f>IFERROR(50+VLOOKUP($A84,'SegEnds_Xtal_Prot#'!$A:$AY,41,FALSE)-VLOOKUP($B84,'SegEnds_NonXtal_Prot#'!$A:$AL,31,FALSE),"-")</f>
        <v>24</v>
      </c>
      <c r="V84" s="2">
        <f>IFERROR(50+VLOOKUP($A84,'SegEnds_Xtal_Prot#'!$A:$AY,43,FALSE)-VLOOKUP($B84,'SegEnds_NonXtal_Prot#'!$A:$AL,31,FALSE),"-")</f>
        <v>61</v>
      </c>
      <c r="W84" s="2">
        <f>IFERROR(50+VLOOKUP($A84,'SegEnds_Xtal_Prot#'!$A:$AY,45,FALSE)-VLOOKUP($B84,'SegEnds_NonXtal_Prot#'!$A:$AL,34,FALSE),"-")</f>
        <v>31</v>
      </c>
      <c r="X84" s="2">
        <f>IFERROR(50+VLOOKUP($A84,'SegEnds_Xtal_Prot#'!$A:$AY,47,FALSE)-VLOOKUP($B84,'SegEnds_NonXtal_Prot#'!$A:$AL,34,FALSE),"-")</f>
        <v>56</v>
      </c>
      <c r="Y84" s="2">
        <f>IFERROR(50+VLOOKUP($A84,'SegEnds_Xtal_Prot#'!$A:$AY,49,FALSE)-VLOOKUP($B84,'SegEnds_NonXtal_Prot#'!$A:$AL,37,FALSE),"-")</f>
        <v>47</v>
      </c>
      <c r="Z84" s="2">
        <f>IFERROR(50+VLOOKUP($A84,'SegEnds_Xtal_Prot#'!$A:$AY,51,FALSE)-VLOOKUP($B84,'SegEnds_NonXtal_Prot#'!$A:$AL,37,FALSE),"-")</f>
        <v>59</v>
      </c>
      <c r="AA84" s="49" t="str">
        <f>VLOOKUP(B84,Classification!A:D,2,FALSE)</f>
        <v>A</v>
      </c>
      <c r="AB84" s="94" t="str">
        <f>VLOOKUP(B84,Classification!A:D,4,0)</f>
        <v>Adrenoceptors</v>
      </c>
      <c r="AC84" s="49">
        <f>VLOOKUP(B84,'SegEnds_NonXtal_Prot#'!A:AL,6,FALSE)-VLOOKUP(B84,'SegEnds_NonXtal_Prot#'!A:AL,5,FALSE)</f>
        <v>1</v>
      </c>
      <c r="AD84" s="49">
        <f>VLOOKUP(B84,'SegEnds_NonXtal_Prot#'!A:AL,9,FALSE)-VLOOKUP(B84,'SegEnds_NonXtal_Prot#'!A:AL,8,FALSE)</f>
        <v>1</v>
      </c>
      <c r="AE84" s="49">
        <f>VLOOKUP(B84,'SegEnds_NonXtal_Prot#'!A:AL,13,FALSE)-VLOOKUP(B84,'SegEnds_NonXtal_Prot#'!A:AL,10,FALSE)</f>
        <v>20</v>
      </c>
      <c r="AF84" s="49">
        <f>VLOOKUP(B84,'SegEnds_NonXtal_Prot#'!A:AL,12,FALSE)-VLOOKUP(B84,'SegEnds_NonXtal_Prot#'!A:AL,11,FALSE)</f>
        <v>1</v>
      </c>
      <c r="AG84" s="49">
        <f>VLOOKUP(B84,'SegEnds_NonXtal_Prot#'!A:AL,13,FALSE)-VLOOKUP(B84,'SegEnds_NonXtal_Prot#'!A:AL,11,FALSE)</f>
        <v>2</v>
      </c>
      <c r="AH84" s="49">
        <f>VLOOKUP(B84,'SegEnds_NonXtal_Prot#'!A:AL,16,FALSE)-VLOOKUP(B84,'SegEnds_NonXtal_Prot#'!A:AL,10,FALSE)</f>
        <v>52</v>
      </c>
      <c r="AI84" s="49">
        <f>VLOOKUP(B84,'SegEnds_NonXtal_Prot#'!A:AL,16,FALSE)-VLOOKUP(B84,'SegEnds_NonXtal_Prot#'!A:AL,11,FALSE)</f>
        <v>34</v>
      </c>
      <c r="AJ84" s="49">
        <f>VLOOKUP(B84,'SegEnds_NonXtal_Prot#'!A:AL,22,FALSE)-VLOOKUP(B84,'SegEnds_NonXtal_Prot#'!A:AL,19,FALSE)</f>
        <v>20</v>
      </c>
      <c r="AK84" s="49">
        <f>VLOOKUP(B84,'SegEnds_NonXtal_Prot#'!A:AL,15,FALSE)-VLOOKUP(B84,'SegEnds_NonXtal_Prot#'!A:AL,14,FALSE)</f>
        <v>1</v>
      </c>
      <c r="AL84" s="49">
        <f>VLOOKUP(B84,'SegEnds_NonXtal_Prot#'!A:AL,18,FALSE)-VLOOKUP(B84,'SegEnds_NonXtal_Prot#'!A:AL,17,FALSE)</f>
        <v>1</v>
      </c>
      <c r="AM84" s="2">
        <f>VLOOKUP(B84,'SegEnds_NonXtal_Prot#'!A:AL,34,FALSE)-VLOOKUP(B84,'SegEnds_NonXtal_Prot#'!A:AL,31,FALSE)</f>
        <v>37</v>
      </c>
    </row>
    <row r="85" spans="1:39" x14ac:dyDescent="0.2">
      <c r="A85" s="2" t="str">
        <f t="shared" ref="A85" si="10">CONCATENATE(B85,"__wt",)</f>
        <v>ada2c_human__wt</v>
      </c>
      <c r="B85" s="2" t="s">
        <v>157</v>
      </c>
      <c r="C85" s="2">
        <f>IFERROR(50+VLOOKUP($A85,'SegEnds_Xtal_Prot#'!$A:$AY,5,FALSE)-VLOOKUP($B85,'SegEnds_NonXtal_Prot#'!$A:$AL,4,FALSE),"-")</f>
        <v>28</v>
      </c>
      <c r="D85" s="2">
        <f>IFERROR(50+VLOOKUP($A85,'SegEnds_Xtal_Prot#'!$A:$AY,7,FALSE)-VLOOKUP($B85,'SegEnds_NonXtal_Prot#'!$A:$AL,4,FALSE),"-")</f>
        <v>60</v>
      </c>
      <c r="E85" s="2">
        <f>IFERROR(50+VLOOKUP($A85,'SegEnds_Xtal_Prot#'!$A:$AY,9,FALSE)-VLOOKUP($B85,'SegEnds_NonXtal_Prot#'!$A:$AL,7,FALSE),"-")</f>
        <v>48</v>
      </c>
      <c r="F85" s="2">
        <f>IFERROR(50+VLOOKUP($A85,'SegEnds_Xtal_Prot#'!$A:$AY,11,FALSE)-VLOOKUP($B85,'SegEnds_NonXtal_Prot#'!$A:$AL,7,FALSE),"-")</f>
        <v>51</v>
      </c>
      <c r="G85" s="2">
        <f>IFERROR(50+VLOOKUP($A85,'SegEnds_Xtal_Prot#'!$A:$AY,13,FALSE)-VLOOKUP($B85,'SegEnds_NonXtal_Prot#'!$A:$AL,10,FALSE),"-")</f>
        <v>37</v>
      </c>
      <c r="H85" s="2">
        <f>IFERROR(50+VLOOKUP($A85,'SegEnds_Xtal_Prot#'!$A:$AY,15,FALSE)-VLOOKUP($B85,'SegEnds_NonXtal_Prot#'!$A:$AL,10,FALSE),"-")</f>
        <v>68</v>
      </c>
      <c r="I85" s="2">
        <f>IFERROR(50+VLOOKUP($A85,'SegEnds_Xtal_Prot#'!$A:$AY,17,FALSE)-VLOOKUP($B85,'SegEnds_NonXtal_Prot#'!$A:$AL,13,FALSE),"-")</f>
        <v>49</v>
      </c>
      <c r="J85" s="2">
        <f>IFERROR(50+VLOOKUP($A85,'SegEnds_Xtal_Prot#'!$A:$AY,19,FALSE)-VLOOKUP($B85,'SegEnds_NonXtal_Prot#'!$A:$AL,13,FALSE),"-")</f>
        <v>52</v>
      </c>
      <c r="K85" s="2">
        <f>IFERROR(50+VLOOKUP($A85,'SegEnds_Xtal_Prot#'!$A:$AY,21,FALSE)-VLOOKUP($B85,'SegEnds_NonXtal_Prot#'!$A:$AL,16,FALSE),"-")</f>
        <v>21</v>
      </c>
      <c r="L85" s="2">
        <f>IFERROR(50+VLOOKUP($A85,'SegEnds_Xtal_Prot#'!$A:$AY,23,FALSE)-VLOOKUP($B85,'SegEnds_NonXtal_Prot#'!$A:$AL,16,FALSE),"-")</f>
        <v>56</v>
      </c>
      <c r="M85" s="2">
        <f>IFERROR(50+VLOOKUP($A85,'SegEnds_Xtal_Prot#'!$A:$AY,25,FALSE)-VLOOKUP($B85,'SegEnds_NonXtal_Prot#'!$A:$AL,19,FALSE),"-")</f>
        <v>50</v>
      </c>
      <c r="N85" s="2">
        <f>IFERROR(50+VLOOKUP($A85,'SegEnds_Xtal_Prot#'!$A:$AY,27,FALSE)-VLOOKUP($B85,'SegEnds_NonXtal_Prot#'!$A:$AL,19,FALSE),"-")</f>
        <v>57</v>
      </c>
      <c r="O85" s="2">
        <f>IFERROR(50+VLOOKUP($A85,'SegEnds_Xtal_Prot#'!$A:$AY,29,FALSE)-VLOOKUP($B85,'SegEnds_NonXtal_Prot#'!$A:$AL,22,FALSE),"-")</f>
        <v>38</v>
      </c>
      <c r="P85" s="2">
        <f>IFERROR(50+VLOOKUP($A85,'SegEnds_Xtal_Prot#'!$A:$AY,31,FALSE)-VLOOKUP($B85,'SegEnds_NonXtal_Prot#'!$A:$AL,22,FALSE),"-")</f>
        <v>62</v>
      </c>
      <c r="Q85" s="2">
        <f>IFERROR(50+VLOOKUP($A85,'SegEnds_Xtal_Prot#'!$A:$AY,33,FALSE)-VLOOKUP($B85,'SegEnds_NonXtal_Prot#'!$A:$AL,25,FALSE),"-")</f>
        <v>50</v>
      </c>
      <c r="R85" s="2">
        <f>IFERROR(50+VLOOKUP($A85,'SegEnds_Xtal_Prot#'!$A:$AY,35,FALSE)-VLOOKUP($B85,'SegEnds_NonXtal_Prot#'!$A:$AL,25,FALSE),"-")</f>
        <v>52</v>
      </c>
      <c r="S85" s="2">
        <f>IFERROR(50+VLOOKUP($A85,'SegEnds_Xtal_Prot#'!$A:$AY,37,FALSE)-VLOOKUP($B85,'SegEnds_NonXtal_Prot#'!$A:$AL,28,FALSE),"-")</f>
        <v>35</v>
      </c>
      <c r="T85" s="2">
        <f>IFERROR(50+VLOOKUP($A85,'SegEnds_Xtal_Prot#'!$A:$AY,39,FALSE)-VLOOKUP($B85,'SegEnds_NonXtal_Prot#'!$A:$AL,28,FALSE),"-")</f>
        <v>75</v>
      </c>
      <c r="U85" s="2">
        <f>IFERROR(50+VLOOKUP($A85,'SegEnds_Xtal_Prot#'!$A:$AY,41,FALSE)-VLOOKUP($B85,'SegEnds_NonXtal_Prot#'!$A:$AL,31,FALSE),"-")</f>
        <v>24</v>
      </c>
      <c r="V85" s="2">
        <f>IFERROR(50+VLOOKUP($A85,'SegEnds_Xtal_Prot#'!$A:$AY,43,FALSE)-VLOOKUP($B85,'SegEnds_NonXtal_Prot#'!$A:$AL,31,FALSE),"-")</f>
        <v>62</v>
      </c>
      <c r="W85" s="2">
        <f>IFERROR(50+VLOOKUP($A85,'SegEnds_Xtal_Prot#'!$A:$AY,45,FALSE)-VLOOKUP($B85,'SegEnds_NonXtal_Prot#'!$A:$AL,34,FALSE),"-")</f>
        <v>31</v>
      </c>
      <c r="X85" s="2">
        <f>IFERROR(50+VLOOKUP($A85,'SegEnds_Xtal_Prot#'!$A:$AY,47,FALSE)-VLOOKUP($B85,'SegEnds_NonXtal_Prot#'!$A:$AL,34,FALSE),"-")</f>
        <v>56</v>
      </c>
      <c r="Y85" s="2">
        <f>IFERROR(50+VLOOKUP($A85,'SegEnds_Xtal_Prot#'!$A:$AY,49,FALSE)-VLOOKUP($B85,'SegEnds_NonXtal_Prot#'!$A:$AL,37,FALSE),"-")</f>
        <v>47</v>
      </c>
      <c r="Z85" s="2">
        <f>IFERROR(50+VLOOKUP($A85,'SegEnds_Xtal_Prot#'!$A:$AY,51,FALSE)-VLOOKUP($B85,'SegEnds_NonXtal_Prot#'!$A:$AL,37,FALSE),"-")</f>
        <v>59</v>
      </c>
      <c r="AA85" s="49" t="str">
        <f>VLOOKUP(B85,Classification!A:D,2,FALSE)</f>
        <v>A</v>
      </c>
      <c r="AB85" s="94" t="str">
        <f>VLOOKUP(B85,Classification!A:D,4,0)</f>
        <v>Adrenoceptors</v>
      </c>
      <c r="AC85" s="49">
        <f>VLOOKUP(B85,'SegEnds_NonXtal_Prot#'!A:AL,6,FALSE)-VLOOKUP(B85,'SegEnds_NonXtal_Prot#'!A:AL,5,FALSE)</f>
        <v>1</v>
      </c>
      <c r="AD85" s="49">
        <f>VLOOKUP(B85,'SegEnds_NonXtal_Prot#'!A:AL,9,FALSE)-VLOOKUP(B85,'SegEnds_NonXtal_Prot#'!A:AL,8,FALSE)</f>
        <v>1</v>
      </c>
      <c r="AE85" s="49">
        <f>VLOOKUP(B85,'SegEnds_NonXtal_Prot#'!A:AL,13,FALSE)-VLOOKUP(B85,'SegEnds_NonXtal_Prot#'!A:AL,10,FALSE)</f>
        <v>20</v>
      </c>
      <c r="AF85" s="49">
        <f>VLOOKUP(B85,'SegEnds_NonXtal_Prot#'!A:AL,12,FALSE)-VLOOKUP(B85,'SegEnds_NonXtal_Prot#'!A:AL,11,FALSE)</f>
        <v>1</v>
      </c>
      <c r="AG85" s="49">
        <f>VLOOKUP(B85,'SegEnds_NonXtal_Prot#'!A:AL,13,FALSE)-VLOOKUP(B85,'SegEnds_NonXtal_Prot#'!A:AL,11,FALSE)</f>
        <v>2</v>
      </c>
      <c r="AH85" s="49">
        <f>VLOOKUP(B85,'SegEnds_NonXtal_Prot#'!A:AL,16,FALSE)-VLOOKUP(B85,'SegEnds_NonXtal_Prot#'!A:AL,10,FALSE)</f>
        <v>52</v>
      </c>
      <c r="AI85" s="49">
        <f>VLOOKUP(B85,'SegEnds_NonXtal_Prot#'!A:AL,16,FALSE)-VLOOKUP(B85,'SegEnds_NonXtal_Prot#'!A:AL,11,FALSE)</f>
        <v>34</v>
      </c>
      <c r="AJ85" s="49">
        <f>VLOOKUP(B85,'SegEnds_NonXtal_Prot#'!A:AL,22,FALSE)-VLOOKUP(B85,'SegEnds_NonXtal_Prot#'!A:AL,19,FALSE)</f>
        <v>20</v>
      </c>
      <c r="AK85" s="49">
        <f>VLOOKUP(B85,'SegEnds_NonXtal_Prot#'!A:AL,15,FALSE)-VLOOKUP(B85,'SegEnds_NonXtal_Prot#'!A:AL,14,FALSE)</f>
        <v>1</v>
      </c>
      <c r="AL85" s="49">
        <f>VLOOKUP(B85,'SegEnds_NonXtal_Prot#'!A:AL,18,FALSE)-VLOOKUP(B85,'SegEnds_NonXtal_Prot#'!A:AL,17,FALSE)</f>
        <v>1</v>
      </c>
      <c r="AM85" s="2">
        <f>VLOOKUP(B85,'SegEnds_NonXtal_Prot#'!A:AL,34,FALSE)-VLOOKUP(B85,'SegEnds_NonXtal_Prot#'!A:AL,31,FALSE)</f>
        <v>37</v>
      </c>
    </row>
    <row r="86" spans="1:39" x14ac:dyDescent="0.2">
      <c r="A86" s="2" t="str">
        <f t="shared" ref="A86" si="11">CONCATENATE(B86,"__wt",)</f>
        <v>mc4r_human__wt</v>
      </c>
      <c r="B86" s="2" t="s">
        <v>296</v>
      </c>
      <c r="C86" s="2">
        <f>IFERROR(50+VLOOKUP($A86,'SegEnds_Xtal_Prot#'!$A:$AY,5,FALSE)-VLOOKUP($B86,'SegEnds_NonXtal_Prot#'!$A:$AL,4,FALSE),"-")</f>
        <v>35</v>
      </c>
      <c r="D86" s="2">
        <f>IFERROR(50+VLOOKUP($A86,'SegEnds_Xtal_Prot#'!$A:$AY,7,FALSE)-VLOOKUP($B86,'SegEnds_NonXtal_Prot#'!$A:$AL,4,FALSE),"-")</f>
        <v>60</v>
      </c>
      <c r="E86" s="2">
        <f>IFERROR(50+VLOOKUP($A86,'SegEnds_Xtal_Prot#'!$A:$AY,9,FALSE)-VLOOKUP($B86,'SegEnds_NonXtal_Prot#'!$A:$AL,7,FALSE),"-")</f>
        <v>48</v>
      </c>
      <c r="F86" s="2">
        <f>IFERROR(50+VLOOKUP($A86,'SegEnds_Xtal_Prot#'!$A:$AY,11,FALSE)-VLOOKUP($B86,'SegEnds_NonXtal_Prot#'!$A:$AL,7,FALSE),"-")</f>
        <v>51</v>
      </c>
      <c r="G86" s="2">
        <f>IFERROR(50+VLOOKUP($A86,'SegEnds_Xtal_Prot#'!$A:$AY,13,FALSE)-VLOOKUP($B86,'SegEnds_NonXtal_Prot#'!$A:$AL,10,FALSE),"-")</f>
        <v>37</v>
      </c>
      <c r="H86" s="2">
        <f>IFERROR(50+VLOOKUP($A86,'SegEnds_Xtal_Prot#'!$A:$AY,15,FALSE)-VLOOKUP($B86,'SegEnds_NonXtal_Prot#'!$A:$AL,10,FALSE),"-")</f>
        <v>67</v>
      </c>
      <c r="I86" s="2" t="str">
        <f>IFERROR(50+VLOOKUP($A86,'SegEnds_Xtal_Prot#'!$A:$AY,17,FALSE)-VLOOKUP($B86,'SegEnds_NonXtal_Prot#'!$A:$AL,13,FALSE),"-")</f>
        <v>-</v>
      </c>
      <c r="J86" s="2" t="str">
        <f>IFERROR(50+VLOOKUP($A86,'SegEnds_Xtal_Prot#'!$A:$AY,19,FALSE)-VLOOKUP($B86,'SegEnds_NonXtal_Prot#'!$A:$AL,13,FALSE),"-")</f>
        <v>-</v>
      </c>
      <c r="K86" s="2">
        <f>IFERROR(50+VLOOKUP($A86,'SegEnds_Xtal_Prot#'!$A:$AY,21,FALSE)-VLOOKUP($B86,'SegEnds_NonXtal_Prot#'!$A:$AL,16,FALSE),"-")</f>
        <v>18</v>
      </c>
      <c r="L86" s="2">
        <f>IFERROR(50+VLOOKUP($A86,'SegEnds_Xtal_Prot#'!$A:$AY,23,FALSE)-VLOOKUP($B86,'SegEnds_NonXtal_Prot#'!$A:$AL,16,FALSE),"-")</f>
        <v>56</v>
      </c>
      <c r="M86" s="2">
        <f>IFERROR(50+VLOOKUP($A86,'SegEnds_Xtal_Prot#'!$A:$AY,25,FALSE)-VLOOKUP($B86,'SegEnds_NonXtal_Prot#'!$A:$AL,19,FALSE),"-")</f>
        <v>50</v>
      </c>
      <c r="N86" s="2">
        <f>IFERROR(50+VLOOKUP($A86,'SegEnds_Xtal_Prot#'!$A:$AY,27,FALSE)-VLOOKUP($B86,'SegEnds_NonXtal_Prot#'!$A:$AL,19,FALSE),"-")</f>
        <v>57</v>
      </c>
      <c r="O86" s="2">
        <f>IFERROR(50+VLOOKUP($A86,'SegEnds_Xtal_Prot#'!$A:$AY,29,FALSE)-VLOOKUP($B86,'SegEnds_NonXtal_Prot#'!$A:$AL,22,FALSE),"-")</f>
        <v>38</v>
      </c>
      <c r="P86" s="2">
        <f>IFERROR(50+VLOOKUP($A86,'SegEnds_Xtal_Prot#'!$A:$AY,31,FALSE)-VLOOKUP($B86,'SegEnds_NonXtal_Prot#'!$A:$AL,22,FALSE),"-")</f>
        <v>64</v>
      </c>
      <c r="Q86" s="2" t="str">
        <f>IFERROR(50+VLOOKUP($A86,'SegEnds_Xtal_Prot#'!$A:$AY,33,FALSE)-VLOOKUP($B86,'SegEnds_NonXtal_Prot#'!$A:$AL,25,FALSE),"-")</f>
        <v>-</v>
      </c>
      <c r="R86" s="2" t="str">
        <f>IFERROR(50+VLOOKUP($A86,'SegEnds_Xtal_Prot#'!$A:$AY,35,FALSE)-VLOOKUP($B86,'SegEnds_NonXtal_Prot#'!$A:$AL,25,FALSE),"-")</f>
        <v>-</v>
      </c>
      <c r="S86" s="2">
        <f>IFERROR(50+VLOOKUP($A86,'SegEnds_Xtal_Prot#'!$A:$AY,37,FALSE)-VLOOKUP($B86,'SegEnds_NonXtal_Prot#'!$A:$AL,28,FALSE),"-")</f>
        <v>36</v>
      </c>
      <c r="T86" s="2">
        <f>IFERROR(50+VLOOKUP($A86,'SegEnds_Xtal_Prot#'!$A:$AY,39,FALSE)-VLOOKUP($B86,'SegEnds_NonXtal_Prot#'!$A:$AL,28,FALSE),"-")</f>
        <v>73</v>
      </c>
      <c r="U86" s="2">
        <f>IFERROR(50+VLOOKUP($A86,'SegEnds_Xtal_Prot#'!$A:$AY,41,FALSE)-VLOOKUP($B86,'SegEnds_NonXtal_Prot#'!$A:$AL,31,FALSE),"-")</f>
        <v>27</v>
      </c>
      <c r="V86" s="2">
        <f>IFERROR(50+VLOOKUP($A86,'SegEnds_Xtal_Prot#'!$A:$AY,43,FALSE)-VLOOKUP($B86,'SegEnds_NonXtal_Prot#'!$A:$AL,31,FALSE),"-")</f>
        <v>61</v>
      </c>
      <c r="W86" s="2">
        <f>IFERROR(50+VLOOKUP($A86,'SegEnds_Xtal_Prot#'!$A:$AY,45,FALSE)-VLOOKUP($B86,'SegEnds_NonXtal_Prot#'!$A:$AL,34,FALSE),"-")</f>
        <v>34</v>
      </c>
      <c r="X86" s="2">
        <f>IFERROR(50+VLOOKUP($A86,'SegEnds_Xtal_Prot#'!$A:$AY,47,FALSE)-VLOOKUP($B86,'SegEnds_NonXtal_Prot#'!$A:$AL,34,FALSE),"-")</f>
        <v>56</v>
      </c>
      <c r="Y86" s="2">
        <f>IFERROR(50+VLOOKUP($A86,'SegEnds_Xtal_Prot#'!$A:$AY,49,FALSE)-VLOOKUP($B86,'SegEnds_NonXtal_Prot#'!$A:$AL,37,FALSE),"-")</f>
        <v>47</v>
      </c>
      <c r="Z86" s="2">
        <f>IFERROR(50+VLOOKUP($A86,'SegEnds_Xtal_Prot#'!$A:$AY,51,FALSE)-VLOOKUP($B86,'SegEnds_NonXtal_Prot#'!$A:$AL,37,FALSE),"-")</f>
        <v>61</v>
      </c>
      <c r="AA86" s="49" t="str">
        <f>VLOOKUP(B86,Classification!A:D,2,FALSE)</f>
        <v>A</v>
      </c>
      <c r="AB86" s="94" t="str">
        <f>VLOOKUP(B86,Classification!A:D,4,0)</f>
        <v>Melanocortin</v>
      </c>
      <c r="AC86" s="49">
        <f>VLOOKUP(B86,'SegEnds_NonXtal_Prot#'!A:AL,6,FALSE)-VLOOKUP(B86,'SegEnds_NonXtal_Prot#'!A:AL,5,FALSE)</f>
        <v>1</v>
      </c>
      <c r="AD86" s="49">
        <f>VLOOKUP(B86,'SegEnds_NonXtal_Prot#'!A:AL,9,FALSE)-VLOOKUP(B86,'SegEnds_NonXtal_Prot#'!A:AL,8,FALSE)</f>
        <v>1</v>
      </c>
      <c r="AE86" s="49" t="e">
        <f>VLOOKUP(B86,'SegEnds_NonXtal_Prot#'!A:AL,13,FALSE)-VLOOKUP(B86,'SegEnds_NonXtal_Prot#'!A:AL,10,FALSE)</f>
        <v>#VALUE!</v>
      </c>
      <c r="AF86" s="49" t="e">
        <f>VLOOKUP(B86,'SegEnds_NonXtal_Prot#'!A:AL,12,FALSE)-VLOOKUP(B86,'SegEnds_NonXtal_Prot#'!A:AL,11,FALSE)</f>
        <v>#VALUE!</v>
      </c>
      <c r="AG86" s="49" t="e">
        <f>VLOOKUP(B86,'SegEnds_NonXtal_Prot#'!A:AL,13,FALSE)-VLOOKUP(B86,'SegEnds_NonXtal_Prot#'!A:AL,11,FALSE)</f>
        <v>#VALUE!</v>
      </c>
      <c r="AH86" s="49">
        <f>VLOOKUP(B86,'SegEnds_NonXtal_Prot#'!A:AL,16,FALSE)-VLOOKUP(B86,'SegEnds_NonXtal_Prot#'!A:AL,10,FALSE)</f>
        <v>57</v>
      </c>
      <c r="AI86" s="49">
        <f>VLOOKUP(B86,'SegEnds_NonXtal_Prot#'!A:AL,16,FALSE)-VLOOKUP(B86,'SegEnds_NonXtal_Prot#'!A:AL,11,FALSE)</f>
        <v>40</v>
      </c>
      <c r="AJ86" s="49">
        <f>VLOOKUP(B86,'SegEnds_NonXtal_Prot#'!A:AL,22,FALSE)-VLOOKUP(B86,'SegEnds_NonXtal_Prot#'!A:AL,19,FALSE)</f>
        <v>20</v>
      </c>
      <c r="AK86" s="49" t="e">
        <f>VLOOKUP(B86,'SegEnds_NonXtal_Prot#'!A:AL,15,FALSE)-VLOOKUP(B86,'SegEnds_NonXtal_Prot#'!A:AL,14,FALSE)</f>
        <v>#VALUE!</v>
      </c>
      <c r="AL86" s="49">
        <f>VLOOKUP(B86,'SegEnds_NonXtal_Prot#'!A:AL,18,FALSE)-VLOOKUP(B86,'SegEnds_NonXtal_Prot#'!A:AL,17,FALSE)</f>
        <v>1</v>
      </c>
      <c r="AM86" s="2">
        <f>VLOOKUP(B86,'SegEnds_NonXtal_Prot#'!A:AL,34,FALSE)-VLOOKUP(B86,'SegEnds_NonXtal_Prot#'!A:AL,31,FALSE)</f>
        <v>39</v>
      </c>
    </row>
    <row r="87" spans="1:39" x14ac:dyDescent="0.2">
      <c r="A87" s="2" t="str">
        <f t="shared" ref="A87" si="12">CONCATENATE(B87,"__wt",)</f>
        <v>ccr6_human__wt</v>
      </c>
      <c r="B87" s="2" t="s">
        <v>174</v>
      </c>
      <c r="C87" s="2">
        <f>IFERROR(50+VLOOKUP($A87,'SegEnds_Xtal_Prot#'!$A:$AY,5,FALSE)-VLOOKUP($B87,'SegEnds_NonXtal_Prot#'!$A:$AL,4,FALSE),"-")</f>
        <v>25</v>
      </c>
      <c r="D87" s="2">
        <f>IFERROR(50+VLOOKUP($A87,'SegEnds_Xtal_Prot#'!$A:$AY,7,FALSE)-VLOOKUP($B87,'SegEnds_NonXtal_Prot#'!$A:$AL,4,FALSE),"-")</f>
        <v>60</v>
      </c>
      <c r="E87" s="2">
        <f>IFERROR(50+VLOOKUP($A87,'SegEnds_Xtal_Prot#'!$A:$AY,9,FALSE)-VLOOKUP($B87,'SegEnds_NonXtal_Prot#'!$A:$AL,7,FALSE),"-")</f>
        <v>48</v>
      </c>
      <c r="F87" s="2">
        <f>IFERROR(50+VLOOKUP($A87,'SegEnds_Xtal_Prot#'!$A:$AY,11,FALSE)-VLOOKUP($B87,'SegEnds_NonXtal_Prot#'!$A:$AL,7,FALSE),"-")</f>
        <v>51</v>
      </c>
      <c r="G87" s="2">
        <f>IFERROR(50+VLOOKUP($A87,'SegEnds_Xtal_Prot#'!$A:$AY,13,FALSE)-VLOOKUP($B87,'SegEnds_NonXtal_Prot#'!$A:$AL,10,FALSE),"-")</f>
        <v>37</v>
      </c>
      <c r="H87" s="2">
        <f>IFERROR(50+VLOOKUP($A87,'SegEnds_Xtal_Prot#'!$A:$AY,15,FALSE)-VLOOKUP($B87,'SegEnds_NonXtal_Prot#'!$A:$AL,10,FALSE),"-")</f>
        <v>67</v>
      </c>
      <c r="I87" s="2">
        <f>IFERROR(50+VLOOKUP($A87,'SegEnds_Xtal_Prot#'!$A:$AY,17,FALSE)-VLOOKUP($B87,'SegEnds_NonXtal_Prot#'!$A:$AL,13,FALSE),"-")</f>
        <v>49</v>
      </c>
      <c r="J87" s="2">
        <f>IFERROR(50+VLOOKUP($A87,'SegEnds_Xtal_Prot#'!$A:$AY,19,FALSE)-VLOOKUP($B87,'SegEnds_NonXtal_Prot#'!$A:$AL,13,FALSE),"-")</f>
        <v>52</v>
      </c>
      <c r="K87" s="2">
        <f>IFERROR(50+VLOOKUP($A87,'SegEnds_Xtal_Prot#'!$A:$AY,21,FALSE)-VLOOKUP($B87,'SegEnds_NonXtal_Prot#'!$A:$AL,16,FALSE),"-")</f>
        <v>21</v>
      </c>
      <c r="L87" s="2">
        <f>IFERROR(50+VLOOKUP($A87,'SegEnds_Xtal_Prot#'!$A:$AY,23,FALSE)-VLOOKUP($B87,'SegEnds_NonXtal_Prot#'!$A:$AL,16,FALSE),"-")</f>
        <v>56</v>
      </c>
      <c r="M87" s="2">
        <f>IFERROR(50+VLOOKUP($A87,'SegEnds_Xtal_Prot#'!$A:$AY,25,FALSE)-VLOOKUP($B87,'SegEnds_NonXtal_Prot#'!$A:$AL,19,FALSE),"-")</f>
        <v>50</v>
      </c>
      <c r="N87" s="2">
        <f>IFERROR(50+VLOOKUP($A87,'SegEnds_Xtal_Prot#'!$A:$AY,27,FALSE)-VLOOKUP($B87,'SegEnds_NonXtal_Prot#'!$A:$AL,19,FALSE),"-")</f>
        <v>56</v>
      </c>
      <c r="O87" s="2">
        <f>IFERROR(50+VLOOKUP($A87,'SegEnds_Xtal_Prot#'!$A:$AY,29,FALSE)-VLOOKUP($B87,'SegEnds_NonXtal_Prot#'!$A:$AL,22,FALSE),"-")</f>
        <v>38</v>
      </c>
      <c r="P87" s="2">
        <f>IFERROR(50+VLOOKUP($A87,'SegEnds_Xtal_Prot#'!$A:$AY,31,FALSE)-VLOOKUP($B87,'SegEnds_NonXtal_Prot#'!$A:$AL,22,FALSE),"-")</f>
        <v>64</v>
      </c>
      <c r="Q87" s="2">
        <f>IFERROR(50+VLOOKUP($A87,'SegEnds_Xtal_Prot#'!$A:$AY,33,FALSE)-VLOOKUP($B87,'SegEnds_NonXtal_Prot#'!$A:$AL,25,FALSE),"-")</f>
        <v>50</v>
      </c>
      <c r="R87" s="2">
        <f>IFERROR(50+VLOOKUP($A87,'SegEnds_Xtal_Prot#'!$A:$AY,35,FALSE)-VLOOKUP($B87,'SegEnds_NonXtal_Prot#'!$A:$AL,25,FALSE),"-")</f>
        <v>52</v>
      </c>
      <c r="S87" s="2">
        <f>IFERROR(50+VLOOKUP($A87,'SegEnds_Xtal_Prot#'!$A:$AY,37,FALSE)-VLOOKUP($B87,'SegEnds_NonXtal_Prot#'!$A:$AL,28,FALSE),"-")</f>
        <v>31</v>
      </c>
      <c r="T87" s="2">
        <f>IFERROR(50+VLOOKUP($A87,'SegEnds_Xtal_Prot#'!$A:$AY,39,FALSE)-VLOOKUP($B87,'SegEnds_NonXtal_Prot#'!$A:$AL,28,FALSE),"-")</f>
        <v>49</v>
      </c>
      <c r="U87" s="2">
        <f>IFERROR(50+VLOOKUP($A87,'SegEnds_Xtal_Prot#'!$A:$AY,41,FALSE)-VLOOKUP($B87,'SegEnds_NonXtal_Prot#'!$A:$AL,31,FALSE),"-")</f>
        <v>30</v>
      </c>
      <c r="V87" s="2">
        <f>IFERROR(50+VLOOKUP($A87,'SegEnds_Xtal_Prot#'!$A:$AY,43,FALSE)-VLOOKUP($B87,'SegEnds_NonXtal_Prot#'!$A:$AL,31,FALSE),"-")</f>
        <v>60</v>
      </c>
      <c r="W87" s="2">
        <f>IFERROR(50+VLOOKUP($A87,'SegEnds_Xtal_Prot#'!$A:$AY,45,FALSE)-VLOOKUP($B87,'SegEnds_NonXtal_Prot#'!$A:$AL,34,FALSE),"-")</f>
        <v>24</v>
      </c>
      <c r="X87" s="2">
        <f>IFERROR(50+VLOOKUP($A87,'SegEnds_Xtal_Prot#'!$A:$AY,47,FALSE)-VLOOKUP($B87,'SegEnds_NonXtal_Prot#'!$A:$AL,34,FALSE),"-")</f>
        <v>56</v>
      </c>
      <c r="Y87" s="2">
        <f>IFERROR(50+VLOOKUP($A87,'SegEnds_Xtal_Prot#'!$A:$AY,49,FALSE)-VLOOKUP($B87,'SegEnds_NonXtal_Prot#'!$A:$AL,37,FALSE),"-")</f>
        <v>47</v>
      </c>
      <c r="Z87" s="2">
        <f>IFERROR(50+VLOOKUP($A87,'SegEnds_Xtal_Prot#'!$A:$AY,51,FALSE)-VLOOKUP($B87,'SegEnds_NonXtal_Prot#'!$A:$AL,37,FALSE),"-")</f>
        <v>62</v>
      </c>
      <c r="AA87" s="49" t="str">
        <f>VLOOKUP(B87,Classification!A:D,2,FALSE)</f>
        <v>A</v>
      </c>
      <c r="AB87" s="94" t="str">
        <f>VLOOKUP(B87,Classification!A:D,4,0)</f>
        <v>Chemokine</v>
      </c>
      <c r="AC87" s="49">
        <f>VLOOKUP(B87,'SegEnds_NonXtal_Prot#'!A:AL,6,FALSE)-VLOOKUP(B87,'SegEnds_NonXtal_Prot#'!A:AL,5,FALSE)</f>
        <v>1</v>
      </c>
      <c r="AD87" s="49">
        <f>VLOOKUP(B87,'SegEnds_NonXtal_Prot#'!A:AL,9,FALSE)-VLOOKUP(B87,'SegEnds_NonXtal_Prot#'!A:AL,8,FALSE)</f>
        <v>1</v>
      </c>
      <c r="AE87" s="49">
        <f>VLOOKUP(B87,'SegEnds_NonXtal_Prot#'!A:AL,13,FALSE)-VLOOKUP(B87,'SegEnds_NonXtal_Prot#'!A:AL,10,FALSE)</f>
        <v>19</v>
      </c>
      <c r="AF87" s="49">
        <f>VLOOKUP(B87,'SegEnds_NonXtal_Prot#'!A:AL,12,FALSE)-VLOOKUP(B87,'SegEnds_NonXtal_Prot#'!A:AL,11,FALSE)</f>
        <v>1</v>
      </c>
      <c r="AG87" s="49">
        <f>VLOOKUP(B87,'SegEnds_NonXtal_Prot#'!A:AL,13,FALSE)-VLOOKUP(B87,'SegEnds_NonXtal_Prot#'!A:AL,11,FALSE)</f>
        <v>2</v>
      </c>
      <c r="AH87" s="49">
        <f>VLOOKUP(B87,'SegEnds_NonXtal_Prot#'!A:AL,16,FALSE)-VLOOKUP(B87,'SegEnds_NonXtal_Prot#'!A:AL,10,FALSE)</f>
        <v>51</v>
      </c>
      <c r="AI87" s="49">
        <f>VLOOKUP(B87,'SegEnds_NonXtal_Prot#'!A:AL,16,FALSE)-VLOOKUP(B87,'SegEnds_NonXtal_Prot#'!A:AL,11,FALSE)</f>
        <v>34</v>
      </c>
      <c r="AJ87" s="49">
        <f>VLOOKUP(B87,'SegEnds_NonXtal_Prot#'!A:AL,22,FALSE)-VLOOKUP(B87,'SegEnds_NonXtal_Prot#'!A:AL,19,FALSE)</f>
        <v>22</v>
      </c>
      <c r="AK87" s="49">
        <f>VLOOKUP(B87,'SegEnds_NonXtal_Prot#'!A:AL,15,FALSE)-VLOOKUP(B87,'SegEnds_NonXtal_Prot#'!A:AL,14,FALSE)</f>
        <v>1</v>
      </c>
      <c r="AL87" s="49">
        <f>VLOOKUP(B87,'SegEnds_NonXtal_Prot#'!A:AL,18,FALSE)-VLOOKUP(B87,'SegEnds_NonXtal_Prot#'!A:AL,17,FALSE)</f>
        <v>1</v>
      </c>
      <c r="AM87" s="2">
        <f>VLOOKUP(B87,'SegEnds_NonXtal_Prot#'!A:AL,34,FALSE)-VLOOKUP(B87,'SegEnds_NonXtal_Prot#'!A:AL,31,FALSE)</f>
        <v>44</v>
      </c>
    </row>
    <row r="88" spans="1:39" x14ac:dyDescent="0.2">
      <c r="A88" s="2" t="str">
        <f t="shared" ref="A88" si="13">CONCATENATE(B88,"__wt",)</f>
        <v>drd4_mouse__wt</v>
      </c>
      <c r="B88" s="2" t="s">
        <v>1688</v>
      </c>
      <c r="C88" s="2">
        <f>IFERROR(50+VLOOKUP($A88,'SegEnds_Xtal_Prot#'!$A:$AY,5,FALSE)-VLOOKUP($B88,'SegEnds_NonXtal_Prot#'!$A:$AL,4,FALSE),"-")</f>
        <v>29</v>
      </c>
      <c r="D88" s="2">
        <f>IFERROR(50+VLOOKUP($A88,'SegEnds_Xtal_Prot#'!$A:$AY,7,FALSE)-VLOOKUP($B88,'SegEnds_NonXtal_Prot#'!$A:$AL,4,FALSE),"-")</f>
        <v>60</v>
      </c>
      <c r="E88" s="2">
        <f>IFERROR(50+VLOOKUP($A88,'SegEnds_Xtal_Prot#'!$A:$AY,9,FALSE)-VLOOKUP($B88,'SegEnds_NonXtal_Prot#'!$A:$AL,7,FALSE),"-")</f>
        <v>48</v>
      </c>
      <c r="F88" s="2">
        <f>IFERROR(50+VLOOKUP($A88,'SegEnds_Xtal_Prot#'!$A:$AY,11,FALSE)-VLOOKUP($B88,'SegEnds_NonXtal_Prot#'!$A:$AL,7,FALSE),"-")</f>
        <v>51</v>
      </c>
      <c r="G88" s="2">
        <f>IFERROR(50+VLOOKUP($A88,'SegEnds_Xtal_Prot#'!$A:$AY,13,FALSE)-VLOOKUP($B88,'SegEnds_NonXtal_Prot#'!$A:$AL,10,FALSE),"-")</f>
        <v>37</v>
      </c>
      <c r="H88" s="2">
        <f>IFERROR(50+VLOOKUP($A88,'SegEnds_Xtal_Prot#'!$A:$AY,15,FALSE)-VLOOKUP($B88,'SegEnds_NonXtal_Prot#'!$A:$AL,10,FALSE),"-")</f>
        <v>68</v>
      </c>
      <c r="I88" s="2">
        <f>IFERROR(50+VLOOKUP($A88,'SegEnds_Xtal_Prot#'!$A:$AY,17,FALSE)-VLOOKUP($B88,'SegEnds_NonXtal_Prot#'!$A:$AL,13,FALSE),"-")</f>
        <v>49</v>
      </c>
      <c r="J88" s="2">
        <f>IFERROR(50+VLOOKUP($A88,'SegEnds_Xtal_Prot#'!$A:$AY,19,FALSE)-VLOOKUP($B88,'SegEnds_NonXtal_Prot#'!$A:$AL,13,FALSE),"-")</f>
        <v>52</v>
      </c>
      <c r="K88" s="2">
        <f>IFERROR(50+VLOOKUP($A88,'SegEnds_Xtal_Prot#'!$A:$AY,21,FALSE)-VLOOKUP($B88,'SegEnds_NonXtal_Prot#'!$A:$AL,16,FALSE),"-")</f>
        <v>21</v>
      </c>
      <c r="L88" s="2">
        <f>IFERROR(50+VLOOKUP($A88,'SegEnds_Xtal_Prot#'!$A:$AY,23,FALSE)-VLOOKUP($B88,'SegEnds_NonXtal_Prot#'!$A:$AL,16,FALSE),"-")</f>
        <v>56</v>
      </c>
      <c r="M88" s="2">
        <f>IFERROR(50+VLOOKUP($A88,'SegEnds_Xtal_Prot#'!$A:$AY,25,FALSE)-VLOOKUP($B88,'SegEnds_NonXtal_Prot#'!$A:$AL,19,FALSE),"-")</f>
        <v>50</v>
      </c>
      <c r="N88" s="2">
        <f>IFERROR(50+VLOOKUP($A88,'SegEnds_Xtal_Prot#'!$A:$AY,27,FALSE)-VLOOKUP($B88,'SegEnds_NonXtal_Prot#'!$A:$AL,19,FALSE),"-")</f>
        <v>53</v>
      </c>
      <c r="O88" s="2">
        <f>IFERROR(50+VLOOKUP($A88,'SegEnds_Xtal_Prot#'!$A:$AY,29,FALSE)-VLOOKUP($B88,'SegEnds_NonXtal_Prot#'!$A:$AL,22,FALSE),"-")</f>
        <v>36</v>
      </c>
      <c r="P88" s="2">
        <f>IFERROR(50+VLOOKUP($A88,'SegEnds_Xtal_Prot#'!$A:$AY,31,FALSE)-VLOOKUP($B88,'SegEnds_NonXtal_Prot#'!$A:$AL,22,FALSE),"-")</f>
        <v>63</v>
      </c>
      <c r="Q88" s="2">
        <f>IFERROR(50+VLOOKUP($A88,'SegEnds_Xtal_Prot#'!$A:$AY,33,FALSE)-VLOOKUP($B88,'SegEnds_NonXtal_Prot#'!$A:$AL,25,FALSE),"-")</f>
        <v>50</v>
      </c>
      <c r="R88" s="2">
        <f>IFERROR(50+VLOOKUP($A88,'SegEnds_Xtal_Prot#'!$A:$AY,35,FALSE)-VLOOKUP($B88,'SegEnds_NonXtal_Prot#'!$A:$AL,25,FALSE),"-")</f>
        <v>52</v>
      </c>
      <c r="S88" s="2">
        <f>IFERROR(50+VLOOKUP($A88,'SegEnds_Xtal_Prot#'!$A:$AY,37,FALSE)-VLOOKUP($B88,'SegEnds_NonXtal_Prot#'!$A:$AL,28,FALSE),"-")</f>
        <v>35</v>
      </c>
      <c r="T88" s="2">
        <f>IFERROR(50+VLOOKUP($A88,'SegEnds_Xtal_Prot#'!$A:$AY,39,FALSE)-VLOOKUP($B88,'SegEnds_NonXtal_Prot#'!$A:$AL,28,FALSE),"-")</f>
        <v>76</v>
      </c>
      <c r="U88" s="2">
        <f>IFERROR(50+VLOOKUP($A88,'SegEnds_Xtal_Prot#'!$A:$AY,41,FALSE)-VLOOKUP($B88,'SegEnds_NonXtal_Prot#'!$A:$AL,31,FALSE),"-")</f>
        <v>24</v>
      </c>
      <c r="V88" s="2">
        <f>IFERROR(50+VLOOKUP($A88,'SegEnds_Xtal_Prot#'!$A:$AY,43,FALSE)-VLOOKUP($B88,'SegEnds_NonXtal_Prot#'!$A:$AL,31,FALSE),"-")</f>
        <v>61</v>
      </c>
      <c r="W88" s="2">
        <f>IFERROR(50+VLOOKUP($A88,'SegEnds_Xtal_Prot#'!$A:$AY,45,FALSE)-VLOOKUP($B88,'SegEnds_NonXtal_Prot#'!$A:$AL,34,FALSE),"-")</f>
        <v>31</v>
      </c>
      <c r="X88" s="2">
        <f>IFERROR(50+VLOOKUP($A88,'SegEnds_Xtal_Prot#'!$A:$AY,47,FALSE)-VLOOKUP($B88,'SegEnds_NonXtal_Prot#'!$A:$AL,34,FALSE),"-")</f>
        <v>56</v>
      </c>
      <c r="Y88" s="2">
        <f>IFERROR(50+VLOOKUP($A88,'SegEnds_Xtal_Prot#'!$A:$AY,49,FALSE)-VLOOKUP($B88,'SegEnds_NonXtal_Prot#'!$A:$AL,37,FALSE),"-")</f>
        <v>47</v>
      </c>
      <c r="Z88" s="2">
        <f>IFERROR(50+VLOOKUP($A88,'SegEnds_Xtal_Prot#'!$A:$AY,51,FALSE)-VLOOKUP($B88,'SegEnds_NonXtal_Prot#'!$A:$AL,37,FALSE),"-")</f>
        <v>59</v>
      </c>
      <c r="AA88" s="49" t="str">
        <f>VLOOKUP(B88,Classification!A:D,2,FALSE)</f>
        <v>A</v>
      </c>
      <c r="AB88" s="94" t="str">
        <f>VLOOKUP(B88,Classification!A:D,4,0)</f>
        <v>Dopamine</v>
      </c>
      <c r="AC88" s="49">
        <f>VLOOKUP(B88,'SegEnds_NonXtal_Prot#'!A:AL,6,FALSE)-VLOOKUP(B88,'SegEnds_NonXtal_Prot#'!A:AL,5,FALSE)</f>
        <v>1</v>
      </c>
      <c r="AD88" s="49">
        <f>VLOOKUP(B88,'SegEnds_NonXtal_Prot#'!A:AL,9,FALSE)-VLOOKUP(B88,'SegEnds_NonXtal_Prot#'!A:AL,8,FALSE)</f>
        <v>1</v>
      </c>
      <c r="AE88" s="49">
        <f>VLOOKUP(B88,'SegEnds_NonXtal_Prot#'!A:AL,13,FALSE)-VLOOKUP(B88,'SegEnds_NonXtal_Prot#'!A:AL,10,FALSE)</f>
        <v>21</v>
      </c>
      <c r="AF88" s="49">
        <f>VLOOKUP(B88,'SegEnds_NonXtal_Prot#'!A:AL,12,FALSE)-VLOOKUP(B88,'SegEnds_NonXtal_Prot#'!A:AL,11,FALSE)</f>
        <v>2</v>
      </c>
      <c r="AG88" s="49">
        <f>VLOOKUP(B88,'SegEnds_NonXtal_Prot#'!A:AL,13,FALSE)-VLOOKUP(B88,'SegEnds_NonXtal_Prot#'!A:AL,11,FALSE)</f>
        <v>3</v>
      </c>
      <c r="AH88" s="49">
        <f>VLOOKUP(B88,'SegEnds_NonXtal_Prot#'!A:AL,16,FALSE)-VLOOKUP(B88,'SegEnds_NonXtal_Prot#'!A:AL,10,FALSE)</f>
        <v>53</v>
      </c>
      <c r="AI88" s="49">
        <f>VLOOKUP(B88,'SegEnds_NonXtal_Prot#'!A:AL,16,FALSE)-VLOOKUP(B88,'SegEnds_NonXtal_Prot#'!A:AL,11,FALSE)</f>
        <v>35</v>
      </c>
      <c r="AJ88" s="49">
        <f>VLOOKUP(B88,'SegEnds_NonXtal_Prot#'!A:AL,22,FALSE)-VLOOKUP(B88,'SegEnds_NonXtal_Prot#'!A:AL,19,FALSE)</f>
        <v>18</v>
      </c>
      <c r="AK88" s="49">
        <f>VLOOKUP(B88,'SegEnds_NonXtal_Prot#'!A:AL,15,FALSE)-VLOOKUP(B88,'SegEnds_NonXtal_Prot#'!A:AL,14,FALSE)</f>
        <v>1</v>
      </c>
      <c r="AL88" s="49">
        <f>VLOOKUP(B88,'SegEnds_NonXtal_Prot#'!A:AL,18,FALSE)-VLOOKUP(B88,'SegEnds_NonXtal_Prot#'!A:AL,17,FALSE)</f>
        <v>1</v>
      </c>
      <c r="AM88" s="2">
        <f>VLOOKUP(B88,'SegEnds_NonXtal_Prot#'!A:AL,34,FALSE)-VLOOKUP(B88,'SegEnds_NonXtal_Prot#'!A:AL,31,FALSE)</f>
        <v>36</v>
      </c>
    </row>
    <row r="89" spans="1:39" x14ac:dyDescent="0.2">
      <c r="A89" s="2" t="str">
        <f t="shared" ref="A89" si="14">CONCATENATE(B89,"__wt",)</f>
        <v>ghsr_human__wt</v>
      </c>
      <c r="B89" s="2" t="s">
        <v>208</v>
      </c>
      <c r="C89" s="2">
        <f>IFERROR(50+VLOOKUP($A89,'SegEnds_Xtal_Prot#'!$A:$AY,5,FALSE)-VLOOKUP($B89,'SegEnds_NonXtal_Prot#'!$A:$AL,4,FALSE),"-")</f>
        <v>28</v>
      </c>
      <c r="D89" s="2">
        <f>IFERROR(50+VLOOKUP($A89,'SegEnds_Xtal_Prot#'!$A:$AY,7,FALSE)-VLOOKUP($B89,'SegEnds_NonXtal_Prot#'!$A:$AL,4,FALSE),"-")</f>
        <v>60</v>
      </c>
      <c r="E89" s="2">
        <f>IFERROR(50+VLOOKUP($A89,'SegEnds_Xtal_Prot#'!$A:$AY,9,FALSE)-VLOOKUP($B89,'SegEnds_NonXtal_Prot#'!$A:$AL,7,FALSE),"-")</f>
        <v>48</v>
      </c>
      <c r="F89" s="2">
        <f>IFERROR(50+VLOOKUP($A89,'SegEnds_Xtal_Prot#'!$A:$AY,11,FALSE)-VLOOKUP($B89,'SegEnds_NonXtal_Prot#'!$A:$AL,7,FALSE),"-")</f>
        <v>51</v>
      </c>
      <c r="G89" s="2">
        <f>IFERROR(50+VLOOKUP($A89,'SegEnds_Xtal_Prot#'!$A:$AY,13,FALSE)-VLOOKUP($B89,'SegEnds_NonXtal_Prot#'!$A:$AL,10,FALSE),"-")</f>
        <v>37</v>
      </c>
      <c r="H89" s="2">
        <f>IFERROR(50+VLOOKUP($A89,'SegEnds_Xtal_Prot#'!$A:$AY,15,FALSE)-VLOOKUP($B89,'SegEnds_NonXtal_Prot#'!$A:$AL,10,FALSE),"-")</f>
        <v>67</v>
      </c>
      <c r="I89" s="2">
        <f>IFERROR(50+VLOOKUP($A89,'SegEnds_Xtal_Prot#'!$A:$AY,17,FALSE)-VLOOKUP($B89,'SegEnds_NonXtal_Prot#'!$A:$AL,13,FALSE),"-")</f>
        <v>49</v>
      </c>
      <c r="J89" s="2">
        <f>IFERROR(50+VLOOKUP($A89,'SegEnds_Xtal_Prot#'!$A:$AY,19,FALSE)-VLOOKUP($B89,'SegEnds_NonXtal_Prot#'!$A:$AL,13,FALSE),"-")</f>
        <v>52</v>
      </c>
      <c r="K89" s="2">
        <f>IFERROR(50+VLOOKUP($A89,'SegEnds_Xtal_Prot#'!$A:$AY,21,FALSE)-VLOOKUP($B89,'SegEnds_NonXtal_Prot#'!$A:$AL,16,FALSE),"-")</f>
        <v>21</v>
      </c>
      <c r="L89" s="2">
        <f>IFERROR(50+VLOOKUP($A89,'SegEnds_Xtal_Prot#'!$A:$AY,23,FALSE)-VLOOKUP($B89,'SegEnds_NonXtal_Prot#'!$A:$AL,16,FALSE),"-")</f>
        <v>56</v>
      </c>
      <c r="M89" s="2">
        <f>IFERROR(50+VLOOKUP($A89,'SegEnds_Xtal_Prot#'!$A:$AY,25,FALSE)-VLOOKUP($B89,'SegEnds_NonXtal_Prot#'!$A:$AL,19,FALSE),"-")</f>
        <v>50</v>
      </c>
      <c r="N89" s="2">
        <f>IFERROR(50+VLOOKUP($A89,'SegEnds_Xtal_Prot#'!$A:$AY,27,FALSE)-VLOOKUP($B89,'SegEnds_NonXtal_Prot#'!$A:$AL,19,FALSE),"-")</f>
        <v>57</v>
      </c>
      <c r="O89" s="2">
        <f>IFERROR(50+VLOOKUP($A89,'SegEnds_Xtal_Prot#'!$A:$AY,29,FALSE)-VLOOKUP($B89,'SegEnds_NonXtal_Prot#'!$A:$AL,22,FALSE),"-")</f>
        <v>38</v>
      </c>
      <c r="P89" s="2">
        <f>IFERROR(50+VLOOKUP($A89,'SegEnds_Xtal_Prot#'!$A:$AY,31,FALSE)-VLOOKUP($B89,'SegEnds_NonXtal_Prot#'!$A:$AL,22,FALSE),"-")</f>
        <v>64</v>
      </c>
      <c r="Q89" s="2">
        <f>IFERROR(50+VLOOKUP($A89,'SegEnds_Xtal_Prot#'!$A:$AY,33,FALSE)-VLOOKUP($B89,'SegEnds_NonXtal_Prot#'!$A:$AL,25,FALSE),"-")</f>
        <v>50</v>
      </c>
      <c r="R89" s="2">
        <f>IFERROR(50+VLOOKUP($A89,'SegEnds_Xtal_Prot#'!$A:$AY,35,FALSE)-VLOOKUP($B89,'SegEnds_NonXtal_Prot#'!$A:$AL,25,FALSE),"-")</f>
        <v>52</v>
      </c>
      <c r="S89" s="2">
        <f>IFERROR(50+VLOOKUP($A89,'SegEnds_Xtal_Prot#'!$A:$AY,37,FALSE)-VLOOKUP($B89,'SegEnds_NonXtal_Prot#'!$A:$AL,28,FALSE),"-")</f>
        <v>34</v>
      </c>
      <c r="T89" s="2">
        <f>IFERROR(50+VLOOKUP($A89,'SegEnds_Xtal_Prot#'!$A:$AY,39,FALSE)-VLOOKUP($B89,'SegEnds_NonXtal_Prot#'!$A:$AL,28,FALSE),"-")</f>
        <v>72</v>
      </c>
      <c r="U89" s="2">
        <f>IFERROR(50+VLOOKUP($A89,'SegEnds_Xtal_Prot#'!$A:$AY,41,FALSE)-VLOOKUP($B89,'SegEnds_NonXtal_Prot#'!$A:$AL,31,FALSE),"-")</f>
        <v>24</v>
      </c>
      <c r="V89" s="2">
        <f>IFERROR(50+VLOOKUP($A89,'SegEnds_Xtal_Prot#'!$A:$AY,43,FALSE)-VLOOKUP($B89,'SegEnds_NonXtal_Prot#'!$A:$AL,31,FALSE),"-")</f>
        <v>61</v>
      </c>
      <c r="W89" s="2">
        <f>IFERROR(50+VLOOKUP($A89,'SegEnds_Xtal_Prot#'!$A:$AY,45,FALSE)-VLOOKUP($B89,'SegEnds_NonXtal_Prot#'!$A:$AL,34,FALSE),"-")</f>
        <v>28</v>
      </c>
      <c r="X89" s="2">
        <f>IFERROR(50+VLOOKUP($A89,'SegEnds_Xtal_Prot#'!$A:$AY,47,FALSE)-VLOOKUP($B89,'SegEnds_NonXtal_Prot#'!$A:$AL,34,FALSE),"-")</f>
        <v>56</v>
      </c>
      <c r="Y89" s="2">
        <f>IFERROR(50+VLOOKUP($A89,'SegEnds_Xtal_Prot#'!$A:$AY,49,FALSE)-VLOOKUP($B89,'SegEnds_NonXtal_Prot#'!$A:$AL,37,FALSE),"-")</f>
        <v>47</v>
      </c>
      <c r="Z89" s="2">
        <f>IFERROR(50+VLOOKUP($A89,'SegEnds_Xtal_Prot#'!$A:$AY,51,FALSE)-VLOOKUP($B89,'SegEnds_NonXtal_Prot#'!$A:$AL,37,FALSE),"-")</f>
        <v>62</v>
      </c>
      <c r="AA89" s="49" t="str">
        <f>VLOOKUP(B89,Classification!A:D,2,FALSE)</f>
        <v>A</v>
      </c>
      <c r="AB89" s="94" t="str">
        <f>VLOOKUP(B89,Classification!A:D,4,0)</f>
        <v>Ghrelin</v>
      </c>
      <c r="AC89" s="49">
        <f>VLOOKUP(B89,'SegEnds_NonXtal_Prot#'!A:AL,6,FALSE)-VLOOKUP(B89,'SegEnds_NonXtal_Prot#'!A:AL,5,FALSE)</f>
        <v>1</v>
      </c>
      <c r="AD89" s="49">
        <f>VLOOKUP(B89,'SegEnds_NonXtal_Prot#'!A:AL,9,FALSE)-VLOOKUP(B89,'SegEnds_NonXtal_Prot#'!A:AL,8,FALSE)</f>
        <v>1</v>
      </c>
      <c r="AE89" s="49">
        <f>VLOOKUP(B89,'SegEnds_NonXtal_Prot#'!A:AL,13,FALSE)-VLOOKUP(B89,'SegEnds_NonXtal_Prot#'!A:AL,10,FALSE)</f>
        <v>20</v>
      </c>
      <c r="AF89" s="49">
        <f>VLOOKUP(B89,'SegEnds_NonXtal_Prot#'!A:AL,12,FALSE)-VLOOKUP(B89,'SegEnds_NonXtal_Prot#'!A:AL,11,FALSE)</f>
        <v>2</v>
      </c>
      <c r="AG89" s="49">
        <f>VLOOKUP(B89,'SegEnds_NonXtal_Prot#'!A:AL,13,FALSE)-VLOOKUP(B89,'SegEnds_NonXtal_Prot#'!A:AL,11,FALSE)</f>
        <v>3</v>
      </c>
      <c r="AH89" s="49">
        <f>VLOOKUP(B89,'SegEnds_NonXtal_Prot#'!A:AL,16,FALSE)-VLOOKUP(B89,'SegEnds_NonXtal_Prot#'!A:AL,10,FALSE)</f>
        <v>52</v>
      </c>
      <c r="AI89" s="49">
        <f>VLOOKUP(B89,'SegEnds_NonXtal_Prot#'!A:AL,16,FALSE)-VLOOKUP(B89,'SegEnds_NonXtal_Prot#'!A:AL,11,FALSE)</f>
        <v>35</v>
      </c>
      <c r="AJ89" s="49">
        <f>VLOOKUP(B89,'SegEnds_NonXtal_Prot#'!A:AL,22,FALSE)-VLOOKUP(B89,'SegEnds_NonXtal_Prot#'!A:AL,19,FALSE)</f>
        <v>20</v>
      </c>
      <c r="AK89" s="49">
        <f>VLOOKUP(B89,'SegEnds_NonXtal_Prot#'!A:AL,15,FALSE)-VLOOKUP(B89,'SegEnds_NonXtal_Prot#'!A:AL,14,FALSE)</f>
        <v>1</v>
      </c>
      <c r="AL89" s="49">
        <f>VLOOKUP(B89,'SegEnds_NonXtal_Prot#'!A:AL,18,FALSE)-VLOOKUP(B89,'SegEnds_NonXtal_Prot#'!A:AL,17,FALSE)</f>
        <v>1</v>
      </c>
      <c r="AM89" s="2">
        <f>VLOOKUP(B89,'SegEnds_NonXtal_Prot#'!A:AL,34,FALSE)-VLOOKUP(B89,'SegEnds_NonXtal_Prot#'!A:AL,31,FALSE)</f>
        <v>42</v>
      </c>
    </row>
    <row r="90" spans="1:39" x14ac:dyDescent="0.2">
      <c r="A90" s="2" t="str">
        <f t="shared" ref="A90" si="15">CONCATENATE(B90,"__wt",)</f>
        <v>oxyr_human__wt</v>
      </c>
      <c r="B90" s="2" t="s">
        <v>343</v>
      </c>
      <c r="C90" s="2">
        <f>IFERROR(50+VLOOKUP($A90,'SegEnds_Xtal_Prot#'!$A:$AY,5,FALSE)-VLOOKUP($B90,'SegEnds_NonXtal_Prot#'!$A:$AL,4,FALSE),"-")</f>
        <v>28</v>
      </c>
      <c r="D90" s="2">
        <f>IFERROR(50+VLOOKUP($A90,'SegEnds_Xtal_Prot#'!$A:$AY,7,FALSE)-VLOOKUP($B90,'SegEnds_NonXtal_Prot#'!$A:$AL,4,FALSE),"-")</f>
        <v>60</v>
      </c>
      <c r="E90" s="2">
        <f>IFERROR(50+VLOOKUP($A90,'SegEnds_Xtal_Prot#'!$A:$AY,9,FALSE)-VLOOKUP($B90,'SegEnds_NonXtal_Prot#'!$A:$AL,7,FALSE),"-")</f>
        <v>48</v>
      </c>
      <c r="F90" s="2">
        <f>IFERROR(50+VLOOKUP($A90,'SegEnds_Xtal_Prot#'!$A:$AY,11,FALSE)-VLOOKUP($B90,'SegEnds_NonXtal_Prot#'!$A:$AL,7,FALSE),"-")</f>
        <v>51</v>
      </c>
      <c r="G90" s="2">
        <f>IFERROR(50+VLOOKUP($A90,'SegEnds_Xtal_Prot#'!$A:$AY,13,FALSE)-VLOOKUP($B90,'SegEnds_NonXtal_Prot#'!$A:$AL,10,FALSE),"-")</f>
        <v>37</v>
      </c>
      <c r="H90" s="2">
        <f>IFERROR(50+VLOOKUP($A90,'SegEnds_Xtal_Prot#'!$A:$AY,15,FALSE)-VLOOKUP($B90,'SegEnds_NonXtal_Prot#'!$A:$AL,10,FALSE),"-")</f>
        <v>67</v>
      </c>
      <c r="I90" s="2">
        <f>IFERROR(50+VLOOKUP($A90,'SegEnds_Xtal_Prot#'!$A:$AY,17,FALSE)-VLOOKUP($B90,'SegEnds_NonXtal_Prot#'!$A:$AL,13,FALSE),"-")</f>
        <v>49</v>
      </c>
      <c r="J90" s="2">
        <f>IFERROR(50+VLOOKUP($A90,'SegEnds_Xtal_Prot#'!$A:$AY,19,FALSE)-VLOOKUP($B90,'SegEnds_NonXtal_Prot#'!$A:$AL,13,FALSE),"-")</f>
        <v>52</v>
      </c>
      <c r="K90" s="2">
        <f>IFERROR(50+VLOOKUP($A90,'SegEnds_Xtal_Prot#'!$A:$AY,21,FALSE)-VLOOKUP($B90,'SegEnds_NonXtal_Prot#'!$A:$AL,16,FALSE),"-")</f>
        <v>21</v>
      </c>
      <c r="L90" s="2">
        <f>IFERROR(50+VLOOKUP($A90,'SegEnds_Xtal_Prot#'!$A:$AY,23,FALSE)-VLOOKUP($B90,'SegEnds_NonXtal_Prot#'!$A:$AL,16,FALSE),"-")</f>
        <v>56</v>
      </c>
      <c r="M90" s="2" t="str">
        <f>IFERROR(50+VLOOKUP($A90,'SegEnds_Xtal_Prot#'!$A:$AY,25,FALSE)-VLOOKUP($B90,'SegEnds_NonXtal_Prot#'!$A:$AL,19,FALSE),"-")</f>
        <v>-</v>
      </c>
      <c r="N90" s="2" t="str">
        <f>IFERROR(50+VLOOKUP($A90,'SegEnds_Xtal_Prot#'!$A:$AY,27,FALSE)-VLOOKUP($B90,'SegEnds_NonXtal_Prot#'!$A:$AL,19,FALSE),"-")</f>
        <v>-</v>
      </c>
      <c r="O90" s="2">
        <f>IFERROR(50+VLOOKUP($A90,'SegEnds_Xtal_Prot#'!$A:$AY,29,FALSE)-VLOOKUP($B90,'SegEnds_NonXtal_Prot#'!$A:$AL,22,FALSE),"-")</f>
        <v>38</v>
      </c>
      <c r="P90" s="2">
        <f>IFERROR(50+VLOOKUP($A90,'SegEnds_Xtal_Prot#'!$A:$AY,31,FALSE)-VLOOKUP($B90,'SegEnds_NonXtal_Prot#'!$A:$AL,22,FALSE),"-")</f>
        <v>64</v>
      </c>
      <c r="Q90" s="2">
        <f>IFERROR(50+VLOOKUP($A90,'SegEnds_Xtal_Prot#'!$A:$AY,33,FALSE)-VLOOKUP($B90,'SegEnds_NonXtal_Prot#'!$A:$AL,25,FALSE),"-")</f>
        <v>50</v>
      </c>
      <c r="R90" s="2">
        <f>IFERROR(50+VLOOKUP($A90,'SegEnds_Xtal_Prot#'!$A:$AY,35,FALSE)-VLOOKUP($B90,'SegEnds_NonXtal_Prot#'!$A:$AL,25,FALSE),"-")</f>
        <v>52</v>
      </c>
      <c r="S90" s="2">
        <f>IFERROR(50+VLOOKUP($A90,'SegEnds_Xtal_Prot#'!$A:$AY,37,FALSE)-VLOOKUP($B90,'SegEnds_NonXtal_Prot#'!$A:$AL,28,FALSE),"-")</f>
        <v>33</v>
      </c>
      <c r="T90" s="2">
        <f>IFERROR(50+VLOOKUP($A90,'SegEnds_Xtal_Prot#'!$A:$AY,39,FALSE)-VLOOKUP($B90,'SegEnds_NonXtal_Prot#'!$A:$AL,28,FALSE),"-")</f>
        <v>76</v>
      </c>
      <c r="U90" s="2">
        <f>IFERROR(50+VLOOKUP($A90,'SegEnds_Xtal_Prot#'!$A:$AY,41,FALSE)-VLOOKUP($B90,'SegEnds_NonXtal_Prot#'!$A:$AL,31,FALSE),"-")</f>
        <v>24</v>
      </c>
      <c r="V90" s="2">
        <f>IFERROR(50+VLOOKUP($A90,'SegEnds_Xtal_Prot#'!$A:$AY,43,FALSE)-VLOOKUP($B90,'SegEnds_NonXtal_Prot#'!$A:$AL,31,FALSE),"-")</f>
        <v>60</v>
      </c>
      <c r="W90" s="2">
        <f>IFERROR(50+VLOOKUP($A90,'SegEnds_Xtal_Prot#'!$A:$AY,45,FALSE)-VLOOKUP($B90,'SegEnds_NonXtal_Prot#'!$A:$AL,34,FALSE),"-")</f>
        <v>30</v>
      </c>
      <c r="X90" s="2">
        <f>IFERROR(50+VLOOKUP($A90,'SegEnds_Xtal_Prot#'!$A:$AY,47,FALSE)-VLOOKUP($B90,'SegEnds_NonXtal_Prot#'!$A:$AL,34,FALSE),"-")</f>
        <v>56</v>
      </c>
      <c r="Y90" s="2">
        <f>IFERROR(50+VLOOKUP($A90,'SegEnds_Xtal_Prot#'!$A:$AY,49,FALSE)-VLOOKUP($B90,'SegEnds_NonXtal_Prot#'!$A:$AL,37,FALSE),"-")</f>
        <v>47</v>
      </c>
      <c r="Z90" s="2">
        <f>IFERROR(50+VLOOKUP($A90,'SegEnds_Xtal_Prot#'!$A:$AY,51,FALSE)-VLOOKUP($B90,'SegEnds_NonXtal_Prot#'!$A:$AL,37,FALSE),"-")</f>
        <v>63</v>
      </c>
      <c r="AA90" s="49" t="str">
        <f>VLOOKUP(B90,Classification!A:D,2,FALSE)</f>
        <v>A</v>
      </c>
      <c r="AB90" s="94" t="str">
        <f>VLOOKUP(B90,Classification!A:D,4,0)</f>
        <v>Vasopressinandoxytocin</v>
      </c>
      <c r="AC90" s="49">
        <f>VLOOKUP(B90,'SegEnds_NonXtal_Prot#'!A:AL,6,FALSE)-VLOOKUP(B90,'SegEnds_NonXtal_Prot#'!A:AL,5,FALSE)</f>
        <v>1</v>
      </c>
      <c r="AD90" s="49">
        <f>VLOOKUP(B90,'SegEnds_NonXtal_Prot#'!A:AL,9,FALSE)-VLOOKUP(B90,'SegEnds_NonXtal_Prot#'!A:AL,8,FALSE)</f>
        <v>1</v>
      </c>
      <c r="AE90" s="49">
        <f>VLOOKUP(B90,'SegEnds_NonXtal_Prot#'!A:AL,13,FALSE)-VLOOKUP(B90,'SegEnds_NonXtal_Prot#'!A:AL,10,FALSE)</f>
        <v>20</v>
      </c>
      <c r="AF90" s="49">
        <f>VLOOKUP(B90,'SegEnds_NonXtal_Prot#'!A:AL,12,FALSE)-VLOOKUP(B90,'SegEnds_NonXtal_Prot#'!A:AL,11,FALSE)</f>
        <v>2</v>
      </c>
      <c r="AG90" s="49">
        <f>VLOOKUP(B90,'SegEnds_NonXtal_Prot#'!A:AL,13,FALSE)-VLOOKUP(B90,'SegEnds_NonXtal_Prot#'!A:AL,11,FALSE)</f>
        <v>3</v>
      </c>
      <c r="AH90" s="49">
        <f>VLOOKUP(B90,'SegEnds_NonXtal_Prot#'!A:AL,16,FALSE)-VLOOKUP(B90,'SegEnds_NonXtal_Prot#'!A:AL,10,FALSE)</f>
        <v>52</v>
      </c>
      <c r="AI90" s="49">
        <f>VLOOKUP(B90,'SegEnds_NonXtal_Prot#'!A:AL,16,FALSE)-VLOOKUP(B90,'SegEnds_NonXtal_Prot#'!A:AL,11,FALSE)</f>
        <v>35</v>
      </c>
      <c r="AJ90" s="49" t="e">
        <f>VLOOKUP(B90,'SegEnds_NonXtal_Prot#'!A:AL,22,FALSE)-VLOOKUP(B90,'SegEnds_NonXtal_Prot#'!A:AL,19,FALSE)</f>
        <v>#VALUE!</v>
      </c>
      <c r="AK90" s="49">
        <f>VLOOKUP(B90,'SegEnds_NonXtal_Prot#'!A:AL,15,FALSE)-VLOOKUP(B90,'SegEnds_NonXtal_Prot#'!A:AL,14,FALSE)</f>
        <v>1</v>
      </c>
      <c r="AL90" s="49" t="e">
        <f>VLOOKUP(B90,'SegEnds_NonXtal_Prot#'!A:AL,18,FALSE)-VLOOKUP(B90,'SegEnds_NonXtal_Prot#'!A:AL,17,FALSE)</f>
        <v>#VALUE!</v>
      </c>
      <c r="AM90" s="2">
        <f>VLOOKUP(B90,'SegEnds_NonXtal_Prot#'!A:AL,34,FALSE)-VLOOKUP(B90,'SegEnds_NonXtal_Prot#'!A:AL,31,FALSE)</f>
        <v>36</v>
      </c>
    </row>
    <row r="91" spans="1:39" x14ac:dyDescent="0.2">
      <c r="A91" s="2" t="str">
        <f t="shared" ref="A91" si="16">CONCATENATE(B91,"__wt",)</f>
        <v>sctr_human__wt</v>
      </c>
      <c r="B91" s="2" t="s">
        <v>410</v>
      </c>
      <c r="C91" s="2">
        <f>IFERROR(50+VLOOKUP($A91,'SegEnds_Xtal_Prot#'!$A:$AY,5,FALSE)-VLOOKUP($B91,'SegEnds_NonXtal_Prot#'!$A:$AL,4,FALSE),"-")</f>
        <v>24</v>
      </c>
      <c r="D91" s="2">
        <f>IFERROR(50+VLOOKUP($A91,'SegEnds_Xtal_Prot#'!$A:$AY,7,FALSE)-VLOOKUP($B91,'SegEnds_NonXtal_Prot#'!$A:$AL,4,FALSE),"-")</f>
        <v>60</v>
      </c>
      <c r="E91" s="2">
        <f>IFERROR(50+VLOOKUP($A91,'SegEnds_Xtal_Prot#'!$A:$AY,9,FALSE)-VLOOKUP($B91,'SegEnds_NonXtal_Prot#'!$A:$AL,7,FALSE),"-")</f>
        <v>48</v>
      </c>
      <c r="F91" s="2">
        <f>IFERROR(50+VLOOKUP($A91,'SegEnds_Xtal_Prot#'!$A:$AY,11,FALSE)-VLOOKUP($B91,'SegEnds_NonXtal_Prot#'!$A:$AL,7,FALSE),"-")</f>
        <v>51</v>
      </c>
      <c r="G91" s="2">
        <f>IFERROR(50+VLOOKUP($A91,'SegEnds_Xtal_Prot#'!$A:$AY,13,FALSE)-VLOOKUP($B91,'SegEnds_NonXtal_Prot#'!$A:$AL,10,FALSE),"-")</f>
        <v>37</v>
      </c>
      <c r="H91" s="2">
        <f>IFERROR(50+VLOOKUP($A91,'SegEnds_Xtal_Prot#'!$A:$AY,15,FALSE)-VLOOKUP($B91,'SegEnds_NonXtal_Prot#'!$A:$AL,10,FALSE),"-")</f>
        <v>64</v>
      </c>
      <c r="I91" s="2" t="str">
        <f>IFERROR(50+VLOOKUP($A91,'SegEnds_Xtal_Prot#'!$A:$AY,17,FALSE)-VLOOKUP($B91,'SegEnds_NonXtal_Prot#'!$A:$AL,13,FALSE),"-")</f>
        <v>-</v>
      </c>
      <c r="J91" s="2" t="str">
        <f>IFERROR(50+VLOOKUP($A91,'SegEnds_Xtal_Prot#'!$A:$AY,19,FALSE)-VLOOKUP($B91,'SegEnds_NonXtal_Prot#'!$A:$AL,13,FALSE),"-")</f>
        <v>-</v>
      </c>
      <c r="K91" s="2">
        <f>IFERROR(50+VLOOKUP($A91,'SegEnds_Xtal_Prot#'!$A:$AY,21,FALSE)-VLOOKUP($B91,'SegEnds_NonXtal_Prot#'!$A:$AL,16,FALSE),"-")</f>
        <v>22</v>
      </c>
      <c r="L91" s="2">
        <f>IFERROR(50+VLOOKUP($A91,'SegEnds_Xtal_Prot#'!$A:$AY,23,FALSE)-VLOOKUP($B91,'SegEnds_NonXtal_Prot#'!$A:$AL,16,FALSE),"-")</f>
        <v>56</v>
      </c>
      <c r="M91" s="2" t="str">
        <f>IFERROR(50+VLOOKUP($A91,'SegEnds_Xtal_Prot#'!$A:$AY,25,FALSE)-VLOOKUP($B91,'SegEnds_NonXtal_Prot#'!$A:$AL,19,FALSE),"-")</f>
        <v>-</v>
      </c>
      <c r="N91" s="2" t="str">
        <f>IFERROR(50+VLOOKUP($A91,'SegEnds_Xtal_Prot#'!$A:$AY,27,FALSE)-VLOOKUP($B91,'SegEnds_NonXtal_Prot#'!$A:$AL,19,FALSE),"-")</f>
        <v>-</v>
      </c>
      <c r="O91" s="2">
        <f>IFERROR(50+VLOOKUP($A91,'SegEnds_Xtal_Prot#'!$A:$AY,29,FALSE)-VLOOKUP($B91,'SegEnds_NonXtal_Prot#'!$A:$AL,22,FALSE),"-")</f>
        <v>40</v>
      </c>
      <c r="P91" s="2">
        <f>IFERROR(50+VLOOKUP($A91,'SegEnds_Xtal_Prot#'!$A:$AY,31,FALSE)-VLOOKUP($B91,'SegEnds_NonXtal_Prot#'!$A:$AL,22,FALSE),"-")</f>
        <v>68</v>
      </c>
      <c r="Q91" s="2">
        <f>IFERROR(50+VLOOKUP($A91,'SegEnds_Xtal_Prot#'!$A:$AY,33,FALSE)-VLOOKUP($B91,'SegEnds_NonXtal_Prot#'!$A:$AL,25,FALSE),"-")</f>
        <v>50</v>
      </c>
      <c r="R91" s="2">
        <f>IFERROR(50+VLOOKUP($A91,'SegEnds_Xtal_Prot#'!$A:$AY,35,FALSE)-VLOOKUP($B91,'SegEnds_NonXtal_Prot#'!$A:$AL,25,FALSE),"-")</f>
        <v>52</v>
      </c>
      <c r="S91" s="2">
        <f>IFERROR(50+VLOOKUP($A91,'SegEnds_Xtal_Prot#'!$A:$AY,37,FALSE)-VLOOKUP($B91,'SegEnds_NonXtal_Prot#'!$A:$AL,28,FALSE),"-")</f>
        <v>36</v>
      </c>
      <c r="T91" s="2">
        <f>IFERROR(50+VLOOKUP($A91,'SegEnds_Xtal_Prot#'!$A:$AY,39,FALSE)-VLOOKUP($B91,'SegEnds_NonXtal_Prot#'!$A:$AL,28,FALSE),"-")</f>
        <v>71</v>
      </c>
      <c r="U91" s="2">
        <f>IFERROR(50+VLOOKUP($A91,'SegEnds_Xtal_Prot#'!$A:$AY,41,FALSE)-VLOOKUP($B91,'SegEnds_NonXtal_Prot#'!$A:$AL,31,FALSE),"-")</f>
        <v>25</v>
      </c>
      <c r="V91" s="2">
        <f>IFERROR(50+VLOOKUP($A91,'SegEnds_Xtal_Prot#'!$A:$AY,43,FALSE)-VLOOKUP($B91,'SegEnds_NonXtal_Prot#'!$A:$AL,31,FALSE),"-")</f>
        <v>54</v>
      </c>
      <c r="W91" s="2">
        <f>IFERROR(50+VLOOKUP($A91,'SegEnds_Xtal_Prot#'!$A:$AY,45,FALSE)-VLOOKUP($B91,'SegEnds_NonXtal_Prot#'!$A:$AL,34,FALSE),"-")</f>
        <v>30</v>
      </c>
      <c r="X91" s="2">
        <f>IFERROR(50+VLOOKUP($A91,'SegEnds_Xtal_Prot#'!$A:$AY,47,FALSE)-VLOOKUP($B91,'SegEnds_NonXtal_Prot#'!$A:$AL,34,FALSE),"-")</f>
        <v>56</v>
      </c>
      <c r="Y91" s="2">
        <f>IFERROR(50+VLOOKUP($A91,'SegEnds_Xtal_Prot#'!$A:$AY,49,FALSE)-VLOOKUP($B91,'SegEnds_NonXtal_Prot#'!$A:$AL,37,FALSE),"-")</f>
        <v>47</v>
      </c>
      <c r="Z91" s="2">
        <f>IFERROR(50+VLOOKUP($A91,'SegEnds_Xtal_Prot#'!$A:$AY,51,FALSE)-VLOOKUP($B91,'SegEnds_NonXtal_Prot#'!$A:$AL,37,FALSE),"-")</f>
        <v>72</v>
      </c>
      <c r="AA91" s="49" t="str">
        <f>VLOOKUP(B91,Classification!A:D,2,FALSE)</f>
        <v>B1</v>
      </c>
      <c r="AB91" s="94" t="str">
        <f>VLOOKUP(B91,Classification!A:D,4,0)</f>
        <v>Glucagonreceptorfamily</v>
      </c>
      <c r="AC91" s="49">
        <f>VLOOKUP(B91,'SegEnds_NonXtal_Prot#'!A:AL,6,FALSE)-VLOOKUP(B91,'SegEnds_NonXtal_Prot#'!A:AL,5,FALSE)</f>
        <v>1</v>
      </c>
      <c r="AD91" s="49">
        <f>VLOOKUP(B91,'SegEnds_NonXtal_Prot#'!A:AL,9,FALSE)-VLOOKUP(B91,'SegEnds_NonXtal_Prot#'!A:AL,8,FALSE)</f>
        <v>1</v>
      </c>
      <c r="AE91" s="49" t="e">
        <f>VLOOKUP(B91,'SegEnds_NonXtal_Prot#'!A:AL,13,FALSE)-VLOOKUP(B91,'SegEnds_NonXtal_Prot#'!A:AL,10,FALSE)</f>
        <v>#VALUE!</v>
      </c>
      <c r="AF91" s="49" t="e">
        <f>VLOOKUP(B91,'SegEnds_NonXtal_Prot#'!A:AL,12,FALSE)-VLOOKUP(B91,'SegEnds_NonXtal_Prot#'!A:AL,11,FALSE)</f>
        <v>#VALUE!</v>
      </c>
      <c r="AG91" s="49" t="e">
        <f>VLOOKUP(B91,'SegEnds_NonXtal_Prot#'!A:AL,13,FALSE)-VLOOKUP(B91,'SegEnds_NonXtal_Prot#'!A:AL,11,FALSE)</f>
        <v>#VALUE!</v>
      </c>
      <c r="AH91" s="49">
        <f>VLOOKUP(B91,'SegEnds_NonXtal_Prot#'!A:AL,16,FALSE)-VLOOKUP(B91,'SegEnds_NonXtal_Prot#'!A:AL,10,FALSE)</f>
        <v>55</v>
      </c>
      <c r="AI91" s="49">
        <f>VLOOKUP(B91,'SegEnds_NonXtal_Prot#'!A:AL,16,FALSE)-VLOOKUP(B91,'SegEnds_NonXtal_Prot#'!A:AL,11,FALSE)</f>
        <v>41</v>
      </c>
      <c r="AJ91" s="49" t="e">
        <f>VLOOKUP(B91,'SegEnds_NonXtal_Prot#'!A:AL,22,FALSE)-VLOOKUP(B91,'SegEnds_NonXtal_Prot#'!A:AL,19,FALSE)</f>
        <v>#VALUE!</v>
      </c>
      <c r="AK91" s="49" t="e">
        <f>VLOOKUP(B91,'SegEnds_NonXtal_Prot#'!A:AL,15,FALSE)-VLOOKUP(B91,'SegEnds_NonXtal_Prot#'!A:AL,14,FALSE)</f>
        <v>#VALUE!</v>
      </c>
      <c r="AL91" s="49" t="e">
        <f>VLOOKUP(B91,'SegEnds_NonXtal_Prot#'!A:AL,18,FALSE)-VLOOKUP(B91,'SegEnds_NonXtal_Prot#'!A:AL,17,FALSE)</f>
        <v>#VALUE!</v>
      </c>
      <c r="AM91" s="2">
        <f>VLOOKUP(B91,'SegEnds_NonXtal_Prot#'!A:AL,34,FALSE)-VLOOKUP(B91,'SegEnds_NonXtal_Prot#'!A:AL,31,FALSE)</f>
        <v>28</v>
      </c>
    </row>
    <row r="92" spans="1:39" x14ac:dyDescent="0.2">
      <c r="A92" s="2" t="str">
        <f t="shared" ref="A92" si="17">CONCATENATE(B92,"__wt",)</f>
        <v>gabr2_human__wt</v>
      </c>
      <c r="B92" s="2" t="s">
        <v>107</v>
      </c>
      <c r="C92" s="2">
        <f>IFERROR(50+VLOOKUP($A92,'SegEnds_Xtal_Prot#'!$A:$AY,5,FALSE)-VLOOKUP($B92,'SegEnds_NonXtal_Prot#'!$A:$AL,4,FALSE),"-")</f>
        <v>32</v>
      </c>
      <c r="D92" s="2">
        <f>IFERROR(50+VLOOKUP($A92,'SegEnds_Xtal_Prot#'!$A:$AY,7,FALSE)-VLOOKUP($B92,'SegEnds_NonXtal_Prot#'!$A:$AL,4,FALSE),"-")</f>
        <v>60</v>
      </c>
      <c r="E92" s="2">
        <f>IFERROR(50+VLOOKUP($A92,'SegEnds_Xtal_Prot#'!$A:$AY,9,FALSE)-VLOOKUP($B92,'SegEnds_NonXtal_Prot#'!$A:$AL,7,FALSE),"-")</f>
        <v>47</v>
      </c>
      <c r="F92" s="2">
        <f>IFERROR(50+VLOOKUP($A92,'SegEnds_Xtal_Prot#'!$A:$AY,11,FALSE)-VLOOKUP($B92,'SegEnds_NonXtal_Prot#'!$A:$AL,7,FALSE),"-")</f>
        <v>53</v>
      </c>
      <c r="G92" s="2">
        <f>IFERROR(50+VLOOKUP($A92,'SegEnds_Xtal_Prot#'!$A:$AY,13,FALSE)-VLOOKUP($B92,'SegEnds_NonXtal_Prot#'!$A:$AL,10,FALSE),"-")</f>
        <v>39</v>
      </c>
      <c r="H92" s="2">
        <f>IFERROR(50+VLOOKUP($A92,'SegEnds_Xtal_Prot#'!$A:$AY,15,FALSE)-VLOOKUP($B92,'SegEnds_NonXtal_Prot#'!$A:$AL,10,FALSE),"-")</f>
        <v>61</v>
      </c>
      <c r="I92" s="2" t="str">
        <f>IFERROR(50+VLOOKUP($A92,'SegEnds_Xtal_Prot#'!$A:$AY,17,FALSE)-VLOOKUP($B92,'SegEnds_NonXtal_Prot#'!$A:$AL,13,FALSE),"-")</f>
        <v>-</v>
      </c>
      <c r="J92" s="2" t="str">
        <f>IFERROR(50+VLOOKUP($A92,'SegEnds_Xtal_Prot#'!$A:$AY,19,FALSE)-VLOOKUP($B92,'SegEnds_NonXtal_Prot#'!$A:$AL,13,FALSE),"-")</f>
        <v>-</v>
      </c>
      <c r="K92" s="2">
        <f>IFERROR(50+VLOOKUP($A92,'SegEnds_Xtal_Prot#'!$A:$AY,21,FALSE)-VLOOKUP($B92,'SegEnds_NonXtal_Prot#'!$A:$AL,16,FALSE),"-")</f>
        <v>17</v>
      </c>
      <c r="L92" s="2">
        <f>IFERROR(50+VLOOKUP($A92,'SegEnds_Xtal_Prot#'!$A:$AY,23,FALSE)-VLOOKUP($B92,'SegEnds_NonXtal_Prot#'!$A:$AL,16,FALSE),"-")</f>
        <v>55</v>
      </c>
      <c r="M92" s="2" t="str">
        <f>IFERROR(50+VLOOKUP($A92,'SegEnds_Xtal_Prot#'!$A:$AY,25,FALSE)-VLOOKUP($B92,'SegEnds_NonXtal_Prot#'!$A:$AL,19,FALSE),"-")</f>
        <v>-</v>
      </c>
      <c r="N92" s="2" t="str">
        <f>IFERROR(50+VLOOKUP($A92,'SegEnds_Xtal_Prot#'!$A:$AY,27,FALSE)-VLOOKUP($B92,'SegEnds_NonXtal_Prot#'!$A:$AL,19,FALSE),"-")</f>
        <v>-</v>
      </c>
      <c r="O92" s="2">
        <f>IFERROR(50+VLOOKUP($A92,'SegEnds_Xtal_Prot#'!$A:$AY,29,FALSE)-VLOOKUP($B92,'SegEnds_NonXtal_Prot#'!$A:$AL,22,FALSE),"-")</f>
        <v>38</v>
      </c>
      <c r="P92" s="2">
        <f>IFERROR(50+VLOOKUP($A92,'SegEnds_Xtal_Prot#'!$A:$AY,31,FALSE)-VLOOKUP($B92,'SegEnds_NonXtal_Prot#'!$A:$AL,22,FALSE),"-")</f>
        <v>64</v>
      </c>
      <c r="Q92" s="2">
        <f>IFERROR(50+VLOOKUP($A92,'SegEnds_Xtal_Prot#'!$A:$AY,33,FALSE)-VLOOKUP($B92,'SegEnds_NonXtal_Prot#'!$A:$AL,25,FALSE),"-")</f>
        <v>50</v>
      </c>
      <c r="R92" s="2">
        <f>IFERROR(50+VLOOKUP($A92,'SegEnds_Xtal_Prot#'!$A:$AY,35,FALSE)-VLOOKUP($B92,'SegEnds_NonXtal_Prot#'!$A:$AL,25,FALSE),"-")</f>
        <v>52</v>
      </c>
      <c r="S92" s="2">
        <f>IFERROR(50+VLOOKUP($A92,'SegEnds_Xtal_Prot#'!$A:$AY,37,FALSE)-VLOOKUP($B92,'SegEnds_NonXtal_Prot#'!$A:$AL,28,FALSE),"-")</f>
        <v>35</v>
      </c>
      <c r="T92" s="2">
        <f>IFERROR(50+VLOOKUP($A92,'SegEnds_Xtal_Prot#'!$A:$AY,39,FALSE)-VLOOKUP($B92,'SegEnds_NonXtal_Prot#'!$A:$AL,28,FALSE),"-")</f>
        <v>64</v>
      </c>
      <c r="U92" s="2">
        <f>IFERROR(50+VLOOKUP($A92,'SegEnds_Xtal_Prot#'!$A:$AY,41,FALSE)-VLOOKUP($B92,'SegEnds_NonXtal_Prot#'!$A:$AL,31,FALSE),"-")</f>
        <v>33</v>
      </c>
      <c r="V92" s="2">
        <f>IFERROR(50+VLOOKUP($A92,'SegEnds_Xtal_Prot#'!$A:$AY,43,FALSE)-VLOOKUP($B92,'SegEnds_NonXtal_Prot#'!$A:$AL,31,FALSE),"-")</f>
        <v>58</v>
      </c>
      <c r="W92" s="2">
        <f>IFERROR(50+VLOOKUP($A92,'SegEnds_Xtal_Prot#'!$A:$AY,45,FALSE)-VLOOKUP($B92,'SegEnds_NonXtal_Prot#'!$A:$AL,34,FALSE),"-")</f>
        <v>30</v>
      </c>
      <c r="X92" s="2">
        <f>IFERROR(50+VLOOKUP($A92,'SegEnds_Xtal_Prot#'!$A:$AY,47,FALSE)-VLOOKUP($B92,'SegEnds_NonXtal_Prot#'!$A:$AL,34,FALSE),"-")</f>
        <v>64</v>
      </c>
      <c r="Y92" s="2">
        <f>IFERROR(50+VLOOKUP($A92,'SegEnds_Xtal_Prot#'!$A:$AY,49,FALSE)-VLOOKUP($B92,'SegEnds_NonXtal_Prot#'!$A:$AL,37,FALSE),"-")</f>
        <v>46</v>
      </c>
      <c r="Z92" s="2">
        <f>IFERROR(50+VLOOKUP($A92,'SegEnds_Xtal_Prot#'!$A:$AY,51,FALSE)-VLOOKUP($B92,'SegEnds_NonXtal_Prot#'!$A:$AL,37,FALSE),"-")</f>
        <v>57</v>
      </c>
      <c r="AA92" s="49" t="str">
        <f>VLOOKUP(B92,Classification!A:D,2,FALSE)</f>
        <v>C</v>
      </c>
      <c r="AB92" s="94" t="str">
        <f>VLOOKUP(B92,Classification!A:D,4,0)</f>
        <v>GABA&lt;sub&gt;B&lt;/sub&gt;</v>
      </c>
      <c r="AC92" s="49">
        <f>VLOOKUP(B92,'SegEnds_NonXtal_Prot#'!A:AL,6,FALSE)-VLOOKUP(B92,'SegEnds_NonXtal_Prot#'!A:AL,5,FALSE)</f>
        <v>3</v>
      </c>
      <c r="AD92" s="49">
        <f>VLOOKUP(B92,'SegEnds_NonXtal_Prot#'!A:AL,9,FALSE)-VLOOKUP(B92,'SegEnds_NonXtal_Prot#'!A:AL,8,FALSE)</f>
        <v>1</v>
      </c>
      <c r="AE92" s="49" t="e">
        <f>VLOOKUP(B92,'SegEnds_NonXtal_Prot#'!A:AL,13,FALSE)-VLOOKUP(B92,'SegEnds_NonXtal_Prot#'!A:AL,10,FALSE)</f>
        <v>#VALUE!</v>
      </c>
      <c r="AF92" s="49" t="e">
        <f>VLOOKUP(B92,'SegEnds_NonXtal_Prot#'!A:AL,12,FALSE)-VLOOKUP(B92,'SegEnds_NonXtal_Prot#'!A:AL,11,FALSE)</f>
        <v>#VALUE!</v>
      </c>
      <c r="AG92" s="49" t="e">
        <f>VLOOKUP(B92,'SegEnds_NonXtal_Prot#'!A:AL,13,FALSE)-VLOOKUP(B92,'SegEnds_NonXtal_Prot#'!A:AL,11,FALSE)</f>
        <v>#VALUE!</v>
      </c>
      <c r="AH92" s="49">
        <f>VLOOKUP(B92,'SegEnds_NonXtal_Prot#'!A:AL,16,FALSE)-VLOOKUP(B92,'SegEnds_NonXtal_Prot#'!A:AL,10,FALSE)</f>
        <v>51</v>
      </c>
      <c r="AI92" s="49">
        <f>VLOOKUP(B92,'SegEnds_NonXtal_Prot#'!A:AL,16,FALSE)-VLOOKUP(B92,'SegEnds_NonXtal_Prot#'!A:AL,11,FALSE)</f>
        <v>40</v>
      </c>
      <c r="AJ92" s="49" t="e">
        <f>VLOOKUP(B92,'SegEnds_NonXtal_Prot#'!A:AL,22,FALSE)-VLOOKUP(B92,'SegEnds_NonXtal_Prot#'!A:AL,19,FALSE)</f>
        <v>#VALUE!</v>
      </c>
      <c r="AK92" s="49" t="e">
        <f>VLOOKUP(B92,'SegEnds_NonXtal_Prot#'!A:AL,15,FALSE)-VLOOKUP(B92,'SegEnds_NonXtal_Prot#'!A:AL,14,FALSE)</f>
        <v>#VALUE!</v>
      </c>
      <c r="AL92" s="49" t="e">
        <f>VLOOKUP(B92,'SegEnds_NonXtal_Prot#'!A:AL,18,FALSE)-VLOOKUP(B92,'SegEnds_NonXtal_Prot#'!A:AL,17,FALSE)</f>
        <v>#VALUE!</v>
      </c>
      <c r="AM92" s="2">
        <f>VLOOKUP(B92,'SegEnds_NonXtal_Prot#'!A:AL,34,FALSE)-VLOOKUP(B92,'SegEnds_NonXtal_Prot#'!A:AL,31,FALSE)</f>
        <v>31</v>
      </c>
    </row>
    <row r="93" spans="1:39" x14ac:dyDescent="0.2">
      <c r="A93" s="2" t="str">
        <f t="shared" ref="A93" si="18">CONCATENATE(B93,"__wt",)</f>
        <v>gabr1_human__wt</v>
      </c>
      <c r="B93" s="2" t="s">
        <v>106</v>
      </c>
      <c r="C93" s="2">
        <f>IFERROR(50+VLOOKUP($A93,'SegEnds_Xtal_Prot#'!$A:$AY,5,FALSE)-VLOOKUP($B93,'SegEnds_NonXtal_Prot#'!$A:$AL,4,FALSE),"-")</f>
        <v>34</v>
      </c>
      <c r="D93" s="2">
        <f>IFERROR(50+VLOOKUP($A93,'SegEnds_Xtal_Prot#'!$A:$AY,7,FALSE)-VLOOKUP($B93,'SegEnds_NonXtal_Prot#'!$A:$AL,4,FALSE),"-")</f>
        <v>60</v>
      </c>
      <c r="E93" s="2">
        <f>IFERROR(50+VLOOKUP($A93,'SegEnds_Xtal_Prot#'!$A:$AY,9,FALSE)-VLOOKUP($B93,'SegEnds_NonXtal_Prot#'!$A:$AL,7,FALSE),"-")</f>
        <v>47</v>
      </c>
      <c r="F93" s="2">
        <f>IFERROR(50+VLOOKUP($A93,'SegEnds_Xtal_Prot#'!$A:$AY,11,FALSE)-VLOOKUP($B93,'SegEnds_NonXtal_Prot#'!$A:$AL,7,FALSE),"-")</f>
        <v>53</v>
      </c>
      <c r="G93" s="2">
        <f>IFERROR(50+VLOOKUP($A93,'SegEnds_Xtal_Prot#'!$A:$AY,13,FALSE)-VLOOKUP($B93,'SegEnds_NonXtal_Prot#'!$A:$AL,10,FALSE),"-")</f>
        <v>39</v>
      </c>
      <c r="H93" s="2">
        <f>IFERROR(50+VLOOKUP($A93,'SegEnds_Xtal_Prot#'!$A:$AY,15,FALSE)-VLOOKUP($B93,'SegEnds_NonXtal_Prot#'!$A:$AL,10,FALSE),"-")</f>
        <v>62</v>
      </c>
      <c r="I93" s="2" t="str">
        <f>IFERROR(50+VLOOKUP($A93,'SegEnds_Xtal_Prot#'!$A:$AY,17,FALSE)-VLOOKUP($B93,'SegEnds_NonXtal_Prot#'!$A:$AL,13,FALSE),"-")</f>
        <v>-</v>
      </c>
      <c r="J93" s="2" t="str">
        <f>IFERROR(50+VLOOKUP($A93,'SegEnds_Xtal_Prot#'!$A:$AY,19,FALSE)-VLOOKUP($B93,'SegEnds_NonXtal_Prot#'!$A:$AL,13,FALSE),"-")</f>
        <v>-</v>
      </c>
      <c r="K93" s="2">
        <f>IFERROR(50+VLOOKUP($A93,'SegEnds_Xtal_Prot#'!$A:$AY,21,FALSE)-VLOOKUP($B93,'SegEnds_NonXtal_Prot#'!$A:$AL,16,FALSE),"-")</f>
        <v>20</v>
      </c>
      <c r="L93" s="2">
        <f>IFERROR(50+VLOOKUP($A93,'SegEnds_Xtal_Prot#'!$A:$AY,23,FALSE)-VLOOKUP($B93,'SegEnds_NonXtal_Prot#'!$A:$AL,16,FALSE),"-")</f>
        <v>54</v>
      </c>
      <c r="M93" s="2" t="str">
        <f>IFERROR(50+VLOOKUP($A93,'SegEnds_Xtal_Prot#'!$A:$AY,25,FALSE)-VLOOKUP($B93,'SegEnds_NonXtal_Prot#'!$A:$AL,19,FALSE),"-")</f>
        <v>-</v>
      </c>
      <c r="N93" s="2" t="str">
        <f>IFERROR(50+VLOOKUP($A93,'SegEnds_Xtal_Prot#'!$A:$AY,27,FALSE)-VLOOKUP($B93,'SegEnds_NonXtal_Prot#'!$A:$AL,19,FALSE),"-")</f>
        <v>-</v>
      </c>
      <c r="O93" s="2">
        <f>IFERROR(50+VLOOKUP($A93,'SegEnds_Xtal_Prot#'!$A:$AY,29,FALSE)-VLOOKUP($B93,'SegEnds_NonXtal_Prot#'!$A:$AL,22,FALSE),"-")</f>
        <v>38</v>
      </c>
      <c r="P93" s="2">
        <f>IFERROR(50+VLOOKUP($A93,'SegEnds_Xtal_Prot#'!$A:$AY,31,FALSE)-VLOOKUP($B93,'SegEnds_NonXtal_Prot#'!$A:$AL,22,FALSE),"-")</f>
        <v>64</v>
      </c>
      <c r="Q93" s="2">
        <f>IFERROR(50+VLOOKUP($A93,'SegEnds_Xtal_Prot#'!$A:$AY,33,FALSE)-VLOOKUP($B93,'SegEnds_NonXtal_Prot#'!$A:$AL,25,FALSE),"-")</f>
        <v>50</v>
      </c>
      <c r="R93" s="2">
        <f>IFERROR(50+VLOOKUP($A93,'SegEnds_Xtal_Prot#'!$A:$AY,35,FALSE)-VLOOKUP($B93,'SegEnds_NonXtal_Prot#'!$A:$AL,25,FALSE),"-")</f>
        <v>52</v>
      </c>
      <c r="S93" s="2">
        <f>IFERROR(50+VLOOKUP($A93,'SegEnds_Xtal_Prot#'!$A:$AY,37,FALSE)-VLOOKUP($B93,'SegEnds_NonXtal_Prot#'!$A:$AL,28,FALSE),"-")</f>
        <v>35</v>
      </c>
      <c r="T93" s="2">
        <f>IFERROR(50+VLOOKUP($A93,'SegEnds_Xtal_Prot#'!$A:$AY,39,FALSE)-VLOOKUP($B93,'SegEnds_NonXtal_Prot#'!$A:$AL,28,FALSE),"-")</f>
        <v>62</v>
      </c>
      <c r="U93" s="2">
        <f>IFERROR(50+VLOOKUP($A93,'SegEnds_Xtal_Prot#'!$A:$AY,41,FALSE)-VLOOKUP($B93,'SegEnds_NonXtal_Prot#'!$A:$AL,31,FALSE),"-")</f>
        <v>33</v>
      </c>
      <c r="V93" s="2">
        <f>IFERROR(50+VLOOKUP($A93,'SegEnds_Xtal_Prot#'!$A:$AY,43,FALSE)-VLOOKUP($B93,'SegEnds_NonXtal_Prot#'!$A:$AL,31,FALSE),"-")</f>
        <v>58</v>
      </c>
      <c r="W93" s="2">
        <f>IFERROR(50+VLOOKUP($A93,'SegEnds_Xtal_Prot#'!$A:$AY,45,FALSE)-VLOOKUP($B93,'SegEnds_NonXtal_Prot#'!$A:$AL,34,FALSE),"-")</f>
        <v>33</v>
      </c>
      <c r="X93" s="2">
        <f>IFERROR(50+VLOOKUP($A93,'SegEnds_Xtal_Prot#'!$A:$AY,47,FALSE)-VLOOKUP($B93,'SegEnds_NonXtal_Prot#'!$A:$AL,34,FALSE),"-")</f>
        <v>64</v>
      </c>
      <c r="Y93" s="2">
        <f>IFERROR(50+VLOOKUP($A93,'SegEnds_Xtal_Prot#'!$A:$AY,49,FALSE)-VLOOKUP($B93,'SegEnds_NonXtal_Prot#'!$A:$AL,37,FALSE),"-")</f>
        <v>46</v>
      </c>
      <c r="Z93" s="2">
        <f>IFERROR(50+VLOOKUP($A93,'SegEnds_Xtal_Prot#'!$A:$AY,51,FALSE)-VLOOKUP($B93,'SegEnds_NonXtal_Prot#'!$A:$AL,37,FALSE),"-")</f>
        <v>57</v>
      </c>
      <c r="AA93" s="49" t="str">
        <f>VLOOKUP(B93,Classification!A:D,2,FALSE)</f>
        <v>C</v>
      </c>
      <c r="AB93" s="94" t="str">
        <f>VLOOKUP(B93,Classification!A:D,4,0)</f>
        <v>GABA&lt;sub&gt;B&lt;/sub&gt;</v>
      </c>
      <c r="AC93" s="49">
        <f>VLOOKUP(B93,'SegEnds_NonXtal_Prot#'!A:AL,6,FALSE)-VLOOKUP(B93,'SegEnds_NonXtal_Prot#'!A:AL,5,FALSE)</f>
        <v>3</v>
      </c>
      <c r="AD93" s="49">
        <f>VLOOKUP(B93,'SegEnds_NonXtal_Prot#'!A:AL,9,FALSE)-VLOOKUP(B93,'SegEnds_NonXtal_Prot#'!A:AL,8,FALSE)</f>
        <v>1</v>
      </c>
      <c r="AE93" s="49" t="e">
        <f>VLOOKUP(B93,'SegEnds_NonXtal_Prot#'!A:AL,13,FALSE)-VLOOKUP(B93,'SegEnds_NonXtal_Prot#'!A:AL,10,FALSE)</f>
        <v>#VALUE!</v>
      </c>
      <c r="AF93" s="49" t="e">
        <f>VLOOKUP(B93,'SegEnds_NonXtal_Prot#'!A:AL,12,FALSE)-VLOOKUP(B93,'SegEnds_NonXtal_Prot#'!A:AL,11,FALSE)</f>
        <v>#VALUE!</v>
      </c>
      <c r="AG93" s="49" t="e">
        <f>VLOOKUP(B93,'SegEnds_NonXtal_Prot#'!A:AL,13,FALSE)-VLOOKUP(B93,'SegEnds_NonXtal_Prot#'!A:AL,11,FALSE)</f>
        <v>#VALUE!</v>
      </c>
      <c r="AH93" s="49">
        <f>VLOOKUP(B93,'SegEnds_NonXtal_Prot#'!A:AL,16,FALSE)-VLOOKUP(B93,'SegEnds_NonXtal_Prot#'!A:AL,10,FALSE)</f>
        <v>51</v>
      </c>
      <c r="AI93" s="49">
        <f>VLOOKUP(B93,'SegEnds_NonXtal_Prot#'!A:AL,16,FALSE)-VLOOKUP(B93,'SegEnds_NonXtal_Prot#'!A:AL,11,FALSE)</f>
        <v>39</v>
      </c>
      <c r="AJ93" s="49" t="e">
        <f>VLOOKUP(B93,'SegEnds_NonXtal_Prot#'!A:AL,22,FALSE)-VLOOKUP(B93,'SegEnds_NonXtal_Prot#'!A:AL,19,FALSE)</f>
        <v>#VALUE!</v>
      </c>
      <c r="AK93" s="49" t="e">
        <f>VLOOKUP(B93,'SegEnds_NonXtal_Prot#'!A:AL,15,FALSE)-VLOOKUP(B93,'SegEnds_NonXtal_Prot#'!A:AL,14,FALSE)</f>
        <v>#VALUE!</v>
      </c>
      <c r="AL93" s="49" t="e">
        <f>VLOOKUP(B93,'SegEnds_NonXtal_Prot#'!A:AL,18,FALSE)-VLOOKUP(B93,'SegEnds_NonXtal_Prot#'!A:AL,17,FALSE)</f>
        <v>#VALUE!</v>
      </c>
      <c r="AM93" s="2">
        <f>VLOOKUP(B93,'SegEnds_NonXtal_Prot#'!A:AL,34,FALSE)-VLOOKUP(B93,'SegEnds_NonXtal_Prot#'!A:AL,31,FALSE)</f>
        <v>31</v>
      </c>
    </row>
    <row r="94" spans="1:39" x14ac:dyDescent="0.2">
      <c r="A94" s="2" t="str">
        <f t="shared" ref="A94" si="19">CONCATENATE(B94,"__wt",)</f>
        <v>cxcr2_human__wt</v>
      </c>
      <c r="B94" s="2" t="s">
        <v>186</v>
      </c>
      <c r="C94" s="2">
        <f>IFERROR(50+VLOOKUP($A94,'SegEnds_Xtal_Prot#'!$A:$AY,5,FALSE)-VLOOKUP($B94,'SegEnds_NonXtal_Prot#'!$A:$AL,4,FALSE),"-")</f>
        <v>29</v>
      </c>
      <c r="D94" s="2">
        <f>IFERROR(50+VLOOKUP($A94,'SegEnds_Xtal_Prot#'!$A:$AY,7,FALSE)-VLOOKUP($B94,'SegEnds_NonXtal_Prot#'!$A:$AL,4,FALSE),"-")</f>
        <v>60</v>
      </c>
      <c r="E94" s="2">
        <f>IFERROR(50+VLOOKUP($A94,'SegEnds_Xtal_Prot#'!$A:$AY,9,FALSE)-VLOOKUP($B94,'SegEnds_NonXtal_Prot#'!$A:$AL,7,FALSE),"-")</f>
        <v>48</v>
      </c>
      <c r="F94" s="2">
        <f>IFERROR(50+VLOOKUP($A94,'SegEnds_Xtal_Prot#'!$A:$AY,11,FALSE)-VLOOKUP($B94,'SegEnds_NonXtal_Prot#'!$A:$AL,7,FALSE),"-")</f>
        <v>51</v>
      </c>
      <c r="G94" s="2">
        <f>IFERROR(50+VLOOKUP($A94,'SegEnds_Xtal_Prot#'!$A:$AY,13,FALSE)-VLOOKUP($B94,'SegEnds_NonXtal_Prot#'!$A:$AL,10,FALSE),"-")</f>
        <v>37</v>
      </c>
      <c r="H94" s="2">
        <f>IFERROR(50+VLOOKUP($A94,'SegEnds_Xtal_Prot#'!$A:$AY,15,FALSE)-VLOOKUP($B94,'SegEnds_NonXtal_Prot#'!$A:$AL,10,FALSE),"-")</f>
        <v>66</v>
      </c>
      <c r="I94" s="2">
        <f>IFERROR(50+VLOOKUP($A94,'SegEnds_Xtal_Prot#'!$A:$AY,17,FALSE)-VLOOKUP($B94,'SegEnds_NonXtal_Prot#'!$A:$AL,13,FALSE),"-")</f>
        <v>49</v>
      </c>
      <c r="J94" s="2">
        <f>IFERROR(50+VLOOKUP($A94,'SegEnds_Xtal_Prot#'!$A:$AY,19,FALSE)-VLOOKUP($B94,'SegEnds_NonXtal_Prot#'!$A:$AL,13,FALSE),"-")</f>
        <v>52</v>
      </c>
      <c r="K94" s="2">
        <f>IFERROR(50+VLOOKUP($A94,'SegEnds_Xtal_Prot#'!$A:$AY,21,FALSE)-VLOOKUP($B94,'SegEnds_NonXtal_Prot#'!$A:$AL,16,FALSE),"-")</f>
        <v>21</v>
      </c>
      <c r="L94" s="2">
        <f>IFERROR(50+VLOOKUP($A94,'SegEnds_Xtal_Prot#'!$A:$AY,23,FALSE)-VLOOKUP($B94,'SegEnds_NonXtal_Prot#'!$A:$AL,16,FALSE),"-")</f>
        <v>56</v>
      </c>
      <c r="M94" s="2">
        <f>IFERROR(50+VLOOKUP($A94,'SegEnds_Xtal_Prot#'!$A:$AY,25,FALSE)-VLOOKUP($B94,'SegEnds_NonXtal_Prot#'!$A:$AL,19,FALSE),"-")</f>
        <v>50</v>
      </c>
      <c r="N94" s="2">
        <f>IFERROR(50+VLOOKUP($A94,'SegEnds_Xtal_Prot#'!$A:$AY,27,FALSE)-VLOOKUP($B94,'SegEnds_NonXtal_Prot#'!$A:$AL,19,FALSE),"-")</f>
        <v>59</v>
      </c>
      <c r="O94" s="2">
        <f>IFERROR(50+VLOOKUP($A94,'SegEnds_Xtal_Prot#'!$A:$AY,29,FALSE)-VLOOKUP($B94,'SegEnds_NonXtal_Prot#'!$A:$AL,22,FALSE),"-")</f>
        <v>41</v>
      </c>
      <c r="P94" s="2">
        <f>IFERROR(50+VLOOKUP($A94,'SegEnds_Xtal_Prot#'!$A:$AY,31,FALSE)-VLOOKUP($B94,'SegEnds_NonXtal_Prot#'!$A:$AL,22,FALSE),"-")</f>
        <v>64</v>
      </c>
      <c r="Q94" s="2">
        <f>IFERROR(50+VLOOKUP($A94,'SegEnds_Xtal_Prot#'!$A:$AY,33,FALSE)-VLOOKUP($B94,'SegEnds_NonXtal_Prot#'!$A:$AL,25,FALSE),"-")</f>
        <v>50</v>
      </c>
      <c r="R94" s="2">
        <f>IFERROR(50+VLOOKUP($A94,'SegEnds_Xtal_Prot#'!$A:$AY,35,FALSE)-VLOOKUP($B94,'SegEnds_NonXtal_Prot#'!$A:$AL,25,FALSE),"-")</f>
        <v>52</v>
      </c>
      <c r="S94" s="2">
        <f>IFERROR(50+VLOOKUP($A94,'SegEnds_Xtal_Prot#'!$A:$AY,37,FALSE)-VLOOKUP($B94,'SegEnds_NonXtal_Prot#'!$A:$AL,28,FALSE),"-")</f>
        <v>30</v>
      </c>
      <c r="T94" s="2">
        <f>IFERROR(50+VLOOKUP($A94,'SegEnds_Xtal_Prot#'!$A:$AY,39,FALSE)-VLOOKUP($B94,'SegEnds_NonXtal_Prot#'!$A:$AL,28,FALSE),"-")</f>
        <v>68</v>
      </c>
      <c r="U94" s="2">
        <f>IFERROR(50+VLOOKUP($A94,'SegEnds_Xtal_Prot#'!$A:$AY,41,FALSE)-VLOOKUP($B94,'SegEnds_NonXtal_Prot#'!$A:$AL,31,FALSE),"-")</f>
        <v>29</v>
      </c>
      <c r="V94" s="2">
        <f>IFERROR(50+VLOOKUP($A94,'SegEnds_Xtal_Prot#'!$A:$AY,43,FALSE)-VLOOKUP($B94,'SegEnds_NonXtal_Prot#'!$A:$AL,31,FALSE),"-")</f>
        <v>64</v>
      </c>
      <c r="W94" s="2">
        <f>IFERROR(50+VLOOKUP($A94,'SegEnds_Xtal_Prot#'!$A:$AY,45,FALSE)-VLOOKUP($B94,'SegEnds_NonXtal_Prot#'!$A:$AL,34,FALSE),"-")</f>
        <v>24</v>
      </c>
      <c r="X94" s="2">
        <f>IFERROR(50+VLOOKUP($A94,'SegEnds_Xtal_Prot#'!$A:$AY,47,FALSE)-VLOOKUP($B94,'SegEnds_NonXtal_Prot#'!$A:$AL,34,FALSE),"-")</f>
        <v>56</v>
      </c>
      <c r="Y94" s="2">
        <f>IFERROR(50+VLOOKUP($A94,'SegEnds_Xtal_Prot#'!$A:$AY,49,FALSE)-VLOOKUP($B94,'SegEnds_NonXtal_Prot#'!$A:$AL,37,FALSE),"-")</f>
        <v>47</v>
      </c>
      <c r="Z94" s="2">
        <f>IFERROR(50+VLOOKUP($A94,'SegEnds_Xtal_Prot#'!$A:$AY,51,FALSE)-VLOOKUP($B94,'SegEnds_NonXtal_Prot#'!$A:$AL,37,FALSE),"-")</f>
        <v>61</v>
      </c>
      <c r="AA94" s="49" t="str">
        <f>VLOOKUP(B94,Classification!A:D,2,FALSE)</f>
        <v>A</v>
      </c>
      <c r="AB94" s="94" t="str">
        <f>VLOOKUP(B94,Classification!A:D,4,0)</f>
        <v>Chemokine</v>
      </c>
      <c r="AC94" s="49">
        <f>VLOOKUP(B94,'SegEnds_NonXtal_Prot#'!A:AL,6,FALSE)-VLOOKUP(B94,'SegEnds_NonXtal_Prot#'!A:AL,5,FALSE)</f>
        <v>1</v>
      </c>
      <c r="AD94" s="49">
        <f>VLOOKUP(B94,'SegEnds_NonXtal_Prot#'!A:AL,9,FALSE)-VLOOKUP(B94,'SegEnds_NonXtal_Prot#'!A:AL,8,FALSE)</f>
        <v>1</v>
      </c>
      <c r="AE94" s="49">
        <f>VLOOKUP(B94,'SegEnds_NonXtal_Prot#'!A:AL,13,FALSE)-VLOOKUP(B94,'SegEnds_NonXtal_Prot#'!A:AL,10,FALSE)</f>
        <v>18</v>
      </c>
      <c r="AF94" s="49">
        <f>VLOOKUP(B94,'SegEnds_NonXtal_Prot#'!A:AL,12,FALSE)-VLOOKUP(B94,'SegEnds_NonXtal_Prot#'!A:AL,11,FALSE)</f>
        <v>1</v>
      </c>
      <c r="AG94" s="49">
        <f>VLOOKUP(B94,'SegEnds_NonXtal_Prot#'!A:AL,13,FALSE)-VLOOKUP(B94,'SegEnds_NonXtal_Prot#'!A:AL,11,FALSE)</f>
        <v>2</v>
      </c>
      <c r="AH94" s="49">
        <f>VLOOKUP(B94,'SegEnds_NonXtal_Prot#'!A:AL,16,FALSE)-VLOOKUP(B94,'SegEnds_NonXtal_Prot#'!A:AL,10,FALSE)</f>
        <v>50</v>
      </c>
      <c r="AI94" s="49">
        <f>VLOOKUP(B94,'SegEnds_NonXtal_Prot#'!A:AL,16,FALSE)-VLOOKUP(B94,'SegEnds_NonXtal_Prot#'!A:AL,11,FALSE)</f>
        <v>34</v>
      </c>
      <c r="AJ94" s="49">
        <f>VLOOKUP(B94,'SegEnds_NonXtal_Prot#'!A:AL,22,FALSE)-VLOOKUP(B94,'SegEnds_NonXtal_Prot#'!A:AL,19,FALSE)</f>
        <v>19</v>
      </c>
      <c r="AK94" s="49">
        <f>VLOOKUP(B94,'SegEnds_NonXtal_Prot#'!A:AL,15,FALSE)-VLOOKUP(B94,'SegEnds_NonXtal_Prot#'!A:AL,14,FALSE)</f>
        <v>1</v>
      </c>
      <c r="AL94" s="49">
        <f>VLOOKUP(B94,'SegEnds_NonXtal_Prot#'!A:AL,18,FALSE)-VLOOKUP(B94,'SegEnds_NonXtal_Prot#'!A:AL,17,FALSE)</f>
        <v>1</v>
      </c>
      <c r="AM94" s="2">
        <f>VLOOKUP(B94,'SegEnds_NonXtal_Prot#'!A:AL,34,FALSE)-VLOOKUP(B94,'SegEnds_NonXtal_Prot#'!A:AL,31,FALSE)</f>
        <v>45</v>
      </c>
    </row>
    <row r="95" spans="1:39" x14ac:dyDescent="0.2">
      <c r="A95" s="2" t="str">
        <f t="shared" ref="A95" si="20">CONCATENATE(B95,"__wt",)</f>
        <v>gpbar_human__wt</v>
      </c>
      <c r="B95" s="2" t="s">
        <v>234</v>
      </c>
      <c r="C95" s="2">
        <f>IFERROR(50+VLOOKUP($A95,'SegEnds_Xtal_Prot#'!$A:$AY,5,FALSE)-VLOOKUP($B95,'SegEnds_NonXtal_Prot#'!$A:$AL,4,FALSE),"-")</f>
        <v>32</v>
      </c>
      <c r="D95" s="2">
        <f>IFERROR(50+VLOOKUP($A95,'SegEnds_Xtal_Prot#'!$A:$AY,7,FALSE)-VLOOKUP($B95,'SegEnds_NonXtal_Prot#'!$A:$AL,4,FALSE),"-")</f>
        <v>60</v>
      </c>
      <c r="E95" s="2">
        <f>IFERROR(50+VLOOKUP($A95,'SegEnds_Xtal_Prot#'!$A:$AY,9,FALSE)-VLOOKUP($B95,'SegEnds_NonXtal_Prot#'!$A:$AL,7,FALSE),"-")</f>
        <v>48</v>
      </c>
      <c r="F95" s="2">
        <f>IFERROR(50+VLOOKUP($A95,'SegEnds_Xtal_Prot#'!$A:$AY,11,FALSE)-VLOOKUP($B95,'SegEnds_NonXtal_Prot#'!$A:$AL,7,FALSE),"-")</f>
        <v>51</v>
      </c>
      <c r="G95" s="2">
        <f>IFERROR(50+VLOOKUP($A95,'SegEnds_Xtal_Prot#'!$A:$AY,13,FALSE)-VLOOKUP($B95,'SegEnds_NonXtal_Prot#'!$A:$AL,10,FALSE),"-")</f>
        <v>36</v>
      </c>
      <c r="H95" s="2">
        <f>IFERROR(50+VLOOKUP($A95,'SegEnds_Xtal_Prot#'!$A:$AY,15,FALSE)-VLOOKUP($B95,'SegEnds_NonXtal_Prot#'!$A:$AL,10,FALSE),"-")</f>
        <v>63</v>
      </c>
      <c r="I95" s="2" t="str">
        <f>IFERROR(50+VLOOKUP($A95,'SegEnds_Xtal_Prot#'!$A:$AY,17,FALSE)-VLOOKUP($B95,'SegEnds_NonXtal_Prot#'!$A:$AL,13,FALSE),"-")</f>
        <v>-</v>
      </c>
      <c r="J95" s="2" t="str">
        <f>IFERROR(50+VLOOKUP($A95,'SegEnds_Xtal_Prot#'!$A:$AY,19,FALSE)-VLOOKUP($B95,'SegEnds_NonXtal_Prot#'!$A:$AL,13,FALSE),"-")</f>
        <v>-</v>
      </c>
      <c r="K95" s="2">
        <f>IFERROR(50+VLOOKUP($A95,'SegEnds_Xtal_Prot#'!$A:$AY,21,FALSE)-VLOOKUP($B95,'SegEnds_NonXtal_Prot#'!$A:$AL,16,FALSE),"-")</f>
        <v>21</v>
      </c>
      <c r="L95" s="2">
        <f>IFERROR(50+VLOOKUP($A95,'SegEnds_Xtal_Prot#'!$A:$AY,23,FALSE)-VLOOKUP($B95,'SegEnds_NonXtal_Prot#'!$A:$AL,16,FALSE),"-")</f>
        <v>56</v>
      </c>
      <c r="M95" s="2" t="str">
        <f>IFERROR(50+VLOOKUP($A95,'SegEnds_Xtal_Prot#'!$A:$AY,25,FALSE)-VLOOKUP($B95,'SegEnds_NonXtal_Prot#'!$A:$AL,19,FALSE),"-")</f>
        <v>-</v>
      </c>
      <c r="N95" s="2" t="str">
        <f>IFERROR(50+VLOOKUP($A95,'SegEnds_Xtal_Prot#'!$A:$AY,27,FALSE)-VLOOKUP($B95,'SegEnds_NonXtal_Prot#'!$A:$AL,19,FALSE),"-")</f>
        <v>-</v>
      </c>
      <c r="O95" s="2">
        <f>IFERROR(50+VLOOKUP($A95,'SegEnds_Xtal_Prot#'!$A:$AY,29,FALSE)-VLOOKUP($B95,'SegEnds_NonXtal_Prot#'!$A:$AL,22,FALSE),"-")</f>
        <v>41</v>
      </c>
      <c r="P95" s="2">
        <f>IFERROR(50+VLOOKUP($A95,'SegEnds_Xtal_Prot#'!$A:$AY,31,FALSE)-VLOOKUP($B95,'SegEnds_NonXtal_Prot#'!$A:$AL,22,FALSE),"-")</f>
        <v>63</v>
      </c>
      <c r="Q95" s="2">
        <f>IFERROR(50+VLOOKUP($A95,'SegEnds_Xtal_Prot#'!$A:$AY,33,FALSE)-VLOOKUP($B95,'SegEnds_NonXtal_Prot#'!$A:$AL,25,FALSE),"-")</f>
        <v>50</v>
      </c>
      <c r="R95" s="2">
        <f>IFERROR(50+VLOOKUP($A95,'SegEnds_Xtal_Prot#'!$A:$AY,35,FALSE)-VLOOKUP($B95,'SegEnds_NonXtal_Prot#'!$A:$AL,25,FALSE),"-")</f>
        <v>52</v>
      </c>
      <c r="S95" s="2">
        <f>IFERROR(50+VLOOKUP($A95,'SegEnds_Xtal_Prot#'!$A:$AY,37,FALSE)-VLOOKUP($B95,'SegEnds_NonXtal_Prot#'!$A:$AL,28,FALSE),"-")</f>
        <v>36</v>
      </c>
      <c r="T95" s="2">
        <f>IFERROR(50+VLOOKUP($A95,'SegEnds_Xtal_Prot#'!$A:$AY,39,FALSE)-VLOOKUP($B95,'SegEnds_NonXtal_Prot#'!$A:$AL,28,FALSE),"-")</f>
        <v>81</v>
      </c>
      <c r="U95" s="2">
        <f>IFERROR(50+VLOOKUP($A95,'SegEnds_Xtal_Prot#'!$A:$AY,41,FALSE)-VLOOKUP($B95,'SegEnds_NonXtal_Prot#'!$A:$AL,31,FALSE),"-")</f>
        <v>23</v>
      </c>
      <c r="V95" s="2">
        <f>IFERROR(50+VLOOKUP($A95,'SegEnds_Xtal_Prot#'!$A:$AY,43,FALSE)-VLOOKUP($B95,'SegEnds_NonXtal_Prot#'!$A:$AL,31,FALSE),"-")</f>
        <v>64</v>
      </c>
      <c r="W95" s="2">
        <f>IFERROR(50+VLOOKUP($A95,'SegEnds_Xtal_Prot#'!$A:$AY,45,FALSE)-VLOOKUP($B95,'SegEnds_NonXtal_Prot#'!$A:$AL,34,FALSE),"-")</f>
        <v>31</v>
      </c>
      <c r="X95" s="2">
        <f>IFERROR(50+VLOOKUP($A95,'SegEnds_Xtal_Prot#'!$A:$AY,47,FALSE)-VLOOKUP($B95,'SegEnds_NonXtal_Prot#'!$A:$AL,34,FALSE),"-")</f>
        <v>56</v>
      </c>
      <c r="Y95" s="2">
        <f>IFERROR(50+VLOOKUP($A95,'SegEnds_Xtal_Prot#'!$A:$AY,49,FALSE)-VLOOKUP($B95,'SegEnds_NonXtal_Prot#'!$A:$AL,37,FALSE),"-")</f>
        <v>47</v>
      </c>
      <c r="Z95" s="2">
        <f>IFERROR(50+VLOOKUP($A95,'SegEnds_Xtal_Prot#'!$A:$AY,51,FALSE)-VLOOKUP($B95,'SegEnds_NonXtal_Prot#'!$A:$AL,37,FALSE),"-")</f>
        <v>59</v>
      </c>
      <c r="AA95" s="49" t="str">
        <f>VLOOKUP(B95,Classification!A:D,2,FALSE)</f>
        <v>A</v>
      </c>
      <c r="AB95" s="94" t="str">
        <f>VLOOKUP(B95,Classification!A:D,4,0)</f>
        <v>Bileacid</v>
      </c>
      <c r="AC95" s="49">
        <f>VLOOKUP(B95,'SegEnds_NonXtal_Prot#'!A:AL,6,FALSE)-VLOOKUP(B95,'SegEnds_NonXtal_Prot#'!A:AL,5,FALSE)</f>
        <v>1</v>
      </c>
      <c r="AD95" s="49">
        <f>VLOOKUP(B95,'SegEnds_NonXtal_Prot#'!A:AL,9,FALSE)-VLOOKUP(B95,'SegEnds_NonXtal_Prot#'!A:AL,8,FALSE)</f>
        <v>1</v>
      </c>
      <c r="AE95" s="49" t="e">
        <f>VLOOKUP(B95,'SegEnds_NonXtal_Prot#'!A:AL,13,FALSE)-VLOOKUP(B95,'SegEnds_NonXtal_Prot#'!A:AL,10,FALSE)</f>
        <v>#VALUE!</v>
      </c>
      <c r="AF95" s="49" t="e">
        <f>VLOOKUP(B95,'SegEnds_NonXtal_Prot#'!A:AL,12,FALSE)-VLOOKUP(B95,'SegEnds_NonXtal_Prot#'!A:AL,11,FALSE)</f>
        <v>#VALUE!</v>
      </c>
      <c r="AG95" s="49" t="e">
        <f>VLOOKUP(B95,'SegEnds_NonXtal_Prot#'!A:AL,13,FALSE)-VLOOKUP(B95,'SegEnds_NonXtal_Prot#'!A:AL,11,FALSE)</f>
        <v>#VALUE!</v>
      </c>
      <c r="AH95" s="49">
        <f>VLOOKUP(B95,'SegEnds_NonXtal_Prot#'!A:AL,16,FALSE)-VLOOKUP(B95,'SegEnds_NonXtal_Prot#'!A:AL,10,FALSE)</f>
        <v>49</v>
      </c>
      <c r="AI95" s="49">
        <f>VLOOKUP(B95,'SegEnds_NonXtal_Prot#'!A:AL,16,FALSE)-VLOOKUP(B95,'SegEnds_NonXtal_Prot#'!A:AL,11,FALSE)</f>
        <v>36</v>
      </c>
      <c r="AJ95" s="49" t="e">
        <f>VLOOKUP(B95,'SegEnds_NonXtal_Prot#'!A:AL,22,FALSE)-VLOOKUP(B95,'SegEnds_NonXtal_Prot#'!A:AL,19,FALSE)</f>
        <v>#VALUE!</v>
      </c>
      <c r="AK95" s="49" t="e">
        <f>VLOOKUP(B95,'SegEnds_NonXtal_Prot#'!A:AL,15,FALSE)-VLOOKUP(B95,'SegEnds_NonXtal_Prot#'!A:AL,14,FALSE)</f>
        <v>#VALUE!</v>
      </c>
      <c r="AL95" s="49" t="e">
        <f>VLOOKUP(B95,'SegEnds_NonXtal_Prot#'!A:AL,18,FALSE)-VLOOKUP(B95,'SegEnds_NonXtal_Prot#'!A:AL,17,FALSE)</f>
        <v>#VALUE!</v>
      </c>
      <c r="AM95" s="2">
        <f>VLOOKUP(B95,'SegEnds_NonXtal_Prot#'!A:AL,34,FALSE)-VLOOKUP(B95,'SegEnds_NonXtal_Prot#'!A:AL,31,FALSE)</f>
        <v>38</v>
      </c>
    </row>
    <row r="96" spans="1:39" x14ac:dyDescent="0.2">
      <c r="A96" s="2" t="str">
        <f t="shared" ref="A96" si="21">CONCATENATE(B96,"__wt",)</f>
        <v>fzd5_human__wt</v>
      </c>
      <c r="B96" s="2" t="s">
        <v>447</v>
      </c>
      <c r="C96" s="2">
        <f>IFERROR(50+VLOOKUP($A96,'SegEnds_Xtal_Prot#'!$A:$AY,5,FALSE)-VLOOKUP($B96,'SegEnds_NonXtal_Prot#'!$A:$AL,4,FALSE),"-")</f>
        <v>28</v>
      </c>
      <c r="D96" s="2">
        <f>IFERROR(50+VLOOKUP($A96,'SegEnds_Xtal_Prot#'!$A:$AY,7,FALSE)-VLOOKUP($B96,'SegEnds_NonXtal_Prot#'!$A:$AL,4,FALSE),"-")</f>
        <v>60</v>
      </c>
      <c r="E96" s="2">
        <f>IFERROR(50+VLOOKUP($A96,'SegEnds_Xtal_Prot#'!$A:$AY,9,FALSE)-VLOOKUP($B96,'SegEnds_NonXtal_Prot#'!$A:$AL,7,FALSE),"-")</f>
        <v>47</v>
      </c>
      <c r="F96" s="2">
        <f>IFERROR(50+VLOOKUP($A96,'SegEnds_Xtal_Prot#'!$A:$AY,11,FALSE)-VLOOKUP($B96,'SegEnds_NonXtal_Prot#'!$A:$AL,7,FALSE),"-")</f>
        <v>51</v>
      </c>
      <c r="G96" s="2">
        <f>IFERROR(50+VLOOKUP($A96,'SegEnds_Xtal_Prot#'!$A:$AY,13,FALSE)-VLOOKUP($B96,'SegEnds_NonXtal_Prot#'!$A:$AL,10,FALSE),"-")</f>
        <v>38</v>
      </c>
      <c r="H96" s="2">
        <f>IFERROR(50+VLOOKUP($A96,'SegEnds_Xtal_Prot#'!$A:$AY,15,FALSE)-VLOOKUP($B96,'SegEnds_NonXtal_Prot#'!$A:$AL,10,FALSE),"-")</f>
        <v>64</v>
      </c>
      <c r="I96" s="2" t="str">
        <f>IFERROR(50+VLOOKUP($A96,'SegEnds_Xtal_Prot#'!$A:$AY,17,FALSE)-VLOOKUP($B96,'SegEnds_NonXtal_Prot#'!$A:$AL,13,FALSE),"-")</f>
        <v>-</v>
      </c>
      <c r="J96" s="2" t="str">
        <f>IFERROR(50+VLOOKUP($A96,'SegEnds_Xtal_Prot#'!$A:$AY,19,FALSE)-VLOOKUP($B96,'SegEnds_NonXtal_Prot#'!$A:$AL,13,FALSE),"-")</f>
        <v>-</v>
      </c>
      <c r="K96" s="2">
        <f>IFERROR(50+VLOOKUP($A96,'SegEnds_Xtal_Prot#'!$A:$AY,21,FALSE)-VLOOKUP($B96,'SegEnds_NonXtal_Prot#'!$A:$AL,16,FALSE),"-")</f>
        <v>24</v>
      </c>
      <c r="L96" s="2">
        <f>IFERROR(50+VLOOKUP($A96,'SegEnds_Xtal_Prot#'!$A:$AY,23,FALSE)-VLOOKUP($B96,'SegEnds_NonXtal_Prot#'!$A:$AL,16,FALSE),"-")</f>
        <v>57</v>
      </c>
      <c r="M96" s="2" t="str">
        <f>IFERROR(50+VLOOKUP($A96,'SegEnds_Xtal_Prot#'!$A:$AY,25,FALSE)-VLOOKUP($B96,'SegEnds_NonXtal_Prot#'!$A:$AL,19,FALSE),"-")</f>
        <v>-</v>
      </c>
      <c r="N96" s="2" t="str">
        <f>IFERROR(50+VLOOKUP($A96,'SegEnds_Xtal_Prot#'!$A:$AY,27,FALSE)-VLOOKUP($B96,'SegEnds_NonXtal_Prot#'!$A:$AL,19,FALSE),"-")</f>
        <v>-</v>
      </c>
      <c r="O96" s="2">
        <f>IFERROR(50+VLOOKUP($A96,'SegEnds_Xtal_Prot#'!$A:$AY,29,FALSE)-VLOOKUP($B96,'SegEnds_NonXtal_Prot#'!$A:$AL,22,FALSE),"-")</f>
        <v>34</v>
      </c>
      <c r="P96" s="2">
        <f>IFERROR(50+VLOOKUP($A96,'SegEnds_Xtal_Prot#'!$A:$AY,31,FALSE)-VLOOKUP($B96,'SegEnds_NonXtal_Prot#'!$A:$AL,22,FALSE),"-")</f>
        <v>64</v>
      </c>
      <c r="Q96" s="2">
        <f>IFERROR(50+VLOOKUP($A96,'SegEnds_Xtal_Prot#'!$A:$AY,33,FALSE)-VLOOKUP($B96,'SegEnds_NonXtal_Prot#'!$A:$AL,25,FALSE),"-")</f>
        <v>50</v>
      </c>
      <c r="R96" s="2">
        <f>IFERROR(50+VLOOKUP($A96,'SegEnds_Xtal_Prot#'!$A:$AY,35,FALSE)-VLOOKUP($B96,'SegEnds_NonXtal_Prot#'!$A:$AL,25,FALSE),"-")</f>
        <v>52</v>
      </c>
      <c r="S96" s="2">
        <f>IFERROR(50+VLOOKUP($A96,'SegEnds_Xtal_Prot#'!$A:$AY,37,FALSE)-VLOOKUP($B96,'SegEnds_NonXtal_Prot#'!$A:$AL,28,FALSE),"-")</f>
        <v>35</v>
      </c>
      <c r="T96" s="2">
        <f>IFERROR(50+VLOOKUP($A96,'SegEnds_Xtal_Prot#'!$A:$AY,39,FALSE)-VLOOKUP($B96,'SegEnds_NonXtal_Prot#'!$A:$AL,28,FALSE),"-")</f>
        <v>72</v>
      </c>
      <c r="U96" s="2">
        <f>IFERROR(50+VLOOKUP($A96,'SegEnds_Xtal_Prot#'!$A:$AY,41,FALSE)-VLOOKUP($B96,'SegEnds_NonXtal_Prot#'!$A:$AL,31,FALSE),"-")</f>
        <v>31</v>
      </c>
      <c r="V96" s="2">
        <f>IFERROR(50+VLOOKUP($A96,'SegEnds_Xtal_Prot#'!$A:$AY,43,FALSE)-VLOOKUP($B96,'SegEnds_NonXtal_Prot#'!$A:$AL,31,FALSE),"-")</f>
        <v>66</v>
      </c>
      <c r="W96" s="2">
        <f>IFERROR(50+VLOOKUP($A96,'SegEnds_Xtal_Prot#'!$A:$AY,45,FALSE)-VLOOKUP($B96,'SegEnds_NonXtal_Prot#'!$A:$AL,34,FALSE),"-")</f>
        <v>31</v>
      </c>
      <c r="X96" s="2">
        <f>IFERROR(50+VLOOKUP($A96,'SegEnds_Xtal_Prot#'!$A:$AY,47,FALSE)-VLOOKUP($B96,'SegEnds_NonXtal_Prot#'!$A:$AL,34,FALSE),"-")</f>
        <v>54</v>
      </c>
      <c r="Y96" s="2">
        <f>IFERROR(50+VLOOKUP($A96,'SegEnds_Xtal_Prot#'!$A:$AY,49,FALSE)-VLOOKUP($B96,'SegEnds_NonXtal_Prot#'!$A:$AL,37,FALSE),"-")</f>
        <v>47</v>
      </c>
      <c r="Z96" s="2">
        <f>IFERROR(50+VLOOKUP($A96,'SegEnds_Xtal_Prot#'!$A:$AY,51,FALSE)-VLOOKUP($B96,'SegEnds_NonXtal_Prot#'!$A:$AL,37,FALSE),"-")</f>
        <v>62</v>
      </c>
      <c r="AA96" s="49" t="str">
        <f>VLOOKUP(B96,Classification!A:D,2,FALSE)</f>
        <v>F</v>
      </c>
      <c r="AB96" s="94" t="str">
        <f>VLOOKUP(B96,Classification!A:D,4,0)</f>
        <v>Frizzled</v>
      </c>
      <c r="AC96" s="49">
        <f>VLOOKUP(B96,'SegEnds_NonXtal_Prot#'!A:AL,6,FALSE)-VLOOKUP(B96,'SegEnds_NonXtal_Prot#'!A:AL,5,FALSE)</f>
        <v>1</v>
      </c>
      <c r="AD96" s="49">
        <f>VLOOKUP(B96,'SegEnds_NonXtal_Prot#'!A:AL,9,FALSE)-VLOOKUP(B96,'SegEnds_NonXtal_Prot#'!A:AL,8,FALSE)</f>
        <v>1</v>
      </c>
      <c r="AE96" s="49" t="e">
        <f>VLOOKUP(B96,'SegEnds_NonXtal_Prot#'!A:AL,13,FALSE)-VLOOKUP(B96,'SegEnds_NonXtal_Prot#'!A:AL,10,FALSE)</f>
        <v>#VALUE!</v>
      </c>
      <c r="AF96" s="49" t="e">
        <f>VLOOKUP(B96,'SegEnds_NonXtal_Prot#'!A:AL,12,FALSE)-VLOOKUP(B96,'SegEnds_NonXtal_Prot#'!A:AL,11,FALSE)</f>
        <v>#VALUE!</v>
      </c>
      <c r="AG96" s="49" t="e">
        <f>VLOOKUP(B96,'SegEnds_NonXtal_Prot#'!A:AL,13,FALSE)-VLOOKUP(B96,'SegEnds_NonXtal_Prot#'!A:AL,11,FALSE)</f>
        <v>#VALUE!</v>
      </c>
      <c r="AH96" s="49">
        <f>VLOOKUP(B96,'SegEnds_NonXtal_Prot#'!A:AL,16,FALSE)-VLOOKUP(B96,'SegEnds_NonXtal_Prot#'!A:AL,10,FALSE)</f>
        <v>62</v>
      </c>
      <c r="AI96" s="49">
        <f>VLOOKUP(B96,'SegEnds_NonXtal_Prot#'!A:AL,16,FALSE)-VLOOKUP(B96,'SegEnds_NonXtal_Prot#'!A:AL,11,FALSE)</f>
        <v>48</v>
      </c>
      <c r="AJ96" s="49" t="e">
        <f>VLOOKUP(B96,'SegEnds_NonXtal_Prot#'!A:AL,22,FALSE)-VLOOKUP(B96,'SegEnds_NonXtal_Prot#'!A:AL,19,FALSE)</f>
        <v>#VALUE!</v>
      </c>
      <c r="AK96" s="49" t="e">
        <f>VLOOKUP(B96,'SegEnds_NonXtal_Prot#'!A:AL,15,FALSE)-VLOOKUP(B96,'SegEnds_NonXtal_Prot#'!A:AL,14,FALSE)</f>
        <v>#VALUE!</v>
      </c>
      <c r="AL96" s="49" t="e">
        <f>VLOOKUP(B96,'SegEnds_NonXtal_Prot#'!A:AL,18,FALSE)-VLOOKUP(B96,'SegEnds_NonXtal_Prot#'!A:AL,17,FALSE)</f>
        <v>#VALUE!</v>
      </c>
      <c r="AM96" s="2">
        <f>VLOOKUP(B96,'SegEnds_NonXtal_Prot#'!A:AL,34,FALSE)-VLOOKUP(B96,'SegEnds_NonXtal_Prot#'!A:AL,31,FALSE)</f>
        <v>55</v>
      </c>
    </row>
    <row r="97" spans="1:64" x14ac:dyDescent="0.2">
      <c r="A97" s="4"/>
      <c r="B97" s="4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49"/>
      <c r="AB97" s="96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2"/>
      <c r="AN97" s="38"/>
      <c r="AO97" s="30" t="s">
        <v>1054</v>
      </c>
      <c r="AP97" s="30" t="s">
        <v>1055</v>
      </c>
      <c r="AQ97" s="30" t="s">
        <v>1071</v>
      </c>
      <c r="AR97" s="30" t="s">
        <v>1072</v>
      </c>
      <c r="AS97" s="30" t="s">
        <v>1056</v>
      </c>
      <c r="AT97" s="30" t="s">
        <v>1057</v>
      </c>
      <c r="AU97" s="30" t="s">
        <v>1073</v>
      </c>
      <c r="AV97" s="30" t="s">
        <v>1074</v>
      </c>
      <c r="AW97" s="30" t="s">
        <v>1058</v>
      </c>
      <c r="AX97" s="30" t="s">
        <v>1059</v>
      </c>
      <c r="AY97" s="30" t="s">
        <v>1086</v>
      </c>
      <c r="AZ97" s="30" t="s">
        <v>1087</v>
      </c>
      <c r="BA97" s="30" t="s">
        <v>1060</v>
      </c>
      <c r="BB97" s="30" t="s">
        <v>1061</v>
      </c>
      <c r="BC97" s="30" t="s">
        <v>1089</v>
      </c>
      <c r="BD97" s="30" t="s">
        <v>1090</v>
      </c>
      <c r="BE97" s="30" t="s">
        <v>1062</v>
      </c>
      <c r="BF97" s="30" t="s">
        <v>1063</v>
      </c>
      <c r="BG97" s="30" t="s">
        <v>1064</v>
      </c>
      <c r="BH97" s="30" t="s">
        <v>1065</v>
      </c>
      <c r="BI97" s="30" t="s">
        <v>1066</v>
      </c>
      <c r="BJ97" s="30" t="s">
        <v>1067</v>
      </c>
      <c r="BK97" s="30" t="s">
        <v>1068</v>
      </c>
      <c r="BL97" s="30" t="s">
        <v>1069</v>
      </c>
    </row>
    <row r="98" spans="1:64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N98" s="38" t="s">
        <v>1</v>
      </c>
      <c r="AO98" s="4">
        <f t="shared" ref="AO98:BL98" si="22">MAX(C2:C42)</f>
        <v>34</v>
      </c>
      <c r="AP98" s="4">
        <f t="shared" si="22"/>
        <v>64</v>
      </c>
      <c r="AQ98" s="4">
        <f t="shared" si="22"/>
        <v>48</v>
      </c>
      <c r="AR98" s="4">
        <f t="shared" si="22"/>
        <v>52</v>
      </c>
      <c r="AS98" s="4">
        <f t="shared" si="22"/>
        <v>38</v>
      </c>
      <c r="AT98" s="4">
        <f t="shared" si="22"/>
        <v>69</v>
      </c>
      <c r="AU98" s="4">
        <f t="shared" si="22"/>
        <v>50</v>
      </c>
      <c r="AV98" s="4">
        <f t="shared" si="22"/>
        <v>53</v>
      </c>
      <c r="AW98" s="4">
        <f t="shared" si="22"/>
        <v>21</v>
      </c>
      <c r="AX98" s="4">
        <f t="shared" si="22"/>
        <v>56</v>
      </c>
      <c r="AY98" s="4">
        <f t="shared" si="22"/>
        <v>50</v>
      </c>
      <c r="AZ98" s="4">
        <f t="shared" si="22"/>
        <v>58</v>
      </c>
      <c r="BA98" s="4">
        <f t="shared" si="22"/>
        <v>38</v>
      </c>
      <c r="BB98" s="4">
        <f t="shared" si="22"/>
        <v>69</v>
      </c>
      <c r="BC98" s="4">
        <f t="shared" si="22"/>
        <v>50</v>
      </c>
      <c r="BD98" s="4">
        <f t="shared" si="22"/>
        <v>52</v>
      </c>
      <c r="BE98" s="4">
        <f t="shared" si="22"/>
        <v>36</v>
      </c>
      <c r="BF98" s="4">
        <f t="shared" si="22"/>
        <v>77</v>
      </c>
      <c r="BG98" s="4">
        <f t="shared" si="22"/>
        <v>30</v>
      </c>
      <c r="BH98" s="4">
        <f t="shared" si="22"/>
        <v>65</v>
      </c>
      <c r="BI98" s="4">
        <f t="shared" si="22"/>
        <v>32</v>
      </c>
      <c r="BJ98" s="4">
        <f t="shared" si="22"/>
        <v>56</v>
      </c>
      <c r="BK98" s="4">
        <f t="shared" si="22"/>
        <v>47</v>
      </c>
      <c r="BL98" s="4">
        <f t="shared" si="22"/>
        <v>69</v>
      </c>
    </row>
    <row r="99" spans="1:64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O99" s="4">
        <f t="shared" ref="AO99:BL99" si="23">MIN(C2:C42)</f>
        <v>22</v>
      </c>
      <c r="AP99" s="4">
        <f t="shared" si="23"/>
        <v>60</v>
      </c>
      <c r="AQ99" s="4">
        <f t="shared" si="23"/>
        <v>48</v>
      </c>
      <c r="AR99" s="4">
        <f t="shared" si="23"/>
        <v>51</v>
      </c>
      <c r="AS99" s="4">
        <f t="shared" si="23"/>
        <v>34</v>
      </c>
      <c r="AT99" s="4">
        <f t="shared" si="23"/>
        <v>63</v>
      </c>
      <c r="AU99" s="4">
        <f t="shared" si="23"/>
        <v>47</v>
      </c>
      <c r="AV99" s="4">
        <f t="shared" si="23"/>
        <v>52</v>
      </c>
      <c r="AW99" s="4">
        <f t="shared" si="23"/>
        <v>18</v>
      </c>
      <c r="AX99" s="4">
        <f t="shared" si="23"/>
        <v>55</v>
      </c>
      <c r="AY99" s="4">
        <f t="shared" si="23"/>
        <v>50</v>
      </c>
      <c r="AZ99" s="4">
        <f t="shared" si="23"/>
        <v>53</v>
      </c>
      <c r="BA99" s="4">
        <f t="shared" si="23"/>
        <v>35</v>
      </c>
      <c r="BB99" s="4">
        <f t="shared" si="23"/>
        <v>62</v>
      </c>
      <c r="BC99" s="4">
        <f t="shared" si="23"/>
        <v>50</v>
      </c>
      <c r="BD99" s="4">
        <f t="shared" si="23"/>
        <v>52</v>
      </c>
      <c r="BE99" s="4">
        <f t="shared" si="23"/>
        <v>28</v>
      </c>
      <c r="BF99" s="4">
        <f t="shared" si="23"/>
        <v>67</v>
      </c>
      <c r="BG99" s="4">
        <f t="shared" si="23"/>
        <v>18</v>
      </c>
      <c r="BH99" s="4">
        <f t="shared" si="23"/>
        <v>60</v>
      </c>
      <c r="BI99" s="4">
        <f t="shared" si="23"/>
        <v>24</v>
      </c>
      <c r="BJ99" s="4">
        <f t="shared" si="23"/>
        <v>55</v>
      </c>
      <c r="BK99" s="4">
        <f t="shared" si="23"/>
        <v>47</v>
      </c>
      <c r="BL99" s="4">
        <f t="shared" si="23"/>
        <v>57</v>
      </c>
    </row>
    <row r="100" spans="1:64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O100" s="4">
        <f t="shared" ref="AO100:BL100" si="24">AO98-AO99</f>
        <v>12</v>
      </c>
      <c r="AP100" s="4">
        <f t="shared" si="24"/>
        <v>4</v>
      </c>
      <c r="AQ100" s="4">
        <f t="shared" si="24"/>
        <v>0</v>
      </c>
      <c r="AR100" s="4">
        <f t="shared" si="24"/>
        <v>1</v>
      </c>
      <c r="AS100" s="4">
        <f t="shared" si="24"/>
        <v>4</v>
      </c>
      <c r="AT100" s="4">
        <f t="shared" si="24"/>
        <v>6</v>
      </c>
      <c r="AU100" s="4">
        <f t="shared" si="24"/>
        <v>3</v>
      </c>
      <c r="AV100" s="4">
        <f t="shared" si="24"/>
        <v>1</v>
      </c>
      <c r="AW100" s="4">
        <f t="shared" si="24"/>
        <v>3</v>
      </c>
      <c r="AX100" s="4">
        <f t="shared" si="24"/>
        <v>1</v>
      </c>
      <c r="AY100" s="4">
        <f t="shared" si="24"/>
        <v>0</v>
      </c>
      <c r="AZ100" s="4">
        <f t="shared" si="24"/>
        <v>5</v>
      </c>
      <c r="BA100" s="4">
        <f t="shared" si="24"/>
        <v>3</v>
      </c>
      <c r="BB100" s="4">
        <f t="shared" si="24"/>
        <v>7</v>
      </c>
      <c r="BC100" s="4">
        <f t="shared" si="24"/>
        <v>0</v>
      </c>
      <c r="BD100" s="4">
        <f t="shared" si="24"/>
        <v>0</v>
      </c>
      <c r="BE100" s="4">
        <f t="shared" si="24"/>
        <v>8</v>
      </c>
      <c r="BF100" s="4">
        <f t="shared" si="24"/>
        <v>10</v>
      </c>
      <c r="BG100" s="4">
        <f t="shared" si="24"/>
        <v>12</v>
      </c>
      <c r="BH100" s="4">
        <f t="shared" si="24"/>
        <v>5</v>
      </c>
      <c r="BI100" s="4">
        <f t="shared" si="24"/>
        <v>8</v>
      </c>
      <c r="BJ100" s="4">
        <f t="shared" si="24"/>
        <v>1</v>
      </c>
      <c r="BK100" s="4">
        <f t="shared" si="24"/>
        <v>0</v>
      </c>
      <c r="BL100" s="4">
        <f t="shared" si="24"/>
        <v>12</v>
      </c>
    </row>
    <row r="101" spans="1:64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N101" s="38" t="s">
        <v>1275</v>
      </c>
      <c r="AO101" s="4">
        <f t="shared" ref="AO101:BL101" si="25">MAX(C43:C46)</f>
        <v>29</v>
      </c>
      <c r="AP101" s="4">
        <f t="shared" si="25"/>
        <v>60</v>
      </c>
      <c r="AQ101" s="4">
        <f t="shared" si="25"/>
        <v>48</v>
      </c>
      <c r="AR101" s="4">
        <f t="shared" si="25"/>
        <v>51</v>
      </c>
      <c r="AS101" s="4">
        <f t="shared" si="25"/>
        <v>37</v>
      </c>
      <c r="AT101" s="4">
        <f t="shared" si="25"/>
        <v>66</v>
      </c>
      <c r="AU101" s="4">
        <f t="shared" si="25"/>
        <v>49</v>
      </c>
      <c r="AV101" s="4">
        <f t="shared" si="25"/>
        <v>52</v>
      </c>
      <c r="AW101" s="4">
        <f t="shared" si="25"/>
        <v>23</v>
      </c>
      <c r="AX101" s="4">
        <f t="shared" si="25"/>
        <v>56</v>
      </c>
      <c r="AY101" s="4">
        <f t="shared" si="25"/>
        <v>50</v>
      </c>
      <c r="AZ101" s="4">
        <f t="shared" si="25"/>
        <v>57</v>
      </c>
      <c r="BA101" s="4">
        <f t="shared" si="25"/>
        <v>41</v>
      </c>
      <c r="BB101" s="4">
        <f t="shared" si="25"/>
        <v>68</v>
      </c>
      <c r="BC101" s="4">
        <f t="shared" si="25"/>
        <v>50</v>
      </c>
      <c r="BD101" s="4">
        <f t="shared" si="25"/>
        <v>52</v>
      </c>
      <c r="BE101" s="4">
        <f t="shared" si="25"/>
        <v>40</v>
      </c>
      <c r="BF101" s="4">
        <f t="shared" si="25"/>
        <v>70</v>
      </c>
      <c r="BG101" s="4">
        <f t="shared" si="25"/>
        <v>30</v>
      </c>
      <c r="BH101" s="4">
        <f t="shared" si="25"/>
        <v>65</v>
      </c>
      <c r="BI101" s="4">
        <f t="shared" si="25"/>
        <v>31</v>
      </c>
      <c r="BJ101" s="4">
        <f t="shared" si="25"/>
        <v>56</v>
      </c>
      <c r="BK101" s="4">
        <f t="shared" si="25"/>
        <v>47</v>
      </c>
      <c r="BL101" s="4">
        <f t="shared" si="25"/>
        <v>72</v>
      </c>
    </row>
    <row r="102" spans="1:64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O102" s="4">
        <f t="shared" ref="AO102:BL102" si="26">MIN(C43:C46)</f>
        <v>19</v>
      </c>
      <c r="AP102" s="4">
        <f t="shared" si="26"/>
        <v>60</v>
      </c>
      <c r="AQ102" s="4">
        <f t="shared" si="26"/>
        <v>48</v>
      </c>
      <c r="AR102" s="4">
        <f t="shared" si="26"/>
        <v>51</v>
      </c>
      <c r="AS102" s="4">
        <f t="shared" si="26"/>
        <v>37</v>
      </c>
      <c r="AT102" s="4">
        <f t="shared" si="26"/>
        <v>63</v>
      </c>
      <c r="AU102" s="4">
        <f t="shared" si="26"/>
        <v>47</v>
      </c>
      <c r="AV102" s="4">
        <f t="shared" si="26"/>
        <v>52</v>
      </c>
      <c r="AW102" s="4">
        <f t="shared" si="26"/>
        <v>21</v>
      </c>
      <c r="AX102" s="4">
        <f t="shared" si="26"/>
        <v>56</v>
      </c>
      <c r="AY102" s="4">
        <f t="shared" si="26"/>
        <v>50</v>
      </c>
      <c r="AZ102" s="4">
        <f t="shared" si="26"/>
        <v>56</v>
      </c>
      <c r="BA102" s="4">
        <f t="shared" si="26"/>
        <v>38</v>
      </c>
      <c r="BB102" s="4">
        <f t="shared" si="26"/>
        <v>62</v>
      </c>
      <c r="BC102" s="4">
        <f t="shared" si="26"/>
        <v>50</v>
      </c>
      <c r="BD102" s="4">
        <f t="shared" si="26"/>
        <v>52</v>
      </c>
      <c r="BE102" s="4">
        <f t="shared" si="26"/>
        <v>31</v>
      </c>
      <c r="BF102" s="4">
        <f t="shared" si="26"/>
        <v>67</v>
      </c>
      <c r="BG102" s="4">
        <f t="shared" si="26"/>
        <v>25</v>
      </c>
      <c r="BH102" s="4">
        <f t="shared" si="26"/>
        <v>53</v>
      </c>
      <c r="BI102" s="4">
        <f t="shared" si="26"/>
        <v>28</v>
      </c>
      <c r="BJ102" s="4">
        <f t="shared" si="26"/>
        <v>56</v>
      </c>
      <c r="BK102" s="4">
        <f t="shared" si="26"/>
        <v>47</v>
      </c>
      <c r="BL102" s="4">
        <f t="shared" si="26"/>
        <v>61</v>
      </c>
    </row>
    <row r="103" spans="1:64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O103" s="4">
        <f t="shared" ref="AO103:BL103" si="27">AO101-AO102</f>
        <v>10</v>
      </c>
      <c r="AP103" s="4">
        <f t="shared" si="27"/>
        <v>0</v>
      </c>
      <c r="AQ103" s="4">
        <f t="shared" si="27"/>
        <v>0</v>
      </c>
      <c r="AR103" s="4">
        <f t="shared" si="27"/>
        <v>0</v>
      </c>
      <c r="AS103" s="4">
        <f t="shared" si="27"/>
        <v>0</v>
      </c>
      <c r="AT103" s="4">
        <f t="shared" si="27"/>
        <v>3</v>
      </c>
      <c r="AU103" s="4">
        <f t="shared" si="27"/>
        <v>2</v>
      </c>
      <c r="AV103" s="4">
        <f t="shared" si="27"/>
        <v>0</v>
      </c>
      <c r="AW103" s="4">
        <f t="shared" si="27"/>
        <v>2</v>
      </c>
      <c r="AX103" s="4">
        <f t="shared" si="27"/>
        <v>0</v>
      </c>
      <c r="AY103" s="4">
        <f t="shared" si="27"/>
        <v>0</v>
      </c>
      <c r="AZ103" s="4">
        <f t="shared" si="27"/>
        <v>1</v>
      </c>
      <c r="BA103" s="4">
        <f t="shared" si="27"/>
        <v>3</v>
      </c>
      <c r="BB103" s="4">
        <f t="shared" si="27"/>
        <v>6</v>
      </c>
      <c r="BC103" s="4">
        <f t="shared" si="27"/>
        <v>0</v>
      </c>
      <c r="BD103" s="4">
        <f t="shared" si="27"/>
        <v>0</v>
      </c>
      <c r="BE103" s="4">
        <f t="shared" si="27"/>
        <v>9</v>
      </c>
      <c r="BF103" s="4">
        <f t="shared" si="27"/>
        <v>3</v>
      </c>
      <c r="BG103" s="4">
        <f t="shared" si="27"/>
        <v>5</v>
      </c>
      <c r="BH103" s="4">
        <f t="shared" si="27"/>
        <v>12</v>
      </c>
      <c r="BI103" s="4">
        <f t="shared" si="27"/>
        <v>3</v>
      </c>
      <c r="BJ103" s="4">
        <f t="shared" si="27"/>
        <v>0</v>
      </c>
      <c r="BK103" s="4">
        <f t="shared" si="27"/>
        <v>0</v>
      </c>
      <c r="BL103" s="4">
        <f t="shared" si="27"/>
        <v>11</v>
      </c>
    </row>
    <row r="104" spans="1:64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N104" s="38" t="s">
        <v>27</v>
      </c>
      <c r="AO104" s="4">
        <f t="shared" ref="AO104:BL104" si="28">MAX(C47:C50)</f>
        <v>34</v>
      </c>
      <c r="AP104" s="4">
        <f t="shared" si="28"/>
        <v>60</v>
      </c>
      <c r="AQ104" s="4">
        <f t="shared" si="28"/>
        <v>48</v>
      </c>
      <c r="AR104" s="4">
        <f t="shared" si="28"/>
        <v>53</v>
      </c>
      <c r="AS104" s="4">
        <f t="shared" si="28"/>
        <v>39</v>
      </c>
      <c r="AT104" s="4">
        <f t="shared" si="28"/>
        <v>74</v>
      </c>
      <c r="AU104" s="4">
        <f t="shared" si="28"/>
        <v>0</v>
      </c>
      <c r="AV104" s="4">
        <f t="shared" si="28"/>
        <v>0</v>
      </c>
      <c r="AW104" s="4">
        <f t="shared" si="28"/>
        <v>23</v>
      </c>
      <c r="AX104" s="4">
        <f t="shared" si="28"/>
        <v>56</v>
      </c>
      <c r="AY104" s="4">
        <f t="shared" si="28"/>
        <v>0</v>
      </c>
      <c r="AZ104" s="4">
        <f t="shared" si="28"/>
        <v>0</v>
      </c>
      <c r="BA104" s="4">
        <f t="shared" si="28"/>
        <v>40</v>
      </c>
      <c r="BB104" s="4">
        <f t="shared" si="28"/>
        <v>68</v>
      </c>
      <c r="BC104" s="4">
        <f t="shared" si="28"/>
        <v>50</v>
      </c>
      <c r="BD104" s="4">
        <f t="shared" si="28"/>
        <v>52</v>
      </c>
      <c r="BE104" s="4">
        <f t="shared" si="28"/>
        <v>40</v>
      </c>
      <c r="BF104" s="4">
        <f t="shared" si="28"/>
        <v>73</v>
      </c>
      <c r="BG104" s="4">
        <f t="shared" si="28"/>
        <v>33</v>
      </c>
      <c r="BH104" s="4">
        <f t="shared" si="28"/>
        <v>57</v>
      </c>
      <c r="BI104" s="4">
        <f t="shared" si="28"/>
        <v>33</v>
      </c>
      <c r="BJ104" s="4">
        <f t="shared" si="28"/>
        <v>64</v>
      </c>
      <c r="BK104" s="4">
        <f t="shared" si="28"/>
        <v>47</v>
      </c>
      <c r="BL104" s="4">
        <f t="shared" si="28"/>
        <v>72</v>
      </c>
    </row>
    <row r="105" spans="1:64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O105" s="4">
        <f t="shared" ref="AO105:BL105" si="29">MIN(C47:C50)</f>
        <v>25</v>
      </c>
      <c r="AP105" s="4">
        <f t="shared" si="29"/>
        <v>60</v>
      </c>
      <c r="AQ105" s="4">
        <f t="shared" si="29"/>
        <v>47</v>
      </c>
      <c r="AR105" s="4">
        <f t="shared" si="29"/>
        <v>51</v>
      </c>
      <c r="AS105" s="4">
        <f t="shared" si="29"/>
        <v>37</v>
      </c>
      <c r="AT105" s="4">
        <f t="shared" si="29"/>
        <v>61</v>
      </c>
      <c r="AU105" s="4">
        <f t="shared" si="29"/>
        <v>0</v>
      </c>
      <c r="AV105" s="4">
        <f t="shared" si="29"/>
        <v>0</v>
      </c>
      <c r="AW105" s="4">
        <f t="shared" si="29"/>
        <v>21</v>
      </c>
      <c r="AX105" s="4">
        <f t="shared" si="29"/>
        <v>54</v>
      </c>
      <c r="AY105" s="4">
        <f t="shared" si="29"/>
        <v>0</v>
      </c>
      <c r="AZ105" s="4">
        <f t="shared" si="29"/>
        <v>0</v>
      </c>
      <c r="BA105" s="4">
        <f t="shared" si="29"/>
        <v>37</v>
      </c>
      <c r="BB105" s="4">
        <f t="shared" si="29"/>
        <v>64</v>
      </c>
      <c r="BC105" s="4">
        <f t="shared" si="29"/>
        <v>50</v>
      </c>
      <c r="BD105" s="4">
        <f t="shared" si="29"/>
        <v>52</v>
      </c>
      <c r="BE105" s="4">
        <f t="shared" si="29"/>
        <v>36</v>
      </c>
      <c r="BF105" s="4">
        <f t="shared" si="29"/>
        <v>61</v>
      </c>
      <c r="BG105" s="4">
        <f t="shared" si="29"/>
        <v>25</v>
      </c>
      <c r="BH105" s="4">
        <f t="shared" si="29"/>
        <v>53</v>
      </c>
      <c r="BI105" s="4">
        <f t="shared" si="29"/>
        <v>27</v>
      </c>
      <c r="BJ105" s="4">
        <f t="shared" si="29"/>
        <v>56</v>
      </c>
      <c r="BK105" s="4">
        <f t="shared" si="29"/>
        <v>46</v>
      </c>
      <c r="BL105" s="4">
        <f t="shared" si="29"/>
        <v>57</v>
      </c>
    </row>
    <row r="106" spans="1:64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O106" s="4">
        <f t="shared" ref="AO106:BL106" si="30">AO104-AO105</f>
        <v>9</v>
      </c>
      <c r="AP106" s="4">
        <f t="shared" si="30"/>
        <v>0</v>
      </c>
      <c r="AQ106" s="4">
        <f t="shared" si="30"/>
        <v>1</v>
      </c>
      <c r="AR106" s="4">
        <f t="shared" si="30"/>
        <v>2</v>
      </c>
      <c r="AS106" s="4">
        <f t="shared" si="30"/>
        <v>2</v>
      </c>
      <c r="AT106" s="4">
        <f t="shared" si="30"/>
        <v>13</v>
      </c>
      <c r="AU106" s="4">
        <f t="shared" si="30"/>
        <v>0</v>
      </c>
      <c r="AV106" s="4">
        <f t="shared" si="30"/>
        <v>0</v>
      </c>
      <c r="AW106" s="4">
        <f t="shared" si="30"/>
        <v>2</v>
      </c>
      <c r="AX106" s="4">
        <f t="shared" si="30"/>
        <v>2</v>
      </c>
      <c r="AY106" s="4">
        <f t="shared" si="30"/>
        <v>0</v>
      </c>
      <c r="AZ106" s="4">
        <f t="shared" si="30"/>
        <v>0</v>
      </c>
      <c r="BA106" s="4">
        <f t="shared" si="30"/>
        <v>3</v>
      </c>
      <c r="BB106" s="4">
        <f t="shared" si="30"/>
        <v>4</v>
      </c>
      <c r="BC106" s="4">
        <f t="shared" si="30"/>
        <v>0</v>
      </c>
      <c r="BD106" s="4">
        <f t="shared" si="30"/>
        <v>0</v>
      </c>
      <c r="BE106" s="4">
        <f t="shared" si="30"/>
        <v>4</v>
      </c>
      <c r="BF106" s="4">
        <f t="shared" si="30"/>
        <v>12</v>
      </c>
      <c r="BG106" s="4">
        <f t="shared" si="30"/>
        <v>8</v>
      </c>
      <c r="BH106" s="4">
        <f t="shared" si="30"/>
        <v>4</v>
      </c>
      <c r="BI106" s="4">
        <f t="shared" si="30"/>
        <v>6</v>
      </c>
      <c r="BJ106" s="4">
        <f t="shared" si="30"/>
        <v>8</v>
      </c>
      <c r="BK106" s="4">
        <f t="shared" si="30"/>
        <v>1</v>
      </c>
      <c r="BL106" s="4">
        <f t="shared" si="30"/>
        <v>15</v>
      </c>
    </row>
    <row r="107" spans="1:64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N107" s="38" t="s">
        <v>28</v>
      </c>
      <c r="AO107" s="4">
        <f t="shared" ref="AO107:BL107" si="31">MAX(C51)</f>
        <v>34</v>
      </c>
      <c r="AP107" s="4">
        <f t="shared" si="31"/>
        <v>60</v>
      </c>
      <c r="AQ107" s="4">
        <f t="shared" si="31"/>
        <v>47</v>
      </c>
      <c r="AR107" s="4">
        <f t="shared" si="31"/>
        <v>53</v>
      </c>
      <c r="AS107" s="4">
        <f t="shared" si="31"/>
        <v>39</v>
      </c>
      <c r="AT107" s="4">
        <f t="shared" si="31"/>
        <v>61</v>
      </c>
      <c r="AU107" s="4">
        <f t="shared" si="31"/>
        <v>0</v>
      </c>
      <c r="AV107" s="4">
        <f t="shared" si="31"/>
        <v>0</v>
      </c>
      <c r="AW107" s="4">
        <f t="shared" si="31"/>
        <v>22</v>
      </c>
      <c r="AX107" s="4">
        <f t="shared" si="31"/>
        <v>54</v>
      </c>
      <c r="AY107" s="4">
        <f t="shared" si="31"/>
        <v>0</v>
      </c>
      <c r="AZ107" s="4">
        <f t="shared" si="31"/>
        <v>0</v>
      </c>
      <c r="BA107" s="4">
        <f t="shared" si="31"/>
        <v>38</v>
      </c>
      <c r="BB107" s="4">
        <f t="shared" si="31"/>
        <v>64</v>
      </c>
      <c r="BC107" s="4">
        <f t="shared" si="31"/>
        <v>50</v>
      </c>
      <c r="BD107" s="4">
        <f t="shared" si="31"/>
        <v>52</v>
      </c>
      <c r="BE107" s="4">
        <f t="shared" si="31"/>
        <v>36</v>
      </c>
      <c r="BF107" s="4">
        <f t="shared" si="31"/>
        <v>61</v>
      </c>
      <c r="BG107" s="4">
        <f t="shared" si="31"/>
        <v>33</v>
      </c>
      <c r="BH107" s="4">
        <f t="shared" si="31"/>
        <v>57</v>
      </c>
      <c r="BI107" s="4">
        <f t="shared" si="31"/>
        <v>33</v>
      </c>
      <c r="BJ107" s="4">
        <f t="shared" si="31"/>
        <v>64</v>
      </c>
      <c r="BK107" s="4">
        <f t="shared" si="31"/>
        <v>46</v>
      </c>
      <c r="BL107" s="4">
        <f t="shared" si="31"/>
        <v>57</v>
      </c>
    </row>
    <row r="108" spans="1:64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O108" s="4">
        <f t="shared" ref="AO108:BL108" si="32">MIN(C51)</f>
        <v>34</v>
      </c>
      <c r="AP108" s="4">
        <f t="shared" si="32"/>
        <v>60</v>
      </c>
      <c r="AQ108" s="4">
        <f t="shared" si="32"/>
        <v>47</v>
      </c>
      <c r="AR108" s="4">
        <f t="shared" si="32"/>
        <v>53</v>
      </c>
      <c r="AS108" s="4">
        <f t="shared" si="32"/>
        <v>39</v>
      </c>
      <c r="AT108" s="4">
        <f t="shared" si="32"/>
        <v>61</v>
      </c>
      <c r="AU108" s="4">
        <f t="shared" si="32"/>
        <v>0</v>
      </c>
      <c r="AV108" s="4">
        <f t="shared" si="32"/>
        <v>0</v>
      </c>
      <c r="AW108" s="4">
        <f t="shared" si="32"/>
        <v>22</v>
      </c>
      <c r="AX108" s="4">
        <f t="shared" si="32"/>
        <v>54</v>
      </c>
      <c r="AY108" s="4">
        <f t="shared" si="32"/>
        <v>0</v>
      </c>
      <c r="AZ108" s="4">
        <f t="shared" si="32"/>
        <v>0</v>
      </c>
      <c r="BA108" s="4">
        <f t="shared" si="32"/>
        <v>38</v>
      </c>
      <c r="BB108" s="4">
        <f t="shared" si="32"/>
        <v>64</v>
      </c>
      <c r="BC108" s="4">
        <f t="shared" si="32"/>
        <v>50</v>
      </c>
      <c r="BD108" s="4">
        <f t="shared" si="32"/>
        <v>52</v>
      </c>
      <c r="BE108" s="4">
        <f t="shared" si="32"/>
        <v>36</v>
      </c>
      <c r="BF108" s="4">
        <f t="shared" si="32"/>
        <v>61</v>
      </c>
      <c r="BG108" s="4">
        <f t="shared" si="32"/>
        <v>33</v>
      </c>
      <c r="BH108" s="4">
        <f t="shared" si="32"/>
        <v>57</v>
      </c>
      <c r="BI108" s="4">
        <f t="shared" si="32"/>
        <v>33</v>
      </c>
      <c r="BJ108" s="4">
        <f t="shared" si="32"/>
        <v>64</v>
      </c>
      <c r="BK108" s="4">
        <f t="shared" si="32"/>
        <v>46</v>
      </c>
      <c r="BL108" s="4">
        <f t="shared" si="32"/>
        <v>57</v>
      </c>
    </row>
    <row r="109" spans="1:64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O109" s="4">
        <f t="shared" ref="AO109:BL109" si="33">AO107-AO108</f>
        <v>0</v>
      </c>
      <c r="AP109" s="4">
        <f t="shared" si="33"/>
        <v>0</v>
      </c>
      <c r="AQ109" s="4">
        <f t="shared" si="33"/>
        <v>0</v>
      </c>
      <c r="AR109" s="4">
        <f t="shared" si="33"/>
        <v>0</v>
      </c>
      <c r="AS109" s="4">
        <f t="shared" si="33"/>
        <v>0</v>
      </c>
      <c r="AT109" s="4">
        <f t="shared" si="33"/>
        <v>0</v>
      </c>
      <c r="AU109" s="4">
        <f t="shared" si="33"/>
        <v>0</v>
      </c>
      <c r="AV109" s="4">
        <f t="shared" si="33"/>
        <v>0</v>
      </c>
      <c r="AW109" s="4">
        <f t="shared" si="33"/>
        <v>0</v>
      </c>
      <c r="AX109" s="4">
        <f t="shared" si="33"/>
        <v>0</v>
      </c>
      <c r="AY109" s="4">
        <f t="shared" si="33"/>
        <v>0</v>
      </c>
      <c r="AZ109" s="4">
        <f t="shared" si="33"/>
        <v>0</v>
      </c>
      <c r="BA109" s="4">
        <f t="shared" si="33"/>
        <v>0</v>
      </c>
      <c r="BB109" s="4">
        <f t="shared" si="33"/>
        <v>0</v>
      </c>
      <c r="BC109" s="4">
        <f t="shared" si="33"/>
        <v>0</v>
      </c>
      <c r="BD109" s="4">
        <f t="shared" si="33"/>
        <v>0</v>
      </c>
      <c r="BE109" s="4">
        <f t="shared" si="33"/>
        <v>0</v>
      </c>
      <c r="BF109" s="4">
        <f t="shared" si="33"/>
        <v>0</v>
      </c>
      <c r="BG109" s="4">
        <f t="shared" si="33"/>
        <v>0</v>
      </c>
      <c r="BH109" s="4">
        <f t="shared" si="33"/>
        <v>0</v>
      </c>
      <c r="BI109" s="4">
        <f t="shared" si="33"/>
        <v>0</v>
      </c>
      <c r="BJ109" s="4">
        <f t="shared" si="33"/>
        <v>0</v>
      </c>
      <c r="BK109" s="4">
        <f t="shared" si="33"/>
        <v>0</v>
      </c>
      <c r="BL109" s="4">
        <f t="shared" si="33"/>
        <v>0</v>
      </c>
    </row>
    <row r="110" spans="1:64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O110" s="4">
        <f t="shared" ref="AO110:BL110" si="34">AO100+AO103+AO106+AO109</f>
        <v>31</v>
      </c>
      <c r="AP110" s="4">
        <f t="shared" si="34"/>
        <v>4</v>
      </c>
      <c r="AQ110" s="4">
        <f t="shared" si="34"/>
        <v>1</v>
      </c>
      <c r="AR110" s="4">
        <f t="shared" si="34"/>
        <v>3</v>
      </c>
      <c r="AS110" s="4">
        <f t="shared" si="34"/>
        <v>6</v>
      </c>
      <c r="AT110" s="4">
        <f t="shared" si="34"/>
        <v>22</v>
      </c>
      <c r="AU110" s="4">
        <f t="shared" si="34"/>
        <v>5</v>
      </c>
      <c r="AV110" s="4">
        <f t="shared" si="34"/>
        <v>1</v>
      </c>
      <c r="AW110" s="4">
        <f t="shared" si="34"/>
        <v>7</v>
      </c>
      <c r="AX110" s="4">
        <f t="shared" si="34"/>
        <v>3</v>
      </c>
      <c r="AY110" s="4">
        <f t="shared" si="34"/>
        <v>0</v>
      </c>
      <c r="AZ110" s="4">
        <f t="shared" si="34"/>
        <v>6</v>
      </c>
      <c r="BA110" s="4">
        <f t="shared" si="34"/>
        <v>9</v>
      </c>
      <c r="BB110" s="4">
        <f t="shared" si="34"/>
        <v>17</v>
      </c>
      <c r="BC110" s="4">
        <f t="shared" si="34"/>
        <v>0</v>
      </c>
      <c r="BD110" s="4">
        <f t="shared" si="34"/>
        <v>0</v>
      </c>
      <c r="BE110" s="4">
        <f t="shared" si="34"/>
        <v>21</v>
      </c>
      <c r="BF110" s="4">
        <f t="shared" si="34"/>
        <v>25</v>
      </c>
      <c r="BG110" s="4">
        <f t="shared" si="34"/>
        <v>25</v>
      </c>
      <c r="BH110" s="4">
        <f t="shared" si="34"/>
        <v>21</v>
      </c>
      <c r="BI110" s="4">
        <f t="shared" si="34"/>
        <v>17</v>
      </c>
      <c r="BJ110" s="4">
        <f t="shared" si="34"/>
        <v>9</v>
      </c>
      <c r="BK110" s="4">
        <f t="shared" si="34"/>
        <v>1</v>
      </c>
      <c r="BL110" s="4">
        <f t="shared" si="34"/>
        <v>38</v>
      </c>
    </row>
    <row r="111" spans="1:64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64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3:26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3:26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3:26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3:26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3:26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3:26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3:26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3:26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3:26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3:26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3:26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3:26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3:26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3:26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3:26" x14ac:dyDescent="0.2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3:26" x14ac:dyDescent="0.2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3:26" x14ac:dyDescent="0.2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113" zoomScaleNormal="113" zoomScalePageLayoutView="113" workbookViewId="0">
      <pane ySplit="1" topLeftCell="A2" activePane="bottomLeft" state="frozenSplit"/>
      <selection pane="bottomLeft" activeCell="G31" sqref="G31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8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1165</v>
      </c>
      <c r="E6" s="3">
        <f>VLOOKUP($D6,'SegEnds_NonXtal_Prot#'!$A:$AZ,30,FALSE)-VLOOKUP($D6,'SegEnds_NonXtal_Prot#'!$A:$AZ,29,FALSE)</f>
        <v>4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x14ac:dyDescent="0.2">
      <c r="A7" s="3" t="str">
        <f>D7&amp;"__wt"</f>
        <v>cxcr2_human__wt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186</v>
      </c>
      <c r="E7" s="3">
        <f>VLOOKUP($D7,'SegEnds_NonXtal_Prot#'!$A:$AZ,30,FALSE)-VLOOKUP($D7,'SegEnds_NonXtal_Prot#'!$A:$AZ,29,FALSE)</f>
        <v>4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29</v>
      </c>
      <c r="I7" s="8"/>
      <c r="J7" s="8"/>
      <c r="K7" s="8"/>
      <c r="L7" s="8"/>
      <c r="M7" s="8"/>
      <c r="N7" s="8"/>
    </row>
    <row r="8" spans="1:18" s="24" customFormat="1" ht="17" thickBot="1" x14ac:dyDescent="0.25">
      <c r="A8" s="3" t="str">
        <f>D8&amp;"__wt"</f>
        <v>c5ar1_human__wt</v>
      </c>
      <c r="B8" s="3" t="str">
        <f>VLOOKUP(D8,Classification!A:D,3,FALSE)</f>
        <v>Peptide</v>
      </c>
      <c r="C8" s="3" t="str">
        <f>VLOOKUP(D8,Classification!A:D,4,FALSE)</f>
        <v>Complementpeptide</v>
      </c>
      <c r="D8" s="3" t="s">
        <v>165</v>
      </c>
      <c r="E8" s="3">
        <f>VLOOKUP($D8,'SegEnds_NonXtal_Prot#'!$A:$AZ,30,FALSE)-VLOOKUP($D8,'SegEnds_NonXtal_Prot#'!$A:$AZ,29,FALSE)</f>
        <v>6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31</v>
      </c>
      <c r="I8" s="8"/>
      <c r="J8" s="8"/>
      <c r="K8" s="8"/>
      <c r="L8" s="8"/>
      <c r="M8" s="8"/>
      <c r="N8" s="8"/>
    </row>
    <row r="9" spans="1:18" x14ac:dyDescent="0.2">
      <c r="A9" s="3" t="str">
        <f t="shared" ref="A9:A25" si="0">D9&amp;"__wt"</f>
        <v>ccr9_human__wt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177</v>
      </c>
      <c r="E9" s="3">
        <f>VLOOKUP($D9,'SegEnds_NonXtal_Prot#'!$A:$AZ,30,FALSE)-VLOOKUP($D9,'SegEnds_NonXtal_Prot#'!$A:$AZ,29,FALSE)</f>
        <v>3</v>
      </c>
      <c r="F9" s="131">
        <f>VLOOKUP($D9,'SegEnds_NonXtal_Prot#'!$A:$AZ,31,FALSE)-VLOOKUP($D9,'SegEnds_NonXtal_Prot#'!$A:$AZ,28,FALSE)</f>
        <v>43</v>
      </c>
      <c r="G9" s="132">
        <f>50+VLOOKUP($A9,'SegEnds_Xtal_Prot#'!$A:$AY,39,FALSE)-VLOOKUP($D9,'SegEnds_NonXtal_Prot#'!$A:$AZ,28,FALSE)</f>
        <v>68</v>
      </c>
      <c r="H9" s="133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  <c r="Q9" s="8"/>
      <c r="R9" s="8"/>
    </row>
    <row r="10" spans="1:18" x14ac:dyDescent="0.2">
      <c r="A10" s="3" t="str">
        <f t="shared" ref="A10" si="1">D10&amp;"__wt"</f>
        <v>fpr2_human__wt</v>
      </c>
      <c r="B10" s="3" t="str">
        <f>VLOOKUP(D10,Classification!A:D,3,FALSE)</f>
        <v>Peptide</v>
      </c>
      <c r="C10" s="3" t="str">
        <f>VLOOKUP(D10,Classification!A:D,4,FALSE)</f>
        <v>Formylpeptide</v>
      </c>
      <c r="D10" s="3" t="s">
        <v>201</v>
      </c>
      <c r="E10" s="3">
        <f>VLOOKUP($D10,'SegEnds_NonXtal_Prot#'!$A:$AZ,30,FALSE)-VLOOKUP($D10,'SegEnds_NonXtal_Prot#'!$A:$AZ,29,FALSE)</f>
        <v>5</v>
      </c>
      <c r="F10" s="4">
        <f>VLOOKUP($D10,'SegEnds_NonXtal_Prot#'!$A:$AZ,31,FALSE)-VLOOKUP($D10,'SegEnds_NonXtal_Prot#'!$A:$AZ,28,FALSE)</f>
        <v>43</v>
      </c>
      <c r="G10" s="2">
        <f>50+VLOOKUP($A10,'SegEnds_Xtal_Prot#'!$A:$AY,39,FALSE)-VLOOKUP($D10,'SegEnds_NonXtal_Prot#'!$A:$AZ,28,FALSE)</f>
        <v>69</v>
      </c>
      <c r="H10" s="2">
        <f>50+VLOOKUP($A10,'SegEnds_Xtal_Prot#'!$A:$AY,41,FALSE)-VLOOKUP($D10,'SegEnds_NonXtal_Prot#'!$A:$AZ,31,FALSE)</f>
        <v>31</v>
      </c>
      <c r="I10" s="3"/>
      <c r="J10" s="3"/>
      <c r="K10" s="1"/>
      <c r="L10" s="1"/>
      <c r="M10" s="1"/>
      <c r="N10" s="1"/>
      <c r="Q10" s="8"/>
      <c r="R10" s="8"/>
    </row>
    <row r="11" spans="1:18" ht="17" thickBot="1" x14ac:dyDescent="0.25">
      <c r="A11" s="3" t="str">
        <f t="shared" si="0"/>
        <v>us28_hcmva__wt</v>
      </c>
      <c r="B11" s="3" t="str">
        <f>VLOOKUP(D11,Classification!A:D,3,FALSE)</f>
        <v>Peptide</v>
      </c>
      <c r="C11" s="3" t="str">
        <f>VLOOKUP(D11,Classification!A:D,4,FALSE)</f>
        <v>Chemokine</v>
      </c>
      <c r="D11" s="3" t="s">
        <v>917</v>
      </c>
      <c r="E11" s="3">
        <f>VLOOKUP($D11,'SegEnds_NonXtal_Prot#'!$A:$AZ,30,FALSE)-VLOOKUP($D11,'SegEnds_NonXtal_Prot#'!$A:$AZ,29,FALSE)</f>
        <v>4</v>
      </c>
      <c r="F11" s="1">
        <f>VLOOKUP($D11,'SegEnds_NonXtal_Prot#'!$A:$AZ,31,FALSE)-VLOOKUP($D11,'SegEnds_NonXtal_Prot#'!$A:$AZ,28,FALSE)</f>
        <v>43</v>
      </c>
      <c r="G11" s="3">
        <f>50+VLOOKUP($A11,'SegEnds_Xtal_Prot#'!$A:$AY,39,FALSE)-VLOOKUP($D11,'SegEnds_NonXtal_Prot#'!$A:$AZ,28,FALSE)</f>
        <v>68</v>
      </c>
      <c r="H11" s="3">
        <f>50+VLOOKUP($A11,'SegEnds_Xtal_Prot#'!$A:$AY,41,FALSE)-VLOOKUP($D11,'SegEnds_NonXtal_Prot#'!$A:$AZ,31,FALSE)</f>
        <v>29</v>
      </c>
      <c r="I11" s="3">
        <f>G11</f>
        <v>68</v>
      </c>
      <c r="J11" s="3">
        <f>H11</f>
        <v>29</v>
      </c>
      <c r="K11" s="1" t="s">
        <v>1285</v>
      </c>
      <c r="L11" s="1"/>
      <c r="M11" s="1"/>
      <c r="N11" s="1"/>
    </row>
    <row r="12" spans="1:18" ht="17" thickBot="1" x14ac:dyDescent="0.25">
      <c r="A12" s="3" t="str">
        <f>D12&amp;"__wt"</f>
        <v>ccr5_human__wt</v>
      </c>
      <c r="B12" s="3" t="str">
        <f>VLOOKUP(D12,Classification!A:D,3,FALSE)</f>
        <v>Protein</v>
      </c>
      <c r="C12" s="3" t="str">
        <f>VLOOKUP(D12,Classification!A:D,4,FALSE)</f>
        <v>Chemokine</v>
      </c>
      <c r="D12" s="3" t="s">
        <v>173</v>
      </c>
      <c r="E12" s="3">
        <f>VLOOKUP($D12,'SegEnds_NonXtal_Prot#'!$A:$AZ,30,FALSE)-VLOOKUP($D12,'SegEnds_NonXtal_Prot#'!$A:$AZ,29,FALSE)</f>
        <v>4</v>
      </c>
      <c r="F12" s="80">
        <f>VLOOKUP($D12,'SegEnds_NonXtal_Prot#'!$A:$AZ,31,FALSE)-VLOOKUP($D12,'SegEnds_NonXtal_Prot#'!$A:$AZ,28,FALSE)</f>
        <v>44</v>
      </c>
      <c r="G12" s="81">
        <f>50+VLOOKUP($A12,'SegEnds_Xtal_Prot#'!$A:$AY,39,FALSE)-VLOOKUP($D12,'SegEnds_NonXtal_Prot#'!$A:$AZ,28,FALSE)</f>
        <v>68</v>
      </c>
      <c r="H12" s="82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ffar1_human__wt</v>
      </c>
      <c r="B13" s="3" t="str">
        <f>VLOOKUP(D13,Classification!A:D,3,FALSE)</f>
        <v>Lipid</v>
      </c>
      <c r="C13" s="3" t="str">
        <f>VLOOKUP(D13,Classification!A:D,4,FALSE)</f>
        <v>Freefattyacid</v>
      </c>
      <c r="D13" s="3" t="s">
        <v>1166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45</v>
      </c>
      <c r="G13" s="3">
        <f>50+VLOOKUP($A13,'SegEnds_Xtal_Prot#'!$A:$AY,39,FALSE)-VLOOKUP($D13,'SegEnds_NonXtal_Prot#'!$A:$AZ,28,FALSE)</f>
        <v>67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par1_human__wt</v>
      </c>
      <c r="B14" s="3" t="str">
        <f>VLOOKUP(D14,Classification!A:D,3,FALSE)</f>
        <v>Peptide</v>
      </c>
      <c r="C14" s="3" t="str">
        <f>VLOOKUP(D14,Classification!A:D,4,FALSE)</f>
        <v>Proteinase-activated</v>
      </c>
      <c r="D14" s="3" t="s">
        <v>354</v>
      </c>
      <c r="E14" s="3">
        <f>VLOOKUP($D14,'SegEnds_NonXtal_Prot#'!$A:$AZ,30,FALSE)-VLOOKUP($D14,'SegEnds_NonXtal_Prot#'!$A:$AZ,29,FALSE)</f>
        <v>5</v>
      </c>
      <c r="F14" s="1">
        <f>VLOOKUP($D14,'SegEnds_NonXtal_Prot#'!$A:$AZ,31,FALSE)-VLOOKUP($D14,'SegEnds_NonXtal_Prot#'!$A:$AZ,28,FALSE)</f>
        <v>46</v>
      </c>
      <c r="G14" s="3">
        <f>50+VLOOKUP($A14,'SegEnds_Xtal_Prot#'!$A:$AY,39,FALSE)-VLOOKUP($D14,'SegEnds_NonXtal_Prot#'!$A:$AZ,28,FALSE)</f>
        <v>67</v>
      </c>
      <c r="H14" s="3">
        <f>50+VLOOKUP($A14,'SegEnds_Xtal_Prot#'!$A:$AY,41,FALSE)-VLOOKUP($D14,'SegEnds_NonXtal_Prot#'!$A:$AZ,31,FALSE)</f>
        <v>26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p2ry1_human__wt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3" t="s">
        <v>344</v>
      </c>
      <c r="E15" s="3">
        <f>VLOOKUP($D15,'SegEnds_NonXtal_Prot#'!$A:$AZ,30,FALSE)-VLOOKUP($D15,'SegEnds_NonXtal_Prot#'!$A:$AZ,29,FALSE)</f>
        <v>6</v>
      </c>
      <c r="F15" s="1">
        <f>VLOOKUP($D15,'SegEnds_NonXtal_Prot#'!$A:$AZ,31,FALSE)-VLOOKUP($D15,'SegEnds_NonXtal_Prot#'!$A:$AZ,28,FALSE)</f>
        <v>46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9" t="str">
        <f>D16&amp;"__wt"</f>
        <v>agtr2_human__wt</v>
      </c>
      <c r="B16" s="3" t="str">
        <f>VLOOKUP(D16,Classification!A:D,3,FALSE)</f>
        <v>Peptide</v>
      </c>
      <c r="C16" s="3" t="str">
        <f>VLOOKUP(D16,Classification!A:D,4,FALSE)</f>
        <v>Angiotensin</v>
      </c>
      <c r="D16" s="3" t="s">
        <v>159</v>
      </c>
      <c r="E16" s="3">
        <f>VLOOKUP($D16,'SegEnds_NonXtal_Prot#'!$A:$AZ,30,FALSE)-VLOOKUP($D16,'SegEnds_NonXtal_Prot#'!$A:$AZ,29,FALSE)</f>
        <v>4</v>
      </c>
      <c r="F16" s="1">
        <f>VLOOKUP($D16,'SegEnds_NonXtal_Prot#'!$A:$AZ,31,FALSE)-VLOOKUP($D16,'SegEnds_NonXtal_Prot#'!$A:$AZ,28,FALSE)</f>
        <v>48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24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agtr1_human__wt</v>
      </c>
      <c r="B17" s="3" t="str">
        <f>VLOOKUP(D17,Classification!A:D,3,FALSE)</f>
        <v>Peptide</v>
      </c>
      <c r="C17" s="3" t="str">
        <f>VLOOKUP(D17,Classification!A:D,4,FALSE)</f>
        <v>Angiotensin</v>
      </c>
      <c r="D17" s="3" t="s">
        <v>158</v>
      </c>
      <c r="E17" s="3">
        <f>VLOOKUP($D17,'SegEnds_NonXtal_Prot#'!$A:$AZ,30,FALSE)-VLOOKUP($D17,'SegEnds_NonXtal_Prot#'!$A:$AZ,29,FALSE)</f>
        <v>4</v>
      </c>
      <c r="F17" s="1">
        <f>VLOOKUP($D17,'SegEnds_NonXtal_Prot#'!$A:$AZ,31,FALSE)-VLOOKUP($D17,'SegEnds_NonXtal_Prot#'!$A:$AZ,28,FALSE)</f>
        <v>48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p2y12_human__wt</v>
      </c>
      <c r="B18" s="3" t="str">
        <f>VLOOKUP(D18,Classification!A:D,3,FALSE)</f>
        <v>Nucleotide</v>
      </c>
      <c r="C18" s="3" t="str">
        <f>VLOOKUP(D18,Classification!A:D,4,FALSE)</f>
        <v>P2Y</v>
      </c>
      <c r="D18" s="9" t="s">
        <v>351</v>
      </c>
      <c r="E18" s="3">
        <f>VLOOKUP($D18,'SegEnds_NonXtal_Prot#'!$A:$AZ,30,FALSE)-VLOOKUP($D18,'SegEnds_NonXtal_Prot#'!$A:$AZ,29,FALSE)</f>
        <v>7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72</v>
      </c>
      <c r="H18" s="3">
        <f>50+VLOOKUP($A18,'SegEnds_Xtal_Prot#'!$A:$AY,41,FALSE)-VLOOKUP($D18,'SegEnds_NonXtal_Prot#'!$A:$AZ,31,FALSE)</f>
        <v>29</v>
      </c>
      <c r="I18" s="3"/>
      <c r="J18" s="3"/>
      <c r="K18" s="1"/>
      <c r="L18" s="1"/>
      <c r="M18" s="1" t="s">
        <v>1296</v>
      </c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334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909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335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911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1285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1167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913</v>
      </c>
      <c r="E24" s="3">
        <f>VLOOKUP($D24,'SegEnds_NonXtal_Prot#'!$A:$AZ,30,FALSE)-VLOOKUP($D24,'SegEnds_NonXtal_Prot#'!$A:$AZ,29,FALSE)</f>
        <v>3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23</v>
      </c>
      <c r="I24" s="3"/>
      <c r="J24" s="3"/>
      <c r="K24" s="1" t="s">
        <v>1285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338</v>
      </c>
      <c r="E25" s="3">
        <f>VLOOKUP($D25,'SegEnds_NonXtal_Prot#'!$A:$AZ,30,FALSE)-VLOOKUP($D25,'SegEnds_NonXtal_Prot#'!$A:$AZ,29,FALSE)</f>
        <v>3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1323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5" si="2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1292</v>
      </c>
    </row>
    <row r="28" spans="1:14" customFormat="1" x14ac:dyDescent="0.2">
      <c r="A28" s="3" t="str">
        <f t="shared" si="2"/>
        <v>s1pr1_human__wt</v>
      </c>
      <c r="B28" s="3" t="str">
        <f>VLOOKUP(D28,Classification!A:D,3,FALSE)</f>
        <v>Lipid</v>
      </c>
      <c r="C28" s="3" t="str">
        <f>VLOOKUP(D28,Classification!A:D,4,FALSE)</f>
        <v>Lysophospholipid(S1P)</v>
      </c>
      <c r="D28" s="9" t="s">
        <v>104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58</v>
      </c>
      <c r="G28" s="3">
        <f>50+VLOOKUP($A28,'SegEnds_Xtal_Prot#'!$A:$AY,39,FALSE)-VLOOKUP($D28,'SegEnds_NonXtal_Prot#'!$A:$AZ,28,FALSE)</f>
        <v>73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1293</v>
      </c>
    </row>
    <row r="29" spans="1:14" customFormat="1" x14ac:dyDescent="0.2">
      <c r="A29" s="3" t="str">
        <f t="shared" si="2"/>
        <v>aa2ar_human__wt</v>
      </c>
      <c r="B29" s="3" t="str">
        <f>VLOOKUP(D29,Classification!A:D,3,FALSE)</f>
        <v>Nucleotide</v>
      </c>
      <c r="C29" s="3" t="str">
        <f>VLOOKUP(D29,Classification!A:D,4,FALSE)</f>
        <v>Adenosine</v>
      </c>
      <c r="D29" s="3" t="s">
        <v>139</v>
      </c>
      <c r="E29" s="3">
        <f>VLOOKUP($D29,'SegEnds_NonXtal_Prot#'!$A:$AZ,30,FALSE)-VLOOKUP($D29,'SegEnds_NonXtal_Prot#'!$A:$AZ,29,FALSE)</f>
        <v>6</v>
      </c>
      <c r="F29" s="1">
        <f>VLOOKUP($D29,'SegEnds_NonXtal_Prot#'!$A:$AZ,31,FALSE)-VLOOKUP($D29,'SegEnds_NonXtal_Prot#'!$A:$AZ,28,FALSE)</f>
        <v>59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21</v>
      </c>
      <c r="I29" s="3">
        <f>G29</f>
        <v>74</v>
      </c>
      <c r="J29" s="3">
        <f>H29</f>
        <v>21</v>
      </c>
      <c r="K29" s="1" t="s">
        <v>1285</v>
      </c>
      <c r="L29" s="1"/>
    </row>
    <row r="30" spans="1:14" customFormat="1" x14ac:dyDescent="0.2">
      <c r="A30" s="3" t="str">
        <f t="shared" ref="A30" si="3">D30&amp;"__wt"</f>
        <v>cnr2_human__wt</v>
      </c>
      <c r="B30" s="3" t="str">
        <f>VLOOKUP(D30,Classification!A:D,3,FALSE)</f>
        <v>Lipid</v>
      </c>
      <c r="C30" s="3" t="str">
        <f>VLOOKUP(D30,Classification!A:D,4,FALSE)</f>
        <v>Cannabinoid</v>
      </c>
      <c r="D30" s="3" t="s">
        <v>183</v>
      </c>
      <c r="E30" s="3">
        <f>VLOOKUP($D30,'SegEnds_NonXtal_Prot#'!$A:$AZ,30,FALSE)-VLOOKUP($D30,'SegEnds_NonXtal_Prot#'!$A:$AZ,29,FALSE)</f>
        <v>13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28</v>
      </c>
      <c r="I30" s="3"/>
      <c r="J30" s="3"/>
      <c r="K30" s="1"/>
      <c r="L30" s="1"/>
    </row>
    <row r="31" spans="1:14" customFormat="1" x14ac:dyDescent="0.2">
      <c r="A31" s="3" t="str">
        <f t="shared" ref="A31" si="4">D31&amp;"__wt"</f>
        <v>gpbar_human__wt</v>
      </c>
      <c r="B31" s="3" t="str">
        <f>VLOOKUP(D31,Classification!A:D,3,FALSE)</f>
        <v>Steroid</v>
      </c>
      <c r="C31" s="3" t="str">
        <f>VLOOKUP(D31,Classification!A:D,4,FALSE)</f>
        <v>Bileacid</v>
      </c>
      <c r="D31" s="3" t="s">
        <v>234</v>
      </c>
      <c r="E31" s="3">
        <f>VLOOKUP($D31,'SegEnds_NonXtal_Prot#'!$A:$AZ,30,FALSE)-VLOOKUP($D31,'SegEnds_NonXtal_Prot#'!$A:$AZ,29,FALSE)</f>
        <v>5</v>
      </c>
      <c r="F31" s="1">
        <f>VLOOKUP($D31,'SegEnds_NonXtal_Prot#'!$A:$AZ,31,FALSE)-VLOOKUP($D31,'SegEnds_NonXtal_Prot#'!$A:$AZ,28,FALSE)</f>
        <v>63</v>
      </c>
      <c r="G31" s="3">
        <f>50+VLOOKUP($A31,'SegEnds_Xtal_Prot#'!$A:$AY,39,FALSE)-VLOOKUP($D31,'SegEnds_NonXtal_Prot#'!$A:$AZ,28,FALSE)</f>
        <v>81</v>
      </c>
      <c r="H31" s="3">
        <f>50+VLOOKUP($A31,'SegEnds_Xtal_Prot#'!$A:$AY,41,FALSE)-VLOOKUP($D31,'SegEnds_NonXtal_Prot#'!$A:$AZ,31,FALSE)</f>
        <v>23</v>
      </c>
      <c r="I31" s="3"/>
      <c r="J31" s="3"/>
      <c r="K31" s="1"/>
      <c r="L31" s="1"/>
    </row>
    <row r="32" spans="1:14" customFormat="1" x14ac:dyDescent="0.2">
      <c r="A32" s="3" t="str">
        <f t="shared" si="2"/>
        <v>ntr1_rat__wt</v>
      </c>
      <c r="B32" s="3" t="str">
        <f>VLOOKUP(D32,Classification!A:D,3,FALSE)</f>
        <v>Peptide</v>
      </c>
      <c r="C32" s="3" t="str">
        <f>VLOOKUP(D32,Classification!A:D,4,FALSE)</f>
        <v>Neurotensin</v>
      </c>
      <c r="D32" s="48" t="s">
        <v>907</v>
      </c>
      <c r="E32" s="3">
        <f>VLOOKUP($D32,'SegEnds_NonXtal_Prot#'!$A:$AZ,30,FALSE)-VLOOKUP($D32,'SegEnds_NonXtal_Prot#'!$A:$AZ,29,FALSE)</f>
        <v>22</v>
      </c>
      <c r="F32" s="1">
        <f>VLOOKUP($D32,'SegEnds_NonXtal_Prot#'!$A:$AZ,31,FALSE)-VLOOKUP($D32,'SegEnds_NonXtal_Prot#'!$A:$AZ,28,FALSE)</f>
        <v>74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M32" t="s">
        <v>1289</v>
      </c>
    </row>
    <row r="33" spans="1:14" customFormat="1" x14ac:dyDescent="0.2">
      <c r="A33" s="3" t="str">
        <f t="shared" si="2"/>
        <v>adrb2_human__wt</v>
      </c>
      <c r="B33" s="3" t="str">
        <f>VLOOKUP(D33,Classification!A:D,3,FALSE)</f>
        <v>Aminergic</v>
      </c>
      <c r="C33" s="3" t="str">
        <f>VLOOKUP(D33,Classification!A:D,4,FALSE)</f>
        <v>Adrenoceptors</v>
      </c>
      <c r="D33" s="48" t="s">
        <v>126</v>
      </c>
      <c r="E33" s="3">
        <f>VLOOKUP($D33,'SegEnds_NonXtal_Prot#'!$A:$AZ,30,FALSE)-VLOOKUP($D33,'SegEnds_NonXtal_Prot#'!$A:$AZ,29,FALSE)</f>
        <v>25</v>
      </c>
      <c r="F33" s="1">
        <f>VLOOKUP($D33,'SegEnds_NonXtal_Prot#'!$A:$AZ,31,FALSE)-VLOOKUP($D33,'SegEnds_NonXtal_Prot#'!$A:$AZ,28,FALSE)</f>
        <v>77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>
        <f>G33</f>
        <v>76</v>
      </c>
      <c r="J33" s="3"/>
      <c r="K33" s="1" t="s">
        <v>1285</v>
      </c>
      <c r="L33" s="1"/>
      <c r="N33" t="s">
        <v>1295</v>
      </c>
    </row>
    <row r="34" spans="1:14" x14ac:dyDescent="0.2">
      <c r="A34" s="3" t="str">
        <f t="shared" si="2"/>
        <v>5ht1b_human__wt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34</v>
      </c>
      <c r="E34" s="3">
        <f>VLOOKUP($D34,'SegEnds_NonXtal_Prot#'!$A:$AZ,30,FALSE)-VLOOKUP($D34,'SegEnds_NonXtal_Prot#'!$A:$AZ,29,FALSE)</f>
        <v>59</v>
      </c>
      <c r="F34" s="1">
        <f>VLOOKUP($D34,'SegEnds_NonXtal_Prot#'!$A:$AZ,31,FALSE)-VLOOKUP($D34,'SegEnds_NonXtal_Prot#'!$A:$AZ,28,FALSE)</f>
        <v>109</v>
      </c>
      <c r="G34" s="3">
        <f>50+VLOOKUP($A34,'SegEnds_Xtal_Prot#'!$A:$AY,39,FALSE)-VLOOKUP($D34,'SegEnds_NonXtal_Prot#'!$A:$AZ,28,FALSE)</f>
        <v>74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>
        <v>76</v>
      </c>
      <c r="M34" s="1"/>
      <c r="N34" s="1"/>
    </row>
    <row r="35" spans="1:14" x14ac:dyDescent="0.2">
      <c r="A35" s="3" t="str">
        <f t="shared" si="2"/>
        <v>5ht2b_human__wt</v>
      </c>
      <c r="B35" s="3" t="str">
        <f>VLOOKUP(D35,Classification!A:D,3,FALSE)</f>
        <v>Aminergic</v>
      </c>
      <c r="C35" s="3" t="str">
        <f>VLOOKUP(D35,Classification!A:D,4,FALSE)</f>
        <v>5-Hydroxytryptamine</v>
      </c>
      <c r="D35" s="3" t="s">
        <v>35</v>
      </c>
      <c r="E35" s="3">
        <f>VLOOKUP($D35,'SegEnds_NonXtal_Prot#'!$A:$AZ,30,FALSE)-VLOOKUP($D35,'SegEnds_NonXtal_Prot#'!$A:$AZ,29,FALSE)</f>
        <v>58</v>
      </c>
      <c r="F35" s="1">
        <f>VLOOKUP($D35,'SegEnds_NonXtal_Prot#'!$A:$AZ,31,FALSE)-VLOOKUP($D35,'SegEnds_NonXtal_Prot#'!$A:$AZ,28,FALSE)</f>
        <v>110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2"/>
        <v>drd3_human__wt</v>
      </c>
      <c r="B36" s="3" t="str">
        <f>VLOOKUP(D36,Classification!A:D,3,FALSE)</f>
        <v>Aminergic</v>
      </c>
      <c r="C36" s="3" t="str">
        <f>VLOOKUP(D36,Classification!A:D,4,FALSE)</f>
        <v>Dopamine</v>
      </c>
      <c r="D36" s="3" t="s">
        <v>192</v>
      </c>
      <c r="E36" s="3">
        <f>VLOOKUP($D36,'SegEnds_NonXtal_Prot#'!$A:$AZ,30,FALSE)-VLOOKUP($D36,'SegEnds_NonXtal_Prot#'!$A:$AZ,29,FALSE)</f>
        <v>92</v>
      </c>
      <c r="F36" s="1">
        <f>VLOOKUP($D36,'SegEnds_NonXtal_Prot#'!$A:$AZ,31,FALSE)-VLOOKUP($D36,'SegEnds_NonXtal_Prot#'!$A:$AZ,28,FALSE)</f>
        <v>144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2"/>
        <v>acm1_human__wt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146</v>
      </c>
      <c r="E37" s="3">
        <f>VLOOKUP($D37,'SegEnds_NonXtal_Prot#'!$A:$AZ,30,FALSE)-VLOOKUP($D37,'SegEnds_NonXtal_Prot#'!$A:$AZ,29,FALSE)</f>
        <v>129</v>
      </c>
      <c r="F37" s="1">
        <f>VLOOKUP($D37,'SegEnds_NonXtal_Prot#'!$A:$AZ,31,FALSE)-VLOOKUP($D37,'SegEnds_NonXtal_Prot#'!$A:$AZ,28,FALSE)</f>
        <v>180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x14ac:dyDescent="0.2">
      <c r="A38" s="3" t="str">
        <f t="shared" si="2"/>
        <v>acm2_human__wt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147</v>
      </c>
      <c r="E38" s="3">
        <f>VLOOKUP($D38,'SegEnds_NonXtal_Prot#'!$A:$AZ,30,FALSE)-VLOOKUP($D38,'SegEnds_NonXtal_Prot#'!$A:$AZ,29,FALSE)</f>
        <v>153</v>
      </c>
      <c r="F38" s="1">
        <f>VLOOKUP($D38,'SegEnds_NonXtal_Prot#'!$A:$AZ,31,FALSE)-VLOOKUP($D38,'SegEnds_NonXtal_Prot#'!$A:$AZ,28,FALSE)</f>
        <v>204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>
        <f>G38</f>
        <v>75</v>
      </c>
      <c r="J38" s="3">
        <f>H38</f>
        <v>24</v>
      </c>
      <c r="K38" s="1" t="s">
        <v>1285</v>
      </c>
      <c r="L38" s="1"/>
      <c r="M38" s="1"/>
      <c r="N38" s="1"/>
    </row>
    <row r="39" spans="1:14" x14ac:dyDescent="0.2">
      <c r="A39" s="3" t="str">
        <f t="shared" si="2"/>
        <v>acm4_human__wt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149</v>
      </c>
      <c r="E39" s="3">
        <f>VLOOKUP($D39,'SegEnds_NonXtal_Prot#'!$A:$AZ,30,FALSE)-VLOOKUP($D39,'SegEnds_NonXtal_Prot#'!$A:$AZ,29,FALSE)</f>
        <v>157</v>
      </c>
      <c r="F39" s="1">
        <f>VLOOKUP($D39,'SegEnds_NonXtal_Prot#'!$A:$AZ,31,FALSE)-VLOOKUP($D39,'SegEnds_NonXtal_Prot#'!$A:$AZ,28,FALSE)</f>
        <v>208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  <c r="K39" s="1"/>
      <c r="L39" s="1"/>
      <c r="M39" s="1"/>
      <c r="N39" s="1"/>
    </row>
    <row r="40" spans="1:14" customFormat="1" x14ac:dyDescent="0.2">
      <c r="A40" s="3" t="str">
        <f t="shared" si="2"/>
        <v>hrh1_human__wt</v>
      </c>
      <c r="B40" s="3" t="str">
        <f>VLOOKUP(D40,Classification!A:D,3,FALSE)</f>
        <v>Aminergic</v>
      </c>
      <c r="C40" s="3" t="str">
        <f>VLOOKUP(D40,Classification!A:D,4,FALSE)</f>
        <v>Histamine</v>
      </c>
      <c r="D40" s="3" t="s">
        <v>277</v>
      </c>
      <c r="E40" s="3">
        <f>VLOOKUP($D40,'SegEnds_NonXtal_Prot#'!$A:$AZ,30,FALSE)-VLOOKUP($D40,'SegEnds_NonXtal_Prot#'!$A:$AZ,29,FALSE)</f>
        <v>176</v>
      </c>
      <c r="F40" s="1">
        <f>VLOOKUP($D40,'SegEnds_NonXtal_Prot#'!$A:$AZ,31,FALSE)-VLOOKUP($D40,'SegEnds_NonXtal_Prot#'!$A:$AZ,28,FALSE)</f>
        <v>228</v>
      </c>
      <c r="G40" s="3">
        <f>50+VLOOKUP($A40,'SegEnds_Xtal_Prot#'!$A:$AY,39,FALSE)-VLOOKUP($D40,'SegEnds_NonXtal_Prot#'!$A:$AZ,28,FALSE)</f>
        <v>76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customFormat="1" x14ac:dyDescent="0.2">
      <c r="A41" s="3" t="str">
        <f t="shared" si="2"/>
        <v>acm3_rat__wt</v>
      </c>
      <c r="B41" s="3" t="str">
        <f>VLOOKUP(D41,Classification!A:D,3,FALSE)</f>
        <v>Aminergic</v>
      </c>
      <c r="C41" s="3" t="str">
        <f>VLOOKUP(D41,Classification!A:D,4,FALSE)</f>
        <v>Acetylcholine(muscarinic)</v>
      </c>
      <c r="D41" s="3" t="s">
        <v>903</v>
      </c>
      <c r="E41" s="3">
        <f>VLOOKUP($D41,'SegEnds_NonXtal_Prot#'!$A:$AZ,30,FALSE)-VLOOKUP($D41,'SegEnds_NonXtal_Prot#'!$A:$AZ,29,FALSE)</f>
        <v>212</v>
      </c>
      <c r="F41" s="1">
        <f>VLOOKUP($D41,'SegEnds_NonXtal_Prot#'!$A:$AZ,31,FALSE)-VLOOKUP($D41,'SegEnds_NonXtal_Prot#'!$A:$AZ,28,FALSE)</f>
        <v>263</v>
      </c>
      <c r="G41" s="3">
        <f>50+VLOOKUP($A41,'SegEnds_Xtal_Prot#'!$A:$AY,39,FALSE)-VLOOKUP($D41,'SegEnds_NonXtal_Prot#'!$A:$AZ,28,FALSE)</f>
        <v>75</v>
      </c>
      <c r="H41" s="3">
        <f>50+VLOOKUP($A41,'SegEnds_Xtal_Prot#'!$A:$AY,41,FALSE)-VLOOKUP($D41,'SegEnds_NonXtal_Prot#'!$A:$AZ,31,FALSE)</f>
        <v>24</v>
      </c>
      <c r="I41" s="3"/>
      <c r="J41" s="3"/>
    </row>
    <row r="42" spans="1:14" s="60" customFormat="1" x14ac:dyDescent="0.2">
      <c r="A42" s="59" t="str">
        <f t="shared" si="2"/>
        <v>opsd_todpa__wt</v>
      </c>
      <c r="B42" s="59" t="str">
        <f>VLOOKUP(D42,Classification!A:D,3,FALSE)</f>
        <v>Sensory</v>
      </c>
      <c r="C42" s="59" t="str">
        <f>VLOOKUP(D42,Classification!A:D,4,FALSE)</f>
        <v>Opsins</v>
      </c>
      <c r="D42" s="59" t="s">
        <v>915</v>
      </c>
      <c r="E42" s="59">
        <f>VLOOKUP($D42,'SegEnds_NonXtal_Prot#'!$A:$AZ,30,FALSE)-VLOOKUP($D42,'SegEnds_NonXtal_Prot#'!$A:$AZ,29,FALSE)</f>
        <v>5</v>
      </c>
      <c r="F42" s="42">
        <f>VLOOKUP($D42,'SegEnds_NonXtal_Prot#'!$A:$AZ,31,FALSE)-VLOOKUP($D42,'SegEnds_NonXtal_Prot#'!$A:$AZ,28,FALSE)</f>
        <v>64</v>
      </c>
      <c r="G42" s="59">
        <f>50+VLOOKUP($A42,'SegEnds_Xtal_Prot#'!$A:$AY,39,FALSE)-VLOOKUP($D42,'SegEnds_NonXtal_Prot#'!$A:$AZ,28,FALSE)</f>
        <v>77</v>
      </c>
      <c r="H42" s="59">
        <f>50+VLOOKUP($A42,'SegEnds_Xtal_Prot#'!$A:$AY,41,FALSE)-VLOOKUP($D42,'SegEnds_NonXtal_Prot#'!$A:$AZ,31,FALSE)</f>
        <v>18</v>
      </c>
      <c r="I42" s="79" t="s">
        <v>1325</v>
      </c>
      <c r="J42" s="59"/>
    </row>
    <row r="43" spans="1:14" x14ac:dyDescent="0.2">
      <c r="A43" s="3" t="str">
        <f t="shared" si="2"/>
        <v>ox2r_human__wt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8" t="s">
        <v>1169</v>
      </c>
      <c r="E43" s="3">
        <f>VLOOKUP($D43,'SegEnds_NonXtal_Prot#'!$A:$AZ,30,FALSE)-VLOOKUP($D43,'SegEnds_NonXtal_Prot#'!$A:$AZ,29,FALSE)</f>
        <v>33</v>
      </c>
      <c r="F43" s="1">
        <f>VLOOKUP($D43,'SegEnds_NonXtal_Prot#'!$A:$AZ,31,FALSE)-VLOOKUP($D43,'SegEnds_NonXtal_Prot#'!$A:$AZ,28,FALSE)</f>
        <v>84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K43" s="1"/>
      <c r="L43" s="1"/>
      <c r="M43" s="1" t="s">
        <v>1288</v>
      </c>
      <c r="N43" s="1" t="s">
        <v>1294</v>
      </c>
    </row>
    <row r="44" spans="1:14" customFormat="1" x14ac:dyDescent="0.2">
      <c r="A44" s="3" t="str">
        <f t="shared" si="2"/>
        <v>ox1r_human__wt</v>
      </c>
      <c r="B44" s="3" t="str">
        <f>VLOOKUP(D44,Classification!A:D,3,FALSE)</f>
        <v>Peptide</v>
      </c>
      <c r="C44" s="3" t="str">
        <f>VLOOKUP(D44,Classification!A:D,4,FALSE)</f>
        <v>Orexin</v>
      </c>
      <c r="D44" s="48" t="s">
        <v>1168</v>
      </c>
      <c r="E44" s="3">
        <f>VLOOKUP($D44,'SegEnds_NonXtal_Prot#'!$A:$AZ,30,FALSE)-VLOOKUP($D44,'SegEnds_NonXtal_Prot#'!$A:$AZ,29,FALSE)</f>
        <v>35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71</v>
      </c>
      <c r="H44" s="3">
        <f>50+VLOOKUP($A44,'SegEnds_Xtal_Prot#'!$A:$AY,41,FALSE)-VLOOKUP($D44,'SegEnds_NonXtal_Prot#'!$A:$AZ,31,FALSE)</f>
        <v>20</v>
      </c>
      <c r="I44" s="3"/>
      <c r="J44" s="3"/>
      <c r="M44" s="1" t="s">
        <v>1288</v>
      </c>
      <c r="N44" s="1" t="s">
        <v>1294</v>
      </c>
    </row>
    <row r="45" spans="1:14" x14ac:dyDescent="0.2">
      <c r="A45" s="3" t="str">
        <f t="shared" si="2"/>
        <v>adrb1_melga__wt</v>
      </c>
      <c r="B45" s="3" t="str">
        <f>VLOOKUP(D45,Classification!A:D,3,FALSE)</f>
        <v>Aminergic</v>
      </c>
      <c r="C45" s="3" t="str">
        <f>VLOOKUP(D45,Classification!A:D,4,FALSE)</f>
        <v>Adrenoceptors</v>
      </c>
      <c r="D45" s="3" t="s">
        <v>905</v>
      </c>
      <c r="E45" s="3">
        <f>VLOOKUP($D45,'SegEnds_NonXtal_Prot#'!$A:$AZ,30,FALSE)-VLOOKUP($D45,'SegEnds_NonXtal_Prot#'!$A:$AZ,29,FALSE)</f>
        <v>30</v>
      </c>
      <c r="F45" s="1">
        <f>VLOOKUP($D45,'SegEnds_NonXtal_Prot#'!$A:$AZ,31,FALSE)-VLOOKUP($D45,'SegEnds_NonXtal_Prot#'!$A:$AZ,28,FALSE)</f>
        <v>86</v>
      </c>
      <c r="G45" s="3">
        <f>50+VLOOKUP($A45,'SegEnds_Xtal_Prot#'!$A:$AY,39,FALSE)-VLOOKUP($D45,'SegEnds_NonXtal_Prot#'!$A:$AZ,28,FALSE)</f>
        <v>76</v>
      </c>
      <c r="H45" s="3">
        <f>50+VLOOKUP($A45,'SegEnds_Xtal_Prot#'!$A:$AY,41,FALSE)-VLOOKUP($D45,'SegEnds_NonXtal_Prot#'!$A:$AZ,31,FALSE)</f>
        <v>20</v>
      </c>
      <c r="I45" s="3">
        <f>G45</f>
        <v>76</v>
      </c>
      <c r="J45" s="3">
        <f>H45</f>
        <v>20</v>
      </c>
      <c r="K45" s="1" t="s">
        <v>1285</v>
      </c>
      <c r="L45" s="1"/>
      <c r="M45" s="1"/>
      <c r="N45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5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5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8 H1:J1048576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zoomScale="113" zoomScaleNormal="113" zoomScalePageLayoutView="113" workbookViewId="0">
      <pane ySplit="1" topLeftCell="A2" activePane="bottomLeft" state="frozenSplit"/>
      <selection pane="bottomLeft" activeCell="F14" sqref="F14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5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405</v>
      </c>
      <c r="E6" s="3">
        <f>VLOOKUP($D6,'SegEnds_NonXtal_Prot#'!$A:$AZ,30,FALSE)-VLOOKUP($D6,'SegEnds_NonXtal_Prot#'!$A:$AZ,29,FALSE)</f>
        <v>2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73</v>
      </c>
      <c r="H6" s="3">
        <f>50+VLOOKUP($A6,'SegEnds_Xtal_Prot#'!$A:$AY,41,FALSE)-VLOOKUP($D6,'SegEnds_NonXtal_Prot#'!$A:$AZ,31,FALSE)</f>
        <v>25</v>
      </c>
      <c r="I6" s="3"/>
      <c r="J6" s="3"/>
      <c r="K6" s="1"/>
      <c r="L6" s="1"/>
      <c r="M6" s="1"/>
      <c r="N6" s="1"/>
      <c r="O6" s="1" t="s">
        <v>1402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1414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  <row r="9" spans="1:15" x14ac:dyDescent="0.2">
      <c r="A9" s="3" t="str">
        <f>D9&amp;"__wt"</f>
        <v>crfr2_human__wt</v>
      </c>
      <c r="B9" s="3" t="str">
        <f>VLOOKUP(D9,Classification!A:D,3,FALSE)</f>
        <v>Peptide</v>
      </c>
      <c r="C9" s="3" t="str">
        <f>VLOOKUP(D9,Classification!A:D,4,FALSE)</f>
        <v>Corticotropin-releasingfact</v>
      </c>
      <c r="D9" s="3" t="s">
        <v>402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50</v>
      </c>
      <c r="G9" s="3">
        <f>50+VLOOKUP($A9,'SegEnds_Xtal_Prot#'!$A:$AY,39,FALSE)-VLOOKUP($D9,'SegEnds_NonXtal_Prot#'!$A:$AZ,28,FALSE)</f>
        <v>71</v>
      </c>
      <c r="H9" s="3">
        <f>50+VLOOKUP($A9,'SegEnds_Xtal_Prot#'!$A:$AY,41,FALSE)-VLOOKUP($D9,'SegEnds_NonXtal_Prot#'!$A:$AZ,31,FALSE)</f>
        <v>25</v>
      </c>
    </row>
    <row r="10" spans="1:15" x14ac:dyDescent="0.2">
      <c r="A10" s="3" t="str">
        <f>D10&amp;"__wt"</f>
        <v>sctr_human__wt</v>
      </c>
      <c r="B10" s="3" t="str">
        <f>VLOOKUP(D10,Classification!A:D,3,FALSE)</f>
        <v>Peptide</v>
      </c>
      <c r="C10" s="3" t="str">
        <f>VLOOKUP(D10,Classification!A:D,4,FALSE)</f>
        <v>Glucagonreceptorfamily</v>
      </c>
      <c r="D10" s="3" t="s">
        <v>410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52</v>
      </c>
      <c r="G10" s="3">
        <f>50+VLOOKUP($A10,'SegEnds_Xtal_Prot#'!$A:$AY,39,FALSE)-VLOOKUP($D10,'SegEnds_NonXtal_Prot#'!$A:$AZ,28,FALSE)</f>
        <v>71</v>
      </c>
      <c r="H10" s="3">
        <f>50+VLOOKUP($A10,'SegEnds_Xtal_Prot#'!$A:$AY,41,FALSE)-VLOOKUP($D10,'SegEnds_NonXtal_Prot#'!$A:$AZ,31,FALSE)</f>
        <v>25</v>
      </c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10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10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4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54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23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1588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54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23</v>
      </c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:B7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M417"/>
  <sheetViews>
    <sheetView zoomScale="135" zoomScaleNormal="135" zoomScalePageLayoutView="135" workbookViewId="0">
      <pane ySplit="1" topLeftCell="A366" activePane="bottomLeft" state="frozenSplit"/>
      <selection pane="bottomLeft" activeCell="A375" activeCellId="1" sqref="A387:XFD387 A375:XFD375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6" width="6.5" style="1" customWidth="1"/>
    <col min="37" max="37" width="5.83203125" style="1" customWidth="1"/>
    <col min="38" max="38" width="5" style="1" customWidth="1"/>
    <col min="39" max="16384" width="10.83203125" style="1"/>
  </cols>
  <sheetData>
    <row r="1" spans="1:39" x14ac:dyDescent="0.2">
      <c r="A1" s="10" t="s">
        <v>31</v>
      </c>
      <c r="B1" s="10" t="s">
        <v>1200</v>
      </c>
      <c r="C1" s="26" t="s">
        <v>1054</v>
      </c>
      <c r="D1" s="8" t="s">
        <v>1055</v>
      </c>
      <c r="E1" s="8" t="s">
        <v>1071</v>
      </c>
      <c r="F1" s="8" t="s">
        <v>1072</v>
      </c>
      <c r="G1" s="8" t="s">
        <v>1056</v>
      </c>
      <c r="H1" s="99" t="s">
        <v>1057</v>
      </c>
      <c r="I1" s="8" t="s">
        <v>1073</v>
      </c>
      <c r="J1" s="8" t="s">
        <v>1074</v>
      </c>
      <c r="K1" s="99" t="s">
        <v>1058</v>
      </c>
      <c r="L1" s="8" t="s">
        <v>1059</v>
      </c>
      <c r="M1" s="8" t="s">
        <v>1086</v>
      </c>
      <c r="N1" s="99" t="s">
        <v>1087</v>
      </c>
      <c r="O1" s="86" t="s">
        <v>1060</v>
      </c>
      <c r="P1" s="8" t="s">
        <v>1061</v>
      </c>
      <c r="Q1" s="8" t="s">
        <v>1089</v>
      </c>
      <c r="R1" s="8" t="s">
        <v>1090</v>
      </c>
      <c r="S1" s="8" t="s">
        <v>1062</v>
      </c>
      <c r="T1" s="8" t="s">
        <v>1063</v>
      </c>
      <c r="U1" s="8" t="s">
        <v>1064</v>
      </c>
      <c r="V1" s="8" t="s">
        <v>1065</v>
      </c>
      <c r="W1" s="8" t="s">
        <v>1066</v>
      </c>
      <c r="X1" s="8" t="s">
        <v>1067</v>
      </c>
      <c r="Y1" s="8" t="s">
        <v>1068</v>
      </c>
      <c r="Z1" s="8" t="s">
        <v>1069</v>
      </c>
      <c r="AA1" s="26" t="s">
        <v>99</v>
      </c>
      <c r="AB1" s="30" t="s">
        <v>1234</v>
      </c>
      <c r="AC1" s="30" t="s">
        <v>1280</v>
      </c>
      <c r="AD1" s="30" t="s">
        <v>1276</v>
      </c>
      <c r="AE1" s="30" t="s">
        <v>1235</v>
      </c>
      <c r="AF1" s="30" t="s">
        <v>1269</v>
      </c>
      <c r="AG1" s="26" t="s">
        <v>1729</v>
      </c>
      <c r="AH1" s="26" t="s">
        <v>1273</v>
      </c>
      <c r="AI1" s="30" t="s">
        <v>1385</v>
      </c>
      <c r="AJ1" s="30" t="s">
        <v>1236</v>
      </c>
      <c r="AK1" s="30" t="s">
        <v>1233</v>
      </c>
      <c r="AL1" s="30" t="s">
        <v>1474</v>
      </c>
      <c r="AM1" s="30" t="s">
        <v>1220</v>
      </c>
    </row>
    <row r="2" spans="1:39" x14ac:dyDescent="0.2">
      <c r="A2" s="1" t="s">
        <v>1631</v>
      </c>
      <c r="B2" s="1" t="str">
        <f>VLOOKUP(A2,Xtal_Templ!A:B,2,FALSE)</f>
        <v>ada2b_human</v>
      </c>
      <c r="C2" s="5">
        <f>VLOOKUP($B2&amp;"__wt",'SegEnds_Xtal_BW#'!$A:$Z,3,FALSE)</f>
        <v>31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08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f>VLOOKUP($B2&amp;"__wt",'SegEnds_Xtal_BW#'!$A:$Z,11,FALSE)</f>
        <v>21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f>VLOOKUP($B2&amp;"__wt",'SegEnds_Xtal_BW#'!$A:$Z,14,FALSE)</f>
        <v>57</v>
      </c>
      <c r="O2" s="87">
        <f>VLOOKUP($B2&amp;"__wt",'SegEnds_Xtal_BW#'!$A:$Z,15,FALSE)</f>
        <v>38</v>
      </c>
      <c r="P2" s="108"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08">
        <v>35</v>
      </c>
      <c r="T2" s="1">
        <f t="array" ref="T2">INDEX(ICL3_classA!$G$2:$G$41,MATCH(MIN(ABS(AJ2-ICL3_classA!$F$2:$F$41)),ABS(AJ2-ICL3_classA!$F$2:$F$41),0))</f>
        <v>72</v>
      </c>
      <c r="U2" s="1">
        <f t="array" ref="U2">INDEX(ICL3_classA!$H$2:$H$41,MATCH(MIN(ABS(AJ2-ICL3_classA!$F$2:$F$41)),ABS(AJ2-ICL3_classA!$F$2:$F$41),0))</f>
        <v>23</v>
      </c>
      <c r="V2" s="108">
        <v>54</v>
      </c>
      <c r="W2" s="108">
        <v>32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20</v>
      </c>
      <c r="AG2" s="1" t="e">
        <f>VLOOKUP(#REF!,'SegEnds_NonXtal_Prot#'!#REF!,28,FALSE)-VLOOKUP(#REF!,'SegEnds_NonXtal_Prot#'!#REF!,25,FALSE)</f>
        <v>#REF!</v>
      </c>
      <c r="AH2" s="1">
        <f>VLOOKUP(A2,'SegEnds_NonXtal_Prot#'!A:AL,28,FALSE)-VLOOKUP(A2,'SegEnds_NonXtal_Prot#'!A:AL,25,FALSE)</f>
        <v>20</v>
      </c>
      <c r="AI2" s="1">
        <f>VLOOKUP(A2,'SegEnds_NonXtal_Prot#'!A:AL,28,FALSE)-VLOOKUP(A2,'SegEnds_NonXtal_Prot#'!A:AL,22,FALSE)</f>
        <v>60</v>
      </c>
      <c r="AJ2" s="1">
        <f>VLOOKUP(A2,'SegEnds_NonXtal_Prot#'!A:AL,31,FALSE)-VLOOKUP(A2,'SegEnds_NonXtal_Prot#'!A:AL,28,FALSE)</f>
        <v>52</v>
      </c>
      <c r="AK2" s="1">
        <f>VLOOKUP(A2,'SegEnds_NonXtal_Prot#'!A:AL,34,FALSE)-VLOOKUP(A2,'SegEnds_NonXtal_Prot#'!A:AL,31,FALSE)</f>
        <v>24</v>
      </c>
      <c r="AL2" s="1">
        <f>VLOOKUP(A2,'SegEnds_NonXtal_Prot#'!A:AL,37,FALSE)-VLOOKUP(A2,'SegEnds_NonXtal_Prot#'!A:AL,34,FALSE)</f>
        <v>10</v>
      </c>
      <c r="AM2" s="1" t="str">
        <f>IF(ISERROR(MATCH(A2,'SegEnds_Xtal_Prot#'!B:B, 0)), "NoXtal", "Xtal")</f>
        <v>NoXtal</v>
      </c>
    </row>
    <row r="3" spans="1:39" x14ac:dyDescent="0.2">
      <c r="A3" s="1" t="s">
        <v>1634</v>
      </c>
      <c r="B3" s="1" t="str">
        <f>VLOOKUP(A3,Xtal_Templ!A:B,2,FALSE)</f>
        <v>ccr2_human</v>
      </c>
      <c r="C3" s="5">
        <f>VLOOKUP($B3&amp;"__wt",'SegEnds_Xtal_BW#'!$A:$Z,3,FALSE)</f>
        <v>27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08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f>VLOOKUP($B3&amp;"__wt",'SegEnds_Xtal_BW#'!$A:$Z,11,FALSE)</f>
        <v>21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7">
        <f>VLOOKUP($B3&amp;"__wt",'SegEnds_Xtal_BW#'!$A:$Z,15,FALSE)</f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08">
        <v>35</v>
      </c>
      <c r="T3" s="1">
        <f t="array" ref="T3">INDEX(ICL3_classA!$G$2:$G$41,MATCH(MIN(ABS(AJ3-ICL3_classA!$F$2:$F$41)),ABS(AJ3-ICL3_classA!$F$2:$F$41),0))</f>
        <v>72</v>
      </c>
      <c r="U3" s="1">
        <f t="array" ref="U3">INDEX(ICL3_classA!$H$2:$H$41,MATCH(MIN(ABS(AJ3-ICL3_classA!$F$2:$F$41)),ABS(AJ3-ICL3_classA!$F$2:$F$41),0))</f>
        <v>24</v>
      </c>
      <c r="V3" s="108">
        <v>54</v>
      </c>
      <c r="W3" s="108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58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28</v>
      </c>
      <c r="AC3" s="1">
        <f>VLOOKUP(A3,'SegEnds_NonXtal_Prot#'!A:AL,10,FALSE)-VLOOKUP(A3,'SegEnds_NonXtal_Prot#'!A:AL,7,FALSE)</f>
        <v>15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52</v>
      </c>
      <c r="AF3" s="1">
        <f>VLOOKUP(A3,'SegEnds_NonXtal_Prot#'!A:AL,22,FALSE)-VLOOKUP(A3,'SegEnds_NonXtal_Prot#'!A:AL,19,FALSE)</f>
        <v>20</v>
      </c>
      <c r="AG3" s="1" t="e">
        <f>VLOOKUP(#REF!,'SegEnds_NonXtal_Prot#'!#REF!,28,FALSE)-VLOOKUP(#REF!,'SegEnds_NonXtal_Prot#'!#REF!,25,FALSE)</f>
        <v>#REF!</v>
      </c>
      <c r="AH3" s="1">
        <f>VLOOKUP(A3,'SegEnds_NonXtal_Prot#'!A:AL,28,FALSE)-VLOOKUP(A3,'SegEnds_NonXtal_Prot#'!A:AL,25,FALSE)</f>
        <v>21</v>
      </c>
      <c r="AI3" s="1">
        <f>VLOOKUP(A3,'SegEnds_NonXtal_Prot#'!A:AL,28,FALSE)-VLOOKUP(A3,'SegEnds_NonXtal_Prot#'!A:AL,22,FALSE)</f>
        <v>61</v>
      </c>
      <c r="AJ3" s="1">
        <f>VLOOKUP(A3,'SegEnds_NonXtal_Prot#'!A:AL,31,FALSE)-VLOOKUP(A3,'SegEnds_NonXtal_Prot#'!A:AL,28,FALSE)</f>
        <v>53</v>
      </c>
      <c r="AK3" s="1">
        <f>VLOOKUP(A3,'SegEnds_NonXtal_Prot#'!A:AL,34,FALSE)-VLOOKUP(A3,'SegEnds_NonXtal_Prot#'!A:AL,31,FALSE)</f>
        <v>24</v>
      </c>
      <c r="AL3" s="1">
        <f>VLOOKUP(A3,'SegEnds_NonXtal_Prot#'!A:AL,37,FALSE)-VLOOKUP(A3,'SegEnds_NonXtal_Prot#'!A:AL,34,FALSE)</f>
        <v>10</v>
      </c>
      <c r="AM3" s="1" t="str">
        <f>IF(ISERROR(MATCH(A3,'SegEnds_Xtal_Prot#'!B:B, 0)), "NoXtal", "Xtal")</f>
        <v>NoXtal</v>
      </c>
    </row>
    <row r="4" spans="1:39" x14ac:dyDescent="0.2">
      <c r="A4" s="1" t="s">
        <v>1636</v>
      </c>
      <c r="B4" s="1" t="str">
        <f>VLOOKUP(A4,Xtal_Templ!A:B,2,FALSE)</f>
        <v>c5ar1_human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08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f>VLOOKUP($B4&amp;"__wt",'SegEnds_Xtal_BW#'!$A:$Z,11,FALSE)</f>
        <v>21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f>VLOOKUP($B4&amp;"__wt",'SegEnds_Xtal_BW#'!$A:$Z,15,FALSE)</f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15">
        <v>35</v>
      </c>
      <c r="T4" s="1">
        <f t="array" ref="T4">INDEX(ICL3_classA!$G$2:$G$41,MATCH(MIN(ABS(AJ4-ICL3_classA!$F$2:$F$41)),ABS(AJ4-ICL3_classA!$F$2:$F$41),0))</f>
        <v>72</v>
      </c>
      <c r="U4" s="1">
        <f t="array" ref="U4">INDEX(ICL3_classA!$H$2:$H$41,MATCH(MIN(ABS(AJ4-ICL3_classA!$F$2:$F$41)),ABS(AJ4-ICL3_classA!$F$2:$F$41),0))</f>
        <v>23</v>
      </c>
      <c r="V4" s="108">
        <v>54</v>
      </c>
      <c r="W4" s="108">
        <v>32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56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1">
        <f>VLOOKUP(A4,'SegEnds_NonXtal_Prot#'!A:AL,10,FALSE)-VLOOKUP(A4,'SegEnds_NonXtal_Prot#'!A:AL,7,FALSE)</f>
        <v>15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 t="e">
        <f>VLOOKUP(#REF!,'SegEnds_NonXtal_Prot#'!#REF!,28,FALSE)-VLOOKUP(#REF!,'SegEnds_NonXtal_Prot#'!#REF!,25,FALSE)</f>
        <v>#REF!</v>
      </c>
      <c r="AH4" s="1">
        <f>VLOOKUP(A4,'SegEnds_NonXtal_Prot#'!A:AL,28,FALSE)-VLOOKUP(A4,'SegEnds_NonXtal_Prot#'!A:AL,25,FALSE)</f>
        <v>21</v>
      </c>
      <c r="AI4" s="1">
        <f>VLOOKUP(A4,'SegEnds_NonXtal_Prot#'!A:AL,28,FALSE)-VLOOKUP(A4,'SegEnds_NonXtal_Prot#'!A:AL,22,FALSE)</f>
        <v>61</v>
      </c>
      <c r="AJ4" s="1">
        <f>VLOOKUP(A4,'SegEnds_NonXtal_Prot#'!A:AL,31,FALSE)-VLOOKUP(A4,'SegEnds_NonXtal_Prot#'!A:AL,28,FALSE)</f>
        <v>52</v>
      </c>
      <c r="AK4" s="1">
        <f>VLOOKUP(A4,'SegEnds_NonXtal_Prot#'!A:AL,34,FALSE)-VLOOKUP(A4,'SegEnds_NonXtal_Prot#'!A:AL,31,FALSE)</f>
        <v>25</v>
      </c>
      <c r="AL4" s="1">
        <f>VLOOKUP(A4,'SegEnds_NonXtal_Prot#'!A:AL,37,FALSE)-VLOOKUP(A4,'SegEnds_NonXtal_Prot#'!A:AL,34,FALSE)</f>
        <v>10</v>
      </c>
      <c r="AM4" s="1" t="str">
        <f>IF(ISERROR(MATCH(A4,'SegEnds_Xtal_Prot#'!B:B, 0)), "NoXtal", "Xtal")</f>
        <v>NoXtal</v>
      </c>
    </row>
    <row r="5" spans="1:39" x14ac:dyDescent="0.2">
      <c r="A5" s="1" t="s">
        <v>219</v>
      </c>
      <c r="B5" s="1" t="str">
        <f>VLOOKUP(A5,Xtal_Templ!A:B,2,FALSE)</f>
        <v>5ht1b_human</v>
      </c>
      <c r="C5" s="5">
        <f>VLOOKUP($B5&amp;"__wt",'SegEnds_Xtal_BW#'!$A:$Z,3,FALSE)</f>
        <v>28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66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63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15">
        <v>35</v>
      </c>
      <c r="T5" s="1">
        <f t="array" ref="T5">INDEX(ICL3_classA!$G$2:$G$41,MATCH(MIN(ABS(AJ5-ICL3_classA!$F$2:$F$41)),ABS(AJ5-ICL3_classA!$F$2:$F$41),0))</f>
        <v>81</v>
      </c>
      <c r="U5" s="1">
        <f t="array" ref="U5">INDEX(ICL3_classA!$H$2:$H$41,MATCH(MIN(ABS(AJ5-ICL3_classA!$F$2:$F$41)),ABS(AJ5-ICL3_classA!$F$2:$F$41),0))</f>
        <v>23</v>
      </c>
      <c r="V5" s="1">
        <v>58</v>
      </c>
      <c r="W5" s="1">
        <v>36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58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29</v>
      </c>
      <c r="AC5" s="1">
        <f>VLOOKUP(A5,'SegEnds_NonXtal_Prot#'!A:AL,10,FALSE)-VLOOKUP(A5,'SegEnds_NonXtal_Prot#'!A:AL,7,FALSE)</f>
        <v>16</v>
      </c>
      <c r="AD5" s="1">
        <f>VLOOKUP(A5,'SegEnds_NonXtal_Prot#'!A:AL,13,FALSE)-VLOOKUP(A5,'SegEnds_NonXtal_Prot#'!A:AL,10,FALSE)</f>
        <v>18</v>
      </c>
      <c r="AE5" s="1">
        <f>VLOOKUP(A5,'SegEnds_NonXtal_Prot#'!A:AL,16,FALSE)-VLOOKUP(A5,'SegEnds_NonXtal_Prot#'!A:AL,10,FALSE)</f>
        <v>50</v>
      </c>
      <c r="AF5" s="1">
        <f>VLOOKUP(A5,'SegEnds_NonXtal_Prot#'!A:AL,22,FALSE)-VLOOKUP(A5,'SegEnds_NonXtal_Prot#'!A:AL,19,FALSE)</f>
        <v>20</v>
      </c>
      <c r="AG5" s="1" t="e">
        <f>VLOOKUP(#REF!,'SegEnds_NonXtal_Prot#'!#REF!,28,FALSE)-VLOOKUP(#REF!,'SegEnds_NonXtal_Prot#'!#REF!,25,FALSE)</f>
        <v>#REF!</v>
      </c>
      <c r="AH5" s="1" t="e">
        <f>VLOOKUP(A5,'SegEnds_NonXtal_Prot#'!A:AL,28,FALSE)-VLOOKUP(A5,'SegEnds_NonXtal_Prot#'!A:AL,25,FALSE)</f>
        <v>#VALUE!</v>
      </c>
      <c r="AI5" s="1">
        <f>VLOOKUP(A5,'SegEnds_NonXtal_Prot#'!A:AL,28,FALSE)-VLOOKUP(A5,'SegEnds_NonXtal_Prot#'!A:AL,22,FALSE)</f>
        <v>38</v>
      </c>
      <c r="AJ5" s="1">
        <f>VLOOKUP(A5,'SegEnds_NonXtal_Prot#'!A:AL,31,FALSE)-VLOOKUP(A5,'SegEnds_NonXtal_Prot#'!A:AL,28,FALSE)</f>
        <v>68</v>
      </c>
      <c r="AK5" s="1">
        <f>VLOOKUP(A5,'SegEnds_NonXtal_Prot#'!A:AL,34,FALSE)-VLOOKUP(A5,'SegEnds_NonXtal_Prot#'!A:AL,31,FALSE)</f>
        <v>30</v>
      </c>
      <c r="AL5" s="1">
        <f>VLOOKUP(A5,'SegEnds_NonXtal_Prot#'!A:AL,37,FALSE)-VLOOKUP(A5,'SegEnds_NonXtal_Prot#'!A:AL,34,FALSE)</f>
        <v>11</v>
      </c>
      <c r="AM5" s="1" t="str">
        <f>IF(ISERROR(MATCH(A5,'SegEnds_Xtal_Prot#'!B:B, 0)), "NoXtal", "Xtal")</f>
        <v>NoXtal</v>
      </c>
    </row>
    <row r="6" spans="1:39" x14ac:dyDescent="0.2">
      <c r="A6" s="1" t="s">
        <v>263</v>
      </c>
      <c r="B6" s="1" t="str">
        <f>VLOOKUP(A6,Xtal_Templ!A:B,2,FALSE)</f>
        <v>drd3_human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67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f>VLOOKUP($B6&amp;"__wt",'SegEnds_Xtal_BW#'!$A:$Z,14,FALSE)</f>
        <v>58</v>
      </c>
      <c r="O6" s="87">
        <f>VLOOKUP($B6&amp;"__wt",'SegEnds_Xtal_BW#'!$A:$Z,15,FALSE)</f>
        <v>38</v>
      </c>
      <c r="P6" s="1">
        <f>VLOOKUP($B6&amp;"__wt",'SegEnds_Xtal_BW#'!$A:$Z,16,FALSE)</f>
        <v>63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15">
        <v>35</v>
      </c>
      <c r="T6" s="1">
        <f t="array" ref="T6">INDEX(ICL3_classA!$G$2:$G$41,MATCH(MIN(ABS(AJ6-ICL3_classA!$F$2:$F$41)),ABS(AJ6-ICL3_classA!$F$2:$F$41),0))</f>
        <v>76</v>
      </c>
      <c r="U6" s="1">
        <f t="array" ref="U6">INDEX(ICL3_classA!$H$2:$H$41,MATCH(MIN(ABS(AJ6-ICL3_classA!$F$2:$F$41)),ABS(AJ6-ICL3_classA!$F$2:$F$41),0))</f>
        <v>24</v>
      </c>
      <c r="V6" s="1">
        <v>58</v>
      </c>
      <c r="W6" s="1">
        <v>35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26</v>
      </c>
      <c r="AC6" s="1" t="e">
        <f>VLOOKUP(A6,'SegEnds_NonXtal_Prot#'!A:AL,10,FALSE)-VLOOKUP(A6,'SegEnds_NonXtal_Prot#'!A:AL,7,FALSE)</f>
        <v>#VALUE!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55</v>
      </c>
      <c r="AF6" s="1" t="e">
        <f>VLOOKUP(A6,'SegEnds_NonXtal_Prot#'!A:AL,22,FALSE)-VLOOKUP(A6,'SegEnds_NonXtal_Prot#'!A:AL,19,FALSE)</f>
        <v>#VALUE!</v>
      </c>
      <c r="AG6" s="1" t="e">
        <f>VLOOKUP(#REF!,'SegEnds_NonXtal_Prot#'!#REF!,28,FALSE)-VLOOKUP(#REF!,'SegEnds_NonXtal_Prot#'!#REF!,25,FALSE)</f>
        <v>#REF!</v>
      </c>
      <c r="AH6" s="1">
        <f>VLOOKUP(A6,'SegEnds_NonXtal_Prot#'!A:AL,28,FALSE)-VLOOKUP(A6,'SegEnds_NonXtal_Prot#'!A:AL,25,FALSE)</f>
        <v>22</v>
      </c>
      <c r="AI6" s="1">
        <f>VLOOKUP(A6,'SegEnds_NonXtal_Prot#'!A:AL,28,FALSE)-VLOOKUP(A6,'SegEnds_NonXtal_Prot#'!A:AL,22,FALSE)</f>
        <v>47</v>
      </c>
      <c r="AJ6" s="1">
        <f>VLOOKUP(A6,'SegEnds_NonXtal_Prot#'!A:AL,31,FALSE)-VLOOKUP(A6,'SegEnds_NonXtal_Prot#'!A:AL,28,FALSE)</f>
        <v>72</v>
      </c>
      <c r="AK6" s="1">
        <f>VLOOKUP(A6,'SegEnds_NonXtal_Prot#'!A:AL,34,FALSE)-VLOOKUP(A6,'SegEnds_NonXtal_Prot#'!A:AL,31,FALSE)</f>
        <v>31</v>
      </c>
      <c r="AL6" s="1">
        <f>VLOOKUP(A6,'SegEnds_NonXtal_Prot#'!A:AL,37,FALSE)-VLOOKUP(A6,'SegEnds_NonXtal_Prot#'!A:AL,34,FALSE)</f>
        <v>10</v>
      </c>
      <c r="AM6" s="1" t="str">
        <f>IF(ISERROR(MATCH(A6,'SegEnds_Xtal_Prot#'!B:B, 0)), "NoXtal", "Xtal")</f>
        <v>NoXtal</v>
      </c>
    </row>
    <row r="7" spans="1:39" x14ac:dyDescent="0.2">
      <c r="A7" s="4" t="s">
        <v>237</v>
      </c>
      <c r="B7" s="4" t="str">
        <f>VLOOKUP(A7,Xtal_Templ!A:B,2,FALSE)</f>
        <v>lpar1_human</v>
      </c>
      <c r="C7" s="5">
        <f>VLOOKUP($B7&amp;"__wt",'SegEnds_Xtal_BW#'!$A:$Z,3,FALSE)</f>
        <v>30</v>
      </c>
      <c r="D7" s="4">
        <f>VLOOKUP($B7&amp;"__wt",'SegEnds_Xtal_BW#'!$A:$Z,4,FALSE)</f>
        <v>60</v>
      </c>
      <c r="E7" s="4">
        <f>VLOOKUP($B7&amp;"__wt",'SegEnds_Xtal_BW#'!$A:$Z,5,FALSE)</f>
        <v>48</v>
      </c>
      <c r="F7" s="4">
        <f>VLOOKUP($B7&amp;"__wt",'SegEnds_Xtal_BW#'!$A:$Z,6,FALSE)</f>
        <v>51</v>
      </c>
      <c r="G7" s="4">
        <v>37</v>
      </c>
      <c r="H7" s="11">
        <v>62</v>
      </c>
      <c r="I7" s="4">
        <v>48</v>
      </c>
      <c r="J7" s="4">
        <v>52</v>
      </c>
      <c r="K7" s="11">
        <v>24</v>
      </c>
      <c r="L7" s="4">
        <f>VLOOKUP($B7&amp;"__wt",'SegEnds_Xtal_BW#'!$A:$Z,12,FALSE)</f>
        <v>56</v>
      </c>
      <c r="M7" s="4">
        <f>VLOOKUP($B7&amp;"__wt",'SegEnds_Xtal_BW#'!$A:$Z,13,FALSE)</f>
        <v>50</v>
      </c>
      <c r="N7" s="11">
        <v>57</v>
      </c>
      <c r="O7" s="88">
        <v>38</v>
      </c>
      <c r="P7" s="4">
        <f>VLOOKUP($B7&amp;"__wt",'SegEnds_Xtal_BW#'!$A:$Z,16,FALSE)</f>
        <v>63</v>
      </c>
      <c r="Q7" s="4" t="str">
        <f>VLOOKUP($B7&amp;"__wt",'SegEnds_Xtal_BW#'!$A:$Z,17,FALSE)</f>
        <v>-</v>
      </c>
      <c r="R7" s="4" t="str">
        <f>VLOOKUP($B7&amp;"__wt",'SegEnds_Xtal_BW#'!$A:$Z,18,FALSE)</f>
        <v>-</v>
      </c>
      <c r="S7" s="4">
        <f>VLOOKUP($B7&amp;"__wt",'SegEnds_Xtal_BW#'!$A:$Z,19,FALSE)</f>
        <v>36</v>
      </c>
      <c r="T7" s="4">
        <f t="array" ref="T7">INDEX(ICL3_classA!$G$2:$G$41,MATCH(MIN(ABS(AJ7-ICL3_classA!$F$2:$F$41)),ABS(AJ7-ICL3_classA!$F$2:$F$41),0))</f>
        <v>73</v>
      </c>
      <c r="U7" s="4">
        <f t="array" ref="U7">INDEX(ICL3_classA!$H$2:$H$41,MATCH(MIN(ABS(AJ7-ICL3_classA!$F$2:$F$41)),ABS(AJ7-ICL3_classA!$F$2:$F$41),0))</f>
        <v>22</v>
      </c>
      <c r="V7" s="4">
        <v>61</v>
      </c>
      <c r="W7" s="4">
        <v>34</v>
      </c>
      <c r="X7" s="4">
        <f>VLOOKUP($B7&amp;"__wt",'SegEnds_Xtal_BW#'!$A:$Z,24,FALSE)</f>
        <v>56</v>
      </c>
      <c r="Y7" s="4">
        <f>VLOOKUP($B7&amp;"__wt",'SegEnds_Xtal_BW#'!$A:$Z,25,FALSE)</f>
        <v>47</v>
      </c>
      <c r="Z7" s="4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4" t="e">
        <f>VLOOKUP(A7,'SegEnds_NonXtal_Prot#'!A:AL,10,FALSE)-VLOOKUP(A7,'SegEnds_NonXtal_Prot#'!A:AL,7,FALSE)</f>
        <v>#VALUE!</v>
      </c>
      <c r="AD7" s="4">
        <f>VLOOKUP(A7,'SegEnds_NonXtal_Prot#'!A:AL,13,FALSE)-VLOOKUP(A7,'SegEnds_NonXtal_Prot#'!A:AL,10,FALSE)</f>
        <v>15</v>
      </c>
      <c r="AE7" s="4">
        <f>VLOOKUP(A7,'SegEnds_NonXtal_Prot#'!A:AL,16,FALSE)-VLOOKUP(A7,'SegEnds_NonXtal_Prot#'!A:AL,10,FALSE)</f>
        <v>48</v>
      </c>
      <c r="AF7" s="1">
        <f>VLOOKUP(A7,'SegEnds_NonXtal_Prot#'!A:AL,22,FALSE)-VLOOKUP(A7,'SegEnds_NonXtal_Prot#'!A:AL,19,FALSE)</f>
        <v>20</v>
      </c>
      <c r="AG7" s="4" t="e">
        <f>VLOOKUP(#REF!,'SegEnds_NonXtal_Prot#'!#REF!,28,FALSE)-VLOOKUP(#REF!,'SegEnds_NonXtal_Prot#'!#REF!,25,FALSE)</f>
        <v>#REF!</v>
      </c>
      <c r="AH7" s="4" t="e">
        <f>VLOOKUP(A7,'SegEnds_NonXtal_Prot#'!A:AL,28,FALSE)-VLOOKUP(A7,'SegEnds_NonXtal_Prot#'!A:AL,25,FALSE)</f>
        <v>#VALUE!</v>
      </c>
      <c r="AI7" s="1">
        <f>VLOOKUP(A7,'SegEnds_NonXtal_Prot#'!A:AL,28,FALSE)-VLOOKUP(A7,'SegEnds_NonXtal_Prot#'!A:AL,22,FALSE)</f>
        <v>44</v>
      </c>
      <c r="AJ7" s="4">
        <f>VLOOKUP(A7,'SegEnds_NonXtal_Prot#'!A:AL,31,FALSE)-VLOOKUP(A7,'SegEnds_NonXtal_Prot#'!A:AL,28,FALSE)</f>
        <v>57</v>
      </c>
      <c r="AK7" s="4">
        <f>VLOOKUP(A7,'SegEnds_NonXtal_Prot#'!A:AL,34,FALSE)-VLOOKUP(A7,'SegEnds_NonXtal_Prot#'!A:AL,31,FALSE)</f>
        <v>32</v>
      </c>
      <c r="AL7" s="1">
        <f>VLOOKUP(A7,'SegEnds_NonXtal_Prot#'!A:AL,37,FALSE)-VLOOKUP(A7,'SegEnds_NonXtal_Prot#'!A:AL,34,FALSE)</f>
        <v>10</v>
      </c>
      <c r="AM7" s="1" t="str">
        <f>IF(ISERROR(MATCH(A7,'SegEnds_Xtal_Prot#'!B:B, 0)), "NoXtal", "Xtal")</f>
        <v>NoXtal</v>
      </c>
    </row>
    <row r="8" spans="1:39" x14ac:dyDescent="0.2">
      <c r="A8" s="1" t="s">
        <v>248</v>
      </c>
      <c r="B8" s="1" t="str">
        <f>VLOOKUP(A8,Xtal_Templ!A:B,2,FALSE)</f>
        <v>mc4r_human</v>
      </c>
      <c r="C8" s="5">
        <f>VLOOKUP($B8&amp;"__wt",'SegEnds_Xtal_BW#'!$A:$Z,3,FALSE)</f>
        <v>35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INDEX(ICL3_classA!$G$2:$G$41,MATCH(MIN(ABS(AJ8-ICL3_classA!$F$2:$F$41)),ABS(AJ8-ICL3_classA!$F$2:$F$41),0))</f>
        <v>73</v>
      </c>
      <c r="U8" s="1">
        <f t="array" ref="U8">INDEX(ICL3_classA!$H$2:$H$41,MATCH(MIN(ABS(AJ8-ICL3_classA!$F$2:$F$41)),ABS(AJ8-ICL3_classA!$F$2:$F$41),0))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15</v>
      </c>
      <c r="AE8" s="1">
        <f>VLOOKUP(A8,'SegEnds_NonXtal_Prot#'!A:AL,16,FALSE)-VLOOKUP(A8,'SegEnds_NonXtal_Prot#'!A:AL,10,FALSE)</f>
        <v>48</v>
      </c>
      <c r="AF8" s="1">
        <f>VLOOKUP(A8,'SegEnds_NonXtal_Prot#'!A:AL,22,FALSE)-VLOOKUP(A8,'SegEnds_NonXtal_Prot#'!A:AL,19,FALSE)</f>
        <v>20</v>
      </c>
      <c r="AG8" s="1" t="e">
        <f>VLOOKUP(#REF!,'SegEnds_NonXtal_Prot#'!#REF!,28,FALSE)-VLOOKUP(#REF!,'SegEnds_NonXtal_Prot#'!#REF!,25,FALSE)</f>
        <v>#REF!</v>
      </c>
      <c r="AH8" s="1" t="e">
        <f>VLOOKUP(A8,'SegEnds_NonXtal_Prot#'!A:AL,28,FALSE)-VLOOKUP(A8,'SegEnds_NonXtal_Prot#'!A:AL,25,FALSE)</f>
        <v>#VALUE!</v>
      </c>
      <c r="AI8" s="1">
        <f>VLOOKUP(A8,'SegEnds_NonXtal_Prot#'!A:AL,28,FALSE)-VLOOKUP(A8,'SegEnds_NonXtal_Prot#'!A:AL,22,FALSE)</f>
        <v>44</v>
      </c>
      <c r="AJ8" s="1">
        <f>VLOOKUP(A8,'SegEnds_NonXtal_Prot#'!A:AL,31,FALSE)-VLOOKUP(A8,'SegEnds_NonXtal_Prot#'!A:AL,28,FALSE)</f>
        <v>57</v>
      </c>
      <c r="AK8" s="1">
        <f>VLOOKUP(A8,'SegEnds_NonXtal_Prot#'!A:AL,34,FALSE)-VLOOKUP(A8,'SegEnds_NonXtal_Prot#'!A:AL,31,FALSE)</f>
        <v>32</v>
      </c>
      <c r="AL8" s="1">
        <f>VLOOKUP(A8,'SegEnds_NonXtal_Prot#'!A:AL,37,FALSE)-VLOOKUP(A8,'SegEnds_NonXtal_Prot#'!A:AL,34,FALSE)</f>
        <v>10</v>
      </c>
      <c r="AM8" s="1" t="str">
        <f>IF(ISERROR(MATCH(A8,'SegEnds_Xtal_Prot#'!B:B, 0)), "NoXtal", "Xtal")</f>
        <v>NoXtal</v>
      </c>
    </row>
    <row r="9" spans="1:39" x14ac:dyDescent="0.2">
      <c r="A9" s="1" t="s">
        <v>261</v>
      </c>
      <c r="B9" s="1" t="str">
        <f>VLOOKUP(A9,Xtal_Templ!A:B,2,FALSE)</f>
        <v>s1pr1_human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62</v>
      </c>
      <c r="I9" s="1">
        <v>48</v>
      </c>
      <c r="J9" s="1"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63</v>
      </c>
      <c r="Q9" s="1" t="str">
        <f>VLOOKUP($B9&amp;"__wt",'SegEnds_Xtal_BW#'!$A:$Z,17,FALSE)</f>
        <v>-</v>
      </c>
      <c r="R9" s="1" t="str">
        <f>VLOOKUP($B9&amp;"__wt",'SegEnds_Xtal_BW#'!$A:$Z,18,FALSE)</f>
        <v>-</v>
      </c>
      <c r="S9" s="1">
        <f>VLOOKUP($B9&amp;"__wt",'SegEnds_Xtal_BW#'!$A:$Z,19,FALSE)</f>
        <v>36</v>
      </c>
      <c r="T9" s="1">
        <f t="array" ref="T9">INDEX(ICL3_classA!$G$2:$G$41,MATCH(MIN(ABS(AJ9-ICL3_classA!$F$2:$F$41)),ABS(AJ9-ICL3_classA!$F$2:$F$41),0))</f>
        <v>73</v>
      </c>
      <c r="U9" s="1">
        <f t="array" ref="U9">INDEX(ICL3_classA!$H$2:$H$41,MATCH(MIN(ABS(AJ9-ICL3_classA!$F$2:$F$41)),ABS(AJ9-ICL3_classA!$F$2:$F$41),0))</f>
        <v>22</v>
      </c>
      <c r="V9" s="1">
        <v>61</v>
      </c>
      <c r="W9" s="1">
        <v>34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28</v>
      </c>
      <c r="AC9" s="1">
        <f>VLOOKUP(A9,'SegEnds_NonXtal_Prot#'!A:AL,10,FALSE)-VLOOKUP(A9,'SegEnds_NonXtal_Prot#'!A:AL,7,FALSE)</f>
        <v>15</v>
      </c>
      <c r="AD9" s="1">
        <f>VLOOKUP(A9,'SegEnds_NonXtal_Prot#'!A:AL,13,FALSE)-VLOOKUP(A9,'SegEnds_NonXtal_Prot#'!A:AL,10,FALSE)</f>
        <v>15</v>
      </c>
      <c r="AE9" s="1">
        <f>VLOOKUP(A9,'SegEnds_NonXtal_Prot#'!A:AL,16,FALSE)-VLOOKUP(A9,'SegEnds_NonXtal_Prot#'!A:AL,10,FALSE)</f>
        <v>48</v>
      </c>
      <c r="AF9" s="1">
        <f>VLOOKUP(A9,'SegEnds_NonXtal_Prot#'!A:AL,22,FALSE)-VLOOKUP(A9,'SegEnds_NonXtal_Prot#'!A:AL,19,FALSE)</f>
        <v>20</v>
      </c>
      <c r="AG9" s="1" t="e">
        <f>VLOOKUP(#REF!,'SegEnds_NonXtal_Prot#'!#REF!,28,FALSE)-VLOOKUP(#REF!,'SegEnds_NonXtal_Prot#'!#REF!,25,FALSE)</f>
        <v>#REF!</v>
      </c>
      <c r="AH9" s="1" t="e">
        <f>VLOOKUP(A9,'SegEnds_NonXtal_Prot#'!A:AL,28,FALSE)-VLOOKUP(A9,'SegEnds_NonXtal_Prot#'!A:AL,25,FALSE)</f>
        <v>#VALUE!</v>
      </c>
      <c r="AI9" s="1">
        <f>VLOOKUP(A9,'SegEnds_NonXtal_Prot#'!A:AL,28,FALSE)-VLOOKUP(A9,'SegEnds_NonXtal_Prot#'!A:AL,22,FALSE)</f>
        <v>44</v>
      </c>
      <c r="AJ9" s="1">
        <f>VLOOKUP(A9,'SegEnds_NonXtal_Prot#'!A:AL,31,FALSE)-VLOOKUP(A9,'SegEnds_NonXtal_Prot#'!A:AL,28,FALSE)</f>
        <v>57</v>
      </c>
      <c r="AK9" s="1">
        <f>VLOOKUP(A9,'SegEnds_NonXtal_Prot#'!A:AL,34,FALSE)-VLOOKUP(A9,'SegEnds_NonXtal_Prot#'!A:AL,31,FALSE)</f>
        <v>32</v>
      </c>
      <c r="AL9" s="1">
        <f>VLOOKUP(A9,'SegEnds_NonXtal_Prot#'!A:AL,37,FALSE)-VLOOKUP(A9,'SegEnds_NonXtal_Prot#'!A:AL,34,FALSE)</f>
        <v>10</v>
      </c>
      <c r="AM9" s="1" t="str">
        <f>IF(ISERROR(MATCH(A9,'SegEnds_Xtal_Prot#'!B:B, 0)), "NoXtal", "Xtal")</f>
        <v>NoXtal</v>
      </c>
    </row>
    <row r="10" spans="1:39" x14ac:dyDescent="0.2">
      <c r="A10" s="1" t="s">
        <v>294</v>
      </c>
      <c r="B10" s="1" t="str">
        <f>VLOOKUP(A10,Xtal_Templ!A:B,2,FALSE)</f>
        <v>ccr9_human</v>
      </c>
      <c r="C10" s="5">
        <f>VLOOKUP($B10&amp;"__wt",'SegEnds_Xtal_BW#'!$A:$Z,3,FALSE)</f>
        <v>27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08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33</v>
      </c>
      <c r="T10" s="1">
        <f t="array" ref="T10">INDEX(ICL3_classA!$G$2:$G$41,MATCH(MIN(ABS(AJ10-ICL3_classA!$F$2:$F$41)),ABS(AJ10-ICL3_classA!$F$2:$F$41),0))</f>
        <v>68</v>
      </c>
      <c r="U10" s="1">
        <f t="array" ref="U10">INDEX(ICL3_classA!$H$2:$H$41,MATCH(MIN(ABS(AJ10-ICL3_classA!$F$2:$F$41)),ABS(AJ10-ICL3_classA!$F$2:$F$41),0))</f>
        <v>30</v>
      </c>
      <c r="V10" s="1">
        <v>61</v>
      </c>
      <c r="W10" s="1">
        <v>34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67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26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 t="e">
        <f>VLOOKUP(#REF!,'SegEnds_NonXtal_Prot#'!#REF!,28,FALSE)-VLOOKUP(#REF!,'SegEnds_NonXtal_Prot#'!#REF!,25,FALSE)</f>
        <v>#REF!</v>
      </c>
      <c r="AH10" s="1" t="e">
        <f>VLOOKUP(A10,'SegEnds_NonXtal_Prot#'!A:AL,28,FALSE)-VLOOKUP(A10,'SegEnds_NonXtal_Prot#'!A:AL,25,FALSE)</f>
        <v>#VALUE!</v>
      </c>
      <c r="AI10" s="1">
        <f>VLOOKUP(A10,'SegEnds_NonXtal_Prot#'!A:AL,28,FALSE)-VLOOKUP(A10,'SegEnds_NonXtal_Prot#'!A:AL,22,FALSE)</f>
        <v>39</v>
      </c>
      <c r="AJ10" s="1">
        <f>VLOOKUP(A10,'SegEnds_NonXtal_Prot#'!A:AL,31,FALSE)-VLOOKUP(A10,'SegEnds_NonXtal_Prot#'!A:AL,28,FALSE)</f>
        <v>42</v>
      </c>
      <c r="AK10" s="1">
        <f>VLOOKUP(A10,'SegEnds_NonXtal_Prot#'!A:AL,34,FALSE)-VLOOKUP(A10,'SegEnds_NonXtal_Prot#'!A:AL,31,FALSE)</f>
        <v>32</v>
      </c>
      <c r="AL10" s="1">
        <f>VLOOKUP(A10,'SegEnds_NonXtal_Prot#'!A:AL,37,FALSE)-VLOOKUP(A10,'SegEnds_NonXtal_Prot#'!A:AL,34,FALSE)</f>
        <v>10</v>
      </c>
      <c r="AM10" s="1" t="str">
        <f>IF(ISERROR(MATCH(A10,'SegEnds_Xtal_Prot#'!B:B, 0)), "NoXtal", "Xtal")</f>
        <v>NoXtal</v>
      </c>
    </row>
    <row r="11" spans="1:39" x14ac:dyDescent="0.2">
      <c r="A11" s="1" t="s">
        <v>197</v>
      </c>
      <c r="B11" s="1" t="str">
        <f>VLOOKUP(A11,Xtal_Templ!A:B,2,FALSE)</f>
        <v>par2_human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f>VLOOKUP($B11&amp;"__wt",'SegEnds_Xtal_BW#'!$A:$Z,8,FALSE)</f>
        <v>66</v>
      </c>
      <c r="I11" s="1">
        <f>VLOOKUP($B11&amp;"__wt",'SegEnds_Xtal_BW#'!$A:$Z,9,FALSE)</f>
        <v>47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f>VLOOKUP($B11&amp;"__wt",'SegEnds_Xtal_BW#'!$A:$Z,15,FALSE)</f>
        <v>38</v>
      </c>
      <c r="P11" s="1">
        <f>VLOOKUP($B11&amp;"__wt",'SegEnds_Xtal_BW#'!$A:$Z,16,FALSE)</f>
        <v>62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INDEX(ICL3_classA!$G$2:$G$41,MATCH(MIN(ABS(AJ11-ICL3_classA!$F$2:$F$41)),ABS(AJ11-ICL3_classA!$F$2:$F$41),0))</f>
        <v>67</v>
      </c>
      <c r="U11" s="1">
        <f t="array" ref="U11">INDEX(ICL3_classA!$H$2:$H$41,MATCH(MIN(ABS(AJ11-ICL3_classA!$F$2:$F$41)),ABS(AJ11-ICL3_classA!$F$2:$F$41),0))</f>
        <v>26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61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30</v>
      </c>
      <c r="AC11" s="1" t="e">
        <f>VLOOKUP(A11,'SegEnds_NonXtal_Prot#'!A:AL,10,FALSE)-VLOOKUP(A11,'SegEnds_NonXtal_Prot#'!A:AL,7,FALSE)</f>
        <v>#VALUE!</v>
      </c>
      <c r="AD11" s="1">
        <f>VLOOKUP(A11,'SegEnds_NonXtal_Prot#'!A:AL,13,FALSE)-VLOOKUP(A11,'SegEnds_NonXtal_Prot#'!A:AL,10,FALSE)</f>
        <v>20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 t="e">
        <f>VLOOKUP(#REF!,'SegEnds_NonXtal_Prot#'!#REF!,28,FALSE)-VLOOKUP(#REF!,'SegEnds_NonXtal_Prot#'!#REF!,25,FALSE)</f>
        <v>#REF!</v>
      </c>
      <c r="AH11" s="1">
        <f>VLOOKUP(A11,'SegEnds_NonXtal_Prot#'!A:AL,28,FALSE)-VLOOKUP(A11,'SegEnds_NonXtal_Prot#'!A:AL,25,FALSE)</f>
        <v>27</v>
      </c>
      <c r="AI11" s="1">
        <f>VLOOKUP(A11,'SegEnds_NonXtal_Prot#'!A:AL,28,FALSE)-VLOOKUP(A11,'SegEnds_NonXtal_Prot#'!A:AL,22,FALSE)</f>
        <v>57</v>
      </c>
      <c r="AJ11" s="1">
        <f>VLOOKUP(A11,'SegEnds_NonXtal_Prot#'!A:AL,31,FALSE)-VLOOKUP(A11,'SegEnds_NonXtal_Prot#'!A:AL,28,FALSE)</f>
        <v>46</v>
      </c>
      <c r="AK11" s="1">
        <f>VLOOKUP(A11,'SegEnds_NonXtal_Prot#'!A:AL,34,FALSE)-VLOOKUP(A11,'SegEnds_NonXtal_Prot#'!A:AL,31,FALSE)</f>
        <v>33</v>
      </c>
      <c r="AL11" s="1">
        <f>VLOOKUP(A11,'SegEnds_NonXtal_Prot#'!A:AL,37,FALSE)-VLOOKUP(A11,'SegEnds_NonXtal_Prot#'!A:AL,34,FALSE)</f>
        <v>10</v>
      </c>
      <c r="AM11" s="1" t="str">
        <f>IF(ISERROR(MATCH(A11,'SegEnds_Xtal_Prot#'!B:B, 0)), "NoXtal", "Xtal")</f>
        <v>NoXtal</v>
      </c>
    </row>
    <row r="12" spans="1:39" x14ac:dyDescent="0.2">
      <c r="A12" s="1" t="s">
        <v>198</v>
      </c>
      <c r="B12" s="1" t="str">
        <f>VLOOKUP(A12,Xtal_Templ!A:B,2,FALSE)</f>
        <v>par1_human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66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32</v>
      </c>
      <c r="T12" s="1">
        <f t="array" ref="T12">INDEX(ICL3_classA!$G$2:$G$41,MATCH(MIN(ABS(AJ12-ICL3_classA!$F$2:$F$41)),ABS(AJ12-ICL3_classA!$F$2:$F$41),0))</f>
        <v>68</v>
      </c>
      <c r="U12" s="1">
        <f t="array" ref="U12">INDEX(ICL3_classA!$H$2:$H$41,MATCH(MIN(ABS(AJ12-ICL3_classA!$F$2:$F$41)),ABS(AJ12-ICL3_classA!$F$2:$F$41),0))</f>
        <v>28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29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20</v>
      </c>
      <c r="AE12" s="1">
        <f>VLOOKUP(A12,'SegEnds_NonXtal_Prot#'!A:AL,16,FALSE)-VLOOKUP(A12,'SegEnds_NonXtal_Prot#'!A:AL,10,FALSE)</f>
        <v>52</v>
      </c>
      <c r="AF12" s="1">
        <f>VLOOKUP(A12,'SegEnds_NonXtal_Prot#'!A:AL,22,FALSE)-VLOOKUP(A12,'SegEnds_NonXtal_Prot#'!A:AL,19,FALSE)</f>
        <v>20</v>
      </c>
      <c r="AG12" s="1" t="e">
        <f>VLOOKUP(#REF!,'SegEnds_NonXtal_Prot#'!#REF!,28,FALSE)-VLOOKUP(#REF!,'SegEnds_NonXtal_Prot#'!#REF!,25,FALSE)</f>
        <v>#REF!</v>
      </c>
      <c r="AH12" s="1">
        <f>VLOOKUP(A12,'SegEnds_NonXtal_Prot#'!A:AL,28,FALSE)-VLOOKUP(A12,'SegEnds_NonXtal_Prot#'!A:AL,25,FALSE)</f>
        <v>27</v>
      </c>
      <c r="AI12" s="1">
        <f>VLOOKUP(A12,'SegEnds_NonXtal_Prot#'!A:AL,28,FALSE)-VLOOKUP(A12,'SegEnds_NonXtal_Prot#'!A:AL,22,FALSE)</f>
        <v>56</v>
      </c>
      <c r="AJ12" s="1">
        <f>VLOOKUP(A12,'SegEnds_NonXtal_Prot#'!A:AL,31,FALSE)-VLOOKUP(A12,'SegEnds_NonXtal_Prot#'!A:AL,28,FALSE)</f>
        <v>44</v>
      </c>
      <c r="AK12" s="1">
        <f>VLOOKUP(A12,'SegEnds_NonXtal_Prot#'!A:AL,34,FALSE)-VLOOKUP(A12,'SegEnds_NonXtal_Prot#'!A:AL,31,FALSE)</f>
        <v>33</v>
      </c>
      <c r="AL12" s="1">
        <f>VLOOKUP(A12,'SegEnds_NonXtal_Prot#'!A:AL,37,FALSE)-VLOOKUP(A12,'SegEnds_NonXtal_Prot#'!A:AL,34,FALSE)</f>
        <v>10</v>
      </c>
      <c r="AM12" s="1" t="str">
        <f>IF(ISERROR(MATCH(A12,'SegEnds_Xtal_Prot#'!B:B, 0)), "NoXtal", "Xtal")</f>
        <v>NoXtal</v>
      </c>
    </row>
    <row r="13" spans="1:39" x14ac:dyDescent="0.2">
      <c r="A13" s="1" t="s">
        <v>257</v>
      </c>
      <c r="B13" s="1" t="str">
        <f>VLOOKUP(A13,Xtal_Templ!A:B,2,FALSE)</f>
        <v>par1_human</v>
      </c>
      <c r="C13" s="5">
        <f>VLOOKUP($B13&amp;"__wt",'SegEnds_Xtal_BW#'!$A:$Z,3,FALSE)</f>
        <v>29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f>VLOOKUP($B13&amp;"__wt",'SegEnds_Xtal_BW#'!$A:$Z,15,FALSE)</f>
        <v>38</v>
      </c>
      <c r="P13" s="1">
        <f>VLOOKUP($B13&amp;"__wt",'SegEnds_Xtal_BW#'!$A:$Z,16,FALSE)</f>
        <v>63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32</v>
      </c>
      <c r="T13" s="1">
        <f t="array" ref="T13">INDEX(ICL3_classA!$G$2:$G$41,MATCH(MIN(ABS(AJ13-ICL3_classA!$F$2:$F$41)),ABS(AJ13-ICL3_classA!$F$2:$F$41),0))</f>
        <v>68</v>
      </c>
      <c r="U13" s="1">
        <f t="array" ref="U13">INDEX(ICL3_classA!$H$2:$H$41,MATCH(MIN(ABS(AJ13-ICL3_classA!$F$2:$F$41)),ABS(AJ13-ICL3_classA!$F$2:$F$41),0))</f>
        <v>28</v>
      </c>
      <c r="V13" s="1">
        <v>61</v>
      </c>
      <c r="W13" s="1">
        <v>33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61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1" t="e">
        <f>VLOOKUP(A13,'SegEnds_NonXtal_Prot#'!A:AL,10,FALSE)-VLOOKUP(A13,'SegEnds_NonXtal_Prot#'!A:AL,7,FALSE)</f>
        <v>#VALUE!</v>
      </c>
      <c r="AD13" s="1">
        <f>VLOOKUP(A13,'SegEnds_NonXtal_Prot#'!A:AL,13,FALSE)-VLOOKUP(A13,'SegEnds_NonXtal_Prot#'!A:AL,10,FALSE)</f>
        <v>20</v>
      </c>
      <c r="AE13" s="1">
        <f>VLOOKUP(A13,'SegEnds_NonXtal_Prot#'!A:AL,16,FALSE)-VLOOKUP(A13,'SegEnds_NonXtal_Prot#'!A:AL,10,FALSE)</f>
        <v>52</v>
      </c>
      <c r="AF13" s="1">
        <f>VLOOKUP(A13,'SegEnds_NonXtal_Prot#'!A:AL,22,FALSE)-VLOOKUP(A13,'SegEnds_NonXtal_Prot#'!A:AL,19,FALSE)</f>
        <v>20</v>
      </c>
      <c r="AG13" s="1" t="e">
        <f>VLOOKUP(#REF!,'SegEnds_NonXtal_Prot#'!#REF!,28,FALSE)-VLOOKUP(#REF!,'SegEnds_NonXtal_Prot#'!#REF!,25,FALSE)</f>
        <v>#REF!</v>
      </c>
      <c r="AH13" s="1">
        <f>VLOOKUP(A13,'SegEnds_NonXtal_Prot#'!A:AL,28,FALSE)-VLOOKUP(A13,'SegEnds_NonXtal_Prot#'!A:AL,25,FALSE)</f>
        <v>27</v>
      </c>
      <c r="AI13" s="1">
        <f>VLOOKUP(A13,'SegEnds_NonXtal_Prot#'!A:AL,28,FALSE)-VLOOKUP(A13,'SegEnds_NonXtal_Prot#'!A:AL,22,FALSE)</f>
        <v>56</v>
      </c>
      <c r="AJ13" s="1">
        <f>VLOOKUP(A13,'SegEnds_NonXtal_Prot#'!A:AL,31,FALSE)-VLOOKUP(A13,'SegEnds_NonXtal_Prot#'!A:AL,28,FALSE)</f>
        <v>44</v>
      </c>
      <c r="AK13" s="1">
        <f>VLOOKUP(A13,'SegEnds_NonXtal_Prot#'!A:AL,34,FALSE)-VLOOKUP(A13,'SegEnds_NonXtal_Prot#'!A:AL,31,FALSE)</f>
        <v>33</v>
      </c>
      <c r="AL13" s="1">
        <f>VLOOKUP(A13,'SegEnds_NonXtal_Prot#'!A:AL,37,FALSE)-VLOOKUP(A13,'SegEnds_NonXtal_Prot#'!A:AL,34,FALSE)</f>
        <v>10</v>
      </c>
      <c r="AM13" s="1" t="str">
        <f>IF(ISERROR(MATCH(A13,'SegEnds_Xtal_Prot#'!B:B, 0)), "NoXtal", "Xtal")</f>
        <v>NoXtal</v>
      </c>
    </row>
    <row r="14" spans="1:39" x14ac:dyDescent="0.2">
      <c r="A14" s="1" t="s">
        <v>269</v>
      </c>
      <c r="B14" s="1" t="str">
        <f>VLOOKUP(A14,Xtal_Templ!A:B,2,FALSE)</f>
        <v>ednrb_human</v>
      </c>
      <c r="C14" s="5">
        <f>VLOOKUP($B14&amp;"__wt",'SegEnds_Xtal_BW#'!$A:$Z,3,FALSE)</f>
        <v>22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52</v>
      </c>
      <c r="G14" s="1">
        <v>37</v>
      </c>
      <c r="H14" s="12">
        <f>VLOOKUP($B14&amp;"__wt",'SegEnds_Xtal_BW#'!$A:$Z,8,FALSE)</f>
        <v>67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21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28</v>
      </c>
      <c r="T14" s="1">
        <f t="array" ref="T14">INDEX(ICL3_classA!$G$2:$G$41,MATCH(MIN(ABS(AJ14-ICL3_classA!$F$2:$F$41)),ABS(AJ14-ICL3_classA!$F$2:$F$41),0))</f>
        <v>74</v>
      </c>
      <c r="U14" s="1">
        <f t="array" ref="U14">INDEX(ICL3_classA!$H$2:$H$41,MATCH(MIN(ABS(AJ14-ICL3_classA!$F$2:$F$41)),ABS(AJ14-ICL3_classA!$F$2:$F$41),0))</f>
        <v>24</v>
      </c>
      <c r="V14" s="1">
        <v>61</v>
      </c>
      <c r="W14" s="1">
        <v>33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60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52</v>
      </c>
      <c r="AF14" s="1">
        <f>VLOOKUP(A14,'SegEnds_NonXtal_Prot#'!A:AL,22,FALSE)-VLOOKUP(A14,'SegEnds_NonXtal_Prot#'!A:AL,19,FALSE)</f>
        <v>20</v>
      </c>
      <c r="AG14" s="1" t="e">
        <f>VLOOKUP(#REF!,'SegEnds_NonXtal_Prot#'!#REF!,28,FALSE)-VLOOKUP(#REF!,'SegEnds_NonXtal_Prot#'!#REF!,25,FALSE)</f>
        <v>#REF!</v>
      </c>
      <c r="AH14" s="1">
        <f>VLOOKUP(A14,'SegEnds_NonXtal_Prot#'!A:AL,28,FALSE)-VLOOKUP(A14,'SegEnds_NonXtal_Prot#'!A:AL,25,FALSE)</f>
        <v>67</v>
      </c>
      <c r="AI14" s="1">
        <f>VLOOKUP(A14,'SegEnds_NonXtal_Prot#'!A:AL,28,FALSE)-VLOOKUP(A14,'SegEnds_NonXtal_Prot#'!A:AL,22,FALSE)</f>
        <v>90</v>
      </c>
      <c r="AJ14" s="1">
        <f>VLOOKUP(A14,'SegEnds_NonXtal_Prot#'!A:AL,31,FALSE)-VLOOKUP(A14,'SegEnds_NonXtal_Prot#'!A:AL,28,FALSE)</f>
        <v>99</v>
      </c>
      <c r="AK14" s="1">
        <f>VLOOKUP(A14,'SegEnds_NonXtal_Prot#'!A:AL,34,FALSE)-VLOOKUP(A14,'SegEnds_NonXtal_Prot#'!A:AL,31,FALSE)</f>
        <v>33</v>
      </c>
      <c r="AL14" s="1">
        <f>VLOOKUP(A14,'SegEnds_NonXtal_Prot#'!A:AL,37,FALSE)-VLOOKUP(A14,'SegEnds_NonXtal_Prot#'!A:AL,34,FALSE)</f>
        <v>10</v>
      </c>
      <c r="AM14" s="1" t="str">
        <f>IF(ISERROR(MATCH(A14,'SegEnds_Xtal_Prot#'!B:B, 0)), "NoXtal", "Xtal")</f>
        <v>NoXtal</v>
      </c>
    </row>
    <row r="15" spans="1:39" x14ac:dyDescent="0.2">
      <c r="A15" s="1" t="s">
        <v>361</v>
      </c>
      <c r="B15" s="1" t="str">
        <f>VLOOKUP(A15,Xtal_Templ!A:B,2,FALSE)</f>
        <v>pe2r4_human</v>
      </c>
      <c r="C15" s="5">
        <f>VLOOKUP($B15&amp;"__wt",'SegEnds_Xtal_BW#'!$A:$Z,3,FALSE)</f>
        <v>33</v>
      </c>
      <c r="D15" s="1">
        <f>VLOOKUP($B15&amp;"__wt",'SegEnds_Xtal_BW#'!$A:$Z,4,FALSE)</f>
        <v>58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f>VLOOKUP($B15&amp;"__wt",'SegEnds_Xtal_BW#'!$A:$Z,8,FALSE)</f>
        <v>67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INDEX(ICL3_classA!$G$2:$G$41,MATCH(MIN(ABS(AJ15-ICL3_classA!$F$2:$F$41)),ABS(AJ15-ICL3_classA!$F$2:$F$41),0))</f>
        <v>76</v>
      </c>
      <c r="U15" s="1">
        <f t="array" ref="U15">INDEX(ICL3_classA!$H$2:$H$41,MATCH(MIN(ABS(AJ15-ICL3_classA!$F$2:$F$41)),ABS(AJ15-ICL3_classA!$F$2:$F$41),0))</f>
        <v>24</v>
      </c>
      <c r="V15" s="1">
        <v>61</v>
      </c>
      <c r="W15" s="1">
        <v>33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60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39</v>
      </c>
      <c r="AC15" s="1">
        <f>VLOOKUP(A15,'SegEnds_NonXtal_Prot#'!A:AL,10,FALSE)-VLOOKUP(A15,'SegEnds_NonXtal_Prot#'!A:AL,7,FALSE)</f>
        <v>20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56</v>
      </c>
      <c r="AF15" s="1">
        <f>VLOOKUP(A15,'SegEnds_NonXtal_Prot#'!A:AL,22,FALSE)-VLOOKUP(A15,'SegEnds_NonXtal_Prot#'!A:AL,19,FALSE)</f>
        <v>20</v>
      </c>
      <c r="AG15" s="1" t="e">
        <f>VLOOKUP(#REF!,'SegEnds_NonXtal_Prot#'!#REF!,28,FALSE)-VLOOKUP(#REF!,'SegEnds_NonXtal_Prot#'!#REF!,25,FALSE)</f>
        <v>#REF!</v>
      </c>
      <c r="AH15" s="1">
        <f>VLOOKUP(A15,'SegEnds_NonXtal_Prot#'!A:AL,28,FALSE)-VLOOKUP(A15,'SegEnds_NonXtal_Prot#'!A:AL,25,FALSE)</f>
        <v>22</v>
      </c>
      <c r="AI15" s="1">
        <f>VLOOKUP(A15,'SegEnds_NonXtal_Prot#'!A:AL,28,FALSE)-VLOOKUP(A15,'SegEnds_NonXtal_Prot#'!A:AL,22,FALSE)</f>
        <v>48</v>
      </c>
      <c r="AJ15" s="1">
        <f>VLOOKUP(A15,'SegEnds_NonXtal_Prot#'!A:AL,31,FALSE)-VLOOKUP(A15,'SegEnds_NonXtal_Prot#'!A:AL,28,FALSE)</f>
        <v>70</v>
      </c>
      <c r="AK15" s="1">
        <f>VLOOKUP(A15,'SegEnds_NonXtal_Prot#'!A:AL,34,FALSE)-VLOOKUP(A15,'SegEnds_NonXtal_Prot#'!A:AL,31,FALSE)</f>
        <v>33</v>
      </c>
      <c r="AL15" s="1">
        <f>VLOOKUP(A15,'SegEnds_NonXtal_Prot#'!A:AL,37,FALSE)-VLOOKUP(A15,'SegEnds_NonXtal_Prot#'!A:AL,34,FALSE)</f>
        <v>10</v>
      </c>
      <c r="AM15" s="1" t="str">
        <f>IF(ISERROR(MATCH(A15,'SegEnds_Xtal_Prot#'!B:B, 0)), "NoXtal", "Xtal")</f>
        <v>NoXtal</v>
      </c>
    </row>
    <row r="16" spans="1:39" x14ac:dyDescent="0.2">
      <c r="A16" s="1" t="s">
        <v>136</v>
      </c>
      <c r="B16" s="1" t="str">
        <f>VLOOKUP(A16,Xtal_Templ!A:B,2,FALSE)</f>
        <v>5ht2c_human</v>
      </c>
      <c r="C16" s="5">
        <f>VLOOKUP($B16&amp;"__wt",'SegEnds_Xtal_BW#'!$A:$Z,3,FALSE)</f>
        <v>33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f>VLOOKUP($B16&amp;"__wt",'SegEnds_Xtal_BW#'!$A:$Z,8,FALSE)</f>
        <v>68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67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v>35</v>
      </c>
      <c r="T16" s="1">
        <f t="array" ref="T16">INDEX(ICL3_classA!$G$2:$G$41,MATCH(MIN(ABS(AJ16-ICL3_classA!$F$2:$F$41)),ABS(AJ16-ICL3_classA!$F$2:$F$41),0))</f>
        <v>76</v>
      </c>
      <c r="U16" s="1">
        <f t="array" ref="U16">INDEX(ICL3_classA!$H$2:$H$41,MATCH(MIN(ABS(AJ16-ICL3_classA!$F$2:$F$41)),ABS(AJ16-ICL3_classA!$F$2:$F$41),0))</f>
        <v>24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60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 t="e">
        <f>VLOOKUP(#REF!,'SegEnds_NonXtal_Prot#'!#REF!,28,FALSE)-VLOOKUP(#REF!,'SegEnds_NonXtal_Prot#'!#REF!,25,FALSE)</f>
        <v>#REF!</v>
      </c>
      <c r="AH16" s="1">
        <f>VLOOKUP(A16,'SegEnds_NonXtal_Prot#'!A:AL,28,FALSE)-VLOOKUP(A16,'SegEnds_NonXtal_Prot#'!A:AL,25,FALSE)</f>
        <v>20</v>
      </c>
      <c r="AI16" s="1">
        <f>VLOOKUP(A16,'SegEnds_NonXtal_Prot#'!A:AL,28,FALSE)-VLOOKUP(A16,'SegEnds_NonXtal_Prot#'!A:AL,22,FALSE)</f>
        <v>49</v>
      </c>
      <c r="AJ16" s="1">
        <f>VLOOKUP(A16,'SegEnds_NonXtal_Prot#'!A:AL,31,FALSE)-VLOOKUP(A16,'SegEnds_NonXtal_Prot#'!A:AL,28,FALSE)</f>
        <v>83</v>
      </c>
      <c r="AK16" s="1">
        <f>VLOOKUP(A16,'SegEnds_NonXtal_Prot#'!A:AL,34,FALSE)-VLOOKUP(A16,'SegEnds_NonXtal_Prot#'!A:AL,31,FALSE)</f>
        <v>34</v>
      </c>
      <c r="AL16" s="1">
        <f>VLOOKUP(A16,'SegEnds_NonXtal_Prot#'!A:AL,37,FALSE)-VLOOKUP(A16,'SegEnds_NonXtal_Prot#'!A:AL,34,FALSE)</f>
        <v>10</v>
      </c>
      <c r="AM16" s="1" t="str">
        <f>IF(ISERROR(MATCH(A16,'SegEnds_Xtal_Prot#'!B:B, 0)), "NoXtal", "Xtal")</f>
        <v>NoXtal</v>
      </c>
    </row>
    <row r="17" spans="1:39" x14ac:dyDescent="0.2">
      <c r="A17" s="1" t="s">
        <v>141</v>
      </c>
      <c r="B17" s="1" t="str">
        <f>VLOOKUP(A17,Xtal_Templ!A:B,2,FALSE)</f>
        <v>aa1r_human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08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INDEX(ICL3_classA!$G$2:$G$41,MATCH(MIN(ABS(AJ17-ICL3_classA!$F$2:$F$41)),ABS(AJ17-ICL3_classA!$F$2:$F$41),0))</f>
        <v>73</v>
      </c>
      <c r="U17" s="1">
        <f t="array" ref="U17">INDEX(ICL3_classA!$H$2:$H$41,MATCH(MIN(ABS(AJ17-ICL3_classA!$F$2:$F$41)),ABS(AJ17-ICL3_classA!$F$2:$F$41),0))</f>
        <v>22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 t="e">
        <f>VLOOKUP(#REF!,'SegEnds_NonXtal_Prot#'!#REF!,28,FALSE)-VLOOKUP(#REF!,'SegEnds_NonXtal_Prot#'!#REF!,25,FALSE)</f>
        <v>#REF!</v>
      </c>
      <c r="AH17" s="1">
        <f>VLOOKUP(A17,'SegEnds_NonXtal_Prot#'!A:AL,28,FALSE)-VLOOKUP(A17,'SegEnds_NonXtal_Prot#'!A:AL,25,FALSE)</f>
        <v>23</v>
      </c>
      <c r="AI17" s="1">
        <f>VLOOKUP(A17,'SegEnds_NonXtal_Prot#'!A:AL,28,FALSE)-VLOOKUP(A17,'SegEnds_NonXtal_Prot#'!A:AL,22,FALSE)</f>
        <v>54</v>
      </c>
      <c r="AJ17" s="1">
        <f>VLOOKUP(A17,'SegEnds_NonXtal_Prot#'!A:AL,31,FALSE)-VLOOKUP(A17,'SegEnds_NonXtal_Prot#'!A:AL,28,FALSE)</f>
        <v>56</v>
      </c>
      <c r="AK17" s="1">
        <f>VLOOKUP(A17,'SegEnds_NonXtal_Prot#'!A:AL,34,FALSE)-VLOOKUP(A17,'SegEnds_NonXtal_Prot#'!A:AL,31,FALSE)</f>
        <v>34</v>
      </c>
      <c r="AL17" s="1">
        <f>VLOOKUP(A17,'SegEnds_NonXtal_Prot#'!A:AL,37,FALSE)-VLOOKUP(A17,'SegEnds_NonXtal_Prot#'!A:AL,34,FALSE)</f>
        <v>10</v>
      </c>
      <c r="AM17" s="1" t="str">
        <f>IF(ISERROR(MATCH(A17,'SegEnds_Xtal_Prot#'!B:B, 0)), "NoXtal", "Xtal")</f>
        <v>NoXtal</v>
      </c>
    </row>
    <row r="18" spans="1:39" x14ac:dyDescent="0.2">
      <c r="A18" s="1" t="s">
        <v>155</v>
      </c>
      <c r="B18" s="1" t="str">
        <f>VLOOKUP(A18,Xtal_Templ!A:B,2,FALSE)</f>
        <v>ada2a_human</v>
      </c>
      <c r="C18" s="5">
        <f>VLOOKUP($B18&amp;"__wt",'SegEnds_Xtal_BW#'!$A:$Z,3,FALSE)</f>
        <v>32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62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INDEX(ICL3_classA!$G$2:$G$41,MATCH(MIN(ABS(AJ18-ICL3_classA!$F$2:$F$41)),ABS(AJ18-ICL3_classA!$F$2:$F$41),0))</f>
        <v>75</v>
      </c>
      <c r="U18" s="1">
        <f t="array" ref="U18">INDEX(ICL3_classA!$H$2:$H$41,MATCH(MIN(ABS(AJ18-ICL3_classA!$F$2:$F$41)),ABS(AJ18-ICL3_classA!$F$2:$F$41),0))</f>
        <v>24</v>
      </c>
      <c r="V18" s="1">
        <v>61</v>
      </c>
      <c r="W18" s="108"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60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20</v>
      </c>
      <c r="AE18" s="1">
        <f>VLOOKUP(A18,'SegEnds_NonXtal_Prot#'!A:AL,16,FALSE)-VLOOKUP(A18,'SegEnds_NonXtal_Prot#'!A:AL,10,FALSE)</f>
        <v>52</v>
      </c>
      <c r="AF18" s="1">
        <f>VLOOKUP(A18,'SegEnds_NonXtal_Prot#'!A:AL,22,FALSE)-VLOOKUP(A18,'SegEnds_NonXtal_Prot#'!A:AL,19,FALSE)</f>
        <v>20</v>
      </c>
      <c r="AG18" s="1" t="e">
        <f>VLOOKUP(#REF!,'SegEnds_NonXtal_Prot#'!#REF!,28,FALSE)-VLOOKUP(#REF!,'SegEnds_NonXtal_Prot#'!#REF!,25,FALSE)</f>
        <v>#REF!</v>
      </c>
      <c r="AH18" s="1">
        <f>VLOOKUP(A18,'SegEnds_NonXtal_Prot#'!A:AL,28,FALSE)-VLOOKUP(A18,'SegEnds_NonXtal_Prot#'!A:AL,25,FALSE)</f>
        <v>20</v>
      </c>
      <c r="AI18" s="1">
        <f>VLOOKUP(A18,'SegEnds_NonXtal_Prot#'!A:AL,28,FALSE)-VLOOKUP(A18,'SegEnds_NonXtal_Prot#'!A:AL,22,FALSE)</f>
        <v>50</v>
      </c>
      <c r="AJ18" s="1">
        <f>VLOOKUP(A18,'SegEnds_NonXtal_Prot#'!A:AL,31,FALSE)-VLOOKUP(A18,'SegEnds_NonXtal_Prot#'!A:AL,28,FALSE)</f>
        <v>181</v>
      </c>
      <c r="AK18" s="1">
        <f>VLOOKUP(A18,'SegEnds_NonXtal_Prot#'!A:AL,34,FALSE)-VLOOKUP(A18,'SegEnds_NonXtal_Prot#'!A:AL,31,FALSE)</f>
        <v>34</v>
      </c>
      <c r="AL18" s="1">
        <f>VLOOKUP(A18,'SegEnds_NonXtal_Prot#'!A:AL,37,FALSE)-VLOOKUP(A18,'SegEnds_NonXtal_Prot#'!A:AL,34,FALSE)</f>
        <v>10</v>
      </c>
      <c r="AM18" s="1" t="str">
        <f>IF(ISERROR(MATCH(A18,'SegEnds_Xtal_Prot#'!B:B, 0)), "NoXtal", "Xtal")</f>
        <v>Xtal</v>
      </c>
    </row>
    <row r="19" spans="1:39" x14ac:dyDescent="0.2">
      <c r="A19" s="1" t="s">
        <v>1166</v>
      </c>
      <c r="B19" s="1" t="str">
        <f>VLOOKUP(A19,Xtal_Templ!A:B,2,FALSE)</f>
        <v>ffar1_human</v>
      </c>
      <c r="C19" s="5">
        <f>VLOOKUP($B19&amp;"__wt",'SegEnds_Xtal_BW#'!$A:$Z,3,FALSE)</f>
        <v>31</v>
      </c>
      <c r="D19" s="1">
        <f>VLOOKUP($B19&amp;"__wt",'SegEnds_Xtal_BW#'!$A:$Z,4,FALSE)</f>
        <v>64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f>VLOOKUP($B19&amp;"__wt",'SegEnds_Xtal_BW#'!$A:$Z,14,FALSE)</f>
        <v>57</v>
      </c>
      <c r="O19" s="87">
        <f>VLOOKUP($B19&amp;"__wt",'SegEnds_Xtal_BW#'!$A:$Z,15,FALSE)</f>
        <v>38</v>
      </c>
      <c r="P19" s="1">
        <f>VLOOKUP($B19&amp;"__wt",'SegEnds_Xtal_BW#'!$A:$Z,16,FALSE)</f>
        <v>65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31</v>
      </c>
      <c r="T19" s="1">
        <f t="array" ref="T19">INDEX(ICL3_classA!$G$2:$G$41,MATCH(MIN(ABS(AJ19-ICL3_classA!$F$2:$F$41)),ABS(AJ19-ICL3_classA!$F$2:$F$41),0))</f>
        <v>67</v>
      </c>
      <c r="U19" s="1">
        <f t="array" ref="U19">INDEX(ICL3_classA!$H$2:$H$41,MATCH(MIN(ABS(AJ19-ICL3_classA!$F$2:$F$41)),ABS(AJ19-ICL3_classA!$F$2:$F$41),0))</f>
        <v>28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61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29</v>
      </c>
      <c r="AC19" s="1" t="e">
        <f>VLOOKUP(A19,'SegEnds_NonXtal_Prot#'!A:AL,10,FALSE)-VLOOKUP(A19,'SegEnds_NonXtal_Prot#'!A:AL,7,FALSE)</f>
        <v>#VALUE!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 t="e">
        <f>VLOOKUP(#REF!,'SegEnds_NonXtal_Prot#'!#REF!,28,FALSE)-VLOOKUP(#REF!,'SegEnds_NonXtal_Prot#'!#REF!,25,FALSE)</f>
        <v>#REF!</v>
      </c>
      <c r="AH19" s="1">
        <f>VLOOKUP(A19,'SegEnds_NonXtal_Prot#'!A:AL,28,FALSE)-VLOOKUP(A19,'SegEnds_NonXtal_Prot#'!A:AL,25,FALSE)</f>
        <v>24</v>
      </c>
      <c r="AI19" s="1">
        <f>VLOOKUP(A19,'SegEnds_NonXtal_Prot#'!A:AL,28,FALSE)-VLOOKUP(A19,'SegEnds_NonXtal_Prot#'!A:AL,22,FALSE)</f>
        <v>63</v>
      </c>
      <c r="AJ19" s="1">
        <f>VLOOKUP(A19,'SegEnds_NonXtal_Prot#'!A:AL,31,FALSE)-VLOOKUP(A19,'SegEnds_NonXtal_Prot#'!A:AL,28,FALSE)</f>
        <v>45</v>
      </c>
      <c r="AK19" s="1">
        <f>VLOOKUP(A19,'SegEnds_NonXtal_Prot#'!A:AL,34,FALSE)-VLOOKUP(A19,'SegEnds_NonXtal_Prot#'!A:AL,31,FALSE)</f>
        <v>34</v>
      </c>
      <c r="AL19" s="1">
        <f>VLOOKUP(A19,'SegEnds_NonXtal_Prot#'!A:AL,37,FALSE)-VLOOKUP(A19,'SegEnds_NonXtal_Prot#'!A:AL,34,FALSE)</f>
        <v>10</v>
      </c>
      <c r="AM19" s="1" t="str">
        <f>IF(ISERROR(MATCH(A19,'SegEnds_Xtal_Prot#'!B:B, 0)), "NoXtal", "Xtal")</f>
        <v>Xtal</v>
      </c>
    </row>
    <row r="20" spans="1:39" x14ac:dyDescent="0.2">
      <c r="A20" s="1" t="s">
        <v>220</v>
      </c>
      <c r="B20" s="1" t="str">
        <f>VLOOKUP(A20,Xtal_Templ!A:B,2,FALSE)</f>
        <v>s1pr1_human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67</v>
      </c>
      <c r="I20" s="1">
        <f>VLOOKUP($B20&amp;"__wt",'SegEnds_Xtal_BW#'!$A:$Z,9,FALSE)</f>
        <v>47</v>
      </c>
      <c r="J20" s="1">
        <f>VLOOKUP($B20&amp;"__wt",'SegEnds_Xtal_BW#'!$A:$Z,10,FALSE)</f>
        <v>53</v>
      </c>
      <c r="K20" s="12">
        <v>18</v>
      </c>
      <c r="L20" s="1">
        <f>VLOOKUP($B20&amp;"__wt",'SegEnds_Xtal_BW#'!$A:$Z,12,FALSE)</f>
        <v>56</v>
      </c>
      <c r="M20" s="108" t="s">
        <v>23</v>
      </c>
      <c r="N20" s="12" t="s">
        <v>23</v>
      </c>
      <c r="O20" s="87">
        <f>VLOOKUP($B20&amp;"__wt",'SegEnds_Xtal_BW#'!$A:$Z,15,FALSE)</f>
        <v>38</v>
      </c>
      <c r="P20" s="1">
        <f>VLOOKUP($B20&amp;"__wt",'SegEnds_Xtal_BW#'!$A:$Z,16,FALSE)</f>
        <v>63</v>
      </c>
      <c r="Q20" s="1" t="str">
        <f>VLOOKUP($B20&amp;"__wt",'SegEnds_Xtal_BW#'!$A:$Z,17,FALSE)</f>
        <v>-</v>
      </c>
      <c r="R20" s="1" t="str">
        <f>VLOOKUP($B20&amp;"__wt",'SegEnds_Xtal_BW#'!$A:$Z,18,FALSE)</f>
        <v>-</v>
      </c>
      <c r="S20" s="1">
        <f>VLOOKUP($B20&amp;"__wt",'SegEnds_Xtal_BW#'!$A:$Z,19,FALSE)</f>
        <v>36</v>
      </c>
      <c r="T20" s="1">
        <f t="array" ref="T20">INDEX(ICL3_classA!$G$2:$G$41,MATCH(MIN(ABS(AJ20-ICL3_classA!$F$2:$F$41)),ABS(AJ20-ICL3_classA!$F$2:$F$41),0))</f>
        <v>76</v>
      </c>
      <c r="U20" s="1">
        <f t="array" ref="U20">INDEX(ICL3_classA!$H$2:$H$41,MATCH(MIN(ABS(AJ20-ICL3_classA!$F$2:$F$41)),ABS(AJ20-ICL3_classA!$F$2:$F$41),0))</f>
        <v>24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29</v>
      </c>
      <c r="AC20" s="1" t="e">
        <f>VLOOKUP(A20,'SegEnds_NonXtal_Prot#'!A:AL,10,FALSE)-VLOOKUP(A20,'SegEnds_NonXtal_Prot#'!A:AL,7,FALSE)</f>
        <v>#VALUE!</v>
      </c>
      <c r="AD20" s="1">
        <f>VLOOKUP(A20,'SegEnds_NonXtal_Prot#'!A:AL,13,FALSE)-VLOOKUP(A20,'SegEnds_NonXtal_Prot#'!A:AL,10,FALSE)</f>
        <v>26</v>
      </c>
      <c r="AE20" s="1">
        <f>VLOOKUP(A20,'SegEnds_NonXtal_Prot#'!A:AL,16,FALSE)-VLOOKUP(A20,'SegEnds_NonXtal_Prot#'!A:AL,10,FALSE)</f>
        <v>69</v>
      </c>
      <c r="AF20" s="1" t="e">
        <f>VLOOKUP(A20,'SegEnds_NonXtal_Prot#'!A:AL,22,FALSE)-VLOOKUP(A20,'SegEnds_NonXtal_Prot#'!A:AL,19,FALSE)</f>
        <v>#VALUE!</v>
      </c>
      <c r="AG20" s="1" t="e">
        <f>VLOOKUP(#REF!,'SegEnds_NonXtal_Prot#'!#REF!,28,FALSE)-VLOOKUP(#REF!,'SegEnds_NonXtal_Prot#'!#REF!,25,FALSE)</f>
        <v>#REF!</v>
      </c>
      <c r="AH20" s="1" t="e">
        <f>VLOOKUP(A20,'SegEnds_NonXtal_Prot#'!A:AL,28,FALSE)-VLOOKUP(A20,'SegEnds_NonXtal_Prot#'!A:AL,25,FALSE)</f>
        <v>#VALUE!</v>
      </c>
      <c r="AI20" s="1">
        <f>VLOOKUP(A20,'SegEnds_NonXtal_Prot#'!A:AL,28,FALSE)-VLOOKUP(A20,'SegEnds_NonXtal_Prot#'!A:AL,22,FALSE)</f>
        <v>53</v>
      </c>
      <c r="AJ20" s="1">
        <f>VLOOKUP(A20,'SegEnds_NonXtal_Prot#'!A:AL,31,FALSE)-VLOOKUP(A20,'SegEnds_NonXtal_Prot#'!A:AL,28,FALSE)</f>
        <v>114</v>
      </c>
      <c r="AK20" s="1">
        <f>VLOOKUP(A20,'SegEnds_NonXtal_Prot#'!A:AL,34,FALSE)-VLOOKUP(A20,'SegEnds_NonXtal_Prot#'!A:AL,31,FALSE)</f>
        <v>34</v>
      </c>
      <c r="AL20" s="1">
        <f>VLOOKUP(A20,'SegEnds_NonXtal_Prot#'!A:AL,37,FALSE)-VLOOKUP(A20,'SegEnds_NonXtal_Prot#'!A:AL,34,FALSE)</f>
        <v>10</v>
      </c>
      <c r="AM20" s="1" t="str">
        <f>IF(ISERROR(MATCH(A20,'SegEnds_Xtal_Prot#'!B:B, 0)), "NoXtal", "Xtal")</f>
        <v>NoXtal</v>
      </c>
    </row>
    <row r="21" spans="1:39" x14ac:dyDescent="0.2">
      <c r="A21" s="1" t="s">
        <v>224</v>
      </c>
      <c r="B21" s="1" t="str">
        <f>VLOOKUP(A21,Xtal_Templ!A:B,2,FALSE)</f>
        <v>5ht2a_human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68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108">
        <v>38</v>
      </c>
      <c r="P21" s="1">
        <v>63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INDEX(ICL3_classA!$G$2:$G$41,MATCH(MIN(ABS(AJ21-ICL3_classA!$F$2:$F$41)),ABS(AJ21-ICL3_classA!$F$2:$F$41),0))</f>
        <v>76</v>
      </c>
      <c r="U21" s="1">
        <f t="array" ref="U21">INDEX(ICL3_classA!$H$2:$H$41,MATCH(MIN(ABS(AJ21-ICL3_classA!$F$2:$F$41)),ABS(AJ21-ICL3_classA!$F$2:$F$41),0))</f>
        <v>24</v>
      </c>
      <c r="V21" s="1">
        <v>61</v>
      </c>
      <c r="W21" s="1">
        <v>32</v>
      </c>
      <c r="X21" s="108">
        <v>55</v>
      </c>
      <c r="Y21" s="1">
        <f>VLOOKUP($B21&amp;"__wt",'SegEnds_Xtal_BW#'!$A:$Z,25,FALSE)</f>
        <v>47</v>
      </c>
      <c r="Z21" s="1">
        <f>VLOOKUP($B21&amp;"__wt",'SegEnds_Xtal_BW#'!$A:$Z,26,FALSE)</f>
        <v>60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27</v>
      </c>
      <c r="AC21" s="1">
        <f>VLOOKUP(A21,'SegEnds_NonXtal_Prot#'!A:AL,10,FALSE)-VLOOKUP(A21,'SegEnds_NonXtal_Prot#'!A:AL,7,FALSE)</f>
        <v>14</v>
      </c>
      <c r="AD21" s="1">
        <f>VLOOKUP(A21,'SegEnds_NonXtal_Prot#'!A:AL,13,FALSE)-VLOOKUP(A21,'SegEnds_NonXtal_Prot#'!A:AL,10,FALSE)</f>
        <v>24</v>
      </c>
      <c r="AE21" s="1">
        <f>VLOOKUP(A21,'SegEnds_NonXtal_Prot#'!A:AL,16,FALSE)-VLOOKUP(A21,'SegEnds_NonXtal_Prot#'!A:AL,10,FALSE)</f>
        <v>56</v>
      </c>
      <c r="AF21" s="1">
        <f>VLOOKUP(A21,'SegEnds_NonXtal_Prot#'!A:AL,22,FALSE)-VLOOKUP(A21,'SegEnds_NonXtal_Prot#'!A:AL,19,FALSE)</f>
        <v>20</v>
      </c>
      <c r="AG21" s="1" t="e">
        <f>VLOOKUP(#REF!,'SegEnds_NonXtal_Prot#'!#REF!,28,FALSE)-VLOOKUP(#REF!,'SegEnds_NonXtal_Prot#'!#REF!,25,FALSE)</f>
        <v>#REF!</v>
      </c>
      <c r="AH21" s="1">
        <f>VLOOKUP(A21,'SegEnds_NonXtal_Prot#'!A:AL,28,FALSE)-VLOOKUP(A21,'SegEnds_NonXtal_Prot#'!A:AL,25,FALSE)</f>
        <v>23</v>
      </c>
      <c r="AI21" s="1">
        <f>VLOOKUP(A21,'SegEnds_NonXtal_Prot#'!A:AL,28,FALSE)-VLOOKUP(A21,'SegEnds_NonXtal_Prot#'!A:AL,22,FALSE)</f>
        <v>49</v>
      </c>
      <c r="AJ21" s="1">
        <f>VLOOKUP(A21,'SegEnds_NonXtal_Prot#'!A:AL,31,FALSE)-VLOOKUP(A21,'SegEnds_NonXtal_Prot#'!A:AL,28,FALSE)</f>
        <v>76</v>
      </c>
      <c r="AK21" s="1">
        <f>VLOOKUP(A21,'SegEnds_NonXtal_Prot#'!A:AL,34,FALSE)-VLOOKUP(A21,'SegEnds_NonXtal_Prot#'!A:AL,31,FALSE)</f>
        <v>34</v>
      </c>
      <c r="AL21" s="1">
        <f>VLOOKUP(A21,'SegEnds_NonXtal_Prot#'!A:AL,37,FALSE)-VLOOKUP(A21,'SegEnds_NonXtal_Prot#'!A:AL,34,FALSE)</f>
        <v>9</v>
      </c>
      <c r="AM21" s="1" t="str">
        <f>IF(ISERROR(MATCH(A21,'SegEnds_Xtal_Prot#'!B:B, 0)), "NoXtal", "Xtal")</f>
        <v>NoXtal</v>
      </c>
    </row>
    <row r="22" spans="1:39" x14ac:dyDescent="0.2">
      <c r="A22" s="1" t="s">
        <v>227</v>
      </c>
      <c r="B22" s="1" t="str">
        <f>VLOOKUP(A22,Xtal_Templ!A:B,2,FALSE)</f>
        <v>npy1r_human</v>
      </c>
      <c r="C22" s="5">
        <f>VLOOKUP($B22&amp;"__wt",'SegEnds_Xtal_BW#'!$A:$Z,3,FALSE)</f>
        <v>28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68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08">
        <v>50</v>
      </c>
      <c r="N22" s="12"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INDEX(ICL3_classA!$G$2:$G$41,MATCH(MIN(ABS(AJ22-ICL3_classA!$F$2:$F$41)),ABS(AJ22-ICL3_classA!$F$2:$F$41),0))</f>
        <v>74</v>
      </c>
      <c r="U22" s="1">
        <f t="array" ref="U22">INDEX(ICL3_classA!$H$2:$H$41,MATCH(MIN(ABS(AJ22-ICL3_classA!$F$2:$F$41)),ABS(AJ22-ICL3_classA!$F$2:$F$41),0))</f>
        <v>24</v>
      </c>
      <c r="V22" s="1">
        <v>61</v>
      </c>
      <c r="W22" s="1">
        <v>32</v>
      </c>
      <c r="X22" s="108">
        <v>55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27</v>
      </c>
      <c r="AC22" s="1">
        <f>VLOOKUP(A22,'SegEnds_NonXtal_Prot#'!A:AL,10,FALSE)-VLOOKUP(A22,'SegEnds_NonXtal_Prot#'!A:AL,7,FALSE)</f>
        <v>14</v>
      </c>
      <c r="AD22" s="1">
        <f>VLOOKUP(A22,'SegEnds_NonXtal_Prot#'!A:AL,13,FALSE)-VLOOKUP(A22,'SegEnds_NonXtal_Prot#'!A:AL,10,FALSE)</f>
        <v>25</v>
      </c>
      <c r="AE22" s="1">
        <f>VLOOKUP(A22,'SegEnds_NonXtal_Prot#'!A:AL,16,FALSE)-VLOOKUP(A22,'SegEnds_NonXtal_Prot#'!A:AL,10,FALSE)</f>
        <v>57</v>
      </c>
      <c r="AF22" s="1">
        <f>VLOOKUP(A22,'SegEnds_NonXtal_Prot#'!A:AL,22,FALSE)-VLOOKUP(A22,'SegEnds_NonXtal_Prot#'!A:AL,19,FALSE)</f>
        <v>20</v>
      </c>
      <c r="AG22" s="1" t="e">
        <f>VLOOKUP(#REF!,'SegEnds_NonXtal_Prot#'!#REF!,28,FALSE)-VLOOKUP(#REF!,'SegEnds_NonXtal_Prot#'!#REF!,25,FALSE)</f>
        <v>#REF!</v>
      </c>
      <c r="AH22" s="1">
        <f>VLOOKUP(A22,'SegEnds_NonXtal_Prot#'!A:AL,28,FALSE)-VLOOKUP(A22,'SegEnds_NonXtal_Prot#'!A:AL,25,FALSE)</f>
        <v>23</v>
      </c>
      <c r="AI22" s="1">
        <f>VLOOKUP(A22,'SegEnds_NonXtal_Prot#'!A:AL,28,FALSE)-VLOOKUP(A22,'SegEnds_NonXtal_Prot#'!A:AL,22,FALSE)</f>
        <v>49</v>
      </c>
      <c r="AJ22" s="1">
        <f>VLOOKUP(A22,'SegEnds_NonXtal_Prot#'!A:AL,31,FALSE)-VLOOKUP(A22,'SegEnds_NonXtal_Prot#'!A:AL,28,FALSE)</f>
        <v>96</v>
      </c>
      <c r="AK22" s="1">
        <f>VLOOKUP(A22,'SegEnds_NonXtal_Prot#'!A:AL,34,FALSE)-VLOOKUP(A22,'SegEnds_NonXtal_Prot#'!A:AL,31,FALSE)</f>
        <v>34</v>
      </c>
      <c r="AL22" s="1">
        <f>VLOOKUP(A22,'SegEnds_NonXtal_Prot#'!A:AL,37,FALSE)-VLOOKUP(A22,'SegEnds_NonXtal_Prot#'!A:AL,34,FALSE)</f>
        <v>9</v>
      </c>
      <c r="AM22" s="1" t="str">
        <f>IF(ISERROR(MATCH(A22,'SegEnds_Xtal_Prot#'!B:B, 0)), "NoXtal", "Xtal")</f>
        <v>NoXtal</v>
      </c>
    </row>
    <row r="23" spans="1:39" x14ac:dyDescent="0.2">
      <c r="A23" s="1" t="s">
        <v>243</v>
      </c>
      <c r="B23" s="1" t="str">
        <f>VLOOKUP(A23,Xtal_Templ!A:B,2,FALSE)</f>
        <v>gpr52_human</v>
      </c>
      <c r="C23" s="5">
        <f>VLOOKUP($B23&amp;"__wt",'SegEnds_Xtal_BW#'!$A:$Z,3,FALSE)</f>
        <v>32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52</v>
      </c>
      <c r="G23" s="1">
        <v>37</v>
      </c>
      <c r="H23" s="108">
        <v>66</v>
      </c>
      <c r="I23" s="1" t="str">
        <f>VLOOKUP($B23&amp;"__wt",'SegEnds_Xtal_BW#'!$A:$Z,9,FALSE)</f>
        <v>-</v>
      </c>
      <c r="J23" s="1" t="str">
        <f>VLOOKUP($B23&amp;"__wt",'SegEnds_Xtal_BW#'!$A:$Z,10,FALSE)</f>
        <v>-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v>38</v>
      </c>
      <c r="P23" s="1">
        <f>VLOOKUP($B23&amp;"__wt",'SegEnds_Xtal_BW#'!$A:$Z,16,FALSE)</f>
        <v>62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v>35</v>
      </c>
      <c r="T23" s="1">
        <f t="array" ref="T23">INDEX(ICL3_classA!$G$2:$G$41,MATCH(MIN(ABS(AJ23-ICL3_classA!$F$2:$F$41)),ABS(AJ23-ICL3_classA!$F$2:$F$41),0))</f>
        <v>81</v>
      </c>
      <c r="U23" s="1">
        <f t="array" ref="U23">INDEX(ICL3_classA!$H$2:$H$41,MATCH(MIN(ABS(AJ23-ICL3_classA!$F$2:$F$41)),ABS(AJ23-ICL3_classA!$F$2:$F$41),0))</f>
        <v>23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67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29</v>
      </c>
      <c r="AC23" s="1">
        <f>VLOOKUP(A23,'SegEnds_NonXtal_Prot#'!A:AL,10,FALSE)-VLOOKUP(A23,'SegEnds_NonXtal_Prot#'!A:AL,7,FALSE)</f>
        <v>16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52</v>
      </c>
      <c r="AF23" s="1">
        <f>VLOOKUP(A23,'SegEnds_NonXtal_Prot#'!A:AL,22,FALSE)-VLOOKUP(A23,'SegEnds_NonXtal_Prot#'!A:AL,19,FALSE)</f>
        <v>20</v>
      </c>
      <c r="AG23" s="1" t="e">
        <f>VLOOKUP(#REF!,'SegEnds_NonXtal_Prot#'!#REF!,28,FALSE)-VLOOKUP(#REF!,'SegEnds_NonXtal_Prot#'!#REF!,25,FALSE)</f>
        <v>#REF!</v>
      </c>
      <c r="AH23" s="1">
        <f>VLOOKUP(A23,'SegEnds_NonXtal_Prot#'!A:AL,28,FALSE)-VLOOKUP(A23,'SegEnds_NonXtal_Prot#'!A:AL,25,FALSE)</f>
        <v>21</v>
      </c>
      <c r="AI23" s="1">
        <f>VLOOKUP(A23,'SegEnds_NonXtal_Prot#'!A:AL,28,FALSE)-VLOOKUP(A23,'SegEnds_NonXtal_Prot#'!A:AL,22,FALSE)</f>
        <v>48</v>
      </c>
      <c r="AJ23" s="1">
        <f>VLOOKUP(A23,'SegEnds_NonXtal_Prot#'!A:AL,31,FALSE)-VLOOKUP(A23,'SegEnds_NonXtal_Prot#'!A:AL,28,FALSE)</f>
        <v>65</v>
      </c>
      <c r="AK23" s="1">
        <f>VLOOKUP(A23,'SegEnds_NonXtal_Prot#'!A:AL,34,FALSE)-VLOOKUP(A23,'SegEnds_NonXtal_Prot#'!A:AL,31,FALSE)</f>
        <v>34</v>
      </c>
      <c r="AL23" s="1">
        <f>VLOOKUP(A23,'SegEnds_NonXtal_Prot#'!A:AL,37,FALSE)-VLOOKUP(A23,'SegEnds_NonXtal_Prot#'!A:AL,34,FALSE)</f>
        <v>10</v>
      </c>
      <c r="AM23" s="1" t="str">
        <f>IF(ISERROR(MATCH(A23,'SegEnds_Xtal_Prot#'!B:B, 0)), "NoXtal", "Xtal")</f>
        <v>NoXtal</v>
      </c>
    </row>
    <row r="24" spans="1:39" x14ac:dyDescent="0.2">
      <c r="A24" s="1" t="s">
        <v>259</v>
      </c>
      <c r="B24" s="1" t="str">
        <f>VLOOKUP(A24,Xtal_Templ!A:B,2,FALSE)</f>
        <v>gpr52_human</v>
      </c>
      <c r="C24" s="5">
        <f>VLOOKUP($B24&amp;"__wt",'SegEnds_Xtal_BW#'!$A:$Z,3,FALSE)</f>
        <v>32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52</v>
      </c>
      <c r="G24" s="1">
        <v>37</v>
      </c>
      <c r="H24" s="108">
        <v>67</v>
      </c>
      <c r="I24" s="1" t="str">
        <f>VLOOKUP($B24&amp;"__wt",'SegEnds_Xtal_BW#'!$A:$Z,9,FALSE)</f>
        <v>-</v>
      </c>
      <c r="J24" s="1" t="str">
        <f>VLOOKUP($B24&amp;"__wt",'SegEnds_Xtal_BW#'!$A:$Z,10,FALSE)</f>
        <v>-</v>
      </c>
      <c r="K24" s="108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62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08">
        <v>36</v>
      </c>
      <c r="T24" s="1">
        <f t="array" ref="T24">INDEX(ICL3_classA!$G$2:$G$41,MATCH(MIN(ABS(AJ24-ICL3_classA!$F$2:$F$41)),ABS(AJ24-ICL3_classA!$F$2:$F$41),0))</f>
        <v>81</v>
      </c>
      <c r="U24" s="1">
        <f t="array" ref="U24">INDEX(ICL3_classA!$H$2:$H$41,MATCH(MIN(ABS(AJ24-ICL3_classA!$F$2:$F$41)),ABS(AJ24-ICL3_classA!$F$2:$F$41),0))</f>
        <v>23</v>
      </c>
      <c r="V24" s="1">
        <v>61</v>
      </c>
      <c r="W24" s="108">
        <v>31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67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29</v>
      </c>
      <c r="AC24" s="1">
        <f>VLOOKUP(A24,'SegEnds_NonXtal_Prot#'!A:AL,10,FALSE)-VLOOKUP(A24,'SegEnds_NonXtal_Prot#'!A:AL,7,FALSE)</f>
        <v>16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VLOOKUP(#REF!,'SegEnds_NonXtal_Prot#'!#REF!,28,FALSE)-VLOOKUP(#REF!,'SegEnds_NonXtal_Prot#'!#REF!,25,FALSE)</f>
        <v>#REF!</v>
      </c>
      <c r="AH24" s="1">
        <f>VLOOKUP(A24,'SegEnds_NonXtal_Prot#'!A:AL,28,FALSE)-VLOOKUP(A24,'SegEnds_NonXtal_Prot#'!A:AL,25,FALSE)</f>
        <v>21</v>
      </c>
      <c r="AI24" s="1">
        <f>VLOOKUP(A24,'SegEnds_NonXtal_Prot#'!A:AL,28,FALSE)-VLOOKUP(A24,'SegEnds_NonXtal_Prot#'!A:AL,22,FALSE)</f>
        <v>48</v>
      </c>
      <c r="AJ24" s="1">
        <f>VLOOKUP(A24,'SegEnds_NonXtal_Prot#'!A:AL,31,FALSE)-VLOOKUP(A24,'SegEnds_NonXtal_Prot#'!A:AL,28,FALSE)</f>
        <v>66</v>
      </c>
      <c r="AK24" s="1">
        <f>VLOOKUP(A24,'SegEnds_NonXtal_Prot#'!A:AL,34,FALSE)-VLOOKUP(A24,'SegEnds_NonXtal_Prot#'!A:AL,31,FALSE)</f>
        <v>34</v>
      </c>
      <c r="AL24" s="1">
        <f>VLOOKUP(A24,'SegEnds_NonXtal_Prot#'!A:AL,37,FALSE)-VLOOKUP(A24,'SegEnds_NonXtal_Prot#'!A:AL,34,FALSE)</f>
        <v>10</v>
      </c>
      <c r="AM24" s="1" t="str">
        <f>IF(ISERROR(MATCH(A24,'SegEnds_Xtal_Prot#'!B:B, 0)), "NoXtal", "Xtal")</f>
        <v>Xtal</v>
      </c>
    </row>
    <row r="25" spans="1:39" x14ac:dyDescent="0.2">
      <c r="A25" s="1" t="s">
        <v>272</v>
      </c>
      <c r="B25" s="1" t="str">
        <f>VLOOKUP(A25,Xtal_Templ!A:B,2,FALSE)</f>
        <v>ox1r_human</v>
      </c>
      <c r="C25" s="5">
        <f>VLOOKUP($B25&amp;"__wt",'SegEnds_Xtal_BW#'!$A:$Z,3,FALSE)</f>
        <v>32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68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18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v>35</v>
      </c>
      <c r="T25" s="1">
        <f t="array" ref="T25">INDEX(ICL3_classA!$G$2:$G$41,MATCH(MIN(ABS(AJ25-ICL3_classA!$F$2:$F$41)),ABS(AJ25-ICL3_classA!$F$2:$F$41),0))</f>
        <v>74</v>
      </c>
      <c r="U25" s="1">
        <f t="array" ref="U25">INDEX(ICL3_classA!$H$2:$H$41,MATCH(MIN(ABS(AJ25-ICL3_classA!$F$2:$F$41)),ABS(AJ25-ICL3_classA!$F$2:$F$41),0))</f>
        <v>21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63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61</v>
      </c>
      <c r="AF25" s="1">
        <f>VLOOKUP(A25,'SegEnds_NonXtal_Prot#'!A:AL,22,FALSE)-VLOOKUP(A25,'SegEnds_NonXtal_Prot#'!A:AL,19,FALSE)</f>
        <v>20</v>
      </c>
      <c r="AG25" s="1" t="e">
        <f>VLOOKUP(#REF!,'SegEnds_NonXtal_Prot#'!#REF!,28,FALSE)-VLOOKUP(#REF!,'SegEnds_NonXtal_Prot#'!#REF!,25,FALSE)</f>
        <v>#REF!</v>
      </c>
      <c r="AH25" s="1" t="e">
        <f>VLOOKUP(A25,'SegEnds_NonXtal_Prot#'!A:AL,28,FALSE)-VLOOKUP(A25,'SegEnds_NonXtal_Prot#'!A:AL,25,FALSE)</f>
        <v>#VALUE!</v>
      </c>
      <c r="AI25" s="1">
        <f>VLOOKUP(A25,'SegEnds_NonXtal_Prot#'!A:AL,28,FALSE)-VLOOKUP(A25,'SegEnds_NonXtal_Prot#'!A:AL,22,FALSE)</f>
        <v>72</v>
      </c>
      <c r="AJ25" s="1">
        <f>VLOOKUP(A25,'SegEnds_NonXtal_Prot#'!A:AL,31,FALSE)-VLOOKUP(A25,'SegEnds_NonXtal_Prot#'!A:AL,28,FALSE)</f>
        <v>61</v>
      </c>
      <c r="AK25" s="1">
        <f>VLOOKUP(A25,'SegEnds_NonXtal_Prot#'!A:AL,34,FALSE)-VLOOKUP(A25,'SegEnds_NonXtal_Prot#'!A:AL,31,FALSE)</f>
        <v>34</v>
      </c>
      <c r="AL25" s="1">
        <f>VLOOKUP(A25,'SegEnds_NonXtal_Prot#'!A:AL,37,FALSE)-VLOOKUP(A25,'SegEnds_NonXtal_Prot#'!A:AL,34,FALSE)</f>
        <v>10</v>
      </c>
      <c r="AM25" s="1" t="str">
        <f>IF(ISERROR(MATCH(A25,'SegEnds_Xtal_Prot#'!B:B, 0)), "NoXtal", "Xtal")</f>
        <v>NoXtal</v>
      </c>
    </row>
    <row r="26" spans="1:39" x14ac:dyDescent="0.2">
      <c r="A26" s="1" t="s">
        <v>293</v>
      </c>
      <c r="B26" s="1" t="str">
        <f>VLOOKUP(A26,Xtal_Templ!A:B,2,FALSE)</f>
        <v>agtr1_human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67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f>VLOOKUP($B26&amp;"__wt",'SegEnds_Xtal_BW#'!$A:$Z,15,FALSE)</f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INDEX(ICL3_classA!$G$2:$G$41,MATCH(MIN(ABS(AJ26-ICL3_classA!$F$2:$F$41)),ABS(AJ26-ICL3_classA!$F$2:$F$41),0))</f>
        <v>68</v>
      </c>
      <c r="U26" s="1">
        <f t="array" ref="U26">INDEX(ICL3_classA!$H$2:$H$41,MATCH(MIN(ABS(AJ26-ICL3_classA!$F$2:$F$41)),ABS(AJ26-ICL3_classA!$F$2:$F$41),0))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27</v>
      </c>
      <c r="AC26" s="1" t="e">
        <f>VLOOKUP(A26,'SegEnds_NonXtal_Prot#'!A:AL,10,FALSE)-VLOOKUP(A26,'SegEnds_NonXtal_Prot#'!A:AL,7,FALSE)</f>
        <v>#VALUE!</v>
      </c>
      <c r="AD26" s="1" t="e">
        <f>VLOOKUP(A26,'SegEnds_NonXtal_Prot#'!A:AL,13,FALSE)-VLOOKUP(A26,'SegEnds_NonXtal_Prot#'!A:AL,10,FALSE)</f>
        <v>#VALUE!</v>
      </c>
      <c r="AE26" s="1">
        <f>VLOOKUP(A26,'SegEnds_NonXtal_Prot#'!A:AL,16,FALSE)-VLOOKUP(A26,'SegEnds_NonXtal_Prot#'!A:AL,10,FALSE)</f>
        <v>53</v>
      </c>
      <c r="AF26" s="1">
        <f>VLOOKUP(A26,'SegEnds_NonXtal_Prot#'!A:AL,22,FALSE)-VLOOKUP(A26,'SegEnds_NonXtal_Prot#'!A:AL,19,FALSE)</f>
        <v>20</v>
      </c>
      <c r="AG26" s="1" t="e">
        <f>VLOOKUP(#REF!,'SegEnds_NonXtal_Prot#'!#REF!,28,FALSE)-VLOOKUP(#REF!,'SegEnds_NonXtal_Prot#'!#REF!,25,FALSE)</f>
        <v>#REF!</v>
      </c>
      <c r="AH26" s="1" t="e">
        <f>VLOOKUP(A26,'SegEnds_NonXtal_Prot#'!A:AL,28,FALSE)-VLOOKUP(A26,'SegEnds_NonXtal_Prot#'!A:AL,25,FALSE)</f>
        <v>#VALUE!</v>
      </c>
      <c r="AI26" s="1">
        <f>VLOOKUP(A26,'SegEnds_NonXtal_Prot#'!A:AL,28,FALSE)-VLOOKUP(A26,'SegEnds_NonXtal_Prot#'!A:AL,22,FALSE)</f>
        <v>44</v>
      </c>
      <c r="AJ26" s="1">
        <f>VLOOKUP(A26,'SegEnds_NonXtal_Prot#'!A:AL,31,FALSE)-VLOOKUP(A26,'SegEnds_NonXtal_Prot#'!A:AL,28,FALSE)</f>
        <v>42</v>
      </c>
      <c r="AK26" s="1">
        <f>VLOOKUP(A26,'SegEnds_NonXtal_Prot#'!A:AL,34,FALSE)-VLOOKUP(A26,'SegEnds_NonXtal_Prot#'!A:AL,31,FALSE)</f>
        <v>34</v>
      </c>
      <c r="AL26" s="1">
        <f>VLOOKUP(A26,'SegEnds_NonXtal_Prot#'!A:AL,37,FALSE)-VLOOKUP(A26,'SegEnds_NonXtal_Prot#'!A:AL,34,FALSE)</f>
        <v>10</v>
      </c>
      <c r="AM26" s="1" t="str">
        <f>IF(ISERROR(MATCH(A26,'SegEnds_Xtal_Prot#'!B:B, 0)), "NoXtal", "Xtal")</f>
        <v>NoXtal</v>
      </c>
    </row>
    <row r="27" spans="1:39" x14ac:dyDescent="0.2">
      <c r="A27" s="1" t="s">
        <v>301</v>
      </c>
      <c r="B27" s="1" t="str">
        <f>VLOOKUP(A27,Xtal_Templ!A:B,2,FALSE)</f>
        <v>cxcr4_human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32</v>
      </c>
      <c r="T27" s="1">
        <f t="array" ref="T27">INDEX(ICL3_classA!$G$2:$G$41,MATCH(MIN(ABS(AJ27-ICL3_classA!$F$2:$F$41)),ABS(AJ27-ICL3_classA!$F$2:$F$41),0))</f>
        <v>68</v>
      </c>
      <c r="U27" s="1">
        <f t="array" ref="U27">INDEX(ICL3_classA!$H$2:$H$41,MATCH(MIN(ABS(AJ27-ICL3_classA!$F$2:$F$41)),ABS(AJ27-ICL3_classA!$F$2:$F$41),0))</f>
        <v>30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27</v>
      </c>
      <c r="AC27" s="1" t="e">
        <f>VLOOKUP(A27,'SegEnds_NonXtal_Prot#'!A:AL,10,FALSE)-VLOOKUP(A27,'SegEnds_NonXtal_Prot#'!A:AL,7,FALSE)</f>
        <v>#VALUE!</v>
      </c>
      <c r="AD27" s="1" t="e">
        <f>VLOOKUP(A27,'SegEnds_NonXtal_Prot#'!A:AL,13,FALSE)-VLOOKUP(A27,'SegEnds_NonXtal_Prot#'!A:AL,10,FALSE)</f>
        <v>#VALUE!</v>
      </c>
      <c r="AE27" s="1">
        <f>VLOOKUP(A27,'SegEnds_NonXtal_Prot#'!A:AL,16,FALSE)-VLOOKUP(A27,'SegEnds_NonXtal_Prot#'!A:AL,10,FALSE)</f>
        <v>52</v>
      </c>
      <c r="AF27" s="1">
        <f>VLOOKUP(A27,'SegEnds_NonXtal_Prot#'!A:AL,22,FALSE)-VLOOKUP(A27,'SegEnds_NonXtal_Prot#'!A:AL,19,FALSE)</f>
        <v>20</v>
      </c>
      <c r="AG27" s="1" t="e">
        <f>VLOOKUP(#REF!,'SegEnds_NonXtal_Prot#'!#REF!,28,FALSE)-VLOOKUP(#REF!,'SegEnds_NonXtal_Prot#'!#REF!,25,FALSE)</f>
        <v>#REF!</v>
      </c>
      <c r="AH27" s="1" t="e">
        <f>VLOOKUP(A27,'SegEnds_NonXtal_Prot#'!A:AL,28,FALSE)-VLOOKUP(A27,'SegEnds_NonXtal_Prot#'!A:AL,25,FALSE)</f>
        <v>#VALUE!</v>
      </c>
      <c r="AI27" s="1">
        <f>VLOOKUP(A27,'SegEnds_NonXtal_Prot#'!A:AL,28,FALSE)-VLOOKUP(A27,'SegEnds_NonXtal_Prot#'!A:AL,22,FALSE)</f>
        <v>42</v>
      </c>
      <c r="AJ27" s="1">
        <f>VLOOKUP(A27,'SegEnds_NonXtal_Prot#'!A:AL,31,FALSE)-VLOOKUP(A27,'SegEnds_NonXtal_Prot#'!A:AL,28,FALSE)</f>
        <v>42</v>
      </c>
      <c r="AK27" s="1">
        <f>VLOOKUP(A27,'SegEnds_NonXtal_Prot#'!A:AL,34,FALSE)-VLOOKUP(A27,'SegEnds_NonXtal_Prot#'!A:AL,31,FALSE)</f>
        <v>34</v>
      </c>
      <c r="AL27" s="1">
        <f>VLOOKUP(A27,'SegEnds_NonXtal_Prot#'!A:AL,37,FALSE)-VLOOKUP(A27,'SegEnds_NonXtal_Prot#'!A:AL,34,FALSE)</f>
        <v>10</v>
      </c>
      <c r="AM27" s="1" t="str">
        <f>IF(ISERROR(MATCH(A27,'SegEnds_Xtal_Prot#'!B:B, 0)), "NoXtal", "Xtal")</f>
        <v>NoXtal</v>
      </c>
    </row>
    <row r="28" spans="1:39" x14ac:dyDescent="0.2">
      <c r="A28" s="1" t="s">
        <v>302</v>
      </c>
      <c r="B28" s="1" t="str">
        <f>VLOOKUP(A28,Xtal_Templ!A:B,2,FALSE)</f>
        <v>ccr6_human</v>
      </c>
      <c r="C28" s="5">
        <f>VLOOKUP($B28&amp;"__wt",'SegEnds_Xtal_BW#'!$A:$Z,3,FALSE)</f>
        <v>25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67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INDEX(ICL3_classA!$G$2:$G$41,MATCH(MIN(ABS(AJ28-ICL3_classA!$F$2:$F$41)),ABS(AJ28-ICL3_classA!$F$2:$F$41),0))</f>
        <v>68</v>
      </c>
      <c r="U28" s="1">
        <f t="array" ref="U28">INDEX(ICL3_classA!$H$2:$H$41,MATCH(MIN(ABS(AJ28-ICL3_classA!$F$2:$F$41)),ABS(AJ28-ICL3_classA!$F$2:$F$41),0))</f>
        <v>30</v>
      </c>
      <c r="V28" s="1">
        <v>61</v>
      </c>
      <c r="W28" s="1">
        <v>32</v>
      </c>
      <c r="X28" s="108">
        <v>56</v>
      </c>
      <c r="Y28" s="1">
        <f>VLOOKUP($B28&amp;"__wt",'SegEnds_Xtal_BW#'!$A:$Z,25,FALSE)</f>
        <v>47</v>
      </c>
      <c r="Z28" s="1">
        <f>VLOOKUP($B28&amp;"__wt",'SegEnds_Xtal_BW#'!$A:$Z,26,FALSE)</f>
        <v>62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27</v>
      </c>
      <c r="AC28" s="1" t="e">
        <f>VLOOKUP(A28,'SegEnds_NonXtal_Prot#'!A:AL,10,FALSE)-VLOOKUP(A28,'SegEnds_NonXtal_Prot#'!A:AL,7,FALSE)</f>
        <v>#VALUE!</v>
      </c>
      <c r="AD28" s="1" t="e">
        <f>VLOOKUP(A28,'SegEnds_NonXtal_Prot#'!A:AL,13,FALSE)-VLOOKUP(A28,'SegEnds_NonXtal_Prot#'!A:AL,10,FALSE)</f>
        <v>#VALUE!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 t="e">
        <f>VLOOKUP(#REF!,'SegEnds_NonXtal_Prot#'!#REF!,28,FALSE)-VLOOKUP(#REF!,'SegEnds_NonXtal_Prot#'!#REF!,25,FALSE)</f>
        <v>#REF!</v>
      </c>
      <c r="AH28" s="1" t="e">
        <f>VLOOKUP(A28,'SegEnds_NonXtal_Prot#'!A:AL,28,FALSE)-VLOOKUP(A28,'SegEnds_NonXtal_Prot#'!A:AL,25,FALSE)</f>
        <v>#VALUE!</v>
      </c>
      <c r="AI28" s="1">
        <f>VLOOKUP(A28,'SegEnds_NonXtal_Prot#'!A:AL,28,FALSE)-VLOOKUP(A28,'SegEnds_NonXtal_Prot#'!A:AL,22,FALSE)</f>
        <v>43</v>
      </c>
      <c r="AJ28" s="1">
        <f>VLOOKUP(A28,'SegEnds_NonXtal_Prot#'!A:AL,31,FALSE)-VLOOKUP(A28,'SegEnds_NonXtal_Prot#'!A:AL,28,FALSE)</f>
        <v>43</v>
      </c>
      <c r="AK28" s="1">
        <f>VLOOKUP(A28,'SegEnds_NonXtal_Prot#'!A:AL,34,FALSE)-VLOOKUP(A28,'SegEnds_NonXtal_Prot#'!A:AL,31,FALSE)</f>
        <v>34</v>
      </c>
      <c r="AL28" s="1">
        <f>VLOOKUP(A28,'SegEnds_NonXtal_Prot#'!A:AL,37,FALSE)-VLOOKUP(A28,'SegEnds_NonXtal_Prot#'!A:AL,34,FALSE)</f>
        <v>10</v>
      </c>
      <c r="AM28" s="1" t="str">
        <f>IF(ISERROR(MATCH(A28,'SegEnds_Xtal_Prot#'!B:B, 0)), "NoXtal", "Xtal")</f>
        <v>NoXtal</v>
      </c>
    </row>
    <row r="29" spans="1:39" x14ac:dyDescent="0.2">
      <c r="A29" s="1" t="s">
        <v>303</v>
      </c>
      <c r="B29" s="1" t="str">
        <f>VLOOKUP(A29,Xtal_Templ!A:B,2,FALSE)</f>
        <v>agtr1_human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63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08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34</v>
      </c>
      <c r="T29" s="1">
        <f t="array" ref="T29">INDEX(ICL3_classA!$G$2:$G$41,MATCH(MIN(ABS(AJ29-ICL3_classA!$F$2:$F$41)),ABS(AJ29-ICL3_classA!$F$2:$F$41),0))</f>
        <v>67</v>
      </c>
      <c r="U29" s="1">
        <f t="array" ref="U29">INDEX(ICL3_classA!$H$2:$H$41,MATCH(MIN(ABS(AJ29-ICL3_classA!$F$2:$F$41)),ABS(AJ29-ICL3_classA!$F$2:$F$41),0))</f>
        <v>30</v>
      </c>
      <c r="V29" s="1">
        <v>61</v>
      </c>
      <c r="W29" s="1">
        <v>32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61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27</v>
      </c>
      <c r="AC29" s="1" t="e">
        <f>VLOOKUP(A29,'SegEnds_NonXtal_Prot#'!A:AL,10,FALSE)-VLOOKUP(A29,'SegEnds_NonXtal_Prot#'!A:AL,7,FALSE)</f>
        <v>#VALUE!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46</v>
      </c>
      <c r="AF29" s="1">
        <f>VLOOKUP(A29,'SegEnds_NonXtal_Prot#'!A:AL,22,FALSE)-VLOOKUP(A29,'SegEnds_NonXtal_Prot#'!A:AL,19,FALSE)</f>
        <v>20</v>
      </c>
      <c r="AG29" s="1" t="e">
        <f>VLOOKUP(#REF!,'SegEnds_NonXtal_Prot#'!#REF!,28,FALSE)-VLOOKUP(#REF!,'SegEnds_NonXtal_Prot#'!#REF!,25,FALSE)</f>
        <v>#REF!</v>
      </c>
      <c r="AH29" s="1" t="e">
        <f>VLOOKUP(A29,'SegEnds_NonXtal_Prot#'!A:AL,28,FALSE)-VLOOKUP(A29,'SegEnds_NonXtal_Prot#'!A:AL,25,FALSE)</f>
        <v>#VALUE!</v>
      </c>
      <c r="AI29" s="1">
        <f>VLOOKUP(A29,'SegEnds_NonXtal_Prot#'!A:AL,28,FALSE)-VLOOKUP(A29,'SegEnds_NonXtal_Prot#'!A:AL,22,FALSE)</f>
        <v>42</v>
      </c>
      <c r="AJ29" s="1">
        <f>VLOOKUP(A29,'SegEnds_NonXtal_Prot#'!A:AL,31,FALSE)-VLOOKUP(A29,'SegEnds_NonXtal_Prot#'!A:AL,28,FALSE)</f>
        <v>41</v>
      </c>
      <c r="AK29" s="1">
        <f>VLOOKUP(A29,'SegEnds_NonXtal_Prot#'!A:AL,34,FALSE)-VLOOKUP(A29,'SegEnds_NonXtal_Prot#'!A:AL,31,FALSE)</f>
        <v>34</v>
      </c>
      <c r="AL29" s="1">
        <f>VLOOKUP(A29,'SegEnds_NonXtal_Prot#'!A:AL,37,FALSE)-VLOOKUP(A29,'SegEnds_NonXtal_Prot#'!A:AL,34,FALSE)</f>
        <v>10</v>
      </c>
      <c r="AM29" s="1" t="str">
        <f>IF(ISERROR(MATCH(A29,'SegEnds_Xtal_Prot#'!B:B, 0)), "NoXtal", "Xtal")</f>
        <v>NoXtal</v>
      </c>
    </row>
    <row r="30" spans="1:39" x14ac:dyDescent="0.2">
      <c r="A30" s="1" t="s">
        <v>380</v>
      </c>
      <c r="B30" s="1" t="str">
        <f>VLOOKUP(A30,Xtal_Templ!A:B,2,FALSE)</f>
        <v>oprk_human</v>
      </c>
      <c r="C30" s="5">
        <f>VLOOKUP($B30&amp;"__wt",'SegEnds_Xtal_BW#'!$A:$Z,3,FALSE)</f>
        <v>30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21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30</v>
      </c>
      <c r="T30" s="1">
        <f t="array" ref="T30">INDEX(ICL3_classA!$G$2:$G$41,MATCH(MIN(ABS(AJ30-ICL3_classA!$F$2:$F$41)),ABS(AJ30-ICL3_classA!$F$2:$F$41),0))</f>
        <v>68</v>
      </c>
      <c r="U30" s="1">
        <f t="array" ref="U30">INDEX(ICL3_classA!$H$2:$H$41,MATCH(MIN(ABS(AJ30-ICL3_classA!$F$2:$F$41)),ABS(AJ30-ICL3_classA!$F$2:$F$41),0))</f>
        <v>23</v>
      </c>
      <c r="V30" s="1">
        <v>61</v>
      </c>
      <c r="W30" s="1">
        <v>32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19</v>
      </c>
      <c r="AE30" s="1">
        <f>VLOOKUP(A30,'SegEnds_NonXtal_Prot#'!A:AL,16,FALSE)-VLOOKUP(A30,'SegEnds_NonXtal_Prot#'!A:AL,10,FALSE)</f>
        <v>51</v>
      </c>
      <c r="AF30" s="1">
        <f>VLOOKUP(A30,'SegEnds_NonXtal_Prot#'!A:AL,22,FALSE)-VLOOKUP(A30,'SegEnds_NonXtal_Prot#'!A:AL,19,FALSE)</f>
        <v>20</v>
      </c>
      <c r="AG30" s="1" t="e">
        <f>VLOOKUP(#REF!,'SegEnds_NonXtal_Prot#'!#REF!,28,FALSE)-VLOOKUP(#REF!,'SegEnds_NonXtal_Prot#'!#REF!,25,FALSE)</f>
        <v>#REF!</v>
      </c>
      <c r="AH30" s="1">
        <f>VLOOKUP(A30,'SegEnds_NonXtal_Prot#'!A:AL,28,FALSE)-VLOOKUP(A30,'SegEnds_NonXtal_Prot#'!A:AL,25,FALSE)</f>
        <v>27</v>
      </c>
      <c r="AI30" s="1">
        <f>VLOOKUP(A30,'SegEnds_NonXtal_Prot#'!A:AL,28,FALSE)-VLOOKUP(A30,'SegEnds_NonXtal_Prot#'!A:AL,22,FALSE)</f>
        <v>53</v>
      </c>
      <c r="AJ30" s="1">
        <f>VLOOKUP(A30,'SegEnds_NonXtal_Prot#'!A:AL,31,FALSE)-VLOOKUP(A30,'SegEnds_NonXtal_Prot#'!A:AL,28,FALSE)</f>
        <v>51</v>
      </c>
      <c r="AK30" s="1">
        <f>VLOOKUP(A30,'SegEnds_NonXtal_Prot#'!A:AL,34,FALSE)-VLOOKUP(A30,'SegEnds_NonXtal_Prot#'!A:AL,31,FALSE)</f>
        <v>34</v>
      </c>
      <c r="AL30" s="1">
        <f>VLOOKUP(A30,'SegEnds_NonXtal_Prot#'!A:AL,37,FALSE)-VLOOKUP(A30,'SegEnds_NonXtal_Prot#'!A:AL,34,FALSE)</f>
        <v>10</v>
      </c>
      <c r="AM30" s="1" t="str">
        <f>IF(ISERROR(MATCH(A30,'SegEnds_Xtal_Prot#'!B:B, 0)), "NoXtal", "Xtal")</f>
        <v>NoXtal</v>
      </c>
    </row>
    <row r="31" spans="1:39" x14ac:dyDescent="0.2">
      <c r="A31" s="1" t="s">
        <v>383</v>
      </c>
      <c r="B31" s="1" t="str">
        <f>VLOOKUP(A31,Xtal_Templ!A:B,2,FALSE)</f>
        <v>oprk_human</v>
      </c>
      <c r="C31" s="5">
        <f>VLOOKUP($B31&amp;"__wt",'SegEnds_Xtal_BW#'!$A:$Z,3,FALSE)</f>
        <v>30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21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7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30</v>
      </c>
      <c r="T31" s="1">
        <f t="array" ref="T31">INDEX(ICL3_classA!$G$2:$G$41,MATCH(MIN(ABS(AJ31-ICL3_classA!$F$2:$F$41)),ABS(AJ31-ICL3_classA!$F$2:$F$41),0))</f>
        <v>68</v>
      </c>
      <c r="U31" s="1">
        <f t="array" ref="U31">INDEX(ICL3_classA!$H$2:$H$41,MATCH(MIN(ABS(AJ31-ICL3_classA!$F$2:$F$41)),ABS(AJ31-ICL3_classA!$F$2:$F$41),0))</f>
        <v>23</v>
      </c>
      <c r="V31" s="1">
        <v>61</v>
      </c>
      <c r="W31" s="1">
        <v>32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19</v>
      </c>
      <c r="AE31" s="1">
        <f>VLOOKUP(A31,'SegEnds_NonXtal_Prot#'!A:AL,16,FALSE)-VLOOKUP(A31,'SegEnds_NonXtal_Prot#'!A:AL,10,FALSE)</f>
        <v>51</v>
      </c>
      <c r="AF31" s="1">
        <f>VLOOKUP(A31,'SegEnds_NonXtal_Prot#'!A:AL,22,FALSE)-VLOOKUP(A31,'SegEnds_NonXtal_Prot#'!A:AL,19,FALSE)</f>
        <v>20</v>
      </c>
      <c r="AG31" s="1" t="e">
        <f>VLOOKUP(#REF!,'SegEnds_NonXtal_Prot#'!#REF!,28,FALSE)-VLOOKUP(#REF!,'SegEnds_NonXtal_Prot#'!#REF!,25,FALSE)</f>
        <v>#REF!</v>
      </c>
      <c r="AH31" s="1">
        <f>VLOOKUP(A31,'SegEnds_NonXtal_Prot#'!A:AL,28,FALSE)-VLOOKUP(A31,'SegEnds_NonXtal_Prot#'!A:AL,25,FALSE)</f>
        <v>25</v>
      </c>
      <c r="AI31" s="1">
        <f>VLOOKUP(A31,'SegEnds_NonXtal_Prot#'!A:AL,28,FALSE)-VLOOKUP(A31,'SegEnds_NonXtal_Prot#'!A:AL,22,FALSE)</f>
        <v>52</v>
      </c>
      <c r="AJ31" s="1">
        <f>VLOOKUP(A31,'SegEnds_NonXtal_Prot#'!A:AL,31,FALSE)-VLOOKUP(A31,'SegEnds_NonXtal_Prot#'!A:AL,28,FALSE)</f>
        <v>51</v>
      </c>
      <c r="AK31" s="1">
        <f>VLOOKUP(A31,'SegEnds_NonXtal_Prot#'!A:AL,34,FALSE)-VLOOKUP(A31,'SegEnds_NonXtal_Prot#'!A:AL,31,FALSE)</f>
        <v>34</v>
      </c>
      <c r="AL31" s="1">
        <f>VLOOKUP(A31,'SegEnds_NonXtal_Prot#'!A:AL,37,FALSE)-VLOOKUP(A31,'SegEnds_NonXtal_Prot#'!A:AL,34,FALSE)</f>
        <v>10</v>
      </c>
      <c r="AM31" s="1" t="str">
        <f>IF(ISERROR(MATCH(A31,'SegEnds_Xtal_Prot#'!B:B, 0)), "NoXtal", "Xtal")</f>
        <v>NoXtal</v>
      </c>
    </row>
    <row r="32" spans="1:39" x14ac:dyDescent="0.2">
      <c r="A32" s="1" t="s">
        <v>130</v>
      </c>
      <c r="B32" s="1" t="str">
        <f>VLOOKUP(A32,Xtal_Templ!A:B,2,FALSE)</f>
        <v>5ht1b_human</v>
      </c>
      <c r="C32" s="5">
        <f>VLOOKUP($B32&amp;"__wt",'SegEnds_Xtal_BW#'!$A:$Z,3,FALSE)</f>
        <v>28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68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63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INDEX(ICL3_classA!$G$2:$G$41,MATCH(MIN(ABS(AJ32-ICL3_classA!$F$2:$F$41)),ABS(AJ32-ICL3_classA!$F$2:$F$41),0))</f>
        <v>76</v>
      </c>
      <c r="U32" s="1">
        <f t="array" ref="U32">INDEX(ICL3_classA!$H$2:$H$41,MATCH(MIN(ABS(AJ32-ICL3_classA!$F$2:$F$41)),ABS(AJ32-ICL3_classA!$F$2:$F$41),0))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58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 t="e">
        <f>VLOOKUP(#REF!,'SegEnds_NonXtal_Prot#'!#REF!,28,FALSE)-VLOOKUP(#REF!,'SegEnds_NonXtal_Prot#'!#REF!,25,FALSE)</f>
        <v>#REF!</v>
      </c>
      <c r="AH32" s="1">
        <f>VLOOKUP(A32,'SegEnds_NonXtal_Prot#'!A:AL,28,FALSE)-VLOOKUP(A32,'SegEnds_NonXtal_Prot#'!A:AL,25,FALSE)</f>
        <v>21</v>
      </c>
      <c r="AI32" s="1">
        <f>VLOOKUP(A32,'SegEnds_NonXtal_Prot#'!A:AL,28,FALSE)-VLOOKUP(A32,'SegEnds_NonXtal_Prot#'!A:AL,22,FALSE)</f>
        <v>47</v>
      </c>
      <c r="AJ32" s="1">
        <f>VLOOKUP(A32,'SegEnds_NonXtal_Prot#'!A:AL,31,FALSE)-VLOOKUP(A32,'SegEnds_NonXtal_Prot#'!A:AL,28,FALSE)</f>
        <v>112</v>
      </c>
      <c r="AK32" s="1">
        <f>VLOOKUP(A32,'SegEnds_NonXtal_Prot#'!A:AL,34,FALSE)-VLOOKUP(A32,'SegEnds_NonXtal_Prot#'!A:AL,31,FALSE)</f>
        <v>35</v>
      </c>
      <c r="AL32" s="1">
        <f>VLOOKUP(A32,'SegEnds_NonXtal_Prot#'!A:AL,37,FALSE)-VLOOKUP(A32,'SegEnds_NonXtal_Prot#'!A:AL,34,FALSE)</f>
        <v>10</v>
      </c>
      <c r="AM32" s="1" t="str">
        <f>IF(ISERROR(MATCH(A32,'SegEnds_Xtal_Prot#'!B:B, 0)), "NoXtal", "Xtal")</f>
        <v>NoXtal</v>
      </c>
    </row>
    <row r="33" spans="1:39" ht="17" customHeight="1" x14ac:dyDescent="0.2">
      <c r="A33" s="1" t="s">
        <v>134</v>
      </c>
      <c r="B33" s="1" t="str">
        <f>VLOOKUP(A33,Xtal_Templ!A:B,2,FALSE)</f>
        <v>drd2_human</v>
      </c>
      <c r="C33" s="5">
        <f>VLOOKUP($B33&amp;"__wt",'SegEnds_Xtal_BW#'!$A:$Z,3,FALSE)</f>
        <v>29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68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v>38</v>
      </c>
      <c r="P33" s="1">
        <f>VLOOKUP($B33&amp;"__wt",'SegEnds_Xtal_BW#'!$A:$Z,16,FALSE)</f>
        <v>62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INDEX(ICL3_classA!$G$2:$G$41,MATCH(MIN(ABS(AJ33-ICL3_classA!$F$2:$F$41)),ABS(AJ33-ICL3_classA!$F$2:$F$41),0))</f>
        <v>76</v>
      </c>
      <c r="U33" s="1">
        <f t="array" ref="U33">INDEX(ICL3_classA!$H$2:$H$41,MATCH(MIN(ABS(AJ33-ICL3_classA!$F$2:$F$41)),ABS(AJ33-ICL3_classA!$F$2:$F$41),0))</f>
        <v>24</v>
      </c>
      <c r="V33" s="1">
        <v>61</v>
      </c>
      <c r="W33" s="1">
        <v>31</v>
      </c>
      <c r="X33" s="124"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29</v>
      </c>
      <c r="AC33" s="1">
        <f>VLOOKUP(A33,'SegEnds_NonXtal_Prot#'!A:AL,10,FALSE)-VLOOKUP(A33,'SegEnds_NonXtal_Prot#'!A:AL,7,FALSE)</f>
        <v>16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 t="e">
        <f>VLOOKUP(#REF!,'SegEnds_NonXtal_Prot#'!#REF!,28,FALSE)-VLOOKUP(#REF!,'SegEnds_NonXtal_Prot#'!#REF!,25,FALSE)</f>
        <v>#REF!</v>
      </c>
      <c r="AH33" s="1">
        <f>VLOOKUP(A33,'SegEnds_NonXtal_Prot#'!A:AL,28,FALSE)-VLOOKUP(A33,'SegEnds_NonXtal_Prot#'!A:AL,25,FALSE)</f>
        <v>20</v>
      </c>
      <c r="AI33" s="1">
        <f>VLOOKUP(A33,'SegEnds_NonXtal_Prot#'!A:AL,28,FALSE)-VLOOKUP(A33,'SegEnds_NonXtal_Prot#'!A:AL,22,FALSE)</f>
        <v>58</v>
      </c>
      <c r="AJ33" s="1">
        <f>VLOOKUP(A33,'SegEnds_NonXtal_Prot#'!A:AL,31,FALSE)-VLOOKUP(A33,'SegEnds_NonXtal_Prot#'!A:AL,28,FALSE)</f>
        <v>70</v>
      </c>
      <c r="AK33" s="1">
        <f>VLOOKUP(A33,'SegEnds_NonXtal_Prot#'!A:AL,34,FALSE)-VLOOKUP(A33,'SegEnds_NonXtal_Prot#'!A:AL,31,FALSE)</f>
        <v>35</v>
      </c>
      <c r="AL33" s="1">
        <f>VLOOKUP(A33,'SegEnds_NonXtal_Prot#'!A:AL,37,FALSE)-VLOOKUP(A33,'SegEnds_NonXtal_Prot#'!A:AL,34,FALSE)</f>
        <v>10</v>
      </c>
      <c r="AM33" s="1" t="str">
        <f>IF(ISERROR(MATCH(A33,'SegEnds_Xtal_Prot#'!B:B, 0)), "NoXtal", "Xtal")</f>
        <v>NoXtal</v>
      </c>
    </row>
    <row r="34" spans="1:39" x14ac:dyDescent="0.2">
      <c r="A34" s="1" t="s">
        <v>135</v>
      </c>
      <c r="B34" s="1" t="str">
        <f>VLOOKUP(A34,Xtal_Templ!A:B,2,FALSE)</f>
        <v>5ht1b_human</v>
      </c>
      <c r="C34" s="5">
        <f>VLOOKUP($B34&amp;"__wt",'SegEnds_Xtal_BW#'!$A:$Z,3,FALSE)</f>
        <v>28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68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f>VLOOKUP($B34&amp;"__wt",'SegEnds_Xtal_BW#'!$A:$Z,14,FALSE)</f>
        <v>57</v>
      </c>
      <c r="O34" s="87">
        <f>VLOOKUP($B34&amp;"__wt",'SegEnds_Xtal_BW#'!$A:$Z,15,FALSE)</f>
        <v>38</v>
      </c>
      <c r="P34" s="1">
        <f>VLOOKUP($B34&amp;"__wt",'SegEnds_Xtal_BW#'!$A:$Z,16,FALSE)</f>
        <v>63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35</v>
      </c>
      <c r="T34" s="1">
        <f t="array" ref="T34">INDEX(ICL3_classA!$G$2:$G$41,MATCH(MIN(ABS(AJ34-ICL3_classA!$F$2:$F$41)),ABS(AJ34-ICL3_classA!$F$2:$F$41),0))</f>
        <v>76</v>
      </c>
      <c r="U34" s="1">
        <f t="array" ref="U34">INDEX(ICL3_classA!$H$2:$H$41,MATCH(MIN(ABS(AJ34-ICL3_classA!$F$2:$F$41)),ABS(AJ34-ICL3_classA!$F$2:$F$41),0))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21</v>
      </c>
      <c r="AE34" s="1">
        <f>VLOOKUP(A34,'SegEnds_NonXtal_Prot#'!A:AL,16,FALSE)-VLOOKUP(A34,'SegEnds_NonXtal_Prot#'!A:AL,10,FALSE)</f>
        <v>53</v>
      </c>
      <c r="AF34" s="1">
        <f>VLOOKUP(A34,'SegEnds_NonXtal_Prot#'!A:AL,22,FALSE)-VLOOKUP(A34,'SegEnds_NonXtal_Prot#'!A:AL,19,FALSE)</f>
        <v>20</v>
      </c>
      <c r="AG34" s="1" t="e">
        <f>VLOOKUP(#REF!,'SegEnds_NonXtal_Prot#'!#REF!,28,FALSE)-VLOOKUP(#REF!,'SegEnds_NonXtal_Prot#'!#REF!,25,FALSE)</f>
        <v>#REF!</v>
      </c>
      <c r="AH34" s="1">
        <f>VLOOKUP(A34,'SegEnds_NonXtal_Prot#'!A:AL,28,FALSE)-VLOOKUP(A34,'SegEnds_NonXtal_Prot#'!A:AL,25,FALSE)</f>
        <v>20</v>
      </c>
      <c r="AI34" s="1">
        <f>VLOOKUP(A34,'SegEnds_NonXtal_Prot#'!A:AL,28,FALSE)-VLOOKUP(A34,'SegEnds_NonXtal_Prot#'!A:AL,22,FALSE)</f>
        <v>46</v>
      </c>
      <c r="AJ34" s="1">
        <f>VLOOKUP(A34,'SegEnds_NonXtal_Prot#'!A:AL,31,FALSE)-VLOOKUP(A34,'SegEnds_NonXtal_Prot#'!A:AL,28,FALSE)</f>
        <v>88</v>
      </c>
      <c r="AK34" s="1">
        <f>VLOOKUP(A34,'SegEnds_NonXtal_Prot#'!A:AL,34,FALSE)-VLOOKUP(A34,'SegEnds_NonXtal_Prot#'!A:AL,31,FALSE)</f>
        <v>35</v>
      </c>
      <c r="AL34" s="1">
        <f>VLOOKUP(A34,'SegEnds_NonXtal_Prot#'!A:AL,37,FALSE)-VLOOKUP(A34,'SegEnds_NonXtal_Prot#'!A:AL,34,FALSE)</f>
        <v>10</v>
      </c>
      <c r="AM34" s="1" t="str">
        <f>IF(ISERROR(MATCH(A34,'SegEnds_Xtal_Prot#'!B:B, 0)), "NoXtal", "Xtal")</f>
        <v>NoXtal</v>
      </c>
    </row>
    <row r="35" spans="1:39" x14ac:dyDescent="0.2">
      <c r="A35" s="1" t="s">
        <v>146</v>
      </c>
      <c r="B35" s="1" t="str">
        <f>VLOOKUP(A35,Xtal_Templ!A:B,2,FALSE)</f>
        <v>acm1_human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68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f>VLOOKUP($B35&amp;"__wt",'SegEnds_Xtal_BW#'!$A:$Z,14,FALSE)</f>
        <v>57</v>
      </c>
      <c r="O35" s="87">
        <f>VLOOKUP($B35&amp;"__wt",'SegEnds_Xtal_BW#'!$A:$Z,15,FALSE)</f>
        <v>38</v>
      </c>
      <c r="P35" s="1">
        <f>VLOOKUP($B35&amp;"__wt",'SegEnds_Xtal_BW#'!$A:$Z,16,FALSE)</f>
        <v>69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35</v>
      </c>
      <c r="T35" s="1">
        <f t="array" ref="T35">INDEX(ICL3_classA!$G$2:$G$41,MATCH(MIN(ABS(AJ35-ICL3_classA!$F$2:$F$41)),ABS(AJ35-ICL3_classA!$F$2:$F$41),0))</f>
        <v>75</v>
      </c>
      <c r="U35" s="1">
        <f t="array" ref="U35">INDEX(ICL3_classA!$H$2:$H$41,MATCH(MIN(ABS(AJ35-ICL3_classA!$F$2:$F$41)),ABS(AJ35-ICL3_classA!$F$2:$F$41),0))</f>
        <v>24</v>
      </c>
      <c r="V35" s="1">
        <v>61</v>
      </c>
      <c r="W35" s="1">
        <v>31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60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">
        <f>VLOOKUP(A35,'SegEnds_NonXtal_Prot#'!A:AL,10,FALSE)-VLOOKUP(A35,'SegEnds_NonXtal_Prot#'!A:AL,7,FALSE)</f>
        <v>15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 t="e">
        <f>VLOOKUP(#REF!,'SegEnds_NonXtal_Prot#'!#REF!,28,FALSE)-VLOOKUP(#REF!,'SegEnds_NonXtal_Prot#'!#REF!,25,FALSE)</f>
        <v>#REF!</v>
      </c>
      <c r="AH35" s="1">
        <f>VLOOKUP(A35,'SegEnds_NonXtal_Prot#'!A:AL,28,FALSE)-VLOOKUP(A35,'SegEnds_NonXtal_Prot#'!A:AL,25,FALSE)</f>
        <v>22</v>
      </c>
      <c r="AI35" s="1">
        <f>VLOOKUP(A35,'SegEnds_NonXtal_Prot#'!A:AL,28,FALSE)-VLOOKUP(A35,'SegEnds_NonXtal_Prot#'!A:AL,22,FALSE)</f>
        <v>50</v>
      </c>
      <c r="AJ35" s="1">
        <f>VLOOKUP(A35,'SegEnds_NonXtal_Prot#'!A:AL,31,FALSE)-VLOOKUP(A35,'SegEnds_NonXtal_Prot#'!A:AL,28,FALSE)</f>
        <v>180</v>
      </c>
      <c r="AK35" s="1">
        <f>VLOOKUP(A35,'SegEnds_NonXtal_Prot#'!A:AL,34,FALSE)-VLOOKUP(A35,'SegEnds_NonXtal_Prot#'!A:AL,31,FALSE)</f>
        <v>35</v>
      </c>
      <c r="AL35" s="1">
        <f>VLOOKUP(A35,'SegEnds_NonXtal_Prot#'!A:AL,37,FALSE)-VLOOKUP(A35,'SegEnds_NonXtal_Prot#'!A:AL,34,FALSE)</f>
        <v>10</v>
      </c>
      <c r="AM35" s="1" t="str">
        <f>IF(ISERROR(MATCH(A35,'SegEnds_Xtal_Prot#'!B:B, 0)), "NoXtal", "Xtal")</f>
        <v>Xtal</v>
      </c>
    </row>
    <row r="36" spans="1:39" x14ac:dyDescent="0.2">
      <c r="A36" s="1" t="s">
        <v>147</v>
      </c>
      <c r="B36" s="1" t="str">
        <f>VLOOKUP(A36,Xtal_Templ!A:B,2,FALSE)</f>
        <v>acm2_human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35</v>
      </c>
      <c r="T36" s="1">
        <f t="array" ref="T36">INDEX(ICL3_classA!$G$2:$G$41,MATCH(MIN(ABS(AJ36-ICL3_classA!$F$2:$F$41)),ABS(AJ36-ICL3_classA!$F$2:$F$41),0))</f>
        <v>75</v>
      </c>
      <c r="U36" s="1">
        <f t="array" ref="U36">INDEX(ICL3_classA!$H$2:$H$41,MATCH(MIN(ABS(AJ36-ICL3_classA!$F$2:$F$41)),ABS(AJ36-ICL3_classA!$F$2:$F$41),0))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 t="e">
        <f>VLOOKUP(#REF!,'SegEnds_NonXtal_Prot#'!#REF!,28,FALSE)-VLOOKUP(#REF!,'SegEnds_NonXtal_Prot#'!#REF!,25,FALSE)</f>
        <v>#REF!</v>
      </c>
      <c r="AH36" s="1">
        <f>VLOOKUP(A36,'SegEnds_NonXtal_Prot#'!A:AL,28,FALSE)-VLOOKUP(A36,'SegEnds_NonXtal_Prot#'!A:AL,25,FALSE)</f>
        <v>22</v>
      </c>
      <c r="AI36" s="1">
        <f>VLOOKUP(A36,'SegEnds_NonXtal_Prot#'!A:AL,28,FALSE)-VLOOKUP(A36,'SegEnds_NonXtal_Prot#'!A:AL,22,FALSE)</f>
        <v>50</v>
      </c>
      <c r="AJ36" s="1">
        <f>VLOOKUP(A36,'SegEnds_NonXtal_Prot#'!A:AL,31,FALSE)-VLOOKUP(A36,'SegEnds_NonXtal_Prot#'!A:AL,28,FALSE)</f>
        <v>204</v>
      </c>
      <c r="AK36" s="1">
        <f>VLOOKUP(A36,'SegEnds_NonXtal_Prot#'!A:AL,34,FALSE)-VLOOKUP(A36,'SegEnds_NonXtal_Prot#'!A:AL,31,FALSE)</f>
        <v>35</v>
      </c>
      <c r="AL36" s="1">
        <f>VLOOKUP(A36,'SegEnds_NonXtal_Prot#'!A:AL,37,FALSE)-VLOOKUP(A36,'SegEnds_NonXtal_Prot#'!A:AL,34,FALSE)</f>
        <v>10</v>
      </c>
      <c r="AM36" s="1" t="str">
        <f>IF(ISERROR(MATCH(A36,'SegEnds_Xtal_Prot#'!B:B, 0)), "NoXtal", "Xtal")</f>
        <v>Xtal</v>
      </c>
    </row>
    <row r="37" spans="1:39" x14ac:dyDescent="0.2">
      <c r="A37" s="1" t="s">
        <v>148</v>
      </c>
      <c r="B37" s="1" t="str">
        <f>VLOOKUP(A37,Xtal_Templ!A:B,2,FALSE)</f>
        <v>acm3_rat</v>
      </c>
      <c r="C37" s="5">
        <f>VLOOKUP($B37&amp;"__wt",'SegEnds_Xtal_BW#'!$A:$Z,3,FALSE)</f>
        <v>28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INDEX(ICL3_classA!$G$2:$G$41,MATCH(MIN(ABS(AJ37-ICL3_classA!$F$2:$F$41)),ABS(AJ37-ICL3_classA!$F$2:$F$41),0))</f>
        <v>75</v>
      </c>
      <c r="U37" s="1">
        <f t="array" ref="U37">INDEX(ICL3_classA!$H$2:$H$41,MATCH(MIN(ABS(AJ37-ICL3_classA!$F$2:$F$41)),ABS(AJ37-ICL3_classA!$F$2:$F$41),0))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60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 t="e">
        <f>VLOOKUP(#REF!,'SegEnds_NonXtal_Prot#'!#REF!,28,FALSE)-VLOOKUP(#REF!,'SegEnds_NonXtal_Prot#'!#REF!,25,FALSE)</f>
        <v>#REF!</v>
      </c>
      <c r="AH37" s="1">
        <f>VLOOKUP(A37,'SegEnds_NonXtal_Prot#'!A:AL,28,FALSE)-VLOOKUP(A37,'SegEnds_NonXtal_Prot#'!A:AL,25,FALSE)</f>
        <v>22</v>
      </c>
      <c r="AI37" s="1">
        <f>VLOOKUP(A37,'SegEnds_NonXtal_Prot#'!A:AL,28,FALSE)-VLOOKUP(A37,'SegEnds_NonXtal_Prot#'!A:AL,22,FALSE)</f>
        <v>50</v>
      </c>
      <c r="AJ37" s="1">
        <f>VLOOKUP(A37,'SegEnds_NonXtal_Prot#'!A:AL,31,FALSE)-VLOOKUP(A37,'SegEnds_NonXtal_Prot#'!A:AL,28,FALSE)</f>
        <v>263</v>
      </c>
      <c r="AK37" s="1">
        <f>VLOOKUP(A37,'SegEnds_NonXtal_Prot#'!A:AL,34,FALSE)-VLOOKUP(A37,'SegEnds_NonXtal_Prot#'!A:AL,31,FALSE)</f>
        <v>35</v>
      </c>
      <c r="AL37" s="1">
        <f>VLOOKUP(A37,'SegEnds_NonXtal_Prot#'!A:AL,37,FALSE)-VLOOKUP(A37,'SegEnds_NonXtal_Prot#'!A:AL,34,FALSE)</f>
        <v>10</v>
      </c>
      <c r="AM37" s="1" t="str">
        <f>IF(ISERROR(MATCH(A37,'SegEnds_Xtal_Prot#'!B:B, 0)), "NoXtal", "Xtal")</f>
        <v>NoXtal</v>
      </c>
    </row>
    <row r="38" spans="1:39" x14ac:dyDescent="0.2">
      <c r="A38" s="4" t="s">
        <v>903</v>
      </c>
      <c r="B38" s="4" t="str">
        <f>VLOOKUP(A38,Xtal_Templ!A:B,2,FALSE)</f>
        <v>acm3_rat</v>
      </c>
      <c r="C38" s="5">
        <f>VLOOKUP($B38&amp;"__wt",'SegEnds_Xtal_BW#'!$A:$Z,3,FALSE)</f>
        <v>28</v>
      </c>
      <c r="D38" s="4">
        <f>VLOOKUP($B38&amp;"__wt",'SegEnds_Xtal_BW#'!$A:$Z,4,FALSE)</f>
        <v>60</v>
      </c>
      <c r="E38" s="4">
        <f>VLOOKUP($B38&amp;"__wt",'SegEnds_Xtal_BW#'!$A:$Z,5,FALSE)</f>
        <v>48</v>
      </c>
      <c r="F38" s="4">
        <f>VLOOKUP($B38&amp;"__wt",'SegEnds_Xtal_BW#'!$A:$Z,6,FALSE)</f>
        <v>51</v>
      </c>
      <c r="G38" s="4">
        <v>37</v>
      </c>
      <c r="H38" s="11">
        <f>VLOOKUP($B38&amp;"__wt",'SegEnds_Xtal_BW#'!$A:$Z,8,FALSE)</f>
        <v>67</v>
      </c>
      <c r="I38" s="4">
        <f>VLOOKUP($B38&amp;"__wt",'SegEnds_Xtal_BW#'!$A:$Z,9,FALSE)</f>
        <v>49</v>
      </c>
      <c r="J38" s="4">
        <f>VLOOKUP($B38&amp;"__wt",'SegEnds_Xtal_BW#'!$A:$Z,10,FALSE)</f>
        <v>52</v>
      </c>
      <c r="K38" s="11">
        <v>18</v>
      </c>
      <c r="L38" s="4">
        <f>VLOOKUP($B38&amp;"__wt",'SegEnds_Xtal_BW#'!$A:$Z,12,FALSE)</f>
        <v>56</v>
      </c>
      <c r="M38" s="4">
        <f>VLOOKUP($B38&amp;"__wt",'SegEnds_Xtal_BW#'!$A:$Z,13,FALSE)</f>
        <v>50</v>
      </c>
      <c r="N38" s="12">
        <f>VLOOKUP($B38&amp;"__wt",'SegEnds_Xtal_BW#'!$A:$Z,14,FALSE)</f>
        <v>57</v>
      </c>
      <c r="O38" s="87">
        <f>VLOOKUP($B38&amp;"__wt",'SegEnds_Xtal_BW#'!$A:$Z,15,FALSE)</f>
        <v>38</v>
      </c>
      <c r="P38" s="4">
        <f>VLOOKUP($B38&amp;"__wt",'SegEnds_Xtal_BW#'!$A:$Z,16,FALSE)</f>
        <v>69</v>
      </c>
      <c r="Q38" s="4">
        <f>VLOOKUP($B38&amp;"__wt",'SegEnds_Xtal_BW#'!$A:$Z,17,FALSE)</f>
        <v>50</v>
      </c>
      <c r="R38" s="4">
        <f>VLOOKUP($B38&amp;"__wt",'SegEnds_Xtal_BW#'!$A:$Z,18,FALSE)</f>
        <v>52</v>
      </c>
      <c r="S38" s="1">
        <f>VLOOKUP($B38&amp;"__wt",'SegEnds_Xtal_BW#'!$A:$Z,19,FALSE)</f>
        <v>35</v>
      </c>
      <c r="T38" s="4">
        <f t="array" ref="T38">INDEX(ICL3_classA!$G$2:$G$41,MATCH(MIN(ABS(AJ38-ICL3_classA!$F$2:$F$41)),ABS(AJ38-ICL3_classA!$F$2:$F$41),0))</f>
        <v>75</v>
      </c>
      <c r="U38" s="4">
        <f t="array" ref="U38">INDEX(ICL3_classA!$H$2:$H$41,MATCH(MIN(ABS(AJ38-ICL3_classA!$F$2:$F$41)),ABS(AJ38-ICL3_classA!$F$2:$F$41),0))</f>
        <v>24</v>
      </c>
      <c r="V38" s="4">
        <v>61</v>
      </c>
      <c r="W38" s="4">
        <v>31</v>
      </c>
      <c r="X38" s="4">
        <f>VLOOKUP($B38&amp;"__wt",'SegEnds_Xtal_BW#'!$A:$Z,24,FALSE)</f>
        <v>56</v>
      </c>
      <c r="Y38" s="4">
        <f>VLOOKUP($B38&amp;"__wt",'SegEnds_Xtal_BW#'!$A:$Z,25,FALSE)</f>
        <v>47</v>
      </c>
      <c r="Z38" s="4">
        <f>VLOOKUP($B38&amp;"__wt",'SegEnds_Xtal_BW#'!$A:$Z,26,FALSE)</f>
        <v>60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4">
        <f>VLOOKUP(A38,'SegEnds_NonXtal_Prot#'!A:AL,10,FALSE)-VLOOKUP(A38,'SegEnds_NonXtal_Prot#'!A:AL,7,FALSE)</f>
        <v>15</v>
      </c>
      <c r="AD38" s="4">
        <f>VLOOKUP(A38,'SegEnds_NonXtal_Prot#'!A:AL,13,FALSE)-VLOOKUP(A38,'SegEnds_NonXtal_Prot#'!A:AL,10,FALSE)</f>
        <v>20</v>
      </c>
      <c r="AE38" s="4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4" t="e">
        <f>VLOOKUP(#REF!,'SegEnds_NonXtal_Prot#'!#REF!,28,FALSE)-VLOOKUP(#REF!,'SegEnds_NonXtal_Prot#'!#REF!,25,FALSE)</f>
        <v>#REF!</v>
      </c>
      <c r="AH38" s="4">
        <f>VLOOKUP(A38,'SegEnds_NonXtal_Prot#'!A:AL,28,FALSE)-VLOOKUP(A38,'SegEnds_NonXtal_Prot#'!A:AL,25,FALSE)</f>
        <v>22</v>
      </c>
      <c r="AI38" s="1">
        <f>VLOOKUP(A38,'SegEnds_NonXtal_Prot#'!A:AL,28,FALSE)-VLOOKUP(A38,'SegEnds_NonXtal_Prot#'!A:AL,22,FALSE)</f>
        <v>50</v>
      </c>
      <c r="AJ38" s="4">
        <f>VLOOKUP(A38,'SegEnds_NonXtal_Prot#'!A:AL,31,FALSE)-VLOOKUP(A38,'SegEnds_NonXtal_Prot#'!A:AL,28,FALSE)</f>
        <v>263</v>
      </c>
      <c r="AK38" s="4">
        <f>VLOOKUP(A38,'SegEnds_NonXtal_Prot#'!A:AL,34,FALSE)-VLOOKUP(A38,'SegEnds_NonXtal_Prot#'!A:AL,31,FALSE)</f>
        <v>35</v>
      </c>
      <c r="AL38" s="1">
        <f>VLOOKUP(A38,'SegEnds_NonXtal_Prot#'!A:AL,37,FALSE)-VLOOKUP(A38,'SegEnds_NonXtal_Prot#'!A:AL,34,FALSE)</f>
        <v>10</v>
      </c>
      <c r="AM38" s="1" t="str">
        <f>IF(ISERROR(MATCH(A38,'SegEnds_Xtal_Prot#'!B:B, 0)), "NoXtal", "Xtal")</f>
        <v>Xtal</v>
      </c>
    </row>
    <row r="39" spans="1:39" x14ac:dyDescent="0.2">
      <c r="A39" s="1" t="s">
        <v>149</v>
      </c>
      <c r="B39" s="1" t="str">
        <f>VLOOKUP(A39,Xtal_Templ!A:B,2,FALSE)</f>
        <v>acm4_human</v>
      </c>
      <c r="C39" s="5">
        <f>VLOOKUP($B39&amp;"__wt",'SegEnds_Xtal_BW#'!$A:$Z,3,FALSE)</f>
        <v>26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68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7">
        <f>VLOOKUP($B39&amp;"__wt",'SegEnds_Xtal_BW#'!$A:$Z,15,FALSE)</f>
        <v>38</v>
      </c>
      <c r="P39" s="1">
        <f>VLOOKUP($B39&amp;"__wt",'SegEnds_Xtal_BW#'!$A:$Z,16,FALSE)</f>
        <v>69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35</v>
      </c>
      <c r="T39" s="1">
        <f t="array" ref="T39">INDEX(ICL3_classA!$G$2:$G$41,MATCH(MIN(ABS(AJ39-ICL3_classA!$F$2:$F$41)),ABS(AJ39-ICL3_classA!$F$2:$F$41),0))</f>
        <v>75</v>
      </c>
      <c r="U39" s="1">
        <f t="array" ref="U39">INDEX(ICL3_classA!$H$2:$H$41,MATCH(MIN(ABS(AJ39-ICL3_classA!$F$2:$F$41)),ABS(AJ39-ICL3_classA!$F$2:$F$41),0))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61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 t="e">
        <f>VLOOKUP(#REF!,'SegEnds_NonXtal_Prot#'!#REF!,28,FALSE)-VLOOKUP(#REF!,'SegEnds_NonXtal_Prot#'!#REF!,25,FALSE)</f>
        <v>#REF!</v>
      </c>
      <c r="AH39" s="1">
        <f>VLOOKUP(A39,'SegEnds_NonXtal_Prot#'!A:AL,28,FALSE)-VLOOKUP(A39,'SegEnds_NonXtal_Prot#'!A:AL,25,FALSE)</f>
        <v>22</v>
      </c>
      <c r="AI39" s="1">
        <f>VLOOKUP(A39,'SegEnds_NonXtal_Prot#'!A:AL,28,FALSE)-VLOOKUP(A39,'SegEnds_NonXtal_Prot#'!A:AL,22,FALSE)</f>
        <v>50</v>
      </c>
      <c r="AJ39" s="1">
        <f>VLOOKUP(A39,'SegEnds_NonXtal_Prot#'!A:AL,31,FALSE)-VLOOKUP(A39,'SegEnds_NonXtal_Prot#'!A:AL,28,FALSE)</f>
        <v>208</v>
      </c>
      <c r="AK39" s="1">
        <f>VLOOKUP(A39,'SegEnds_NonXtal_Prot#'!A:AL,34,FALSE)-VLOOKUP(A39,'SegEnds_NonXtal_Prot#'!A:AL,31,FALSE)</f>
        <v>35</v>
      </c>
      <c r="AL39" s="1">
        <f>VLOOKUP(A39,'SegEnds_NonXtal_Prot#'!A:AL,37,FALSE)-VLOOKUP(A39,'SegEnds_NonXtal_Prot#'!A:AL,34,FALSE)</f>
        <v>10</v>
      </c>
      <c r="AM39" s="1" t="str">
        <f>IF(ISERROR(MATCH(A39,'SegEnds_Xtal_Prot#'!B:B, 0)), "NoXtal", "Xtal")</f>
        <v>Xtal</v>
      </c>
    </row>
    <row r="40" spans="1:39" x14ac:dyDescent="0.2">
      <c r="A40" s="1" t="s">
        <v>150</v>
      </c>
      <c r="B40" s="1" t="str">
        <f>VLOOKUP(A40,Xtal_Templ!A:B,2,FALSE)</f>
        <v>acm5_human</v>
      </c>
      <c r="C40" s="5">
        <f>VLOOKUP($B40&amp;"__wt",'SegEnds_Xtal_BW#'!$A:$Z,3,FALSE)</f>
        <v>28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68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69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35</v>
      </c>
      <c r="T40" s="1">
        <f t="array" ref="T40">INDEX(ICL3_classA!$G$2:$G$41,MATCH(MIN(ABS(AJ40-ICL3_classA!$F$2:$F$41)),ABS(AJ40-ICL3_classA!$F$2:$F$41),0))</f>
        <v>75</v>
      </c>
      <c r="U40" s="1">
        <f t="array" ref="U40">INDEX(ICL3_classA!$H$2:$H$41,MATCH(MIN(ABS(AJ40-ICL3_classA!$F$2:$F$41)),ABS(AJ40-ICL3_classA!$F$2:$F$41),0))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 t="e">
        <f>VLOOKUP(#REF!,'SegEnds_NonXtal_Prot#'!#REF!,28,FALSE)-VLOOKUP(#REF!,'SegEnds_NonXtal_Prot#'!#REF!,25,FALSE)</f>
        <v>#REF!</v>
      </c>
      <c r="AH40" s="1">
        <f>VLOOKUP(A40,'SegEnds_NonXtal_Prot#'!A:AL,28,FALSE)-VLOOKUP(A40,'SegEnds_NonXtal_Prot#'!A:AL,25,FALSE)</f>
        <v>22</v>
      </c>
      <c r="AI40" s="1">
        <f>VLOOKUP(A40,'SegEnds_NonXtal_Prot#'!A:AL,28,FALSE)-VLOOKUP(A40,'SegEnds_NonXtal_Prot#'!A:AL,22,FALSE)</f>
        <v>50</v>
      </c>
      <c r="AJ40" s="1">
        <f>VLOOKUP(A40,'SegEnds_NonXtal_Prot#'!A:AL,31,FALSE)-VLOOKUP(A40,'SegEnds_NonXtal_Prot#'!A:AL,28,FALSE)</f>
        <v>252</v>
      </c>
      <c r="AK40" s="1">
        <f>VLOOKUP(A40,'SegEnds_NonXtal_Prot#'!A:AL,34,FALSE)-VLOOKUP(A40,'SegEnds_NonXtal_Prot#'!A:AL,31,FALSE)</f>
        <v>35</v>
      </c>
      <c r="AL40" s="1">
        <f>VLOOKUP(A40,'SegEnds_NonXtal_Prot#'!A:AL,37,FALSE)-VLOOKUP(A40,'SegEnds_NonXtal_Prot#'!A:AL,34,FALSE)</f>
        <v>10</v>
      </c>
      <c r="AM40" s="1" t="str">
        <f>IF(ISERROR(MATCH(A40,'SegEnds_Xtal_Prot#'!B:B, 0)), "NoXtal", "Xtal")</f>
        <v>Xtal</v>
      </c>
    </row>
    <row r="41" spans="1:39" x14ac:dyDescent="0.2">
      <c r="A41" s="1" t="s">
        <v>125</v>
      </c>
      <c r="B41" s="1" t="str">
        <f>VLOOKUP(A41,Xtal_Templ!A:B,2,FALSE)</f>
        <v>adrb2_human</v>
      </c>
      <c r="C41" s="5">
        <f>VLOOKUP($B41&amp;"__wt",'SegEnds_Xtal_BW#'!$A:$Z,3,FALSE)</f>
        <v>25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68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INDEX(ICL3_classA!$G$2:$G$41,MATCH(MIN(ABS(AJ41-ICL3_classA!$F$2:$F$41)),ABS(AJ41-ICL3_classA!$F$2:$F$41),0))</f>
        <v>74</v>
      </c>
      <c r="U41" s="1">
        <f t="array" ref="U41">INDEX(ICL3_classA!$H$2:$H$41,MATCH(MIN(ABS(AJ41-ICL3_classA!$F$2:$F$41)),ABS(AJ41-ICL3_classA!$F$2:$F$41),0))</f>
        <v>24</v>
      </c>
      <c r="V41" s="1">
        <v>61</v>
      </c>
      <c r="W41" s="1">
        <v>31</v>
      </c>
      <c r="X41" s="1">
        <f>VLOOKUP($B41&amp;"__wt",'SegEnds_Xtal_BW#'!$A:$Z,24,FALSE)</f>
        <v>55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 t="e">
        <f>VLOOKUP(#REF!,'SegEnds_NonXtal_Prot#'!#REF!,28,FALSE)-VLOOKUP(#REF!,'SegEnds_NonXtal_Prot#'!#REF!,25,FALSE)</f>
        <v>#REF!</v>
      </c>
      <c r="AH41" s="1">
        <f>VLOOKUP(A41,'SegEnds_NonXtal_Prot#'!A:AL,28,FALSE)-VLOOKUP(A41,'SegEnds_NonXtal_Prot#'!A:AL,25,FALSE)</f>
        <v>20</v>
      </c>
      <c r="AI41" s="1">
        <f>VLOOKUP(A41,'SegEnds_NonXtal_Prot#'!A:AL,28,FALSE)-VLOOKUP(A41,'SegEnds_NonXtal_Prot#'!A:AL,22,FALSE)</f>
        <v>53</v>
      </c>
      <c r="AJ41" s="1">
        <f>VLOOKUP(A41,'SegEnds_NonXtal_Prot#'!A:AL,31,FALSE)-VLOOKUP(A41,'SegEnds_NonXtal_Prot#'!A:AL,28,FALSE)</f>
        <v>103</v>
      </c>
      <c r="AK41" s="1">
        <f>VLOOKUP(A41,'SegEnds_NonXtal_Prot#'!A:AL,34,FALSE)-VLOOKUP(A41,'SegEnds_NonXtal_Prot#'!A:AL,31,FALSE)</f>
        <v>35</v>
      </c>
      <c r="AL41" s="1">
        <f>VLOOKUP(A41,'SegEnds_NonXtal_Prot#'!A:AL,37,FALSE)-VLOOKUP(A41,'SegEnds_NonXtal_Prot#'!A:AL,34,FALSE)</f>
        <v>9</v>
      </c>
      <c r="AM41" s="1" t="str">
        <f>IF(ISERROR(MATCH(A41,'SegEnds_Xtal_Prot#'!B:B, 0)), "NoXtal", "Xtal")</f>
        <v>NoXtal</v>
      </c>
    </row>
    <row r="42" spans="1:39" x14ac:dyDescent="0.2">
      <c r="A42" s="1" t="s">
        <v>905</v>
      </c>
      <c r="B42" s="1" t="str">
        <f>VLOOKUP(A42,Xtal_Templ!A:B,2,FALSE)</f>
        <v>adrb1_melga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68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35</v>
      </c>
      <c r="T42" s="1">
        <f t="array" ref="T42">INDEX(ICL3_classA!$G$2:$G$41,MATCH(MIN(ABS(AJ42-ICL3_classA!$F$2:$F$41)),ABS(AJ42-ICL3_classA!$F$2:$F$41),0))</f>
        <v>76</v>
      </c>
      <c r="U42" s="1">
        <v>20</v>
      </c>
      <c r="V42" s="1">
        <v>61</v>
      </c>
      <c r="W42" s="1">
        <v>31</v>
      </c>
      <c r="X42" s="1">
        <f>VLOOKUP($B42&amp;"__wt",'SegEnds_Xtal_BW#'!$A:$Z,24,FALSE)</f>
        <v>55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20</v>
      </c>
      <c r="AE42" s="1">
        <f>VLOOKUP(A42,'SegEnds_NonXtal_Prot#'!A:AL,16,FALSE)-VLOOKUP(A42,'SegEnds_NonXtal_Prot#'!A:AL,10,FALSE)</f>
        <v>52</v>
      </c>
      <c r="AF42" s="1">
        <f>VLOOKUP(A42,'SegEnds_NonXtal_Prot#'!A:AL,22,FALSE)-VLOOKUP(A42,'SegEnds_NonXtal_Prot#'!A:AL,19,FALSE)</f>
        <v>20</v>
      </c>
      <c r="AG42" s="1" t="e">
        <f>VLOOKUP(#REF!,'SegEnds_NonXtal_Prot#'!#REF!,28,FALSE)-VLOOKUP(#REF!,'SegEnds_NonXtal_Prot#'!#REF!,25,FALSE)</f>
        <v>#REF!</v>
      </c>
      <c r="AH42" s="1">
        <f>VLOOKUP(A42,'SegEnds_NonXtal_Prot#'!A:AL,28,FALSE)-VLOOKUP(A42,'SegEnds_NonXtal_Prot#'!A:AL,25,FALSE)</f>
        <v>20</v>
      </c>
      <c r="AI42" s="1">
        <f>VLOOKUP(A42,'SegEnds_NonXtal_Prot#'!A:AL,28,FALSE)-VLOOKUP(A42,'SegEnds_NonXtal_Prot#'!A:AL,22,FALSE)</f>
        <v>53</v>
      </c>
      <c r="AJ42" s="1">
        <f>VLOOKUP(A42,'SegEnds_NonXtal_Prot#'!A:AL,31,FALSE)-VLOOKUP(A42,'SegEnds_NonXtal_Prot#'!A:AL,28,FALSE)</f>
        <v>86</v>
      </c>
      <c r="AK42" s="1">
        <f>VLOOKUP(A42,'SegEnds_NonXtal_Prot#'!A:AL,34,FALSE)-VLOOKUP(A42,'SegEnds_NonXtal_Prot#'!A:AL,31,FALSE)</f>
        <v>35</v>
      </c>
      <c r="AL42" s="1">
        <f>VLOOKUP(A42,'SegEnds_NonXtal_Prot#'!A:AL,37,FALSE)-VLOOKUP(A42,'SegEnds_NonXtal_Prot#'!A:AL,34,FALSE)</f>
        <v>9</v>
      </c>
      <c r="AM42" s="1" t="str">
        <f>IF(ISERROR(MATCH(A42,'SegEnds_Xtal_Prot#'!B:B, 0)), "NoXtal", "Xtal")</f>
        <v>Xtal</v>
      </c>
    </row>
    <row r="43" spans="1:39" x14ac:dyDescent="0.2">
      <c r="A43" s="1" t="s">
        <v>126</v>
      </c>
      <c r="B43" s="1" t="str">
        <f>VLOOKUP(A43,Xtal_Templ!A:B,2,FALSE)</f>
        <v>adrb2_human</v>
      </c>
      <c r="C43" s="5">
        <f>VLOOKUP($B43&amp;"__wt",'SegEnds_Xtal_BW#'!$A:$Z,3,FALSE)</f>
        <v>25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7">
        <f>VLOOKUP($B43&amp;"__wt",'SegEnds_Xtal_BW#'!$A:$Z,15,FALSE)</f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35</v>
      </c>
      <c r="T43" s="1">
        <f t="array" ref="T43">INDEX(ICL3_classA!$G$2:$G$41,MATCH(MIN(ABS(AJ43-ICL3_classA!$F$2:$F$41)),ABS(AJ43-ICL3_classA!$F$2:$F$41),0))</f>
        <v>76</v>
      </c>
      <c r="U43" s="1">
        <f t="array" ref="U43">INDEX(ICL3_classA!$H$2:$H$41,MATCH(MIN(ABS(AJ43-ICL3_classA!$F$2:$F$41)),ABS(AJ43-ICL3_classA!$F$2:$F$41),0))</f>
        <v>24</v>
      </c>
      <c r="V43" s="1">
        <v>61</v>
      </c>
      <c r="W43" s="1">
        <v>31</v>
      </c>
      <c r="X43" s="1">
        <f>VLOOKUP($B43&amp;"__wt",'SegEnds_Xtal_BW#'!$A:$Z,24,FALSE)</f>
        <v>55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20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 t="e">
        <f>VLOOKUP(#REF!,'SegEnds_NonXtal_Prot#'!#REF!,28,FALSE)-VLOOKUP(#REF!,'SegEnds_NonXtal_Prot#'!#REF!,25,FALSE)</f>
        <v>#REF!</v>
      </c>
      <c r="AH43" s="1">
        <f>VLOOKUP(A43,'SegEnds_NonXtal_Prot#'!A:AL,28,FALSE)-VLOOKUP(A43,'SegEnds_NonXtal_Prot#'!A:AL,25,FALSE)</f>
        <v>20</v>
      </c>
      <c r="AI43" s="1">
        <f>VLOOKUP(A43,'SegEnds_NonXtal_Prot#'!A:AL,28,FALSE)-VLOOKUP(A43,'SegEnds_NonXtal_Prot#'!A:AL,22,FALSE)</f>
        <v>53</v>
      </c>
      <c r="AJ43" s="1">
        <f>VLOOKUP(A43,'SegEnds_NonXtal_Prot#'!A:AL,31,FALSE)-VLOOKUP(A43,'SegEnds_NonXtal_Prot#'!A:AL,28,FALSE)</f>
        <v>77</v>
      </c>
      <c r="AK43" s="1">
        <f>VLOOKUP(A43,'SegEnds_NonXtal_Prot#'!A:AL,34,FALSE)-VLOOKUP(A43,'SegEnds_NonXtal_Prot#'!A:AL,31,FALSE)</f>
        <v>35</v>
      </c>
      <c r="AL43" s="1">
        <f>VLOOKUP(A43,'SegEnds_NonXtal_Prot#'!A:AL,37,FALSE)-VLOOKUP(A43,'SegEnds_NonXtal_Prot#'!A:AL,34,FALSE)</f>
        <v>9</v>
      </c>
      <c r="AM43" s="1" t="str">
        <f>IF(ISERROR(MATCH(A43,'SegEnds_Xtal_Prot#'!B:B, 0)), "NoXtal", "Xtal")</f>
        <v>Xtal</v>
      </c>
    </row>
    <row r="44" spans="1:39" x14ac:dyDescent="0.2">
      <c r="A44" s="1" t="s">
        <v>191</v>
      </c>
      <c r="B44" s="1" t="str">
        <f>VLOOKUP(A44,Xtal_Templ!A:B,2,FALSE)</f>
        <v>drd2_human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58</v>
      </c>
      <c r="O44" s="87">
        <v>38</v>
      </c>
      <c r="P44" s="1">
        <f>VLOOKUP($B44&amp;"__wt",'SegEnds_Xtal_BW#'!$A:$Z,16,FALSE)</f>
        <v>62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INDEX(ICL3_classA!$G$2:$G$41,MATCH(MIN(ABS(AJ44-ICL3_classA!$F$2:$F$41)),ABS(AJ44-ICL3_classA!$F$2:$F$41),0))</f>
        <v>75</v>
      </c>
      <c r="U44" s="1">
        <f t="array" ref="U44">INDEX(ICL3_classA!$H$2:$H$41,MATCH(MIN(ABS(AJ44-ICL3_classA!$F$2:$F$41)),ABS(AJ44-ICL3_classA!$F$2:$F$41),0))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21</v>
      </c>
      <c r="AG44" s="1" t="e">
        <f>VLOOKUP(#REF!,'SegEnds_NonXtal_Prot#'!#REF!,28,FALSE)-VLOOKUP(#REF!,'SegEnds_NonXtal_Prot#'!#REF!,25,FALSE)</f>
        <v>#REF!</v>
      </c>
      <c r="AH44" s="1">
        <f>VLOOKUP(A44,'SegEnds_NonXtal_Prot#'!A:AL,28,FALSE)-VLOOKUP(A44,'SegEnds_NonXtal_Prot#'!A:AL,25,FALSE)</f>
        <v>19</v>
      </c>
      <c r="AI44" s="1">
        <f>VLOOKUP(A44,'SegEnds_NonXtal_Prot#'!A:AL,28,FALSE)-VLOOKUP(A44,'SegEnds_NonXtal_Prot#'!A:AL,22,FALSE)</f>
        <v>41</v>
      </c>
      <c r="AJ44" s="1">
        <f>VLOOKUP(A44,'SegEnds_NonXtal_Prot#'!A:AL,31,FALSE)-VLOOKUP(A44,'SegEnds_NonXtal_Prot#'!A:AL,28,FALSE)</f>
        <v>187</v>
      </c>
      <c r="AK44" s="1">
        <f>VLOOKUP(A44,'SegEnds_NonXtal_Prot#'!A:AL,34,FALSE)-VLOOKUP(A44,'SegEnds_NonXtal_Prot#'!A:AL,31,FALSE)</f>
        <v>35</v>
      </c>
      <c r="AL44" s="1">
        <f>VLOOKUP(A44,'SegEnds_NonXtal_Prot#'!A:AL,37,FALSE)-VLOOKUP(A44,'SegEnds_NonXtal_Prot#'!A:AL,34,FALSE)</f>
        <v>10</v>
      </c>
      <c r="AM44" s="1" t="str">
        <f>IF(ISERROR(MATCH(A44,'SegEnds_Xtal_Prot#'!B:B, 0)), "NoXtal", "Xtal")</f>
        <v>Xtal</v>
      </c>
    </row>
    <row r="45" spans="1:39" x14ac:dyDescent="0.2">
      <c r="A45" s="1" t="s">
        <v>225</v>
      </c>
      <c r="B45" s="1" t="str">
        <f>VLOOKUP(A45,Xtal_Templ!A:B,2,FALSE)</f>
        <v>p2y12_human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 t="str">
        <f>VLOOKUP($B45&amp;"__wt",'SegEnds_Xtal_BW#'!$A:$Z,5,FALSE)</f>
        <v>-</v>
      </c>
      <c r="F45" s="1" t="str">
        <f>VLOOKUP($B45&amp;"__wt",'SegEnds_Xtal_BW#'!$A:$Z,6,FALSE)</f>
        <v>-</v>
      </c>
      <c r="G45" s="1">
        <v>37</v>
      </c>
      <c r="H45" s="12">
        <f>VLOOKUP($B45&amp;"__wt",'SegEnds_Xtal_BW#'!$A:$Z,8,FALSE)</f>
        <v>66</v>
      </c>
      <c r="I45" s="1" t="str">
        <f>VLOOKUP($B45&amp;"__wt",'SegEnds_Xtal_BW#'!$A:$Z,9,FALSE)</f>
        <v>-</v>
      </c>
      <c r="J45" s="1" t="str">
        <f>VLOOKUP($B45&amp;"__wt",'SegEnds_Xtal_BW#'!$A:$Z,10,FALSE)</f>
        <v>-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f>VLOOKUP($B45&amp;"__wt",'SegEnds_Xtal_BW#'!$A:$Z,15,FALSE)</f>
        <v>38</v>
      </c>
      <c r="P45" s="1"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INDEX(ICL3_classA!$G$2:$G$41,MATCH(MIN(ABS(AJ45-ICL3_classA!$F$2:$F$41)),ABS(AJ45-ICL3_classA!$F$2:$F$41),0))</f>
        <v>73</v>
      </c>
      <c r="U45" s="1">
        <f t="array" ref="U45">INDEX(ICL3_classA!$H$2:$H$41,MATCH(MIN(ABS(AJ45-ICL3_classA!$F$2:$F$41)),ABS(AJ45-ICL3_classA!$F$2:$F$41),0))</f>
        <v>24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57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27</v>
      </c>
      <c r="AC45" s="1" t="e">
        <f>VLOOKUP(A45,'SegEnds_NonXtal_Prot#'!A:AL,10,FALSE)-VLOOKUP(A45,'SegEnds_NonXtal_Prot#'!A:AL,7,FALSE)</f>
        <v>#VALUE!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54</v>
      </c>
      <c r="AF45" s="1" t="e">
        <f>VLOOKUP(A45,'SegEnds_NonXtal_Prot#'!A:AL,22,FALSE)-VLOOKUP(A45,'SegEnds_NonXtal_Prot#'!A:AL,19,FALSE)</f>
        <v>#VALUE!</v>
      </c>
      <c r="AG45" s="1" t="e">
        <f>VLOOKUP(#REF!,'SegEnds_NonXtal_Prot#'!#REF!,28,FALSE)-VLOOKUP(#REF!,'SegEnds_NonXtal_Prot#'!#REF!,25,FALSE)</f>
        <v>#REF!</v>
      </c>
      <c r="AH45" s="1">
        <f>VLOOKUP(A45,'SegEnds_NonXtal_Prot#'!A:AL,28,FALSE)-VLOOKUP(A45,'SegEnds_NonXtal_Prot#'!A:AL,25,FALSE)</f>
        <v>22</v>
      </c>
      <c r="AI45" s="1">
        <f>VLOOKUP(A45,'SegEnds_NonXtal_Prot#'!A:AL,28,FALSE)-VLOOKUP(A45,'SegEnds_NonXtal_Prot#'!A:AL,22,FALSE)</f>
        <v>49</v>
      </c>
      <c r="AJ45" s="1">
        <f>VLOOKUP(A45,'SegEnds_NonXtal_Prot#'!A:AL,31,FALSE)-VLOOKUP(A45,'SegEnds_NonXtal_Prot#'!A:AL,28,FALSE)</f>
        <v>58</v>
      </c>
      <c r="AK45" s="1">
        <f>VLOOKUP(A45,'SegEnds_NonXtal_Prot#'!A:AL,34,FALSE)-VLOOKUP(A45,'SegEnds_NonXtal_Prot#'!A:AL,31,FALSE)</f>
        <v>35</v>
      </c>
      <c r="AL45" s="1">
        <f>VLOOKUP(A45,'SegEnds_NonXtal_Prot#'!A:AL,37,FALSE)-VLOOKUP(A45,'SegEnds_NonXtal_Prot#'!A:AL,34,FALSE)</f>
        <v>10</v>
      </c>
      <c r="AM45" s="1" t="str">
        <f>IF(ISERROR(MATCH(A45,'SegEnds_Xtal_Prot#'!B:B, 0)), "NoXtal", "Xtal")</f>
        <v>NoXtal</v>
      </c>
    </row>
    <row r="46" spans="1:39" x14ac:dyDescent="0.2">
      <c r="A46" s="1" t="s">
        <v>246</v>
      </c>
      <c r="B46" s="1" t="str">
        <f>VLOOKUP(A46,Xtal_Templ!A:B,2,FALSE)</f>
        <v>drd2_human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68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INDEX(ICL3_classA!$G$2:$G$41,MATCH(MIN(ABS(AJ46-ICL3_classA!$F$2:$F$41)),ABS(AJ46-ICL3_classA!$F$2:$F$41),0))</f>
        <v>76</v>
      </c>
      <c r="U46" s="1">
        <f t="array" ref="U46">INDEX(ICL3_classA!$H$2:$H$41,MATCH(MIN(ABS(AJ46-ICL3_classA!$F$2:$F$41)),ABS(AJ46-ICL3_classA!$F$2:$F$41),0))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29</v>
      </c>
      <c r="AC46" s="1">
        <f>VLOOKUP(A46,'SegEnds_NonXtal_Prot#'!A:AL,10,FALSE)-VLOOKUP(A46,'SegEnds_NonXtal_Prot#'!A:AL,7,FALSE)</f>
        <v>16</v>
      </c>
      <c r="AD46" s="1" t="e">
        <f>VLOOKUP(A46,'SegEnds_NonXtal_Prot#'!A:AL,13,FALSE)-VLOOKUP(A46,'SegEnds_NonXtal_Prot#'!A:AL,10,FALSE)</f>
        <v>#VALUE!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 t="e">
        <f>VLOOKUP(#REF!,'SegEnds_NonXtal_Prot#'!#REF!,28,FALSE)-VLOOKUP(#REF!,'SegEnds_NonXtal_Prot#'!#REF!,25,FALSE)</f>
        <v>#REF!</v>
      </c>
      <c r="AH46" s="1">
        <f>VLOOKUP(A46,'SegEnds_NonXtal_Prot#'!A:AL,28,FALSE)-VLOOKUP(A46,'SegEnds_NonXtal_Prot#'!A:AL,25,FALSE)</f>
        <v>25</v>
      </c>
      <c r="AI46" s="1">
        <f>VLOOKUP(A46,'SegEnds_NonXtal_Prot#'!A:AL,28,FALSE)-VLOOKUP(A46,'SegEnds_NonXtal_Prot#'!A:AL,22,FALSE)</f>
        <v>53</v>
      </c>
      <c r="AJ46" s="1">
        <f>VLOOKUP(A46,'SegEnds_NonXtal_Prot#'!A:AL,31,FALSE)-VLOOKUP(A46,'SegEnds_NonXtal_Prot#'!A:AL,28,FALSE)</f>
        <v>72</v>
      </c>
      <c r="AK46" s="1">
        <f>VLOOKUP(A46,'SegEnds_NonXtal_Prot#'!A:AL,34,FALSE)-VLOOKUP(A46,'SegEnds_NonXtal_Prot#'!A:AL,31,FALSE)</f>
        <v>35</v>
      </c>
      <c r="AL46" s="1">
        <f>VLOOKUP(A46,'SegEnds_NonXtal_Prot#'!A:AL,37,FALSE)-VLOOKUP(A46,'SegEnds_NonXtal_Prot#'!A:AL,34,FALSE)</f>
        <v>10</v>
      </c>
      <c r="AM46" s="1" t="str">
        <f>IF(ISERROR(MATCH(A46,'SegEnds_Xtal_Prot#'!B:B, 0)), "NoXtal", "Xtal")</f>
        <v>NoXtal</v>
      </c>
    </row>
    <row r="47" spans="1:39" x14ac:dyDescent="0.2">
      <c r="A47" s="1" t="s">
        <v>266</v>
      </c>
      <c r="B47" s="1" t="str">
        <f>VLOOKUP(A47,Xtal_Templ!A:B,2,FALSE)</f>
        <v>drd2_human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68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62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35</v>
      </c>
      <c r="T47" s="1">
        <f t="array" ref="T47">INDEX(ICL3_classA!$G$2:$G$41,MATCH(MIN(ABS(AJ47-ICL3_classA!$F$2:$F$41)),ABS(AJ47-ICL3_classA!$F$2:$F$41),0))</f>
        <v>76</v>
      </c>
      <c r="U47" s="1">
        <f t="array" ref="U47">INDEX(ICL3_classA!$H$2:$H$41,MATCH(MIN(ABS(AJ47-ICL3_classA!$F$2:$F$41)),ABS(AJ47-ICL3_classA!$F$2:$F$41),0))</f>
        <v>24</v>
      </c>
      <c r="V47" s="1">
        <v>61</v>
      </c>
      <c r="W47" s="1">
        <v>31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29</v>
      </c>
      <c r="AC47" s="1">
        <f>VLOOKUP(A47,'SegEnds_NonXtal_Prot#'!A:AL,10,FALSE)-VLOOKUP(A47,'SegEnds_NonXtal_Prot#'!A:AL,7,FALSE)</f>
        <v>16</v>
      </c>
      <c r="AD47" s="1" t="e">
        <f>VLOOKUP(A47,'SegEnds_NonXtal_Prot#'!A:AL,13,FALSE)-VLOOKUP(A47,'SegEnds_NonXtal_Prot#'!A:AL,10,FALSE)</f>
        <v>#VALUE!</v>
      </c>
      <c r="AE47" s="1">
        <f>VLOOKUP(A47,'SegEnds_NonXtal_Prot#'!A:AL,16,FALSE)-VLOOKUP(A47,'SegEnds_NonXtal_Prot#'!A:AL,10,FALSE)</f>
        <v>52</v>
      </c>
      <c r="AF47" s="1">
        <f>VLOOKUP(A47,'SegEnds_NonXtal_Prot#'!A:AL,22,FALSE)-VLOOKUP(A47,'SegEnds_NonXtal_Prot#'!A:AL,19,FALSE)</f>
        <v>20</v>
      </c>
      <c r="AG47" s="1" t="e">
        <f>VLOOKUP(#REF!,'SegEnds_NonXtal_Prot#'!#REF!,28,FALSE)-VLOOKUP(#REF!,'SegEnds_NonXtal_Prot#'!#REF!,25,FALSE)</f>
        <v>#REF!</v>
      </c>
      <c r="AH47" s="1">
        <f>VLOOKUP(A47,'SegEnds_NonXtal_Prot#'!A:AL,28,FALSE)-VLOOKUP(A47,'SegEnds_NonXtal_Prot#'!A:AL,25,FALSE)</f>
        <v>28</v>
      </c>
      <c r="AI47" s="1">
        <f>VLOOKUP(A47,'SegEnds_NonXtal_Prot#'!A:AL,28,FALSE)-VLOOKUP(A47,'SegEnds_NonXtal_Prot#'!A:AL,22,FALSE)</f>
        <v>53</v>
      </c>
      <c r="AJ47" s="1">
        <f>VLOOKUP(A47,'SegEnds_NonXtal_Prot#'!A:AL,31,FALSE)-VLOOKUP(A47,'SegEnds_NonXtal_Prot#'!A:AL,28,FALSE)</f>
        <v>72</v>
      </c>
      <c r="AK47" s="1">
        <f>VLOOKUP(A47,'SegEnds_NonXtal_Prot#'!A:AL,34,FALSE)-VLOOKUP(A47,'SegEnds_NonXtal_Prot#'!A:AL,31,FALSE)</f>
        <v>35</v>
      </c>
      <c r="AL47" s="1">
        <f>VLOOKUP(A47,'SegEnds_NonXtal_Prot#'!A:AL,37,FALSE)-VLOOKUP(A47,'SegEnds_NonXtal_Prot#'!A:AL,34,FALSE)</f>
        <v>10</v>
      </c>
      <c r="AM47" s="1" t="str">
        <f>IF(ISERROR(MATCH(A47,'SegEnds_Xtal_Prot#'!B:B, 0)), "NoXtal", "Xtal")</f>
        <v>NoXtal</v>
      </c>
    </row>
    <row r="48" spans="1:39" x14ac:dyDescent="0.2">
      <c r="A48" s="1" t="s">
        <v>268</v>
      </c>
      <c r="B48" s="1" t="str">
        <f>VLOOKUP(A48,Xtal_Templ!A:B,2,FALSE)</f>
        <v>ox2r_human</v>
      </c>
      <c r="C48" s="5">
        <f>VLOOKUP($B48&amp;"__wt",'SegEnds_Xtal_BW#'!$A:$Z,3,FALSE)</f>
        <v>31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f>VLOOKUP($B48&amp;"__wt",'SegEnds_Xtal_BW#'!$A:$Z,8,FALSE)</f>
        <v>68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56</v>
      </c>
      <c r="O48" s="87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33</v>
      </c>
      <c r="T48" s="1">
        <f t="array" ref="T48">INDEX(ICL3_classA!$G$2:$G$41,MATCH(MIN(ABS(AJ48-ICL3_classA!$F$2:$F$41)),ABS(AJ48-ICL3_classA!$F$2:$F$41),0))</f>
        <v>73</v>
      </c>
      <c r="U48" s="1">
        <f t="array" ref="U48">INDEX(ICL3_classA!$H$2:$H$41,MATCH(MIN(ABS(AJ48-ICL3_classA!$F$2:$F$41)),ABS(AJ48-ICL3_classA!$F$2:$F$41),0))</f>
        <v>22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63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20</v>
      </c>
      <c r="AE48" s="1">
        <f>VLOOKUP(A48,'SegEnds_NonXtal_Prot#'!A:AL,16,FALSE)-VLOOKUP(A48,'SegEnds_NonXtal_Prot#'!A:AL,10,FALSE)</f>
        <v>52</v>
      </c>
      <c r="AF48" s="1" t="e">
        <f>VLOOKUP(A48,'SegEnds_NonXtal_Prot#'!A:AL,22,FALSE)-VLOOKUP(A48,'SegEnds_NonXtal_Prot#'!A:AL,19,FALSE)</f>
        <v>#VALUE!</v>
      </c>
      <c r="AG48" s="1" t="e">
        <f>VLOOKUP(#REF!,'SegEnds_NonXtal_Prot#'!#REF!,28,FALSE)-VLOOKUP(#REF!,'SegEnds_NonXtal_Prot#'!#REF!,25,FALSE)</f>
        <v>#REF!</v>
      </c>
      <c r="AH48" s="1">
        <f>VLOOKUP(A48,'SegEnds_NonXtal_Prot#'!A:AL,28,FALSE)-VLOOKUP(A48,'SegEnds_NonXtal_Prot#'!A:AL,25,FALSE)</f>
        <v>27</v>
      </c>
      <c r="AI48" s="1">
        <f>VLOOKUP(A48,'SegEnds_NonXtal_Prot#'!A:AL,28,FALSE)-VLOOKUP(A48,'SegEnds_NonXtal_Prot#'!A:AL,22,FALSE)</f>
        <v>57</v>
      </c>
      <c r="AJ48" s="1">
        <f>VLOOKUP(A48,'SegEnds_NonXtal_Prot#'!A:AL,31,FALSE)-VLOOKUP(A48,'SegEnds_NonXtal_Prot#'!A:AL,28,FALSE)</f>
        <v>56</v>
      </c>
      <c r="AK48" s="1">
        <f>VLOOKUP(A48,'SegEnds_NonXtal_Prot#'!A:AL,34,FALSE)-VLOOKUP(A48,'SegEnds_NonXtal_Prot#'!A:AL,31,FALSE)</f>
        <v>35</v>
      </c>
      <c r="AL48" s="1">
        <f>VLOOKUP(A48,'SegEnds_NonXtal_Prot#'!A:AL,37,FALSE)-VLOOKUP(A48,'SegEnds_NonXtal_Prot#'!A:AL,34,FALSE)</f>
        <v>10</v>
      </c>
      <c r="AM48" s="1" t="str">
        <f>IF(ISERROR(MATCH(A48,'SegEnds_Xtal_Prot#'!B:B, 0)), "NoXtal", "Xtal")</f>
        <v>NoXtal</v>
      </c>
    </row>
    <row r="49" spans="1:39" x14ac:dyDescent="0.2">
      <c r="A49" s="1" t="s">
        <v>277</v>
      </c>
      <c r="B49" s="1" t="str">
        <f>VLOOKUP(A49,Xtal_Templ!A:B,2,FALSE)</f>
        <v>hrh1_human</v>
      </c>
      <c r="C49" s="5">
        <f>VLOOKUP($B49&amp;"__wt",'SegEnds_Xtal_BW#'!$A:$Z,3,FALSE)</f>
        <v>34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7">
        <f>VLOOKUP($B49&amp;"__wt",'SegEnds_Xtal_BW#'!$A:$Z,15,FALSE)</f>
        <v>38</v>
      </c>
      <c r="P49" s="1">
        <f>VLOOKUP($B49&amp;"__wt",'SegEnds_Xtal_BW#'!$A:$Z,16,FALSE)</f>
        <v>62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INDEX(ICL3_classA!$G$2:$G$41,MATCH(MIN(ABS(AJ49-ICL3_classA!$F$2:$F$41)),ABS(AJ49-ICL3_classA!$F$2:$F$41),0))</f>
        <v>76</v>
      </c>
      <c r="U49" s="1">
        <f t="array" ref="U49">INDEX(ICL3_classA!$H$2:$H$41,MATCH(MIN(ABS(AJ49-ICL3_classA!$F$2:$F$41)),ABS(AJ49-ICL3_classA!$F$2:$F$41),0))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 t="e">
        <f>VLOOKUP(#REF!,'SegEnds_NonXtal_Prot#'!#REF!,28,FALSE)-VLOOKUP(#REF!,'SegEnds_NonXtal_Prot#'!#REF!,25,FALSE)</f>
        <v>#REF!</v>
      </c>
      <c r="AH49" s="1">
        <f>VLOOKUP(A49,'SegEnds_NonXtal_Prot#'!A:AL,28,FALSE)-VLOOKUP(A49,'SegEnds_NonXtal_Prot#'!A:AL,25,FALSE)</f>
        <v>22</v>
      </c>
      <c r="AI49" s="1">
        <f>VLOOKUP(A49,'SegEnds_NonXtal_Prot#'!A:AL,28,FALSE)-VLOOKUP(A49,'SegEnds_NonXtal_Prot#'!A:AL,22,FALSE)</f>
        <v>50</v>
      </c>
      <c r="AJ49" s="1">
        <f>VLOOKUP(A49,'SegEnds_NonXtal_Prot#'!A:AL,31,FALSE)-VLOOKUP(A49,'SegEnds_NonXtal_Prot#'!A:AL,28,FALSE)</f>
        <v>228</v>
      </c>
      <c r="AK49" s="1">
        <f>VLOOKUP(A49,'SegEnds_NonXtal_Prot#'!A:AL,34,FALSE)-VLOOKUP(A49,'SegEnds_NonXtal_Prot#'!A:AL,31,FALSE)</f>
        <v>35</v>
      </c>
      <c r="AL49" s="1">
        <f>VLOOKUP(A49,'SegEnds_NonXtal_Prot#'!A:AL,37,FALSE)-VLOOKUP(A49,'SegEnds_NonXtal_Prot#'!A:AL,34,FALSE)</f>
        <v>10</v>
      </c>
      <c r="AM49" s="1" t="str">
        <f>IF(ISERROR(MATCH(A49,'SegEnds_Xtal_Prot#'!B:B, 0)), "NoXtal", "Xtal")</f>
        <v>Xtal</v>
      </c>
    </row>
    <row r="50" spans="1:39" x14ac:dyDescent="0.2">
      <c r="A50" s="1" t="s">
        <v>103</v>
      </c>
      <c r="B50" s="1" t="str">
        <f>VLOOKUP(A50,Xtal_Templ!A:B,2,FALSE)</f>
        <v>lpar1_human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63</v>
      </c>
      <c r="I50" s="1">
        <f>VLOOKUP($B50&amp;"__wt",'SegEnds_Xtal_BW#'!$A:$Z,9,FALSE)</f>
        <v>47</v>
      </c>
      <c r="J50" s="1">
        <f>VLOOKUP($B50&amp;"__wt",'SegEnds_Xtal_BW#'!$A:$Z,10,FALSE)</f>
        <v>53</v>
      </c>
      <c r="K50" s="12">
        <f>VLOOKUP($B50&amp;"__wt",'SegEnds_Xtal_BW#'!$A:$Z,11,FALSE)</f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56</v>
      </c>
      <c r="O50" s="87">
        <f>VLOOKUP($B50&amp;"__wt",'SegEnds_Xtal_BW#'!$A:$Z,15,FALSE)</f>
        <v>38</v>
      </c>
      <c r="P50" s="1">
        <f>VLOOKUP($B50&amp;"__wt",'SegEnds_Xtal_BW#'!$A:$Z,16,FALSE)</f>
        <v>63</v>
      </c>
      <c r="Q50" s="1" t="str">
        <f>VLOOKUP($B50&amp;"__wt",'SegEnds_Xtal_BW#'!$A:$Z,17,FALSE)</f>
        <v>-</v>
      </c>
      <c r="R50" s="1" t="str">
        <f>VLOOKUP($B50&amp;"__wt",'SegEnds_Xtal_BW#'!$A:$Z,18,FALSE)</f>
        <v>-</v>
      </c>
      <c r="S50" s="1">
        <f>VLOOKUP($B50&amp;"__wt",'SegEnds_Xtal_BW#'!$A:$Z,19,FALSE)</f>
        <v>36</v>
      </c>
      <c r="T50" s="1">
        <f t="array" ref="T50">INDEX(ICL3_classA!$G$2:$G$41,MATCH(MIN(ABS(AJ50-ICL3_classA!$F$2:$F$41)),ABS(AJ50-ICL3_classA!$F$2:$F$41),0))</f>
        <v>73</v>
      </c>
      <c r="U50" s="1">
        <f t="array" ref="U50">INDEX(ICL3_classA!$H$2:$H$41,MATCH(MIN(ABS(AJ50-ICL3_classA!$F$2:$F$41)),ABS(AJ50-ICL3_classA!$F$2:$F$41),0))</f>
        <v>22</v>
      </c>
      <c r="V50" s="1">
        <v>61</v>
      </c>
      <c r="W50" s="1">
        <v>30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51</v>
      </c>
      <c r="AF50" s="1">
        <f>VLOOKUP(A50,'SegEnds_NonXtal_Prot#'!A:AL,22,FALSE)-VLOOKUP(A50,'SegEnds_NonXtal_Prot#'!A:AL,19,FALSE)</f>
        <v>19</v>
      </c>
      <c r="AG50" s="1" t="e">
        <f>VLOOKUP(#REF!,'SegEnds_NonXtal_Prot#'!#REF!,28,FALSE)-VLOOKUP(#REF!,'SegEnds_NonXtal_Prot#'!#REF!,25,FALSE)</f>
        <v>#REF!</v>
      </c>
      <c r="AH50" s="1" t="e">
        <f>VLOOKUP(A50,'SegEnds_NonXtal_Prot#'!A:AL,28,FALSE)-VLOOKUP(A50,'SegEnds_NonXtal_Prot#'!A:AL,25,FALSE)</f>
        <v>#VALUE!</v>
      </c>
      <c r="AI50" s="1">
        <f>VLOOKUP(A50,'SegEnds_NonXtal_Prot#'!A:AL,28,FALSE)-VLOOKUP(A50,'SegEnds_NonXtal_Prot#'!A:AL,22,FALSE)</f>
        <v>45</v>
      </c>
      <c r="AJ50" s="1">
        <f>VLOOKUP(A50,'SegEnds_NonXtal_Prot#'!A:AL,31,FALSE)-VLOOKUP(A50,'SegEnds_NonXtal_Prot#'!A:AL,28,FALSE)</f>
        <v>56</v>
      </c>
      <c r="AK50" s="1">
        <f>VLOOKUP(A50,'SegEnds_NonXtal_Prot#'!A:AL,34,FALSE)-VLOOKUP(A50,'SegEnds_NonXtal_Prot#'!A:AL,31,FALSE)</f>
        <v>35</v>
      </c>
      <c r="AL50" s="1">
        <f>VLOOKUP(A50,'SegEnds_NonXtal_Prot#'!A:AL,37,FALSE)-VLOOKUP(A50,'SegEnds_NonXtal_Prot#'!A:AL,34,FALSE)</f>
        <v>10</v>
      </c>
      <c r="AM50" s="1" t="str">
        <f>IF(ISERROR(MATCH(A50,'SegEnds_Xtal_Prot#'!B:B, 0)), "NoXtal", "Xtal")</f>
        <v>Xtal</v>
      </c>
    </row>
    <row r="51" spans="1:39" x14ac:dyDescent="0.2">
      <c r="A51" s="1" t="s">
        <v>365</v>
      </c>
      <c r="B51" s="1" t="str">
        <f>VLOOKUP(A51,Xtal_Templ!A:B,2,FALSE)</f>
        <v>pe2r4_human</v>
      </c>
      <c r="C51" s="5">
        <f>VLOOKUP($B51&amp;"__wt",'SegEnds_Xtal_BW#'!$A:$Z,3,FALSE)</f>
        <v>33</v>
      </c>
      <c r="D51" s="1">
        <f>VLOOKUP($B51&amp;"__wt",'SegEnds_Xtal_BW#'!$A:$Z,4,FALSE)</f>
        <v>58</v>
      </c>
      <c r="E51" s="1" t="str">
        <f>VLOOKUP($B51&amp;"__wt",'SegEnds_Xtal_BW#'!$A:$Z,5,FALSE)</f>
        <v>-</v>
      </c>
      <c r="F51" s="1" t="str">
        <f>VLOOKUP($B51&amp;"__wt",'SegEnds_Xtal_BW#'!$A:$Z,6,FALSE)</f>
        <v>-</v>
      </c>
      <c r="G51" s="1">
        <v>37</v>
      </c>
      <c r="H51" s="12"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f>VLOOKUP($B51&amp;"__wt",'SegEnds_Xtal_BW#'!$A:$Z,15,FALSE)</f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33</v>
      </c>
      <c r="T51" s="1">
        <f t="array" ref="T51">INDEX(ICL3_classA!$G$2:$G$41,MATCH(MIN(ABS(AJ51-ICL3_classA!$F$2:$F$41)),ABS(AJ51-ICL3_classA!$F$2:$F$41),0))</f>
        <v>73</v>
      </c>
      <c r="U51" s="1">
        <f t="array" ref="U51">INDEX(ICL3_classA!$H$2:$H$41,MATCH(MIN(ABS(AJ51-ICL3_classA!$F$2:$F$41)),ABS(AJ51-ICL3_classA!$F$2:$F$41),0))</f>
        <v>22</v>
      </c>
      <c r="V51" s="1">
        <v>61</v>
      </c>
      <c r="W51" s="1">
        <v>31</v>
      </c>
      <c r="X51" s="108">
        <v>56</v>
      </c>
      <c r="Y51" s="1">
        <f>VLOOKUP($B51&amp;"__wt",'SegEnds_Xtal_BW#'!$A:$Z,25,FALSE)</f>
        <v>47</v>
      </c>
      <c r="Z51" s="1">
        <f>VLOOKUP($B51&amp;"__wt",'SegEnds_Xtal_BW#'!$A:$Z,26,FALSE)</f>
        <v>60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29</v>
      </c>
      <c r="AC51" s="1" t="e">
        <f>VLOOKUP(A51,'SegEnds_NonXtal_Prot#'!A:AL,10,FALSE)-VLOOKUP(A51,'SegEnds_NonXtal_Prot#'!A:AL,7,FALSE)</f>
        <v>#VALUE!</v>
      </c>
      <c r="AD51" s="1" t="e">
        <f>VLOOKUP(A51,'SegEnds_NonXtal_Prot#'!A:AL,13,FALSE)-VLOOKUP(A51,'SegEnds_NonXtal_Prot#'!A:AL,10,FALSE)</f>
        <v>#VALUE!</v>
      </c>
      <c r="AE51" s="1">
        <f>VLOOKUP(A51,'SegEnds_NonXtal_Prot#'!A:AL,16,FALSE)-VLOOKUP(A51,'SegEnds_NonXtal_Prot#'!A:AL,10,FALSE)</f>
        <v>57</v>
      </c>
      <c r="AF51" s="1">
        <f>VLOOKUP(A51,'SegEnds_NonXtal_Prot#'!A:AL,22,FALSE)-VLOOKUP(A51,'SegEnds_NonXtal_Prot#'!A:AL,19,FALSE)</f>
        <v>20</v>
      </c>
      <c r="AG51" s="1" t="e">
        <f>VLOOKUP(#REF!,'SegEnds_NonXtal_Prot#'!#REF!,28,FALSE)-VLOOKUP(#REF!,'SegEnds_NonXtal_Prot#'!#REF!,25,FALSE)</f>
        <v>#REF!</v>
      </c>
      <c r="AH51" s="1">
        <f>VLOOKUP(A51,'SegEnds_NonXtal_Prot#'!A:AL,28,FALSE)-VLOOKUP(A51,'SegEnds_NonXtal_Prot#'!A:AL,25,FALSE)</f>
        <v>27</v>
      </c>
      <c r="AI51" s="1">
        <f>VLOOKUP(A51,'SegEnds_NonXtal_Prot#'!A:AL,28,FALSE)-VLOOKUP(A51,'SegEnds_NonXtal_Prot#'!A:AL,22,FALSE)</f>
        <v>53</v>
      </c>
      <c r="AJ51" s="1">
        <f>VLOOKUP(A51,'SegEnds_NonXtal_Prot#'!A:AL,31,FALSE)-VLOOKUP(A51,'SegEnds_NonXtal_Prot#'!A:AL,28,FALSE)</f>
        <v>57</v>
      </c>
      <c r="AK51" s="1">
        <f>VLOOKUP(A51,'SegEnds_NonXtal_Prot#'!A:AL,34,FALSE)-VLOOKUP(A51,'SegEnds_NonXtal_Prot#'!A:AL,31,FALSE)</f>
        <v>35</v>
      </c>
      <c r="AL51" s="1">
        <f>VLOOKUP(A51,'SegEnds_NonXtal_Prot#'!A:AL,37,FALSE)-VLOOKUP(A51,'SegEnds_NonXtal_Prot#'!A:AL,34,FALSE)</f>
        <v>10</v>
      </c>
      <c r="AM51" s="1" t="str">
        <f>IF(ISERROR(MATCH(A51,'SegEnds_Xtal_Prot#'!B:B, 0)), "NoXtal", "Xtal")</f>
        <v>NoXtal</v>
      </c>
    </row>
    <row r="52" spans="1:39" x14ac:dyDescent="0.2">
      <c r="A52" s="1" t="s">
        <v>374</v>
      </c>
      <c r="B52" s="1" t="str">
        <f>VLOOKUP(A52,Xtal_Templ!A:B,2,FALSE)</f>
        <v>aa1r_human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50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08">
        <v>56</v>
      </c>
      <c r="O52" s="87">
        <f>VLOOKUP($B52&amp;"__wt",'SegEnds_Xtal_BW#'!$A:$Z,15,FALSE)</f>
        <v>38</v>
      </c>
      <c r="P52" s="1">
        <f>VLOOKUP($B52&amp;"__wt",'SegEnds_Xtal_BW#'!$A:$Z,16,FALSE)</f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INDEX(ICL3_classA!$G$2:$G$41,MATCH(MIN(ABS(AJ52-ICL3_classA!$F$2:$F$41)),ABS(AJ52-ICL3_classA!$F$2:$F$41),0))</f>
        <v>72</v>
      </c>
      <c r="U52" s="1">
        <f t="array" ref="U52">INDEX(ICL3_classA!$H$2:$H$41,MATCH(MIN(ABS(AJ52-ICL3_classA!$F$2:$F$41)),ABS(AJ52-ICL3_classA!$F$2:$F$41),0))</f>
        <v>23</v>
      </c>
      <c r="V52" s="1">
        <v>61</v>
      </c>
      <c r="W52" s="1">
        <v>31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69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 t="e">
        <f>VLOOKUP(A52,'SegEnds_NonXtal_Prot#'!A:AL,13,FALSE)-VLOOKUP(A52,'SegEnds_NonXtal_Prot#'!A:AL,10,FALSE)</f>
        <v>#VALUE!</v>
      </c>
      <c r="AE52" s="1">
        <f>VLOOKUP(A52,'SegEnds_NonXtal_Prot#'!A:AL,16,FALSE)-VLOOKUP(A52,'SegEnds_NonXtal_Prot#'!A:AL,10,FALSE)</f>
        <v>59</v>
      </c>
      <c r="AF52" s="1">
        <f>VLOOKUP(A52,'SegEnds_NonXtal_Prot#'!A:AL,22,FALSE)-VLOOKUP(A52,'SegEnds_NonXtal_Prot#'!A:AL,19,FALSE)</f>
        <v>19</v>
      </c>
      <c r="AG52" s="1" t="e">
        <f>VLOOKUP(#REF!,'SegEnds_NonXtal_Prot#'!#REF!,28,FALSE)-VLOOKUP(#REF!,'SegEnds_NonXtal_Prot#'!#REF!,25,FALSE)</f>
        <v>#REF!</v>
      </c>
      <c r="AH52" s="1">
        <f>VLOOKUP(A52,'SegEnds_NonXtal_Prot#'!A:AL,28,FALSE)-VLOOKUP(A52,'SegEnds_NonXtal_Prot#'!A:AL,25,FALSE)</f>
        <v>28</v>
      </c>
      <c r="AI52" s="1">
        <f>VLOOKUP(A52,'SegEnds_NonXtal_Prot#'!A:AL,28,FALSE)-VLOOKUP(A52,'SegEnds_NonXtal_Prot#'!A:AL,22,FALSE)</f>
        <v>55</v>
      </c>
      <c r="AJ52" s="1">
        <f>VLOOKUP(A52,'SegEnds_NonXtal_Prot#'!A:AL,31,FALSE)-VLOOKUP(A52,'SegEnds_NonXtal_Prot#'!A:AL,28,FALSE)</f>
        <v>52</v>
      </c>
      <c r="AK52" s="1">
        <f>VLOOKUP(A52,'SegEnds_NonXtal_Prot#'!A:AL,34,FALSE)-VLOOKUP(A52,'SegEnds_NonXtal_Prot#'!A:AL,31,FALSE)</f>
        <v>35</v>
      </c>
      <c r="AL52" s="1">
        <f>VLOOKUP(A52,'SegEnds_NonXtal_Prot#'!A:AL,37,FALSE)-VLOOKUP(A52,'SegEnds_NonXtal_Prot#'!A:AL,34,FALSE)</f>
        <v>10</v>
      </c>
      <c r="AM52" s="1" t="str">
        <f>IF(ISERROR(MATCH(A52,'SegEnds_Xtal_Prot#'!B:B, 0)), "NoXtal", "Xtal")</f>
        <v>NoXtal</v>
      </c>
    </row>
    <row r="53" spans="1:39" x14ac:dyDescent="0.2">
      <c r="A53" s="1" t="s">
        <v>375</v>
      </c>
      <c r="B53" s="1" t="str">
        <f>VLOOKUP(A53,Xtal_Templ!A:B,2,FALSE)</f>
        <v>aa1r_human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50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08">
        <v>56</v>
      </c>
      <c r="O53" s="87">
        <f>VLOOKUP($B53&amp;"__wt",'SegEnds_Xtal_BW#'!$A:$Z,15,FALSE)</f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INDEX(ICL3_classA!$G$2:$G$41,MATCH(MIN(ABS(AJ53-ICL3_classA!$F$2:$F$41)),ABS(AJ53-ICL3_classA!$F$2:$F$41),0))</f>
        <v>72</v>
      </c>
      <c r="U53" s="1">
        <f t="array" ref="U53">INDEX(ICL3_classA!$H$2:$H$41,MATCH(MIN(ABS(AJ53-ICL3_classA!$F$2:$F$41)),ABS(AJ53-ICL3_classA!$F$2:$F$41),0))</f>
        <v>23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24</v>
      </c>
      <c r="AE53" s="1">
        <f>VLOOKUP(A53,'SegEnds_NonXtal_Prot#'!A:AL,16,FALSE)-VLOOKUP(A53,'SegEnds_NonXtal_Prot#'!A:AL,10,FALSE)</f>
        <v>59</v>
      </c>
      <c r="AF53" s="1">
        <f>VLOOKUP(A53,'SegEnds_NonXtal_Prot#'!A:AL,22,FALSE)-VLOOKUP(A53,'SegEnds_NonXtal_Prot#'!A:AL,19,FALSE)</f>
        <v>19</v>
      </c>
      <c r="AG53" s="1" t="e">
        <f>VLOOKUP(#REF!,'SegEnds_NonXtal_Prot#'!#REF!,28,FALSE)-VLOOKUP(#REF!,'SegEnds_NonXtal_Prot#'!#REF!,25,FALSE)</f>
        <v>#REF!</v>
      </c>
      <c r="AH53" s="1">
        <f>VLOOKUP(A53,'SegEnds_NonXtal_Prot#'!A:AL,28,FALSE)-VLOOKUP(A53,'SegEnds_NonXtal_Prot#'!A:AL,25,FALSE)</f>
        <v>28</v>
      </c>
      <c r="AI53" s="1">
        <f>VLOOKUP(A53,'SegEnds_NonXtal_Prot#'!A:AL,28,FALSE)-VLOOKUP(A53,'SegEnds_NonXtal_Prot#'!A:AL,22,FALSE)</f>
        <v>55</v>
      </c>
      <c r="AJ53" s="1">
        <f>VLOOKUP(A53,'SegEnds_NonXtal_Prot#'!A:AL,31,FALSE)-VLOOKUP(A53,'SegEnds_NonXtal_Prot#'!A:AL,28,FALSE)</f>
        <v>52</v>
      </c>
      <c r="AK53" s="1">
        <f>VLOOKUP(A53,'SegEnds_NonXtal_Prot#'!A:AL,34,FALSE)-VLOOKUP(A53,'SegEnds_NonXtal_Prot#'!A:AL,31,FALSE)</f>
        <v>35</v>
      </c>
      <c r="AL53" s="1">
        <f>VLOOKUP(A53,'SegEnds_NonXtal_Prot#'!A:AL,37,FALSE)-VLOOKUP(A53,'SegEnds_NonXtal_Prot#'!A:AL,34,FALSE)</f>
        <v>10</v>
      </c>
      <c r="AM53" s="1" t="str">
        <f>IF(ISERROR(MATCH(A53,'SegEnds_Xtal_Prot#'!B:B, 0)), "NoXtal", "Xtal")</f>
        <v>NoXtal</v>
      </c>
    </row>
    <row r="54" spans="1:39" x14ac:dyDescent="0.2">
      <c r="A54" s="1" t="s">
        <v>386</v>
      </c>
      <c r="B54" s="1" t="str">
        <f>VLOOKUP(A54,Xtal_Templ!A:B,2,FALSE)</f>
        <v>drd2_human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62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INDEX(ICL3_classA!$G$2:$G$41,MATCH(MIN(ABS(AJ54-ICL3_classA!$F$2:$F$41)),ABS(AJ54-ICL3_classA!$F$2:$F$41),0))</f>
        <v>81</v>
      </c>
      <c r="U54" s="1">
        <f t="array" ref="U54">INDEX(ICL3_classA!$H$2:$H$41,MATCH(MIN(ABS(AJ54-ICL3_classA!$F$2:$F$41)),ABS(AJ54-ICL3_classA!$F$2:$F$41),0))</f>
        <v>23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20</v>
      </c>
      <c r="AE54" s="1">
        <f>VLOOKUP(A54,'SegEnds_NonXtal_Prot#'!A:AL,16,FALSE)-VLOOKUP(A54,'SegEnds_NonXtal_Prot#'!A:AL,10,FALSE)</f>
        <v>52</v>
      </c>
      <c r="AF54" s="1">
        <f>VLOOKUP(A54,'SegEnds_NonXtal_Prot#'!A:AL,22,FALSE)-VLOOKUP(A54,'SegEnds_NonXtal_Prot#'!A:AL,19,FALSE)</f>
        <v>20</v>
      </c>
      <c r="AG54" s="1" t="e">
        <f>VLOOKUP(#REF!,'SegEnds_NonXtal_Prot#'!#REF!,28,FALSE)-VLOOKUP(#REF!,'SegEnds_NonXtal_Prot#'!#REF!,25,FALSE)</f>
        <v>#REF!</v>
      </c>
      <c r="AH54" s="1">
        <f>VLOOKUP(A54,'SegEnds_NonXtal_Prot#'!A:AL,28,FALSE)-VLOOKUP(A54,'SegEnds_NonXtal_Prot#'!A:AL,25,FALSE)</f>
        <v>20</v>
      </c>
      <c r="AI54" s="1">
        <f>VLOOKUP(A54,'SegEnds_NonXtal_Prot#'!A:AL,28,FALSE)-VLOOKUP(A54,'SegEnds_NonXtal_Prot#'!A:AL,22,FALSE)</f>
        <v>54</v>
      </c>
      <c r="AJ54" s="1">
        <f>VLOOKUP(A54,'SegEnds_NonXtal_Prot#'!A:AL,31,FALSE)-VLOOKUP(A54,'SegEnds_NonXtal_Prot#'!A:AL,28,FALSE)</f>
        <v>64</v>
      </c>
      <c r="AK54" s="1">
        <f>VLOOKUP(A54,'SegEnds_NonXtal_Prot#'!A:AL,34,FALSE)-VLOOKUP(A54,'SegEnds_NonXtal_Prot#'!A:AL,31,FALSE)</f>
        <v>35</v>
      </c>
      <c r="AL54" s="1">
        <f>VLOOKUP(A54,'SegEnds_NonXtal_Prot#'!A:AL,37,FALSE)-VLOOKUP(A54,'SegEnds_NonXtal_Prot#'!A:AL,34,FALSE)</f>
        <v>10</v>
      </c>
      <c r="AM54" s="1" t="str">
        <f>IF(ISERROR(MATCH(A54,'SegEnds_Xtal_Prot#'!B:B, 0)), "NoXtal", "Xtal")</f>
        <v>NoXtal</v>
      </c>
    </row>
    <row r="55" spans="1:39" x14ac:dyDescent="0.2">
      <c r="A55" s="1" t="s">
        <v>387</v>
      </c>
      <c r="B55" s="1" t="str">
        <f>VLOOKUP(A55,Xtal_Templ!A:B,2,FALSE)</f>
        <v>ada2a_human</v>
      </c>
      <c r="C55" s="5">
        <f>VLOOKUP($B55&amp;"__wt",'SegEnds_Xtal_BW#'!$A:$Z,3,FALSE)</f>
        <v>32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f>VLOOKUP($B55&amp;"__wt",'SegEnds_Xtal_BW#'!$A:$Z,15,FALSE)</f>
        <v>38</v>
      </c>
      <c r="P55" s="1">
        <f>VLOOKUP($B55&amp;"__wt",'SegEnds_Xtal_BW#'!$A:$Z,16,FALSE)</f>
        <v>62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INDEX(ICL3_classA!$G$2:$G$41,MATCH(MIN(ABS(AJ55-ICL3_classA!$F$2:$F$41)),ABS(AJ55-ICL3_classA!$F$2:$F$41),0))</f>
        <v>73</v>
      </c>
      <c r="U55" s="1">
        <f t="array" ref="U55">INDEX(ICL3_classA!$H$2:$H$41,MATCH(MIN(ABS(AJ55-ICL3_classA!$F$2:$F$41)),ABS(AJ55-ICL3_classA!$F$2:$F$41),0))</f>
        <v>22</v>
      </c>
      <c r="V55" s="1">
        <v>61</v>
      </c>
      <c r="W55" s="1">
        <v>31</v>
      </c>
      <c r="X55" s="108">
        <v>56</v>
      </c>
      <c r="Y55" s="1">
        <f>VLOOKUP($B55&amp;"__wt",'SegEnds_Xtal_BW#'!$A:$Z,25,FALSE)</f>
        <v>47</v>
      </c>
      <c r="Z55" s="1">
        <f>VLOOKUP($B55&amp;"__wt",'SegEnds_Xtal_BW#'!$A:$Z,26,FALSE)</f>
        <v>60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 t="e">
        <f>VLOOKUP(#REF!,'SegEnds_NonXtal_Prot#'!#REF!,28,FALSE)-VLOOKUP(#REF!,'SegEnds_NonXtal_Prot#'!#REF!,25,FALSE)</f>
        <v>#REF!</v>
      </c>
      <c r="AH55" s="1">
        <f>VLOOKUP(A55,'SegEnds_NonXtal_Prot#'!A:AL,28,FALSE)-VLOOKUP(A55,'SegEnds_NonXtal_Prot#'!A:AL,25,FALSE)</f>
        <v>20</v>
      </c>
      <c r="AI55" s="1">
        <f>VLOOKUP(A55,'SegEnds_NonXtal_Prot#'!A:AL,28,FALSE)-VLOOKUP(A55,'SegEnds_NonXtal_Prot#'!A:AL,22,FALSE)</f>
        <v>53</v>
      </c>
      <c r="AJ55" s="1">
        <f>VLOOKUP(A55,'SegEnds_NonXtal_Prot#'!A:AL,31,FALSE)-VLOOKUP(A55,'SegEnds_NonXtal_Prot#'!A:AL,28,FALSE)</f>
        <v>56</v>
      </c>
      <c r="AK55" s="1">
        <f>VLOOKUP(A55,'SegEnds_NonXtal_Prot#'!A:AL,34,FALSE)-VLOOKUP(A55,'SegEnds_NonXtal_Prot#'!A:AL,31,FALSE)</f>
        <v>35</v>
      </c>
      <c r="AL55" s="1">
        <f>VLOOKUP(A55,'SegEnds_NonXtal_Prot#'!A:AL,37,FALSE)-VLOOKUP(A55,'SegEnds_NonXtal_Prot#'!A:AL,34,FALSE)</f>
        <v>10</v>
      </c>
      <c r="AM55" s="1" t="str">
        <f>IF(ISERROR(MATCH(A55,'SegEnds_Xtal_Prot#'!B:B, 0)), "NoXtal", "Xtal")</f>
        <v>NoXtal</v>
      </c>
    </row>
    <row r="56" spans="1:39" x14ac:dyDescent="0.2">
      <c r="A56" s="1" t="s">
        <v>388</v>
      </c>
      <c r="B56" s="1" t="str">
        <f>VLOOKUP(A56,Xtal_Templ!A:B,2,FALSE)</f>
        <v>drd2_human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68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f>VLOOKUP($B56&amp;"__wt",'SegEnds_Xtal_BW#'!$A:$Z,15,FALSE)</f>
        <v>38</v>
      </c>
      <c r="P56" s="1">
        <f>VLOOKUP($B56&amp;"__wt",'SegEnds_Xtal_BW#'!$A:$Z,16,FALSE)</f>
        <v>62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INDEX(ICL3_classA!$G$2:$G$41,MATCH(MIN(ABS(AJ56-ICL3_classA!$F$2:$F$41)),ABS(AJ56-ICL3_classA!$F$2:$F$41),0))</f>
        <v>81</v>
      </c>
      <c r="U56" s="1">
        <f t="array" ref="U56">INDEX(ICL3_classA!$H$2:$H$41,MATCH(MIN(ABS(AJ56-ICL3_classA!$F$2:$F$41)),ABS(AJ56-ICL3_classA!$F$2:$F$41),0))</f>
        <v>23</v>
      </c>
      <c r="V56" s="1">
        <v>61</v>
      </c>
      <c r="W56" s="1">
        <v>31</v>
      </c>
      <c r="X56" s="108"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 t="e">
        <f>VLOOKUP(#REF!,'SegEnds_NonXtal_Prot#'!#REF!,28,FALSE)-VLOOKUP(#REF!,'SegEnds_NonXtal_Prot#'!#REF!,25,FALSE)</f>
        <v>#REF!</v>
      </c>
      <c r="AH56" s="1">
        <f>VLOOKUP(A56,'SegEnds_NonXtal_Prot#'!A:AL,28,FALSE)-VLOOKUP(A56,'SegEnds_NonXtal_Prot#'!A:AL,25,FALSE)</f>
        <v>20</v>
      </c>
      <c r="AI56" s="1">
        <f>VLOOKUP(A56,'SegEnds_NonXtal_Prot#'!A:AL,28,FALSE)-VLOOKUP(A56,'SegEnds_NonXtal_Prot#'!A:AL,22,FALSE)</f>
        <v>53</v>
      </c>
      <c r="AJ56" s="1">
        <f>VLOOKUP(A56,'SegEnds_NonXtal_Prot#'!A:AL,31,FALSE)-VLOOKUP(A56,'SegEnds_NonXtal_Prot#'!A:AL,28,FALSE)</f>
        <v>62</v>
      </c>
      <c r="AK56" s="1">
        <f>VLOOKUP(A56,'SegEnds_NonXtal_Prot#'!A:AL,34,FALSE)-VLOOKUP(A56,'SegEnds_NonXtal_Prot#'!A:AL,31,FALSE)</f>
        <v>35</v>
      </c>
      <c r="AL56" s="1">
        <f>VLOOKUP(A56,'SegEnds_NonXtal_Prot#'!A:AL,37,FALSE)-VLOOKUP(A56,'SegEnds_NonXtal_Prot#'!A:AL,34,FALSE)</f>
        <v>10</v>
      </c>
      <c r="AM56" s="1" t="str">
        <f>IF(ISERROR(MATCH(A56,'SegEnds_Xtal_Prot#'!B:B, 0)), "NoXtal", "Xtal")</f>
        <v>NoXtal</v>
      </c>
    </row>
    <row r="57" spans="1:39" x14ac:dyDescent="0.2">
      <c r="A57" s="1" t="s">
        <v>389</v>
      </c>
      <c r="B57" s="1" t="str">
        <f>VLOOKUP(A57,Xtal_Templ!A:B,2,FALSE)</f>
        <v>5ht1b_human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68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INDEX(ICL3_classA!$G$2:$G$41,MATCH(MIN(ABS(AJ57-ICL3_classA!$F$2:$F$41)),ABS(AJ57-ICL3_classA!$F$2:$F$41),0))</f>
        <v>73</v>
      </c>
      <c r="U57" s="1">
        <f t="array" ref="U57">INDEX(ICL3_classA!$H$2:$H$41,MATCH(MIN(ABS(AJ57-ICL3_classA!$F$2:$F$41)),ABS(AJ57-ICL3_classA!$F$2:$F$41),0))</f>
        <v>22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 t="e">
        <f>VLOOKUP(#REF!,'SegEnds_NonXtal_Prot#'!#REF!,28,FALSE)-VLOOKUP(#REF!,'SegEnds_NonXtal_Prot#'!#REF!,25,FALSE)</f>
        <v>#REF!</v>
      </c>
      <c r="AH57" s="1">
        <f>VLOOKUP(A57,'SegEnds_NonXtal_Prot#'!A:AL,28,FALSE)-VLOOKUP(A57,'SegEnds_NonXtal_Prot#'!A:AL,25,FALSE)</f>
        <v>19</v>
      </c>
      <c r="AI57" s="1">
        <f>VLOOKUP(A57,'SegEnds_NonXtal_Prot#'!A:AL,28,FALSE)-VLOOKUP(A57,'SegEnds_NonXtal_Prot#'!A:AL,22,FALSE)</f>
        <v>52</v>
      </c>
      <c r="AJ57" s="1">
        <f>VLOOKUP(A57,'SegEnds_NonXtal_Prot#'!A:AL,31,FALSE)-VLOOKUP(A57,'SegEnds_NonXtal_Prot#'!A:AL,28,FALSE)</f>
        <v>56</v>
      </c>
      <c r="AK57" s="1">
        <f>VLOOKUP(A57,'SegEnds_NonXtal_Prot#'!A:AL,34,FALSE)-VLOOKUP(A57,'SegEnds_NonXtal_Prot#'!A:AL,31,FALSE)</f>
        <v>35</v>
      </c>
      <c r="AL57" s="1">
        <f>VLOOKUP(A57,'SegEnds_NonXtal_Prot#'!A:AL,37,FALSE)-VLOOKUP(A57,'SegEnds_NonXtal_Prot#'!A:AL,34,FALSE)</f>
        <v>10</v>
      </c>
      <c r="AM57" s="1" t="str">
        <f>IF(ISERROR(MATCH(A57,'SegEnds_Xtal_Prot#'!B:B, 0)), "NoXtal", "Xtal")</f>
        <v>NoXtal</v>
      </c>
    </row>
    <row r="58" spans="1:39" x14ac:dyDescent="0.2">
      <c r="A58" s="1" t="s">
        <v>390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INDEX(ICL3_classA!$G$2:$G$41,MATCH(MIN(ABS(AJ58-ICL3_classA!$F$2:$F$41)),ABS(AJ58-ICL3_classA!$F$2:$F$41),0))</f>
        <v>81</v>
      </c>
      <c r="U58" s="1">
        <f t="array" ref="U58">INDEX(ICL3_classA!$H$2:$H$41,MATCH(MIN(ABS(AJ58-ICL3_classA!$F$2:$F$41)),ABS(AJ58-ICL3_classA!$F$2:$F$41),0))</f>
        <v>23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 t="e">
        <f>VLOOKUP(#REF!,'SegEnds_NonXtal_Prot#'!#REF!,28,FALSE)-VLOOKUP(#REF!,'SegEnds_NonXtal_Prot#'!#REF!,25,FALSE)</f>
        <v>#REF!</v>
      </c>
      <c r="AH58" s="1">
        <f>VLOOKUP(A58,'SegEnds_NonXtal_Prot#'!A:AL,28,FALSE)-VLOOKUP(A58,'SegEnds_NonXtal_Prot#'!A:AL,25,FALSE)</f>
        <v>19</v>
      </c>
      <c r="AI58" s="1">
        <f>VLOOKUP(A58,'SegEnds_NonXtal_Prot#'!A:AL,28,FALSE)-VLOOKUP(A58,'SegEnds_NonXtal_Prot#'!A:AL,22,FALSE)</f>
        <v>52</v>
      </c>
      <c r="AJ58" s="1">
        <f>VLOOKUP(A58,'SegEnds_NonXtal_Prot#'!A:AL,31,FALSE)-VLOOKUP(A58,'SegEnds_NonXtal_Prot#'!A:AL,28,FALSE)</f>
        <v>64</v>
      </c>
      <c r="AK58" s="1">
        <f>VLOOKUP(A58,'SegEnds_NonXtal_Prot#'!A:AL,34,FALSE)-VLOOKUP(A58,'SegEnds_NonXtal_Prot#'!A:AL,31,FALSE)</f>
        <v>35</v>
      </c>
      <c r="AL58" s="1">
        <f>VLOOKUP(A58,'SegEnds_NonXtal_Prot#'!A:AL,37,FALSE)-VLOOKUP(A58,'SegEnds_NonXtal_Prot#'!A:AL,34,FALSE)</f>
        <v>10</v>
      </c>
      <c r="AM58" s="1" t="str">
        <f>IF(ISERROR(MATCH(A58,'SegEnds_Xtal_Prot#'!B:B, 0)), "NoXtal", "Xtal")</f>
        <v>NoXtal</v>
      </c>
    </row>
    <row r="59" spans="1:39" x14ac:dyDescent="0.2">
      <c r="A59" s="1" t="s">
        <v>391</v>
      </c>
      <c r="B59" s="1" t="str">
        <f>VLOOKUP(A59,Xtal_Templ!A:B,2,FALSE)</f>
        <v>5ht1b_human</v>
      </c>
      <c r="C59" s="5">
        <f>VLOOKUP($B59&amp;"__wt",'SegEnds_Xtal_BW#'!$A:$Z,3,FALSE)</f>
        <v>28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68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v>35</v>
      </c>
      <c r="T59" s="1">
        <f t="array" ref="T59">INDEX(ICL3_classA!$G$2:$G$41,MATCH(MIN(ABS(AJ59-ICL3_classA!$F$2:$F$41)),ABS(AJ59-ICL3_classA!$F$2:$F$41),0))</f>
        <v>81</v>
      </c>
      <c r="U59" s="1">
        <f t="array" ref="U59">INDEX(ICL3_classA!$H$2:$H$41,MATCH(MIN(ABS(AJ59-ICL3_classA!$F$2:$F$41)),ABS(AJ59-ICL3_classA!$F$2:$F$41),0))</f>
        <v>23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58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20</v>
      </c>
      <c r="AE59" s="1">
        <f>VLOOKUP(A59,'SegEnds_NonXtal_Prot#'!A:AL,16,FALSE)-VLOOKUP(A59,'SegEnds_NonXtal_Prot#'!A:AL,10,FALSE)</f>
        <v>52</v>
      </c>
      <c r="AF59" s="1">
        <f>VLOOKUP(A59,'SegEnds_NonXtal_Prot#'!A:AL,22,FALSE)-VLOOKUP(A59,'SegEnds_NonXtal_Prot#'!A:AL,19,FALSE)</f>
        <v>20</v>
      </c>
      <c r="AG59" s="1" t="e">
        <f>VLOOKUP(#REF!,'SegEnds_NonXtal_Prot#'!#REF!,28,FALSE)-VLOOKUP(#REF!,'SegEnds_NonXtal_Prot#'!#REF!,25,FALSE)</f>
        <v>#REF!</v>
      </c>
      <c r="AH59" s="1">
        <f>VLOOKUP(A59,'SegEnds_NonXtal_Prot#'!A:AL,28,FALSE)-VLOOKUP(A59,'SegEnds_NonXtal_Prot#'!A:AL,25,FALSE)</f>
        <v>19</v>
      </c>
      <c r="AI59" s="1">
        <f>VLOOKUP(A59,'SegEnds_NonXtal_Prot#'!A:AL,28,FALSE)-VLOOKUP(A59,'SegEnds_NonXtal_Prot#'!A:AL,22,FALSE)</f>
        <v>52</v>
      </c>
      <c r="AJ59" s="1">
        <f>VLOOKUP(A59,'SegEnds_NonXtal_Prot#'!A:AL,31,FALSE)-VLOOKUP(A59,'SegEnds_NonXtal_Prot#'!A:AL,28,FALSE)</f>
        <v>64</v>
      </c>
      <c r="AK59" s="1">
        <f>VLOOKUP(A59,'SegEnds_NonXtal_Prot#'!A:AL,34,FALSE)-VLOOKUP(A59,'SegEnds_NonXtal_Prot#'!A:AL,31,FALSE)</f>
        <v>35</v>
      </c>
      <c r="AL59" s="1">
        <f>VLOOKUP(A59,'SegEnds_NonXtal_Prot#'!A:AL,37,FALSE)-VLOOKUP(A59,'SegEnds_NonXtal_Prot#'!A:AL,34,FALSE)</f>
        <v>10</v>
      </c>
      <c r="AM59" s="1" t="str">
        <f>IF(ISERROR(MATCH(A59,'SegEnds_Xtal_Prot#'!B:B, 0)), "NoXtal", "Xtal")</f>
        <v>NoXtal</v>
      </c>
    </row>
    <row r="60" spans="1:39" x14ac:dyDescent="0.2">
      <c r="A60" s="1" t="s">
        <v>392</v>
      </c>
      <c r="B60" s="1" t="str">
        <f>VLOOKUP(A60,Xtal_Templ!A:B,2,FALSE)</f>
        <v>5ht1b_human</v>
      </c>
      <c r="C60" s="5">
        <f>VLOOKUP($B60&amp;"__wt",'SegEnds_Xtal_BW#'!$A:$Z,3,FALSE)</f>
        <v>28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INDEX(ICL3_classA!$G$2:$G$41,MATCH(MIN(ABS(AJ60-ICL3_classA!$F$2:$F$41)),ABS(AJ60-ICL3_classA!$F$2:$F$41),0))</f>
        <v>81</v>
      </c>
      <c r="U60" s="1">
        <f t="array" ref="U60">INDEX(ICL3_classA!$H$2:$H$41,MATCH(MIN(ABS(AJ60-ICL3_classA!$F$2:$F$41)),ABS(AJ60-ICL3_classA!$F$2:$F$41),0))</f>
        <v>23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 t="e">
        <f>VLOOKUP(#REF!,'SegEnds_NonXtal_Prot#'!#REF!,28,FALSE)-VLOOKUP(#REF!,'SegEnds_NonXtal_Prot#'!#REF!,25,FALSE)</f>
        <v>#REF!</v>
      </c>
      <c r="AH60" s="1">
        <f>VLOOKUP(A60,'SegEnds_NonXtal_Prot#'!A:AL,28,FALSE)-VLOOKUP(A60,'SegEnds_NonXtal_Prot#'!A:AL,25,FALSE)</f>
        <v>19</v>
      </c>
      <c r="AI60" s="1">
        <f>VLOOKUP(A60,'SegEnds_NonXtal_Prot#'!A:AL,28,FALSE)-VLOOKUP(A60,'SegEnds_NonXtal_Prot#'!A:AL,22,FALSE)</f>
        <v>52</v>
      </c>
      <c r="AJ60" s="1">
        <f>VLOOKUP(A60,'SegEnds_NonXtal_Prot#'!A:AL,31,FALSE)-VLOOKUP(A60,'SegEnds_NonXtal_Prot#'!A:AL,28,FALSE)</f>
        <v>64</v>
      </c>
      <c r="AK60" s="1">
        <f>VLOOKUP(A60,'SegEnds_NonXtal_Prot#'!A:AL,34,FALSE)-VLOOKUP(A60,'SegEnds_NonXtal_Prot#'!A:AL,31,FALSE)</f>
        <v>35</v>
      </c>
      <c r="AL60" s="1">
        <f>VLOOKUP(A60,'SegEnds_NonXtal_Prot#'!A:AL,37,FALSE)-VLOOKUP(A60,'SegEnds_NonXtal_Prot#'!A:AL,34,FALSE)</f>
        <v>10</v>
      </c>
      <c r="AM60" s="1" t="str">
        <f>IF(ISERROR(MATCH(A60,'SegEnds_Xtal_Prot#'!B:B, 0)), "NoXtal", "Xtal")</f>
        <v>NoXtal</v>
      </c>
    </row>
    <row r="61" spans="1:39" x14ac:dyDescent="0.2">
      <c r="A61" s="1" t="s">
        <v>131</v>
      </c>
      <c r="B61" s="1" t="str">
        <f>VLOOKUP(A61,Xtal_Templ!A:B,2,FALSE)</f>
        <v>5ht1b_human</v>
      </c>
      <c r="C61" s="5">
        <f>VLOOKUP($B61&amp;"__wt",'SegEnds_Xtal_BW#'!$A:$Z,3,FALSE)</f>
        <v>28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INDEX(ICL3_classA!$G$2:$G$41,MATCH(MIN(ABS(AJ61-ICL3_classA!$F$2:$F$41)),ABS(AJ61-ICL3_classA!$F$2:$F$41),0))</f>
        <v>76</v>
      </c>
      <c r="U61" s="1">
        <f t="array" ref="U61">INDEX(ICL3_classA!$H$2:$H$41,MATCH(MIN(ABS(AJ61-ICL3_classA!$F$2:$F$41)),ABS(AJ61-ICL3_classA!$F$2:$F$41),0))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58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 t="e">
        <f>VLOOKUP(#REF!,'SegEnds_NonXtal_Prot#'!#REF!,28,FALSE)-VLOOKUP(#REF!,'SegEnds_NonXtal_Prot#'!#REF!,25,FALSE)</f>
        <v>#REF!</v>
      </c>
      <c r="AH61" s="1">
        <f>VLOOKUP(A61,'SegEnds_NonXtal_Prot#'!A:AL,28,FALSE)-VLOOKUP(A61,'SegEnds_NonXtal_Prot#'!A:AL,25,FALSE)</f>
        <v>21</v>
      </c>
      <c r="AI61" s="1">
        <f>VLOOKUP(A61,'SegEnds_NonXtal_Prot#'!A:AL,28,FALSE)-VLOOKUP(A61,'SegEnds_NonXtal_Prot#'!A:AL,22,FALSE)</f>
        <v>45</v>
      </c>
      <c r="AJ61" s="1">
        <f>VLOOKUP(A61,'SegEnds_NonXtal_Prot#'!A:AL,31,FALSE)-VLOOKUP(A61,'SegEnds_NonXtal_Prot#'!A:AL,28,FALSE)</f>
        <v>115</v>
      </c>
      <c r="AK61" s="1">
        <f>VLOOKUP(A61,'SegEnds_NonXtal_Prot#'!A:AL,34,FALSE)-VLOOKUP(A61,'SegEnds_NonXtal_Prot#'!A:AL,31,FALSE)</f>
        <v>36</v>
      </c>
      <c r="AL61" s="1">
        <f>VLOOKUP(A61,'SegEnds_NonXtal_Prot#'!A:AL,37,FALSE)-VLOOKUP(A61,'SegEnds_NonXtal_Prot#'!A:AL,34,FALSE)</f>
        <v>10</v>
      </c>
      <c r="AM61" s="1" t="str">
        <f>IF(ISERROR(MATCH(A61,'SegEnds_Xtal_Prot#'!B:B, 0)), "NoXtal", "Xtal")</f>
        <v>NoXtal</v>
      </c>
    </row>
    <row r="62" spans="1:39" x14ac:dyDescent="0.2">
      <c r="A62" s="1" t="s">
        <v>138</v>
      </c>
      <c r="B62" s="1" t="str">
        <f>VLOOKUP(A62,Xtal_Templ!A:B,2,FALSE)</f>
        <v>aa1r_human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50</v>
      </c>
      <c r="J62" s="1">
        <f>VLOOKUP($B62&amp;"__wt",'SegEnds_Xtal_BW#'!$A:$Z,10,FALSE)</f>
        <v>52</v>
      </c>
      <c r="K62" s="12">
        <v>24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63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INDEX(ICL3_classA!$G$2:$G$41,MATCH(MIN(ABS(AJ62-ICL3_classA!$F$2:$F$41)),ABS(AJ62-ICL3_classA!$F$2:$F$41),0))</f>
        <v>73</v>
      </c>
      <c r="U62" s="1">
        <f t="array" ref="U62">INDEX(ICL3_classA!$H$2:$H$41,MATCH(MIN(ABS(AJ62-ICL3_classA!$F$2:$F$41)),ABS(AJ62-ICL3_classA!$F$2:$F$41),0))</f>
        <v>22</v>
      </c>
      <c r="V62" s="1">
        <v>61</v>
      </c>
      <c r="W62" s="1">
        <v>31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18</v>
      </c>
      <c r="AE62" s="1">
        <f>VLOOKUP(A62,'SegEnds_NonXtal_Prot#'!A:AL,16,FALSE)-VLOOKUP(A62,'SegEnds_NonXtal_Prot#'!A:AL,10,FALSE)</f>
        <v>50</v>
      </c>
      <c r="AF62" s="1">
        <f>VLOOKUP(A62,'SegEnds_NonXtal_Prot#'!A:AL,22,FALSE)-VLOOKUP(A62,'SegEnds_NonXtal_Prot#'!A:AL,19,FALSE)</f>
        <v>20</v>
      </c>
      <c r="AG62" s="1" t="e">
        <f>VLOOKUP(#REF!,'SegEnds_NonXtal_Prot#'!#REF!,28,FALSE)-VLOOKUP(#REF!,'SegEnds_NonXtal_Prot#'!#REF!,25,FALSE)</f>
        <v>#REF!</v>
      </c>
      <c r="AH62" s="1">
        <f>VLOOKUP(A62,'SegEnds_NonXtal_Prot#'!A:AL,28,FALSE)-VLOOKUP(A62,'SegEnds_NonXtal_Prot#'!A:AL,25,FALSE)</f>
        <v>23</v>
      </c>
      <c r="AI62" s="1">
        <f>VLOOKUP(A62,'SegEnds_NonXtal_Prot#'!A:AL,28,FALSE)-VLOOKUP(A62,'SegEnds_NonXtal_Prot#'!A:AL,22,FALSE)</f>
        <v>60</v>
      </c>
      <c r="AJ62" s="1">
        <f>VLOOKUP(A62,'SegEnds_NonXtal_Prot#'!A:AL,31,FALSE)-VLOOKUP(A62,'SegEnds_NonXtal_Prot#'!A:AL,28,FALSE)</f>
        <v>57</v>
      </c>
      <c r="AK62" s="1">
        <f>VLOOKUP(A62,'SegEnds_NonXtal_Prot#'!A:AL,34,FALSE)-VLOOKUP(A62,'SegEnds_NonXtal_Prot#'!A:AL,31,FALSE)</f>
        <v>36</v>
      </c>
      <c r="AL62" s="1">
        <f>VLOOKUP(A62,'SegEnds_NonXtal_Prot#'!A:AL,37,FALSE)-VLOOKUP(A62,'SegEnds_NonXtal_Prot#'!A:AL,34,FALSE)</f>
        <v>10</v>
      </c>
      <c r="AM62" s="1" t="str">
        <f>IF(ISERROR(MATCH(A62,'SegEnds_Xtal_Prot#'!B:B, 0)), "NoXtal", "Xtal")</f>
        <v>Xtal</v>
      </c>
    </row>
    <row r="63" spans="1:39" x14ac:dyDescent="0.2">
      <c r="A63" s="1" t="s">
        <v>152</v>
      </c>
      <c r="B63" s="1" t="str">
        <f>VLOOKUP(A63,Xtal_Templ!A:B,2,FALSE)</f>
        <v>ada2b_human</v>
      </c>
      <c r="C63" s="5">
        <f>VLOOKUP($B63&amp;"__wt",'SegEnds_Xtal_BW#'!$A:$Z,3,FALSE)</f>
        <v>31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68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INDEX(ICL3_classA!$G$2:$G$41,MATCH(MIN(ABS(AJ63-ICL3_classA!$F$2:$F$41)),ABS(AJ63-ICL3_classA!$F$2:$F$41),0))</f>
        <v>76</v>
      </c>
      <c r="U63" s="1">
        <f t="array" ref="U63">INDEX(ICL3_classA!$H$2:$H$41,MATCH(MIN(ABS(AJ63-ICL3_classA!$F$2:$F$41)),ABS(AJ63-ICL3_classA!$F$2:$F$41),0))</f>
        <v>24</v>
      </c>
      <c r="V63" s="1">
        <v>61</v>
      </c>
      <c r="W63" s="1">
        <v>31</v>
      </c>
      <c r="X63" s="108"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 t="e">
        <f>VLOOKUP(#REF!,'SegEnds_NonXtal_Prot#'!#REF!,28,FALSE)-VLOOKUP(#REF!,'SegEnds_NonXtal_Prot#'!#REF!,25,FALSE)</f>
        <v>#REF!</v>
      </c>
      <c r="AH63" s="1">
        <f>VLOOKUP(A63,'SegEnds_NonXtal_Prot#'!A:AL,28,FALSE)-VLOOKUP(A63,'SegEnds_NonXtal_Prot#'!A:AL,25,FALSE)</f>
        <v>20</v>
      </c>
      <c r="AI63" s="1">
        <f>VLOOKUP(A63,'SegEnds_NonXtal_Prot#'!A:AL,28,FALSE)-VLOOKUP(A63,'SegEnds_NonXtal_Prot#'!A:AL,22,FALSE)</f>
        <v>45</v>
      </c>
      <c r="AJ63" s="1">
        <f>VLOOKUP(A63,'SegEnds_NonXtal_Prot#'!A:AL,31,FALSE)-VLOOKUP(A63,'SegEnds_NonXtal_Prot#'!A:AL,28,FALSE)</f>
        <v>91</v>
      </c>
      <c r="AK63" s="1">
        <f>VLOOKUP(A63,'SegEnds_NonXtal_Prot#'!A:AL,34,FALSE)-VLOOKUP(A63,'SegEnds_NonXtal_Prot#'!A:AL,31,FALSE)</f>
        <v>36</v>
      </c>
      <c r="AL63" s="1">
        <f>VLOOKUP(A63,'SegEnds_NonXtal_Prot#'!A:AL,37,FALSE)-VLOOKUP(A63,'SegEnds_NonXtal_Prot#'!A:AL,34,FALSE)</f>
        <v>10</v>
      </c>
      <c r="AM63" s="1" t="str">
        <f>IF(ISERROR(MATCH(A63,'SegEnds_Xtal_Prot#'!B:B, 0)), "NoXtal", "Xtal")</f>
        <v>NoXtal</v>
      </c>
    </row>
    <row r="64" spans="1:39" x14ac:dyDescent="0.2">
      <c r="A64" s="1" t="s">
        <v>153</v>
      </c>
      <c r="B64" s="1" t="str">
        <f>VLOOKUP(A64,Xtal_Templ!A:B,2,FALSE)</f>
        <v>ada2b_human</v>
      </c>
      <c r="C64" s="5">
        <f>VLOOKUP($B64&amp;"__wt",'SegEnds_Xtal_BW#'!$A:$Z,3,FALSE)</f>
        <v>31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68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v>38</v>
      </c>
      <c r="P64" s="1">
        <f>VLOOKUP($B64&amp;"__wt",'SegEnds_Xtal_BW#'!$A:$Z,16,FALSE)</f>
        <v>62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INDEX(ICL3_classA!$G$2:$G$41,MATCH(MIN(ABS(AJ64-ICL3_classA!$F$2:$F$41)),ABS(AJ64-ICL3_classA!$F$2:$F$41),0))</f>
        <v>74</v>
      </c>
      <c r="U64" s="1">
        <f t="array" ref="U64">INDEX(ICL3_classA!$H$2:$H$41,MATCH(MIN(ABS(AJ64-ICL3_classA!$F$2:$F$41)),ABS(AJ64-ICL3_classA!$F$2:$F$41),0))</f>
        <v>24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20</v>
      </c>
      <c r="AE64" s="1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20</v>
      </c>
      <c r="AG64" s="1" t="e">
        <f>VLOOKUP(#REF!,'SegEnds_NonXtal_Prot#'!#REF!,28,FALSE)-VLOOKUP(#REF!,'SegEnds_NonXtal_Prot#'!#REF!,25,FALSE)</f>
        <v>#REF!</v>
      </c>
      <c r="AH64" s="1">
        <f>VLOOKUP(A64,'SegEnds_NonXtal_Prot#'!A:AL,28,FALSE)-VLOOKUP(A64,'SegEnds_NonXtal_Prot#'!A:AL,25,FALSE)</f>
        <v>20</v>
      </c>
      <c r="AI64" s="1">
        <f>VLOOKUP(A64,'SegEnds_NonXtal_Prot#'!A:AL,28,FALSE)-VLOOKUP(A64,'SegEnds_NonXtal_Prot#'!A:AL,22,FALSE)</f>
        <v>45</v>
      </c>
      <c r="AJ64" s="1">
        <f>VLOOKUP(A64,'SegEnds_NonXtal_Prot#'!A:AL,31,FALSE)-VLOOKUP(A64,'SegEnds_NonXtal_Prot#'!A:AL,28,FALSE)</f>
        <v>94</v>
      </c>
      <c r="AK64" s="1">
        <f>VLOOKUP(A64,'SegEnds_NonXtal_Prot#'!A:AL,34,FALSE)-VLOOKUP(A64,'SegEnds_NonXtal_Prot#'!A:AL,31,FALSE)</f>
        <v>36</v>
      </c>
      <c r="AL64" s="1">
        <f>VLOOKUP(A64,'SegEnds_NonXtal_Prot#'!A:AL,37,FALSE)-VLOOKUP(A64,'SegEnds_NonXtal_Prot#'!A:AL,34,FALSE)</f>
        <v>10</v>
      </c>
      <c r="AM64" s="1" t="str">
        <f>IF(ISERROR(MATCH(A64,'SegEnds_Xtal_Prot#'!B:B, 0)), "NoXtal", "Xtal")</f>
        <v>NoXtal</v>
      </c>
    </row>
    <row r="65" spans="1:39" x14ac:dyDescent="0.2">
      <c r="A65" s="1" t="s">
        <v>154</v>
      </c>
      <c r="B65" s="1" t="str">
        <f>VLOOKUP(A65,Xtal_Templ!A:B,2,FALSE)</f>
        <v>ada2b_human</v>
      </c>
      <c r="C65" s="5">
        <f>VLOOKUP($B65&amp;"__wt",'SegEnds_Xtal_BW#'!$A:$Z,3,FALSE)</f>
        <v>31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f>VLOOKUP($B65&amp;"__wt",'SegEnds_Xtal_BW#'!$A:$Z,8,FALSE)</f>
        <v>68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62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INDEX(ICL3_classA!$G$2:$G$41,MATCH(MIN(ABS(AJ65-ICL3_classA!$F$2:$F$41)),ABS(AJ65-ICL3_classA!$F$2:$F$41),0))</f>
        <v>74</v>
      </c>
      <c r="U65" s="1">
        <f t="array" ref="U65">INDEX(ICL3_classA!$H$2:$H$41,MATCH(MIN(ABS(AJ65-ICL3_classA!$F$2:$F$41)),ABS(AJ65-ICL3_classA!$F$2:$F$41),0))</f>
        <v>24</v>
      </c>
      <c r="V65" s="1">
        <v>61</v>
      </c>
      <c r="W65" s="1">
        <v>31</v>
      </c>
      <c r="X65" s="108"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>
        <f>VLOOKUP(A65,'SegEnds_NonXtal_Prot#'!A:AL,22,FALSE)-VLOOKUP(A65,'SegEnds_NonXtal_Prot#'!A:AL,19,FALSE)</f>
        <v>20</v>
      </c>
      <c r="AG65" s="1" t="e">
        <f>VLOOKUP(#REF!,'SegEnds_NonXtal_Prot#'!#REF!,28,FALSE)-VLOOKUP(#REF!,'SegEnds_NonXtal_Prot#'!#REF!,25,FALSE)</f>
        <v>#REF!</v>
      </c>
      <c r="AH65" s="1">
        <f>VLOOKUP(A65,'SegEnds_NonXtal_Prot#'!A:AL,28,FALSE)-VLOOKUP(A65,'SegEnds_NonXtal_Prot#'!A:AL,25,FALSE)</f>
        <v>20</v>
      </c>
      <c r="AI65" s="1">
        <f>VLOOKUP(A65,'SegEnds_NonXtal_Prot#'!A:AL,28,FALSE)-VLOOKUP(A65,'SegEnds_NonXtal_Prot#'!A:AL,22,FALSE)</f>
        <v>45</v>
      </c>
      <c r="AJ65" s="1">
        <f>VLOOKUP(A65,'SegEnds_NonXtal_Prot#'!A:AL,31,FALSE)-VLOOKUP(A65,'SegEnds_NonXtal_Prot#'!A:AL,28,FALSE)</f>
        <v>97</v>
      </c>
      <c r="AK65" s="1">
        <f>VLOOKUP(A65,'SegEnds_NonXtal_Prot#'!A:AL,34,FALSE)-VLOOKUP(A65,'SegEnds_NonXtal_Prot#'!A:AL,31,FALSE)</f>
        <v>36</v>
      </c>
      <c r="AL65" s="1">
        <f>VLOOKUP(A65,'SegEnds_NonXtal_Prot#'!A:AL,37,FALSE)-VLOOKUP(A65,'SegEnds_NonXtal_Prot#'!A:AL,34,FALSE)</f>
        <v>10</v>
      </c>
      <c r="AM65" s="1" t="str">
        <f>IF(ISERROR(MATCH(A65,'SegEnds_Xtal_Prot#'!B:B, 0)), "NoXtal", "Xtal")</f>
        <v>NoXtal</v>
      </c>
    </row>
    <row r="66" spans="1:39" x14ac:dyDescent="0.2">
      <c r="A66" s="1" t="s">
        <v>102</v>
      </c>
      <c r="B66" s="1" t="str">
        <f>VLOOKUP(A66,Xtal_Templ!A:B,2,FALSE)</f>
        <v>adrb2_human</v>
      </c>
      <c r="C66" s="5">
        <f>VLOOKUP($B66&amp;"__wt",'SegEnds_Xtal_BW#'!$A:$Z,3,FALSE)</f>
        <v>25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68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INDEX(ICL3_classA!$G$2:$G$41,MATCH(MIN(ABS(AJ66-ICL3_classA!$F$2:$F$41)),ABS(AJ66-ICL3_classA!$F$2:$F$41),0))</f>
        <v>76</v>
      </c>
      <c r="U66" s="1">
        <f t="array" ref="U66">INDEX(ICL3_classA!$H$2:$H$41,MATCH(MIN(ABS(AJ66-ICL3_classA!$F$2:$F$41)),ABS(AJ66-ICL3_classA!$F$2:$F$41),0))</f>
        <v>24</v>
      </c>
      <c r="V66" s="1">
        <v>61</v>
      </c>
      <c r="W66" s="1">
        <v>31</v>
      </c>
      <c r="X66" s="123">
        <f>VLOOKUP($B66&amp;"__wt",'SegEnds_Xtal_BW#'!$A:$Z,24,FALSE)</f>
        <v>55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 t="e">
        <f>VLOOKUP(#REF!,'SegEnds_NonXtal_Prot#'!#REF!,28,FALSE)-VLOOKUP(#REF!,'SegEnds_NonXtal_Prot#'!#REF!,25,FALSE)</f>
        <v>#REF!</v>
      </c>
      <c r="AH66" s="1">
        <f>VLOOKUP(A66,'SegEnds_NonXtal_Prot#'!A:AL,28,FALSE)-VLOOKUP(A66,'SegEnds_NonXtal_Prot#'!A:AL,25,FALSE)</f>
        <v>20</v>
      </c>
      <c r="AI66" s="1">
        <f>VLOOKUP(A66,'SegEnds_NonXtal_Prot#'!A:AL,28,FALSE)-VLOOKUP(A66,'SegEnds_NonXtal_Prot#'!A:AL,22,FALSE)</f>
        <v>54</v>
      </c>
      <c r="AJ66" s="1">
        <f>VLOOKUP(A66,'SegEnds_NonXtal_Prot#'!A:AL,31,FALSE)-VLOOKUP(A66,'SegEnds_NonXtal_Prot#'!A:AL,28,FALSE)</f>
        <v>91</v>
      </c>
      <c r="AK66" s="1">
        <f>VLOOKUP(A66,'SegEnds_NonXtal_Prot#'!A:AL,34,FALSE)-VLOOKUP(A66,'SegEnds_NonXtal_Prot#'!A:AL,31,FALSE)</f>
        <v>36</v>
      </c>
      <c r="AL66" s="1">
        <f>VLOOKUP(A66,'SegEnds_NonXtal_Prot#'!A:AL,37,FALSE)-VLOOKUP(A66,'SegEnds_NonXtal_Prot#'!A:AL,34,FALSE)</f>
        <v>9</v>
      </c>
      <c r="AM66" s="1" t="str">
        <f>IF(ISERROR(MATCH(A66,'SegEnds_Xtal_Prot#'!B:B, 0)), "NoXtal", "Xtal")</f>
        <v>NoXtal</v>
      </c>
    </row>
    <row r="67" spans="1:39" x14ac:dyDescent="0.2">
      <c r="A67" s="1" t="s">
        <v>182</v>
      </c>
      <c r="B67" s="1" t="str">
        <f>VLOOKUP(A67,Xtal_Templ!A:B,2,FALSE)</f>
        <v>cnr1_human</v>
      </c>
      <c r="C67" s="5">
        <f>VLOOKUP($B67&amp;"__wt",'SegEnds_Xtal_BW#'!$A:$Z,3,FALSE)</f>
        <v>28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f>VLOOKUP($B67&amp;"__wt",'SegEnds_Xtal_BW#'!$A:$Z,7,FALSE)</f>
        <v>37</v>
      </c>
      <c r="H67" s="12">
        <f>VLOOKUP($B67&amp;"__wt",'SegEnds_Xtal_BW#'!$A:$Z,8,FALSE)</f>
        <v>66</v>
      </c>
      <c r="I67" s="1" t="str">
        <f>VLOOKUP($B67&amp;"__wt",'SegEnds_Xtal_BW#'!$A:$Z,9,FALSE)</f>
        <v>-</v>
      </c>
      <c r="J67" s="1" t="str">
        <f>VLOOKUP($B67&amp;"__wt",'SegEnds_Xtal_BW#'!$A:$Z,10,FALSE)</f>
        <v>-</v>
      </c>
      <c r="K67" s="12">
        <f>VLOOKUP($B67&amp;"__wt",'SegEnds_Xtal_BW#'!$A:$Z,11,FALSE)</f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 t="str">
        <f>VLOOKUP($B67&amp;"__wt",'SegEnds_Xtal_BW#'!$A:$Z,17,FALSE)</f>
        <v>-</v>
      </c>
      <c r="R67" s="1" t="str">
        <f>VLOOKUP($B67&amp;"__wt",'SegEnds_Xtal_BW#'!$A:$Z,18,FALSE)</f>
        <v>-</v>
      </c>
      <c r="S67" s="1">
        <f>VLOOKUP($B67&amp;"__wt",'SegEnds_Xtal_BW#'!$A:$Z,19,FALSE)</f>
        <v>36</v>
      </c>
      <c r="T67" s="1">
        <f t="array" ref="T67">INDEX(ICL3_classA!$G$2:$G$41,MATCH(MIN(ABS(AJ67-ICL3_classA!$F$2:$F$41)),ABS(AJ67-ICL3_classA!$F$2:$F$41),0))</f>
        <v>76</v>
      </c>
      <c r="U67" s="1">
        <f t="array" ref="U67">INDEX(ICL3_classA!$H$2:$H$41,MATCH(MIN(ABS(AJ67-ICL3_classA!$F$2:$F$41)),ABS(AJ67-ICL3_classA!$F$2:$F$41),0))</f>
        <v>24</v>
      </c>
      <c r="V67" s="1">
        <f>VLOOKUP($B67&amp;"__wt",'SegEnds_Xtal_BW#'!$A:$Z,22,FALSE)</f>
        <v>61</v>
      </c>
      <c r="W67" s="1">
        <f>VLOOKUP($B67&amp;"__wt",'SegEnds_Xtal_BW#'!$A:$Z,23,FALSE)</f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29</v>
      </c>
      <c r="AC67" s="1">
        <f>VLOOKUP(A67,'SegEnds_NonXtal_Prot#'!A:AL,10,FALSE)-VLOOKUP(A67,'SegEnds_NonXtal_Prot#'!A:AL,7,FALSE)</f>
        <v>16</v>
      </c>
      <c r="AD67" s="1" t="e">
        <f>VLOOKUP(A67,'SegEnds_NonXtal_Prot#'!A:AL,13,FALSE)-VLOOKUP(A67,'SegEnds_NonXtal_Prot#'!A:AL,10,FALSE)</f>
        <v>#VALUE!</v>
      </c>
      <c r="AE67" s="1">
        <f>VLOOKUP(A67,'SegEnds_NonXtal_Prot#'!A:AL,16,FALSE)-VLOOKUP(A67,'SegEnds_NonXtal_Prot#'!A:AL,10,FALSE)</f>
        <v>51</v>
      </c>
      <c r="AF67" s="1">
        <f>VLOOKUP(A67,'SegEnds_NonXtal_Prot#'!A:AL,22,FALSE)-VLOOKUP(A67,'SegEnds_NonXtal_Prot#'!A:AL,19,FALSE)</f>
        <v>20</v>
      </c>
      <c r="AG67" s="1" t="e">
        <f>VLOOKUP(#REF!,'SegEnds_NonXtal_Prot#'!#REF!,28,FALSE)-VLOOKUP(#REF!,'SegEnds_NonXtal_Prot#'!#REF!,25,FALSE)</f>
        <v>#REF!</v>
      </c>
      <c r="AH67" s="1" t="e">
        <f>VLOOKUP(A67,'SegEnds_NonXtal_Prot#'!A:AL,28,FALSE)-VLOOKUP(A67,'SegEnds_NonXtal_Prot#'!A:AL,25,FALSE)</f>
        <v>#VALUE!</v>
      </c>
      <c r="AI67" s="1">
        <f>VLOOKUP(A67,'SegEnds_NonXtal_Prot#'!A:AL,28,FALSE)-VLOOKUP(A67,'SegEnds_NonXtal_Prot#'!A:AL,22,FALSE)</f>
        <v>45</v>
      </c>
      <c r="AJ67" s="1">
        <f>VLOOKUP(A67,'SegEnds_NonXtal_Prot#'!A:AL,31,FALSE)-VLOOKUP(A67,'SegEnds_NonXtal_Prot#'!A:AL,28,FALSE)</f>
        <v>72</v>
      </c>
      <c r="AK67" s="1">
        <f>VLOOKUP(A67,'SegEnds_NonXtal_Prot#'!A:AL,34,FALSE)-VLOOKUP(A67,'SegEnds_NonXtal_Prot#'!A:AL,31,FALSE)</f>
        <v>36</v>
      </c>
      <c r="AL67" s="1">
        <f>VLOOKUP(A67,'SegEnds_NonXtal_Prot#'!A:AL,37,FALSE)-VLOOKUP(A67,'SegEnds_NonXtal_Prot#'!A:AL,34,FALSE)</f>
        <v>10</v>
      </c>
      <c r="AM67" s="1" t="str">
        <f>IF(ISERROR(MATCH(A67,'SegEnds_Xtal_Prot#'!B:B, 0)), "NoXtal", "Xtal")</f>
        <v>Xtal</v>
      </c>
    </row>
    <row r="68" spans="1:39" x14ac:dyDescent="0.2">
      <c r="A68" s="1" t="s">
        <v>183</v>
      </c>
      <c r="B68" s="1" t="str">
        <f>VLOOKUP(A68,Xtal_Templ!A:B,2,FALSE)</f>
        <v>cnr2_human</v>
      </c>
      <c r="C68" s="5">
        <f>VLOOKUP($B68&amp;"__wt",'SegEnds_Xtal_BW#'!$A:$Z,3,FALSE)</f>
        <v>28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v>48</v>
      </c>
      <c r="J68" s="1"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 t="str">
        <f>VLOOKUP($B68&amp;"__wt",'SegEnds_Xtal_BW#'!$A:$Z,17,FALSE)</f>
        <v>-</v>
      </c>
      <c r="R68" s="1" t="str">
        <f>VLOOKUP($B68&amp;"__wt",'SegEnds_Xtal_BW#'!$A:$Z,18,FALSE)</f>
        <v>-</v>
      </c>
      <c r="S68" s="1">
        <f>VLOOKUP($B68&amp;"__wt",'SegEnds_Xtal_BW#'!$A:$Z,19,FALSE)</f>
        <v>36</v>
      </c>
      <c r="T68" s="1">
        <f t="array" ref="T68">INDEX(ICL3_classA!$G$2:$G$41,MATCH(MIN(ABS(AJ68-ICL3_classA!$F$2:$F$41)),ABS(AJ68-ICL3_classA!$F$2:$F$41),0))</f>
        <v>74</v>
      </c>
      <c r="U68" s="108">
        <v>28</v>
      </c>
      <c r="V68" s="1">
        <f>VLOOKUP($B68&amp;"__wt",'SegEnds_Xtal_BW#'!$A:$Z,22,FALSE)</f>
        <v>61</v>
      </c>
      <c r="W68" s="1">
        <f>VLOOKUP($B68&amp;"__wt",'SegEnds_Xtal_BW#'!$A:$Z,23,FALSE)</f>
        <v>28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63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29</v>
      </c>
      <c r="AC68" s="1">
        <f>VLOOKUP(A68,'SegEnds_NonXtal_Prot#'!A:AL,10,FALSE)-VLOOKUP(A68,'SegEnds_NonXtal_Prot#'!A:AL,7,FALSE)</f>
        <v>16</v>
      </c>
      <c r="AD68" s="1" t="e">
        <f>VLOOKUP(A68,'SegEnds_NonXtal_Prot#'!A:AL,13,FALSE)-VLOOKUP(A68,'SegEnds_NonXtal_Prot#'!A:AL,10,FALSE)</f>
        <v>#VALUE!</v>
      </c>
      <c r="AE68" s="1">
        <f>VLOOKUP(A68,'SegEnds_NonXtal_Prot#'!A:AL,16,FALSE)-VLOOKUP(A68,'SegEnds_NonXtal_Prot#'!A:AL,10,FALSE)</f>
        <v>51</v>
      </c>
      <c r="AF68" s="1">
        <f>VLOOKUP(A68,'SegEnds_NonXtal_Prot#'!A:AL,22,FALSE)-VLOOKUP(A68,'SegEnds_NonXtal_Prot#'!A:AL,19,FALSE)</f>
        <v>20</v>
      </c>
      <c r="AG68" s="1" t="e">
        <f>VLOOKUP(#REF!,'SegEnds_NonXtal_Prot#'!#REF!,28,FALSE)-VLOOKUP(#REF!,'SegEnds_NonXtal_Prot#'!#REF!,25,FALSE)</f>
        <v>#REF!</v>
      </c>
      <c r="AH68" s="1" t="e">
        <f>VLOOKUP(A68,'SegEnds_NonXtal_Prot#'!A:AL,28,FALSE)-VLOOKUP(A68,'SegEnds_NonXtal_Prot#'!A:AL,25,FALSE)</f>
        <v>#VALUE!</v>
      </c>
      <c r="AI68" s="1">
        <f>VLOOKUP(A68,'SegEnds_NonXtal_Prot#'!A:AL,28,FALSE)-VLOOKUP(A68,'SegEnds_NonXtal_Prot#'!A:AL,22,FALSE)</f>
        <v>43</v>
      </c>
      <c r="AJ68" s="1">
        <f>VLOOKUP(A68,'SegEnds_NonXtal_Prot#'!A:AL,31,FALSE)-VLOOKUP(A68,'SegEnds_NonXtal_Prot#'!A:AL,28,FALSE)</f>
        <v>59</v>
      </c>
      <c r="AK68" s="1">
        <f>VLOOKUP(A68,'SegEnds_NonXtal_Prot#'!A:AL,34,FALSE)-VLOOKUP(A68,'SegEnds_NonXtal_Prot#'!A:AL,31,FALSE)</f>
        <v>36</v>
      </c>
      <c r="AL68" s="1">
        <f>VLOOKUP(A68,'SegEnds_NonXtal_Prot#'!A:AL,37,FALSE)-VLOOKUP(A68,'SegEnds_NonXtal_Prot#'!A:AL,34,FALSE)</f>
        <v>10</v>
      </c>
      <c r="AM68" s="1" t="str">
        <f>IF(ISERROR(MATCH(A68,'SegEnds_Xtal_Prot#'!B:B, 0)), "NoXtal", "Xtal")</f>
        <v>Xtal</v>
      </c>
    </row>
    <row r="69" spans="1:39" x14ac:dyDescent="0.2">
      <c r="A69" s="1" t="s">
        <v>192</v>
      </c>
      <c r="B69" s="1" t="str">
        <f>VLOOKUP(A69,Xtal_Templ!A:B,2,FALSE)</f>
        <v>drd3_human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58</v>
      </c>
      <c r="O69" s="87">
        <f>VLOOKUP($B69&amp;"__wt",'SegEnds_Xtal_BW#'!$A:$Z,15,FALSE)</f>
        <v>38</v>
      </c>
      <c r="P69" s="1">
        <f>VLOOKUP($B69&amp;"__wt",'SegEnds_Xtal_BW#'!$A:$Z,16,FALSE)</f>
        <v>63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INDEX(ICL3_classA!$G$2:$G$41,MATCH(MIN(ABS(AJ69-ICL3_classA!$F$2:$F$41)),ABS(AJ69-ICL3_classA!$F$2:$F$41),0))</f>
        <v>76</v>
      </c>
      <c r="U69" s="1">
        <f t="array" ref="U69">INDEX(ICL3_classA!$H$2:$H$41,MATCH(MIN(ABS(AJ69-ICL3_classA!$F$2:$F$41)),ABS(AJ69-ICL3_classA!$F$2:$F$41),0))</f>
        <v>24</v>
      </c>
      <c r="V69" s="1">
        <f>VLOOKUP($B69&amp;"__wt",'SegEnds_Xtal_BW#'!$A:$Z,22,FALSE)</f>
        <v>60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21</v>
      </c>
      <c r="AE69" s="1">
        <f>VLOOKUP(A69,'SegEnds_NonXtal_Prot#'!A:AL,16,FALSE)-VLOOKUP(A69,'SegEnds_NonXtal_Prot#'!A:AL,10,FALSE)</f>
        <v>53</v>
      </c>
      <c r="AF69" s="1">
        <f>VLOOKUP(A69,'SegEnds_NonXtal_Prot#'!A:AL,22,FALSE)-VLOOKUP(A69,'SegEnds_NonXtal_Prot#'!A:AL,19,FALSE)</f>
        <v>23</v>
      </c>
      <c r="AG69" s="1" t="e">
        <f>VLOOKUP(#REF!,'SegEnds_NonXtal_Prot#'!#REF!,28,FALSE)-VLOOKUP(#REF!,'SegEnds_NonXtal_Prot#'!#REF!,25,FALSE)</f>
        <v>#REF!</v>
      </c>
      <c r="AH69" s="1">
        <f>VLOOKUP(A69,'SegEnds_NonXtal_Prot#'!A:AL,28,FALSE)-VLOOKUP(A69,'SegEnds_NonXtal_Prot#'!A:AL,25,FALSE)</f>
        <v>19</v>
      </c>
      <c r="AI69" s="1">
        <f>VLOOKUP(A69,'SegEnds_NonXtal_Prot#'!A:AL,28,FALSE)-VLOOKUP(A69,'SegEnds_NonXtal_Prot#'!A:AL,22,FALSE)</f>
        <v>42</v>
      </c>
      <c r="AJ69" s="1">
        <f>VLOOKUP(A69,'SegEnds_NonXtal_Prot#'!A:AL,31,FALSE)-VLOOKUP(A69,'SegEnds_NonXtal_Prot#'!A:AL,28,FALSE)</f>
        <v>144</v>
      </c>
      <c r="AK69" s="1">
        <f>VLOOKUP(A69,'SegEnds_NonXtal_Prot#'!A:AL,34,FALSE)-VLOOKUP(A69,'SegEnds_NonXtal_Prot#'!A:AL,31,FALSE)</f>
        <v>36</v>
      </c>
      <c r="AL69" s="1">
        <f>VLOOKUP(A69,'SegEnds_NonXtal_Prot#'!A:AL,37,FALSE)-VLOOKUP(A69,'SegEnds_NonXtal_Prot#'!A:AL,34,FALSE)</f>
        <v>10</v>
      </c>
      <c r="AM69" s="1" t="str">
        <f>IF(ISERROR(MATCH(A69,'SegEnds_Xtal_Prot#'!B:B, 0)), "NoXtal", "Xtal")</f>
        <v>Xtal</v>
      </c>
    </row>
    <row r="70" spans="1:39" x14ac:dyDescent="0.2">
      <c r="A70" s="1" t="s">
        <v>193</v>
      </c>
      <c r="B70" s="1" t="str">
        <f>VLOOKUP(A70,Xtal_Templ!A:B,2,FALSE)</f>
        <v>drd4_human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38</v>
      </c>
      <c r="H70" s="12">
        <f>VLOOKUP($B70&amp;"__wt",'SegEnds_Xtal_BW#'!$A:$Z,8,FALSE)</f>
        <v>68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19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INDEX(ICL3_classA!$G$2:$G$41,MATCH(MIN(ABS(AJ70-ICL3_classA!$F$2:$F$41)),ABS(AJ70-ICL3_classA!$F$2:$F$41),0))</f>
        <v>75</v>
      </c>
      <c r="U70" s="1">
        <f t="array" ref="U70">INDEX(ICL3_classA!$H$2:$H$41,MATCH(MIN(ABS(AJ70-ICL3_classA!$F$2:$F$41)),ABS(AJ70-ICL3_classA!$F$2:$F$41),0))</f>
        <v>24</v>
      </c>
      <c r="V70" s="1">
        <f>VLOOKUP($B70&amp;"__wt",'SegEnds_Xtal_BW#'!$A:$Z,22,FALSE)</f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21</v>
      </c>
      <c r="AE70" s="1">
        <f>VLOOKUP(A70,'SegEnds_NonXtal_Prot#'!A:AL,16,FALSE)-VLOOKUP(A70,'SegEnds_NonXtal_Prot#'!A:AL,10,FALSE)</f>
        <v>53</v>
      </c>
      <c r="AF70" s="1">
        <f>VLOOKUP(A70,'SegEnds_NonXtal_Prot#'!A:AL,22,FALSE)-VLOOKUP(A70,'SegEnds_NonXtal_Prot#'!A:AL,19,FALSE)</f>
        <v>20</v>
      </c>
      <c r="AG70" s="1" t="e">
        <f>VLOOKUP(#REF!,'SegEnds_NonXtal_Prot#'!#REF!,28,FALSE)-VLOOKUP(#REF!,'SegEnds_NonXtal_Prot#'!#REF!,25,FALSE)</f>
        <v>#REF!</v>
      </c>
      <c r="AH70" s="1">
        <f>VLOOKUP(A70,'SegEnds_NonXtal_Prot#'!A:AL,28,FALSE)-VLOOKUP(A70,'SegEnds_NonXtal_Prot#'!A:AL,25,FALSE)</f>
        <v>19</v>
      </c>
      <c r="AI70" s="1">
        <f>VLOOKUP(A70,'SegEnds_NonXtal_Prot#'!A:AL,28,FALSE)-VLOOKUP(A70,'SegEnds_NonXtal_Prot#'!A:AL,22,FALSE)</f>
        <v>44</v>
      </c>
      <c r="AJ70" s="1">
        <f>VLOOKUP(A70,'SegEnds_NonXtal_Prot#'!A:AL,31,FALSE)-VLOOKUP(A70,'SegEnds_NonXtal_Prot#'!A:AL,28,FALSE)</f>
        <v>205</v>
      </c>
      <c r="AK70" s="1">
        <f>VLOOKUP(A70,'SegEnds_NonXtal_Prot#'!A:AL,34,FALSE)-VLOOKUP(A70,'SegEnds_NonXtal_Prot#'!A:AL,31,FALSE)</f>
        <v>36</v>
      </c>
      <c r="AL70" s="1">
        <f>VLOOKUP(A70,'SegEnds_NonXtal_Prot#'!A:AL,37,FALSE)-VLOOKUP(A70,'SegEnds_NonXtal_Prot#'!A:AL,34,FALSE)</f>
        <v>10</v>
      </c>
      <c r="AM70" s="1" t="str">
        <f>IF(ISERROR(MATCH(A70,'SegEnds_Xtal_Prot#'!B:B, 0)), "NoXtal", "Xtal")</f>
        <v>Xtal</v>
      </c>
    </row>
    <row r="71" spans="1:39" x14ac:dyDescent="0.2">
      <c r="A71" s="1" t="s">
        <v>1688</v>
      </c>
      <c r="B71" s="1" t="str">
        <f>VLOOKUP(A71,Xtal_Templ!A:B,2,FALSE)</f>
        <v>drd4_mouse</v>
      </c>
      <c r="C71" s="5">
        <f>VLOOKUP($B71&amp;"__wt",'SegEnds_Xtal_BW#'!$A:$Z,3,FALSE)</f>
        <v>29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39</v>
      </c>
      <c r="H71" s="12">
        <f>VLOOKUP($B71&amp;"__wt",'SegEnds_Xtal_BW#'!$A:$Z,8,FALSE)</f>
        <v>68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20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53</v>
      </c>
      <c r="O71" s="87">
        <f>VLOOKUP($B71&amp;"__wt",'SegEnds_Xtal_BW#'!$A:$Z,15,FALSE)</f>
        <v>36</v>
      </c>
      <c r="P71" s="1">
        <f>VLOOKUP($B71&amp;"__wt",'SegEnds_Xtal_BW#'!$A:$Z,16,FALSE)</f>
        <v>63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INDEX(ICL3_classA!$G$2:$G$41,MATCH(MIN(ABS(AJ71-ICL3_classA!$F$2:$F$41)),ABS(AJ71-ICL3_classA!$F$2:$F$41),0))</f>
        <v>76</v>
      </c>
      <c r="U71" s="1">
        <f t="array" ref="U71">INDEX(ICL3_classA!$H$2:$H$41,MATCH(MIN(ABS(AJ71-ICL3_classA!$F$2:$F$41)),ABS(AJ71-ICL3_classA!$F$2:$F$41),0))</f>
        <v>24</v>
      </c>
      <c r="V71" s="1">
        <f>VLOOKUP($B71&amp;"__wt",'SegEnds_Xtal_BW#'!$A:$Z,22,FALSE)</f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21</v>
      </c>
      <c r="AE71" s="1">
        <f>VLOOKUP(A71,'SegEnds_NonXtal_Prot#'!A:AL,16,FALSE)-VLOOKUP(A71,'SegEnds_NonXtal_Prot#'!A:AL,10,FALSE)</f>
        <v>53</v>
      </c>
      <c r="AF71" s="1">
        <f>VLOOKUP(A71,'SegEnds_NonXtal_Prot#'!A:AL,22,FALSE)-VLOOKUP(A71,'SegEnds_NonXtal_Prot#'!A:AL,19,FALSE)</f>
        <v>18</v>
      </c>
      <c r="AG71" s="1">
        <f>VLOOKUP(A71,'SegEnds_NonXtal_Prot#'!A:AL,28,FALSE)-VLOOKUP(A71,'SegEnds_NonXtal_Prot#'!A:AL,25,FALSE)</f>
        <v>19</v>
      </c>
      <c r="AH71" s="1">
        <f>VLOOKUP(A71,'SegEnds_NonXtal_Prot#'!A:AL,28,FALSE)-VLOOKUP(A71,'SegEnds_NonXtal_Prot#'!A:AL,25,FALSE)</f>
        <v>19</v>
      </c>
      <c r="AI71" s="1">
        <f>VLOOKUP(A71,'SegEnds_NonXtal_Prot#'!A:AL,28,FALSE)-VLOOKUP(A71,'SegEnds_NonXtal_Prot#'!A:AL,22,FALSE)</f>
        <v>44</v>
      </c>
      <c r="AJ71" s="1">
        <f>VLOOKUP(A71,'SegEnds_NonXtal_Prot#'!A:AL,31,FALSE)-VLOOKUP(A71,'SegEnds_NonXtal_Prot#'!A:AL,28,FALSE)</f>
        <v>130</v>
      </c>
      <c r="AK71" s="1">
        <f>VLOOKUP(A71,'SegEnds_NonXtal_Prot#'!A:AL,34,FALSE)-VLOOKUP(A71,'SegEnds_NonXtal_Prot#'!A:AL,31,FALSE)</f>
        <v>36</v>
      </c>
      <c r="AL71" s="1">
        <f>VLOOKUP(A71,'SegEnds_NonXtal_Prot#'!A:AL,37,FALSE)-VLOOKUP(A71,'SegEnds_NonXtal_Prot#'!A:AL,34,FALSE)</f>
        <v>10</v>
      </c>
      <c r="AM71" s="1" t="str">
        <f>IF(ISERROR(MATCH(A71,'SegEnds_Xtal_Prot#'!B:B, 0)), "NoXtal", "Xtal")</f>
        <v>Xtal</v>
      </c>
    </row>
    <row r="72" spans="1:39" x14ac:dyDescent="0.2">
      <c r="A72" s="1" t="s">
        <v>203</v>
      </c>
      <c r="B72" s="1" t="str">
        <f>VLOOKUP(A72,Xtal_Templ!A:B,2,FALSE)</f>
        <v>aa2ar_human</v>
      </c>
      <c r="C72" s="5">
        <f>VLOOKUP($B72&amp;"__wt",'SegEnds_Xtal_BW#'!$A:$Z,3,FALSE)</f>
        <v>27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63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34</v>
      </c>
      <c r="T72" s="1">
        <f t="array" ref="T72">INDEX(ICL3_classA!$G$2:$G$41,MATCH(MIN(ABS(AJ72-ICL3_classA!$F$2:$F$41)),ABS(AJ72-ICL3_classA!$F$2:$F$41),0))</f>
        <v>67</v>
      </c>
      <c r="U72" s="1">
        <f t="array" ref="U72">INDEX(ICL3_classA!$H$2:$H$41,MATCH(MIN(ABS(AJ72-ICL3_classA!$F$2:$F$41)),ABS(AJ72-ICL3_classA!$F$2:$F$41),0))</f>
        <v>26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69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14</v>
      </c>
      <c r="AD72" s="1">
        <f>VLOOKUP(A72,'SegEnds_NonXtal_Prot#'!A:AL,13,FALSE)-VLOOKUP(A72,'SegEnds_NonXtal_Prot#'!A:AL,10,FALSE)</f>
        <v>28</v>
      </c>
      <c r="AE72" s="1">
        <f>VLOOKUP(A72,'SegEnds_NonXtal_Prot#'!A:AL,16,FALSE)-VLOOKUP(A72,'SegEnds_NonXtal_Prot#'!A:AL,10,FALSE)</f>
        <v>59</v>
      </c>
      <c r="AF72" s="1">
        <f>VLOOKUP(A72,'SegEnds_NonXtal_Prot#'!A:AL,22,FALSE)-VLOOKUP(A72,'SegEnds_NonXtal_Prot#'!A:AL,19,FALSE)</f>
        <v>20</v>
      </c>
      <c r="AG72" s="1" t="e">
        <f>VLOOKUP(#REF!,'SegEnds_NonXtal_Prot#'!#REF!,28,FALSE)-VLOOKUP(#REF!,'SegEnds_NonXtal_Prot#'!#REF!,25,FALSE)</f>
        <v>#REF!</v>
      </c>
      <c r="AH72" s="1">
        <f>VLOOKUP(A72,'SegEnds_NonXtal_Prot#'!A:AL,28,FALSE)-VLOOKUP(A72,'SegEnds_NonXtal_Prot#'!A:AL,25,FALSE)</f>
        <v>24</v>
      </c>
      <c r="AI72" s="1">
        <f>VLOOKUP(A72,'SegEnds_NonXtal_Prot#'!A:AL,28,FALSE)-VLOOKUP(A72,'SegEnds_NonXtal_Prot#'!A:AL,22,FALSE)</f>
        <v>47</v>
      </c>
      <c r="AJ72" s="1">
        <f>VLOOKUP(A72,'SegEnds_NonXtal_Prot#'!A:AL,31,FALSE)-VLOOKUP(A72,'SegEnds_NonXtal_Prot#'!A:AL,28,FALSE)</f>
        <v>46</v>
      </c>
      <c r="AK72" s="1">
        <f>VLOOKUP(A72,'SegEnds_NonXtal_Prot#'!A:AL,34,FALSE)-VLOOKUP(A72,'SegEnds_NonXtal_Prot#'!A:AL,31,FALSE)</f>
        <v>36</v>
      </c>
      <c r="AL72" s="1">
        <f>VLOOKUP(A72,'SegEnds_NonXtal_Prot#'!A:AL,37,FALSE)-VLOOKUP(A72,'SegEnds_NonXtal_Prot#'!A:AL,34,FALSE)</f>
        <v>10</v>
      </c>
      <c r="AM72" s="1" t="str">
        <f>IF(ISERROR(MATCH(A72,'SegEnds_Xtal_Prot#'!B:B, 0)), "NoXtal", "Xtal")</f>
        <v>NoXtal</v>
      </c>
    </row>
    <row r="73" spans="1:39" x14ac:dyDescent="0.2">
      <c r="A73" s="1" t="s">
        <v>212</v>
      </c>
      <c r="B73" s="1" t="str">
        <f>VLOOKUP(A73,Xtal_Templ!A:B,2,FALSE)</f>
        <v>aa1r_human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08">
        <v>66</v>
      </c>
      <c r="I73" s="1">
        <f>VLOOKUP($B73&amp;"__wt",'SegEnds_Xtal_BW#'!$A:$Z,9,FALSE)</f>
        <v>50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v>38</v>
      </c>
      <c r="P73" s="1">
        <f>VLOOKUP($B73&amp;"__wt",'SegEnds_Xtal_BW#'!$A:$Z,16,FALSE)</f>
        <v>63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v>35</v>
      </c>
      <c r="T73" s="1">
        <f t="array" ref="T73">INDEX(ICL3_classA!$G$2:$G$41,MATCH(MIN(ABS(AJ73-ICL3_classA!$F$2:$F$41)),ABS(AJ73-ICL3_classA!$F$2:$F$41),0))</f>
        <v>81</v>
      </c>
      <c r="U73" s="1">
        <f t="array" ref="U73">INDEX(ICL3_classA!$H$2:$H$41,MATCH(MIN(ABS(AJ73-ICL3_classA!$F$2:$F$41)),ABS(AJ73-ICL3_classA!$F$2:$F$41),0))</f>
        <v>23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69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29</v>
      </c>
      <c r="AC73" s="1" t="e">
        <f>VLOOKUP(A73,'SegEnds_NonXtal_Prot#'!A:AL,10,FALSE)-VLOOKUP(A73,'SegEnds_NonXtal_Prot#'!A:AL,7,FALSE)</f>
        <v>#VALUE!</v>
      </c>
      <c r="AD73" s="1" t="e">
        <f>VLOOKUP(A73,'SegEnds_NonXtal_Prot#'!A:AL,13,FALSE)-VLOOKUP(A73,'SegEnds_NonXtal_Prot#'!A:AL,10,FALSE)</f>
        <v>#VALUE!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20</v>
      </c>
      <c r="AG73" s="1" t="e">
        <f>VLOOKUP(#REF!,'SegEnds_NonXtal_Prot#'!#REF!,28,FALSE)-VLOOKUP(#REF!,'SegEnds_NonXtal_Prot#'!#REF!,25,FALSE)</f>
        <v>#REF!</v>
      </c>
      <c r="AH73" s="1">
        <f>VLOOKUP(A73,'SegEnds_NonXtal_Prot#'!A:AL,28,FALSE)-VLOOKUP(A73,'SegEnds_NonXtal_Prot#'!A:AL,25,FALSE)</f>
        <v>21</v>
      </c>
      <c r="AI73" s="1">
        <f>VLOOKUP(A73,'SegEnds_NonXtal_Prot#'!A:AL,28,FALSE)-VLOOKUP(A73,'SegEnds_NonXtal_Prot#'!A:AL,22,FALSE)</f>
        <v>46</v>
      </c>
      <c r="AJ73" s="1">
        <f>VLOOKUP(A73,'SegEnds_NonXtal_Prot#'!A:AL,31,FALSE)-VLOOKUP(A73,'SegEnds_NonXtal_Prot#'!A:AL,28,FALSE)</f>
        <v>64</v>
      </c>
      <c r="AK73" s="1">
        <f>VLOOKUP(A73,'SegEnds_NonXtal_Prot#'!A:AL,34,FALSE)-VLOOKUP(A73,'SegEnds_NonXtal_Prot#'!A:AL,31,FALSE)</f>
        <v>36</v>
      </c>
      <c r="AL73" s="1">
        <f>VLOOKUP(A73,'SegEnds_NonXtal_Prot#'!A:AL,37,FALSE)-VLOOKUP(A73,'SegEnds_NonXtal_Prot#'!A:AL,34,FALSE)</f>
        <v>10</v>
      </c>
      <c r="AM73" s="1" t="str">
        <f>IF(ISERROR(MATCH(A73,'SegEnds_Xtal_Prot#'!B:B, 0)), "NoXtal", "Xtal")</f>
        <v>NoXtal</v>
      </c>
    </row>
    <row r="74" spans="1:39" x14ac:dyDescent="0.2">
      <c r="A74" s="1" t="s">
        <v>226</v>
      </c>
      <c r="B74" s="1" t="str">
        <f>VLOOKUP(A74,Xtal_Templ!A:B,2,FALSE)</f>
        <v>5ht1b_human</v>
      </c>
      <c r="C74" s="5">
        <f>VLOOKUP($B74&amp;"__wt",'SegEnds_Xtal_BW#'!$A:$Z,3,FALSE)</f>
        <v>28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68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v>38</v>
      </c>
      <c r="P74" s="1">
        <v>63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INDEX(ICL3_classA!$G$2:$G$41,MATCH(MIN(ABS(AJ74-ICL3_classA!$F$2:$F$41)),ABS(AJ74-ICL3_classA!$F$2:$F$41),0))</f>
        <v>76</v>
      </c>
      <c r="U74" s="1">
        <f t="array" ref="U74">INDEX(ICL3_classA!$H$2:$H$41,MATCH(MIN(ABS(AJ74-ICL3_classA!$F$2:$F$41)),ABS(AJ74-ICL3_classA!$F$2:$F$41),0))</f>
        <v>24</v>
      </c>
      <c r="V74" s="1">
        <v>61</v>
      </c>
      <c r="W74" s="1">
        <v>31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58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20</v>
      </c>
      <c r="AG74" s="1" t="e">
        <f>VLOOKUP(#REF!,'SegEnds_NonXtal_Prot#'!#REF!,28,FALSE)-VLOOKUP(#REF!,'SegEnds_NonXtal_Prot#'!#REF!,25,FALSE)</f>
        <v>#REF!</v>
      </c>
      <c r="AH74" s="1">
        <f>VLOOKUP(A74,'SegEnds_NonXtal_Prot#'!A:AL,28,FALSE)-VLOOKUP(A74,'SegEnds_NonXtal_Prot#'!A:AL,25,FALSE)</f>
        <v>22</v>
      </c>
      <c r="AI74" s="1">
        <f>VLOOKUP(A74,'SegEnds_NonXtal_Prot#'!A:AL,28,FALSE)-VLOOKUP(A74,'SegEnds_NonXtal_Prot#'!A:AL,22,FALSE)</f>
        <v>48</v>
      </c>
      <c r="AJ74" s="1">
        <f>VLOOKUP(A74,'SegEnds_NonXtal_Prot#'!A:AL,31,FALSE)-VLOOKUP(A74,'SegEnds_NonXtal_Prot#'!A:AL,28,FALSE)</f>
        <v>85</v>
      </c>
      <c r="AK74" s="1">
        <f>VLOOKUP(A74,'SegEnds_NonXtal_Prot#'!A:AL,34,FALSE)-VLOOKUP(A74,'SegEnds_NonXtal_Prot#'!A:AL,31,FALSE)</f>
        <v>36</v>
      </c>
      <c r="AL74" s="1">
        <f>VLOOKUP(A74,'SegEnds_NonXtal_Prot#'!A:AL,37,FALSE)-VLOOKUP(A74,'SegEnds_NonXtal_Prot#'!A:AL,34,FALSE)</f>
        <v>10</v>
      </c>
      <c r="AM74" s="1" t="str">
        <f>IF(ISERROR(MATCH(A74,'SegEnds_Xtal_Prot#'!B:B, 0)), "NoXtal", "Xtal")</f>
        <v>NoXtal</v>
      </c>
    </row>
    <row r="75" spans="1:39" x14ac:dyDescent="0.2">
      <c r="A75" s="1" t="s">
        <v>229</v>
      </c>
      <c r="B75" s="1" t="str">
        <f>VLOOKUP(A75,Xtal_Templ!A:B,2,FALSE)</f>
        <v>5ht2a_human</v>
      </c>
      <c r="C75" s="5">
        <f>VLOOKUP($B75&amp;"__wt",'SegEnds_Xtal_BW#'!$A:$Z,3,FALSE)</f>
        <v>27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68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67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INDEX(ICL3_classA!$G$2:$G$41,MATCH(MIN(ABS(AJ75-ICL3_classA!$F$2:$F$41)),ABS(AJ75-ICL3_classA!$F$2:$F$41),0))</f>
        <v>81</v>
      </c>
      <c r="U75" s="1">
        <f t="array" ref="U75">INDEX(ICL3_classA!$H$2:$H$41,MATCH(MIN(ABS(AJ75-ICL3_classA!$F$2:$F$41)),ABS(AJ75-ICL3_classA!$F$2:$F$41),0))</f>
        <v>23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60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21</v>
      </c>
      <c r="AE75" s="1">
        <f>VLOOKUP(A75,'SegEnds_NonXtal_Prot#'!A:AL,16,FALSE)-VLOOKUP(A75,'SegEnds_NonXtal_Prot#'!A:AL,10,FALSE)</f>
        <v>53</v>
      </c>
      <c r="AF75" s="1">
        <f>VLOOKUP(A75,'SegEnds_NonXtal_Prot#'!A:AL,22,FALSE)-VLOOKUP(A75,'SegEnds_NonXtal_Prot#'!A:AL,19,FALSE)</f>
        <v>20</v>
      </c>
      <c r="AG75" s="1" t="e">
        <f>VLOOKUP(#REF!,'SegEnds_NonXtal_Prot#'!#REF!,28,FALSE)-VLOOKUP(#REF!,'SegEnds_NonXtal_Prot#'!#REF!,25,FALSE)</f>
        <v>#REF!</v>
      </c>
      <c r="AH75" s="1">
        <f>VLOOKUP(A75,'SegEnds_NonXtal_Prot#'!A:AL,28,FALSE)-VLOOKUP(A75,'SegEnds_NonXtal_Prot#'!A:AL,25,FALSE)</f>
        <v>61</v>
      </c>
      <c r="AI75" s="1">
        <f>VLOOKUP(A75,'SegEnds_NonXtal_Prot#'!A:AL,28,FALSE)-VLOOKUP(A75,'SegEnds_NonXtal_Prot#'!A:AL,22,FALSE)</f>
        <v>87</v>
      </c>
      <c r="AJ75" s="1">
        <f>VLOOKUP(A75,'SegEnds_NonXtal_Prot#'!A:AL,31,FALSE)-VLOOKUP(A75,'SegEnds_NonXtal_Prot#'!A:AL,28,FALSE)</f>
        <v>66</v>
      </c>
      <c r="AK75" s="1">
        <f>VLOOKUP(A75,'SegEnds_NonXtal_Prot#'!A:AL,34,FALSE)-VLOOKUP(A75,'SegEnds_NonXtal_Prot#'!A:AL,31,FALSE)</f>
        <v>36</v>
      </c>
      <c r="AL75" s="1">
        <f>VLOOKUP(A75,'SegEnds_NonXtal_Prot#'!A:AL,37,FALSE)-VLOOKUP(A75,'SegEnds_NonXtal_Prot#'!A:AL,34,FALSE)</f>
        <v>10</v>
      </c>
      <c r="AM75" s="1" t="str">
        <f>IF(ISERROR(MATCH(A75,'SegEnds_Xtal_Prot#'!B:B, 0)), "NoXtal", "Xtal")</f>
        <v>NoXtal</v>
      </c>
    </row>
    <row r="76" spans="1:39" x14ac:dyDescent="0.2">
      <c r="A76" s="1" t="s">
        <v>231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68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56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33</v>
      </c>
      <c r="T76" s="1">
        <f t="array" ref="T76">INDEX(ICL3_classA!$G$2:$G$41,MATCH(MIN(ABS(AJ76-ICL3_classA!$F$2:$F$41)),ABS(AJ76-ICL3_classA!$F$2:$F$41),0))</f>
        <v>81</v>
      </c>
      <c r="U76" s="1">
        <f t="array" ref="U76">INDEX(ICL3_classA!$H$2:$H$41,MATCH(MIN(ABS(AJ76-ICL3_classA!$F$2:$F$41)),ABS(AJ76-ICL3_classA!$F$2:$F$41),0))</f>
        <v>23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63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22</v>
      </c>
      <c r="AE76" s="1">
        <f>VLOOKUP(A76,'SegEnds_NonXtal_Prot#'!A:AL,16,FALSE)-VLOOKUP(A76,'SegEnds_NonXtal_Prot#'!A:AL,10,FALSE)</f>
        <v>55</v>
      </c>
      <c r="AF76" s="1" t="e">
        <f>VLOOKUP(A76,'SegEnds_NonXtal_Prot#'!A:AL,22,FALSE)-VLOOKUP(A76,'SegEnds_NonXtal_Prot#'!A:AL,19,FALSE)</f>
        <v>#VALUE!</v>
      </c>
      <c r="AG76" s="1" t="e">
        <f>VLOOKUP(#REF!,'SegEnds_NonXtal_Prot#'!#REF!,28,FALSE)-VLOOKUP(#REF!,'SegEnds_NonXtal_Prot#'!#REF!,25,FALSE)</f>
        <v>#REF!</v>
      </c>
      <c r="AH76" s="1">
        <f>VLOOKUP(A76,'SegEnds_NonXtal_Prot#'!A:AL,28,FALSE)-VLOOKUP(A76,'SegEnds_NonXtal_Prot#'!A:AL,25,FALSE)</f>
        <v>25</v>
      </c>
      <c r="AI76" s="1">
        <f>VLOOKUP(A76,'SegEnds_NonXtal_Prot#'!A:AL,28,FALSE)-VLOOKUP(A76,'SegEnds_NonXtal_Prot#'!A:AL,22,FALSE)</f>
        <v>50</v>
      </c>
      <c r="AJ76" s="1">
        <f>VLOOKUP(A76,'SegEnds_NonXtal_Prot#'!A:AL,31,FALSE)-VLOOKUP(A76,'SegEnds_NonXtal_Prot#'!A:AL,28,FALSE)</f>
        <v>64</v>
      </c>
      <c r="AK76" s="1">
        <f>VLOOKUP(A76,'SegEnds_NonXtal_Prot#'!A:AL,34,FALSE)-VLOOKUP(A76,'SegEnds_NonXtal_Prot#'!A:AL,31,FALSE)</f>
        <v>36</v>
      </c>
      <c r="AL76" s="1">
        <f>VLOOKUP(A76,'SegEnds_NonXtal_Prot#'!A:AL,37,FALSE)-VLOOKUP(A76,'SegEnds_NonXtal_Prot#'!A:AL,34,FALSE)</f>
        <v>10</v>
      </c>
      <c r="AM76" s="1" t="str">
        <f>IF(ISERROR(MATCH(A76,'SegEnds_Xtal_Prot#'!B:B, 0)), "NoXtal", "Xtal")</f>
        <v>NoXtal</v>
      </c>
    </row>
    <row r="77" spans="1:39" x14ac:dyDescent="0.2">
      <c r="A77" s="1" t="s">
        <v>240</v>
      </c>
      <c r="B77" s="1" t="str">
        <f>VLOOKUP(A77,Xtal_Templ!A:B,2,FALSE)</f>
        <v>ccr7_human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33</v>
      </c>
      <c r="T77" s="1">
        <f t="array" ref="T77">INDEX(ICL3_classA!$G$2:$G$41,MATCH(MIN(ABS(AJ77-ICL3_classA!$F$2:$F$41)),ABS(AJ77-ICL3_classA!$F$2:$F$41),0))</f>
        <v>68</v>
      </c>
      <c r="U77" s="1">
        <f t="array" ref="U77">INDEX(ICL3_classA!$H$2:$H$41,MATCH(MIN(ABS(AJ77-ICL3_classA!$F$2:$F$41)),ABS(AJ77-ICL3_classA!$F$2:$F$41),0))</f>
        <v>24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19</v>
      </c>
      <c r="AE77" s="1">
        <f>VLOOKUP(A77,'SegEnds_NonXtal_Prot#'!A:AL,16,FALSE)-VLOOKUP(A77,'SegEnds_NonXtal_Prot#'!A:AL,10,FALSE)</f>
        <v>51</v>
      </c>
      <c r="AF77" s="1">
        <f>VLOOKUP(A77,'SegEnds_NonXtal_Prot#'!A:AL,22,FALSE)-VLOOKUP(A77,'SegEnds_NonXtal_Prot#'!A:AL,19,FALSE)</f>
        <v>20</v>
      </c>
      <c r="AG77" s="1" t="e">
        <f>VLOOKUP(#REF!,'SegEnds_NonXtal_Prot#'!#REF!,28,FALSE)-VLOOKUP(#REF!,'SegEnds_NonXtal_Prot#'!#REF!,25,FALSE)</f>
        <v>#REF!</v>
      </c>
      <c r="AH77" s="1">
        <f>VLOOKUP(A77,'SegEnds_NonXtal_Prot#'!A:AL,28,FALSE)-VLOOKUP(A77,'SegEnds_NonXtal_Prot#'!A:AL,25,FALSE)</f>
        <v>27</v>
      </c>
      <c r="AI77" s="1">
        <f>VLOOKUP(A77,'SegEnds_NonXtal_Prot#'!A:AL,28,FALSE)-VLOOKUP(A77,'SegEnds_NonXtal_Prot#'!A:AL,22,FALSE)</f>
        <v>53</v>
      </c>
      <c r="AJ77" s="1">
        <f>VLOOKUP(A77,'SegEnds_NonXtal_Prot#'!A:AL,31,FALSE)-VLOOKUP(A77,'SegEnds_NonXtal_Prot#'!A:AL,28,FALSE)</f>
        <v>48</v>
      </c>
      <c r="AK77" s="1">
        <f>VLOOKUP(A77,'SegEnds_NonXtal_Prot#'!A:AL,34,FALSE)-VLOOKUP(A77,'SegEnds_NonXtal_Prot#'!A:AL,31,FALSE)</f>
        <v>36</v>
      </c>
      <c r="AL77" s="1">
        <f>VLOOKUP(A77,'SegEnds_NonXtal_Prot#'!A:AL,37,FALSE)-VLOOKUP(A77,'SegEnds_NonXtal_Prot#'!A:AL,34,FALSE)</f>
        <v>10</v>
      </c>
      <c r="AM77" s="1" t="str">
        <f>IF(ISERROR(MATCH(A77,'SegEnds_Xtal_Prot#'!B:B, 0)), "NoXtal", "Xtal")</f>
        <v>NoXtal</v>
      </c>
    </row>
    <row r="78" spans="1:39" x14ac:dyDescent="0.2">
      <c r="A78" s="4" t="s">
        <v>241</v>
      </c>
      <c r="B78" s="4" t="str">
        <f>VLOOKUP(A78,Xtal_Templ!A:B,2,FALSE)</f>
        <v>ox2r_human</v>
      </c>
      <c r="C78" s="5">
        <f>VLOOKUP($B78&amp;"__wt",'SegEnds_Xtal_BW#'!$A:$Z,3,FALSE)</f>
        <v>31</v>
      </c>
      <c r="D78" s="4">
        <f>VLOOKUP($B78&amp;"__wt",'SegEnds_Xtal_BW#'!$A:$Z,4,FALSE)</f>
        <v>60</v>
      </c>
      <c r="E78" s="4">
        <f>VLOOKUP($B78&amp;"__wt",'SegEnds_Xtal_BW#'!$A:$Z,5,FALSE)</f>
        <v>48</v>
      </c>
      <c r="F78" s="4">
        <f>VLOOKUP($B78&amp;"__wt",'SegEnds_Xtal_BW#'!$A:$Z,6,FALSE)</f>
        <v>51</v>
      </c>
      <c r="G78" s="4">
        <v>37</v>
      </c>
      <c r="H78" s="12">
        <f>VLOOKUP($B78&amp;"__wt",'SegEnds_Xtal_BW#'!$A:$Z,8,FALSE)</f>
        <v>68</v>
      </c>
      <c r="I78" s="4">
        <f>VLOOKUP($B78&amp;"__wt",'SegEnds_Xtal_BW#'!$A:$Z,9,FALSE)</f>
        <v>49</v>
      </c>
      <c r="J78" s="4">
        <f>VLOOKUP($B78&amp;"__wt",'SegEnds_Xtal_BW#'!$A:$Z,10,FALSE)</f>
        <v>52</v>
      </c>
      <c r="K78" s="11">
        <v>18</v>
      </c>
      <c r="L78" s="4">
        <f>VLOOKUP($B78&amp;"__wt",'SegEnds_Xtal_BW#'!$A:$Z,12,FALSE)</f>
        <v>56</v>
      </c>
      <c r="M78" s="4">
        <f>VLOOKUP($B78&amp;"__wt",'SegEnds_Xtal_BW#'!$A:$Z,13,FALSE)</f>
        <v>50</v>
      </c>
      <c r="N78" s="11">
        <v>53</v>
      </c>
      <c r="O78" s="87">
        <f>VLOOKUP($B78&amp;"__wt",'SegEnds_Xtal_BW#'!$A:$Z,15,FALSE)</f>
        <v>38</v>
      </c>
      <c r="P78" s="4">
        <f>VLOOKUP($B78&amp;"__wt",'SegEnds_Xtal_BW#'!$A:$Z,16,FALSE)</f>
        <v>64</v>
      </c>
      <c r="Q78" s="4">
        <f>VLOOKUP($B78&amp;"__wt",'SegEnds_Xtal_BW#'!$A:$Z,17,FALSE)</f>
        <v>50</v>
      </c>
      <c r="R78" s="4">
        <f>VLOOKUP($B78&amp;"__wt",'SegEnds_Xtal_BW#'!$A:$Z,18,FALSE)</f>
        <v>52</v>
      </c>
      <c r="S78" s="4">
        <f>VLOOKUP($B78&amp;"__wt",'SegEnds_Xtal_BW#'!$A:$Z,19,FALSE)</f>
        <v>33</v>
      </c>
      <c r="T78" s="4">
        <f t="array" ref="T78">INDEX(ICL3_classA!$G$2:$G$41,MATCH(MIN(ABS(AJ78-ICL3_classA!$F$2:$F$41)),ABS(AJ78-ICL3_classA!$F$2:$F$41),0))</f>
        <v>73</v>
      </c>
      <c r="U78" s="4">
        <f t="array" ref="U78">INDEX(ICL3_classA!$H$2:$H$41,MATCH(MIN(ABS(AJ78-ICL3_classA!$F$2:$F$41)),ABS(AJ78-ICL3_classA!$F$2:$F$41),0))</f>
        <v>22</v>
      </c>
      <c r="V78" s="4">
        <v>61</v>
      </c>
      <c r="W78" s="4">
        <v>31</v>
      </c>
      <c r="X78" s="4">
        <f>VLOOKUP($B78&amp;"__wt",'SegEnds_Xtal_BW#'!$A:$Z,24,FALSE)</f>
        <v>56</v>
      </c>
      <c r="Y78" s="4">
        <f>VLOOKUP($B78&amp;"__wt",'SegEnds_Xtal_BW#'!$A:$Z,25,FALSE)</f>
        <v>47</v>
      </c>
      <c r="Z78" s="4">
        <f>VLOOKUP($B78&amp;"__wt",'SegEnds_Xtal_BW#'!$A:$Z,26,FALSE)</f>
        <v>63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4">
        <f>VLOOKUP(A78,'SegEnds_NonXtal_Prot#'!A:AL,10,FALSE)-VLOOKUP(A78,'SegEnds_NonXtal_Prot#'!A:AL,7,FALSE)</f>
        <v>15</v>
      </c>
      <c r="AD78" s="4">
        <f>VLOOKUP(A78,'SegEnds_NonXtal_Prot#'!A:AL,13,FALSE)-VLOOKUP(A78,'SegEnds_NonXtal_Prot#'!A:AL,10,FALSE)</f>
        <v>20</v>
      </c>
      <c r="AE78" s="4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18</v>
      </c>
      <c r="AG78" s="4" t="e">
        <f>VLOOKUP(#REF!,'SegEnds_NonXtal_Prot#'!#REF!,28,FALSE)-VLOOKUP(#REF!,'SegEnds_NonXtal_Prot#'!#REF!,25,FALSE)</f>
        <v>#REF!</v>
      </c>
      <c r="AH78" s="4">
        <f>VLOOKUP(A78,'SegEnds_NonXtal_Prot#'!A:AL,28,FALSE)-VLOOKUP(A78,'SegEnds_NonXtal_Prot#'!A:AL,25,FALSE)</f>
        <v>25</v>
      </c>
      <c r="AI78" s="1">
        <f>VLOOKUP(A78,'SegEnds_NonXtal_Prot#'!A:AL,28,FALSE)-VLOOKUP(A78,'SegEnds_NonXtal_Prot#'!A:AL,22,FALSE)</f>
        <v>47</v>
      </c>
      <c r="AJ78" s="4">
        <f>VLOOKUP(A78,'SegEnds_NonXtal_Prot#'!A:AL,31,FALSE)-VLOOKUP(A78,'SegEnds_NonXtal_Prot#'!A:AL,28,FALSE)</f>
        <v>56</v>
      </c>
      <c r="AK78" s="4">
        <f>VLOOKUP(A78,'SegEnds_NonXtal_Prot#'!A:AL,34,FALSE)-VLOOKUP(A78,'SegEnds_NonXtal_Prot#'!A:AL,31,FALSE)</f>
        <v>36</v>
      </c>
      <c r="AL78" s="1">
        <f>VLOOKUP(A78,'SegEnds_NonXtal_Prot#'!A:AL,37,FALSE)-VLOOKUP(A78,'SegEnds_NonXtal_Prot#'!A:AL,34,FALSE)</f>
        <v>10</v>
      </c>
      <c r="AM78" s="1" t="str">
        <f>IF(ISERROR(MATCH(A78,'SegEnds_Xtal_Prot#'!B:B, 0)), "NoXtal", "Xtal")</f>
        <v>NoXtal</v>
      </c>
    </row>
    <row r="79" spans="1:39" x14ac:dyDescent="0.2">
      <c r="A79" s="1" t="s">
        <v>244</v>
      </c>
      <c r="B79" s="1" t="str">
        <f>VLOOKUP(A79,Xtal_Templ!A:B,2,FALSE)</f>
        <v>5ht2c_human</v>
      </c>
      <c r="C79" s="5">
        <f>VLOOKUP($B79&amp;"__wt",'SegEnds_Xtal_BW#'!$A:$Z,3,FALSE)</f>
        <v>33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68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53</v>
      </c>
      <c r="O79" s="87">
        <f>VLOOKUP($B79&amp;"__wt",'SegEnds_Xtal_BW#'!$A:$Z,15,FALSE)</f>
        <v>38</v>
      </c>
      <c r="P79" s="1">
        <v>63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INDEX(ICL3_classA!$G$2:$G$41,MATCH(MIN(ABS(AJ79-ICL3_classA!$F$2:$F$41)),ABS(AJ79-ICL3_classA!$F$2:$F$41),0))</f>
        <v>74</v>
      </c>
      <c r="U79" s="1">
        <f t="array" ref="U79">INDEX(ICL3_classA!$H$2:$H$41,MATCH(MIN(ABS(AJ79-ICL3_classA!$F$2:$F$41)),ABS(AJ79-ICL3_classA!$F$2:$F$41),0))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29</v>
      </c>
      <c r="AC79" s="1">
        <f>VLOOKUP(A79,'SegEnds_NonXtal_Prot#'!A:AL,10,FALSE)-VLOOKUP(A79,'SegEnds_NonXtal_Prot#'!A:AL,7,FALSE)</f>
        <v>16</v>
      </c>
      <c r="AD79" s="1" t="e">
        <f>VLOOKUP(A79,'SegEnds_NonXtal_Prot#'!A:AL,13,FALSE)-VLOOKUP(A79,'SegEnds_NonXtal_Prot#'!A:AL,10,FALSE)</f>
        <v>#VALUE!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18</v>
      </c>
      <c r="AG79" s="1" t="e">
        <f>VLOOKUP(#REF!,'SegEnds_NonXtal_Prot#'!#REF!,28,FALSE)-VLOOKUP(#REF!,'SegEnds_NonXtal_Prot#'!#REF!,25,FALSE)</f>
        <v>#REF!</v>
      </c>
      <c r="AH79" s="1">
        <f>VLOOKUP(A79,'SegEnds_NonXtal_Prot#'!A:AL,28,FALSE)-VLOOKUP(A79,'SegEnds_NonXtal_Prot#'!A:AL,25,FALSE)</f>
        <v>26</v>
      </c>
      <c r="AI79" s="1">
        <f>VLOOKUP(A79,'SegEnds_NonXtal_Prot#'!A:AL,28,FALSE)-VLOOKUP(A79,'SegEnds_NonXtal_Prot#'!A:AL,22,FALSE)</f>
        <v>58</v>
      </c>
      <c r="AJ79" s="1">
        <f>VLOOKUP(A79,'SegEnds_NonXtal_Prot#'!A:AL,31,FALSE)-VLOOKUP(A79,'SegEnds_NonXtal_Prot#'!A:AL,28,FALSE)</f>
        <v>105</v>
      </c>
      <c r="AK79" s="1">
        <f>VLOOKUP(A79,'SegEnds_NonXtal_Prot#'!A:AL,34,FALSE)-VLOOKUP(A79,'SegEnds_NonXtal_Prot#'!A:AL,31,FALSE)</f>
        <v>36</v>
      </c>
      <c r="AL79" s="1">
        <f>VLOOKUP(A79,'SegEnds_NonXtal_Prot#'!A:AL,37,FALSE)-VLOOKUP(A79,'SegEnds_NonXtal_Prot#'!A:AL,34,FALSE)</f>
        <v>10</v>
      </c>
      <c r="AM79" s="1" t="str">
        <f>IF(ISERROR(MATCH(A79,'SegEnds_Xtal_Prot#'!B:B, 0)), "NoXtal", "Xtal")</f>
        <v>NoXtal</v>
      </c>
    </row>
    <row r="80" spans="1:39" x14ac:dyDescent="0.2">
      <c r="A80" s="1" t="s">
        <v>247</v>
      </c>
      <c r="B80" s="1" t="str">
        <f>VLOOKUP(A80,Xtal_Templ!A:B,2,FALSE)</f>
        <v>ox1r_human</v>
      </c>
      <c r="C80" s="5">
        <f>VLOOKUP($B80&amp;"__wt",'SegEnds_Xtal_BW#'!$A:$Z,3,FALSE)</f>
        <v>32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68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58</v>
      </c>
      <c r="O80" s="87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INDEX(ICL3_classA!$G$2:$G$41,MATCH(MIN(ABS(AJ80-ICL3_classA!$F$2:$F$41)),ABS(AJ80-ICL3_classA!$F$2:$F$41),0))</f>
        <v>76</v>
      </c>
      <c r="U80" s="1">
        <f t="array" ref="U80">INDEX(ICL3_classA!$H$2:$H$41,MATCH(MIN(ABS(AJ80-ICL3_classA!$F$2:$F$41)),ABS(AJ80-ICL3_classA!$F$2:$F$41),0))</f>
        <v>24</v>
      </c>
      <c r="V80" s="1">
        <v>61</v>
      </c>
      <c r="W80" s="1">
        <v>31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63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 t="e">
        <f>VLOOKUP(A80,'SegEnds_NonXtal_Prot#'!A:AL,13,FALSE)-VLOOKUP(A80,'SegEnds_NonXtal_Prot#'!A:AL,10,FALSE)</f>
        <v>#VALUE!</v>
      </c>
      <c r="AE80" s="1">
        <f>VLOOKUP(A80,'SegEnds_NonXtal_Prot#'!A:AL,16,FALSE)-VLOOKUP(A80,'SegEnds_NonXtal_Prot#'!A:AL,10,FALSE)</f>
        <v>56</v>
      </c>
      <c r="AF80" s="1">
        <f>VLOOKUP(A80,'SegEnds_NonXtal_Prot#'!A:AL,22,FALSE)-VLOOKUP(A80,'SegEnds_NonXtal_Prot#'!A:AL,19,FALSE)</f>
        <v>21</v>
      </c>
      <c r="AG80" s="1" t="e">
        <f>VLOOKUP(#REF!,'SegEnds_NonXtal_Prot#'!#REF!,28,FALSE)-VLOOKUP(#REF!,'SegEnds_NonXtal_Prot#'!#REF!,25,FALSE)</f>
        <v>#REF!</v>
      </c>
      <c r="AH80" s="1">
        <f>VLOOKUP(A80,'SegEnds_NonXtal_Prot#'!A:AL,28,FALSE)-VLOOKUP(A80,'SegEnds_NonXtal_Prot#'!A:AL,25,FALSE)</f>
        <v>18</v>
      </c>
      <c r="AI80" s="1">
        <f>VLOOKUP(A80,'SegEnds_NonXtal_Prot#'!A:AL,28,FALSE)-VLOOKUP(A80,'SegEnds_NonXtal_Prot#'!A:AL,22,FALSE)</f>
        <v>41</v>
      </c>
      <c r="AJ80" s="1">
        <f>VLOOKUP(A80,'SegEnds_NonXtal_Prot#'!A:AL,31,FALSE)-VLOOKUP(A80,'SegEnds_NonXtal_Prot#'!A:AL,28,FALSE)</f>
        <v>110</v>
      </c>
      <c r="AK80" s="1">
        <f>VLOOKUP(A80,'SegEnds_NonXtal_Prot#'!A:AL,34,FALSE)-VLOOKUP(A80,'SegEnds_NonXtal_Prot#'!A:AL,31,FALSE)</f>
        <v>36</v>
      </c>
      <c r="AL80" s="1">
        <f>VLOOKUP(A80,'SegEnds_NonXtal_Prot#'!A:AL,37,FALSE)-VLOOKUP(A80,'SegEnds_NonXtal_Prot#'!A:AL,34,FALSE)</f>
        <v>10</v>
      </c>
      <c r="AM80" s="1" t="str">
        <f>IF(ISERROR(MATCH(A80,'SegEnds_Xtal_Prot#'!B:B, 0)), "NoXtal", "Xtal")</f>
        <v>NoXtal</v>
      </c>
    </row>
    <row r="81" spans="1:39" x14ac:dyDescent="0.2">
      <c r="A81" s="1" t="s">
        <v>251</v>
      </c>
      <c r="B81" s="1" t="str">
        <f>VLOOKUP(A81,Xtal_Templ!A:B,2,FALSE)</f>
        <v>fpr2_human</v>
      </c>
      <c r="C81" s="5">
        <f>VLOOKUP($B81&amp;"__wt",'SegEnds_Xtal_BW#'!$A:$Z,3,FALSE)</f>
        <v>25</v>
      </c>
      <c r="D81" s="1">
        <f>VLOOKUP($B81&amp;"__wt",'SegEnds_Xtal_BW#'!$A:$Z,4,FALSE)</f>
        <v>61</v>
      </c>
      <c r="E81" s="1" t="str">
        <f>VLOOKUP($B81&amp;"__wt",'SegEnds_Xtal_BW#'!$A:$Z,5,FALSE)</f>
        <v>-</v>
      </c>
      <c r="F81" s="1" t="str">
        <f>VLOOKUP($B81&amp;"__wt",'SegEnds_Xtal_BW#'!$A:$Z,6,FALSE)</f>
        <v>-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23</v>
      </c>
      <c r="T81" s="1">
        <f t="array" ref="T81">INDEX(ICL3_classA!$G$2:$G$41,MATCH(MIN(ABS(AJ81-ICL3_classA!$F$2:$F$41)),ABS(AJ81-ICL3_classA!$F$2:$F$41),0))</f>
        <v>68</v>
      </c>
      <c r="U81" s="1">
        <f t="array" ref="U81">INDEX(ICL3_classA!$H$2:$H$41,MATCH(MIN(ABS(AJ81-ICL3_classA!$F$2:$F$41)),ABS(AJ81-ICL3_classA!$F$2:$F$41),0))</f>
        <v>30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58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27</v>
      </c>
      <c r="AC81" s="1" t="e">
        <f>VLOOKUP(A81,'SegEnds_NonXtal_Prot#'!A:AL,10,FALSE)-VLOOKUP(A81,'SegEnds_NonXtal_Prot#'!A:AL,7,FALSE)</f>
        <v>#VALUE!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 t="e">
        <f>VLOOKUP(#REF!,'SegEnds_NonXtal_Prot#'!#REF!,28,FALSE)-VLOOKUP(#REF!,'SegEnds_NonXtal_Prot#'!#REF!,25,FALSE)</f>
        <v>#REF!</v>
      </c>
      <c r="AH81" s="1">
        <f>VLOOKUP(A81,'SegEnds_NonXtal_Prot#'!A:AL,28,FALSE)-VLOOKUP(A81,'SegEnds_NonXtal_Prot#'!A:AL,25,FALSE)</f>
        <v>38</v>
      </c>
      <c r="AI81" s="1">
        <f>VLOOKUP(A81,'SegEnds_NonXtal_Prot#'!A:AL,28,FALSE)-VLOOKUP(A81,'SegEnds_NonXtal_Prot#'!A:AL,22,FALSE)</f>
        <v>64</v>
      </c>
      <c r="AJ81" s="1">
        <f>VLOOKUP(A81,'SegEnds_NonXtal_Prot#'!A:AL,31,FALSE)-VLOOKUP(A81,'SegEnds_NonXtal_Prot#'!A:AL,28,FALSE)</f>
        <v>43</v>
      </c>
      <c r="AK81" s="1">
        <f>VLOOKUP(A81,'SegEnds_NonXtal_Prot#'!A:AL,34,FALSE)-VLOOKUP(A81,'SegEnds_NonXtal_Prot#'!A:AL,31,FALSE)</f>
        <v>36</v>
      </c>
      <c r="AL81" s="1">
        <f>VLOOKUP(A81,'SegEnds_NonXtal_Prot#'!A:AL,37,FALSE)-VLOOKUP(A81,'SegEnds_NonXtal_Prot#'!A:AL,34,FALSE)</f>
        <v>10</v>
      </c>
      <c r="AM81" s="1" t="str">
        <f>IF(ISERROR(MATCH(A81,'SegEnds_Xtal_Prot#'!B:B, 0)), "NoXtal", "Xtal")</f>
        <v>NoXtal</v>
      </c>
    </row>
    <row r="82" spans="1:39" x14ac:dyDescent="0.2">
      <c r="A82" s="1" t="s">
        <v>262</v>
      </c>
      <c r="B82" s="1" t="str">
        <f>VLOOKUP(A82,Xtal_Templ!A:B,2,FALSE)</f>
        <v>ox2r_human</v>
      </c>
      <c r="C82" s="5">
        <f>VLOOKUP($B82&amp;"__wt",'SegEnds_Xtal_BW#'!$A:$Z,3,FALSE)</f>
        <v>31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68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v>35</v>
      </c>
      <c r="T82" s="1">
        <f t="array" ref="T82">INDEX(ICL3_classA!$G$2:$G$41,MATCH(MIN(ABS(AJ82-ICL3_classA!$F$2:$F$41)),ABS(AJ82-ICL3_classA!$F$2:$F$41),0))</f>
        <v>76</v>
      </c>
      <c r="U82" s="1">
        <f t="array" ref="U82">INDEX(ICL3_classA!$H$2:$H$41,MATCH(MIN(ABS(AJ82-ICL3_classA!$F$2:$F$41)),ABS(AJ82-ICL3_classA!$F$2:$F$41),0))</f>
        <v>24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63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26</v>
      </c>
      <c r="AC82" s="1" t="e">
        <f>VLOOKUP(A82,'SegEnds_NonXtal_Prot#'!A:AL,10,FALSE)-VLOOKUP(A82,'SegEnds_NonXtal_Prot#'!A:AL,7,FALSE)</f>
        <v>#VALUE!</v>
      </c>
      <c r="AD82" s="1">
        <f>VLOOKUP(A82,'SegEnds_NonXtal_Prot#'!A:AL,13,FALSE)-VLOOKUP(A82,'SegEnds_NonXtal_Prot#'!A:AL,10,FALSE)</f>
        <v>21</v>
      </c>
      <c r="AE82" s="1">
        <f>VLOOKUP(A82,'SegEnds_NonXtal_Prot#'!A:AL,16,FALSE)-VLOOKUP(A82,'SegEnds_NonXtal_Prot#'!A:AL,10,FALSE)</f>
        <v>54</v>
      </c>
      <c r="AF82" s="1">
        <f>VLOOKUP(A82,'SegEnds_NonXtal_Prot#'!A:AL,22,FALSE)-VLOOKUP(A82,'SegEnds_NonXtal_Prot#'!A:AL,19,FALSE)</f>
        <v>20</v>
      </c>
      <c r="AG82" s="1" t="e">
        <f>VLOOKUP(#REF!,'SegEnds_NonXtal_Prot#'!#REF!,28,FALSE)-VLOOKUP(#REF!,'SegEnds_NonXtal_Prot#'!#REF!,25,FALSE)</f>
        <v>#REF!</v>
      </c>
      <c r="AH82" s="1">
        <f>VLOOKUP(A82,'SegEnds_NonXtal_Prot#'!A:AL,28,FALSE)-VLOOKUP(A82,'SegEnds_NonXtal_Prot#'!A:AL,25,FALSE)</f>
        <v>25</v>
      </c>
      <c r="AI82" s="1">
        <f>VLOOKUP(A82,'SegEnds_NonXtal_Prot#'!A:AL,28,FALSE)-VLOOKUP(A82,'SegEnds_NonXtal_Prot#'!A:AL,22,FALSE)</f>
        <v>53</v>
      </c>
      <c r="AJ82" s="1">
        <f>VLOOKUP(A82,'SegEnds_NonXtal_Prot#'!A:AL,31,FALSE)-VLOOKUP(A82,'SegEnds_NonXtal_Prot#'!A:AL,28,FALSE)</f>
        <v>82</v>
      </c>
      <c r="AK82" s="1">
        <f>VLOOKUP(A82,'SegEnds_NonXtal_Prot#'!A:AL,34,FALSE)-VLOOKUP(A82,'SegEnds_NonXtal_Prot#'!A:AL,31,FALSE)</f>
        <v>36</v>
      </c>
      <c r="AL82" s="1">
        <f>VLOOKUP(A82,'SegEnds_NonXtal_Prot#'!A:AL,37,FALSE)-VLOOKUP(A82,'SegEnds_NonXtal_Prot#'!A:AL,34,FALSE)</f>
        <v>10</v>
      </c>
      <c r="AM82" s="1" t="str">
        <f>IF(ISERROR(MATCH(A82,'SegEnds_Xtal_Prot#'!B:B, 0)), "NoXtal", "Xtal")</f>
        <v>NoXtal</v>
      </c>
    </row>
    <row r="83" spans="1:39" x14ac:dyDescent="0.2">
      <c r="A83" s="1" t="s">
        <v>270</v>
      </c>
      <c r="B83" s="1" t="str">
        <f>VLOOKUP(A83,Xtal_Templ!A:B,2,FALSE)</f>
        <v>5ht2c_human</v>
      </c>
      <c r="C83" s="5">
        <f>VLOOKUP($B83&amp;"__wt",'SegEnds_Xtal_BW#'!$A:$Z,3,FALSE)</f>
        <v>33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68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67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v>35</v>
      </c>
      <c r="T83" s="1">
        <f t="array" ref="T83">INDEX(ICL3_classA!$G$2:$G$41,MATCH(MIN(ABS(AJ83-ICL3_classA!$F$2:$F$41)),ABS(AJ83-ICL3_classA!$F$2:$F$41),0))</f>
        <v>81</v>
      </c>
      <c r="U83" s="1">
        <f t="array" ref="U83">INDEX(ICL3_classA!$H$2:$H$41,MATCH(MIN(ABS(AJ83-ICL3_classA!$F$2:$F$41)),ABS(AJ83-ICL3_classA!$F$2:$F$41),0))</f>
        <v>23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60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21</v>
      </c>
      <c r="AE83" s="1">
        <f>VLOOKUP(A83,'SegEnds_NonXtal_Prot#'!A:AL,16,FALSE)-VLOOKUP(A83,'SegEnds_NonXtal_Prot#'!A:AL,10,FALSE)</f>
        <v>53</v>
      </c>
      <c r="AF83" s="1">
        <f>VLOOKUP(A83,'SegEnds_NonXtal_Prot#'!A:AL,22,FALSE)-VLOOKUP(A83,'SegEnds_NonXtal_Prot#'!A:AL,19,FALSE)</f>
        <v>20</v>
      </c>
      <c r="AG83" s="1" t="e">
        <f>VLOOKUP(#REF!,'SegEnds_NonXtal_Prot#'!#REF!,28,FALSE)-VLOOKUP(#REF!,'SegEnds_NonXtal_Prot#'!#REF!,25,FALSE)</f>
        <v>#REF!</v>
      </c>
      <c r="AH83" s="1">
        <f>VLOOKUP(A83,'SegEnds_NonXtal_Prot#'!A:AL,28,FALSE)-VLOOKUP(A83,'SegEnds_NonXtal_Prot#'!A:AL,25,FALSE)</f>
        <v>61</v>
      </c>
      <c r="AI83" s="1">
        <f>VLOOKUP(A83,'SegEnds_NonXtal_Prot#'!A:AL,28,FALSE)-VLOOKUP(A83,'SegEnds_NonXtal_Prot#'!A:AL,22,FALSE)</f>
        <v>87</v>
      </c>
      <c r="AJ83" s="1">
        <f>VLOOKUP(A83,'SegEnds_NonXtal_Prot#'!A:AL,31,FALSE)-VLOOKUP(A83,'SegEnds_NonXtal_Prot#'!A:AL,28,FALSE)</f>
        <v>67</v>
      </c>
      <c r="AK83" s="1">
        <f>VLOOKUP(A83,'SegEnds_NonXtal_Prot#'!A:AL,34,FALSE)-VLOOKUP(A83,'SegEnds_NonXtal_Prot#'!A:AL,31,FALSE)</f>
        <v>36</v>
      </c>
      <c r="AL83" s="1">
        <f>VLOOKUP(A83,'SegEnds_NonXtal_Prot#'!A:AL,37,FALSE)-VLOOKUP(A83,'SegEnds_NonXtal_Prot#'!A:AL,34,FALSE)</f>
        <v>10</v>
      </c>
      <c r="AM83" s="1" t="str">
        <f>IF(ISERROR(MATCH(A83,'SegEnds_Xtal_Prot#'!B:B, 0)), "NoXtal", "Xtal")</f>
        <v>NoXtal</v>
      </c>
    </row>
    <row r="84" spans="1:39" x14ac:dyDescent="0.2">
      <c r="A84" s="1" t="s">
        <v>278</v>
      </c>
      <c r="B84" s="1" t="str">
        <f>VLOOKUP(A84,Xtal_Templ!A:B,2,FALSE)</f>
        <v>ada2c_human</v>
      </c>
      <c r="C84" s="5">
        <f>VLOOKUP($B84&amp;"__wt",'SegEnds_Xtal_BW#'!$A:$Z,3,FALSE)</f>
        <v>28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68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62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INDEX(ICL3_classA!$G$2:$G$41,MATCH(MIN(ABS(AJ84-ICL3_classA!$F$2:$F$41)),ABS(AJ84-ICL3_classA!$F$2:$F$41),0))</f>
        <v>73</v>
      </c>
      <c r="U84" s="1">
        <f t="array" ref="U84">INDEX(ICL3_classA!$H$2:$H$41,MATCH(MIN(ABS(AJ84-ICL3_classA!$F$2:$F$41)),ABS(AJ84-ICL3_classA!$F$2:$F$41),0))</f>
        <v>22</v>
      </c>
      <c r="V84" s="1">
        <v>61</v>
      </c>
      <c r="W84" s="1">
        <v>31</v>
      </c>
      <c r="X84" s="108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20</v>
      </c>
      <c r="AE84" s="1">
        <f>VLOOKUP(A84,'SegEnds_NonXtal_Prot#'!A:AL,16,FALSE)-VLOOKUP(A84,'SegEnds_NonXtal_Prot#'!A:AL,10,FALSE)</f>
        <v>52</v>
      </c>
      <c r="AF84" s="1">
        <f>VLOOKUP(A84,'SegEnds_NonXtal_Prot#'!A:AL,22,FALSE)-VLOOKUP(A84,'SegEnds_NonXtal_Prot#'!A:AL,19,FALSE)</f>
        <v>20</v>
      </c>
      <c r="AG84" s="1" t="e">
        <f>VLOOKUP(#REF!,'SegEnds_NonXtal_Prot#'!#REF!,28,FALSE)-VLOOKUP(#REF!,'SegEnds_NonXtal_Prot#'!#REF!,25,FALSE)</f>
        <v>#REF!</v>
      </c>
      <c r="AH84" s="1">
        <f>VLOOKUP(A84,'SegEnds_NonXtal_Prot#'!A:AL,28,FALSE)-VLOOKUP(A84,'SegEnds_NonXtal_Prot#'!A:AL,25,FALSE)</f>
        <v>20</v>
      </c>
      <c r="AI84" s="1">
        <f>VLOOKUP(A84,'SegEnds_NonXtal_Prot#'!A:AL,28,FALSE)-VLOOKUP(A84,'SegEnds_NonXtal_Prot#'!A:AL,22,FALSE)</f>
        <v>51</v>
      </c>
      <c r="AJ84" s="1">
        <f>VLOOKUP(A84,'SegEnds_NonXtal_Prot#'!A:AL,31,FALSE)-VLOOKUP(A84,'SegEnds_NonXtal_Prot#'!A:AL,28,FALSE)</f>
        <v>55</v>
      </c>
      <c r="AK84" s="1">
        <f>VLOOKUP(A84,'SegEnds_NonXtal_Prot#'!A:AL,34,FALSE)-VLOOKUP(A84,'SegEnds_NonXtal_Prot#'!A:AL,31,FALSE)</f>
        <v>36</v>
      </c>
      <c r="AL84" s="1">
        <f>VLOOKUP(A84,'SegEnds_NonXtal_Prot#'!A:AL,37,FALSE)-VLOOKUP(A84,'SegEnds_NonXtal_Prot#'!A:AL,34,FALSE)</f>
        <v>10</v>
      </c>
      <c r="AM84" s="1" t="str">
        <f>IF(ISERROR(MATCH(A84,'SegEnds_Xtal_Prot#'!B:B, 0)), "NoXtal", "Xtal")</f>
        <v>NoXtal</v>
      </c>
    </row>
    <row r="85" spans="1:39" x14ac:dyDescent="0.2">
      <c r="A85" s="1" t="s">
        <v>279</v>
      </c>
      <c r="B85" s="1" t="str">
        <f>VLOOKUP(A85,Xtal_Templ!A:B,2,FALSE)</f>
        <v>hrh1_human</v>
      </c>
      <c r="C85" s="5">
        <f>VLOOKUP($B85&amp;"__wt",'SegEnds_Xtal_BW#'!$A:$Z,3,FALSE)</f>
        <v>34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67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58</v>
      </c>
      <c r="O85" s="87">
        <f>VLOOKUP($B85&amp;"__wt",'SegEnds_Xtal_BW#'!$A:$Z,15,FALSE)</f>
        <v>38</v>
      </c>
      <c r="P85" s="1">
        <v>63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v>35</v>
      </c>
      <c r="T85" s="1">
        <f t="array" ref="T85">INDEX(ICL3_classA!$G$2:$G$41,MATCH(MIN(ABS(AJ85-ICL3_classA!$F$2:$F$41)),ABS(AJ85-ICL3_classA!$F$2:$F$41),0))</f>
        <v>75</v>
      </c>
      <c r="U85" s="1">
        <f t="array" ref="U85">INDEX(ICL3_classA!$H$2:$H$41,MATCH(MIN(ABS(AJ85-ICL3_classA!$F$2:$F$41)),ABS(AJ85-ICL3_classA!$F$2:$F$41),0))</f>
        <v>24</v>
      </c>
      <c r="V85" s="1">
        <v>61</v>
      </c>
      <c r="W85" s="1">
        <v>31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>
        <f>VLOOKUP(A85,'SegEnds_NonXtal_Prot#'!A:AL,10,FALSE)-VLOOKUP(A85,'SegEnds_NonXtal_Prot#'!A:AL,7,FALSE)</f>
        <v>15</v>
      </c>
      <c r="AD85" s="1">
        <f>VLOOKUP(A85,'SegEnds_NonXtal_Prot#'!A:AL,13,FALSE)-VLOOKUP(A85,'SegEnds_NonXtal_Prot#'!A:AL,10,FALSE)</f>
        <v>20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21</v>
      </c>
      <c r="AG85" s="1" t="e">
        <f>VLOOKUP(#REF!,'SegEnds_NonXtal_Prot#'!#REF!,28,FALSE)-VLOOKUP(#REF!,'SegEnds_NonXtal_Prot#'!#REF!,25,FALSE)</f>
        <v>#REF!</v>
      </c>
      <c r="AH85" s="1">
        <f>VLOOKUP(A85,'SegEnds_NonXtal_Prot#'!A:AL,28,FALSE)-VLOOKUP(A85,'SegEnds_NonXtal_Prot#'!A:AL,25,FALSE)</f>
        <v>22</v>
      </c>
      <c r="AI85" s="1">
        <f>VLOOKUP(A85,'SegEnds_NonXtal_Prot#'!A:AL,28,FALSE)-VLOOKUP(A85,'SegEnds_NonXtal_Prot#'!A:AL,22,FALSE)</f>
        <v>50</v>
      </c>
      <c r="AJ85" s="1">
        <f>VLOOKUP(A85,'SegEnds_NonXtal_Prot#'!A:AL,31,FALSE)-VLOOKUP(A85,'SegEnds_NonXtal_Prot#'!A:AL,28,FALSE)</f>
        <v>163</v>
      </c>
      <c r="AK85" s="1">
        <f>VLOOKUP(A85,'SegEnds_NonXtal_Prot#'!A:AL,34,FALSE)-VLOOKUP(A85,'SegEnds_NonXtal_Prot#'!A:AL,31,FALSE)</f>
        <v>36</v>
      </c>
      <c r="AL85" s="1">
        <f>VLOOKUP(A85,'SegEnds_NonXtal_Prot#'!A:AL,37,FALSE)-VLOOKUP(A85,'SegEnds_NonXtal_Prot#'!A:AL,34,FALSE)</f>
        <v>10</v>
      </c>
      <c r="AM85" s="1" t="str">
        <f>IF(ISERROR(MATCH(A85,'SegEnds_Xtal_Prot#'!B:B, 0)), "NoXtal", "Xtal")</f>
        <v>NoXtal</v>
      </c>
    </row>
    <row r="86" spans="1:39" x14ac:dyDescent="0.2">
      <c r="A86" s="1" t="s">
        <v>282</v>
      </c>
      <c r="B86" s="1" t="str">
        <f>VLOOKUP(A86,Xtal_Templ!A:B,2,FALSE)</f>
        <v>agtr1_human</v>
      </c>
      <c r="C86" s="5">
        <f>VLOOKUP($B86&amp;"__wt",'SegEnds_Xtal_BW#'!$A:$Z,3,FALSE)</f>
        <v>28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v>67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34</v>
      </c>
      <c r="T86" s="1">
        <f t="array" ref="T86">INDEX(ICL3_classA!$G$2:$G$41,MATCH(MIN(ABS(AJ86-ICL3_classA!$F$2:$F$41)),ABS(AJ86-ICL3_classA!$F$2:$F$41),0))</f>
        <v>67</v>
      </c>
      <c r="U86" s="1">
        <f t="array" ref="U86">INDEX(ICL3_classA!$H$2:$H$41,MATCH(MIN(ABS(AJ86-ICL3_classA!$F$2:$F$41)),ABS(AJ86-ICL3_classA!$F$2:$F$41),0))</f>
        <v>28</v>
      </c>
      <c r="V86" s="1">
        <v>61</v>
      </c>
      <c r="W86" s="1">
        <v>31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61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 t="e">
        <f>VLOOKUP(A86,'SegEnds_NonXtal_Prot#'!A:AL,10,FALSE)-VLOOKUP(A86,'SegEnds_NonXtal_Prot#'!A:AL,7,FALSE)</f>
        <v>#VALUE!</v>
      </c>
      <c r="AD86" s="1" t="e">
        <f>VLOOKUP(A86,'SegEnds_NonXtal_Prot#'!A:AL,13,FALSE)-VLOOKUP(A86,'SegEnds_NonXtal_Prot#'!A:AL,10,FALSE)</f>
        <v>#VALUE!</v>
      </c>
      <c r="AE86" s="1">
        <f>VLOOKUP(A86,'SegEnds_NonXtal_Prot#'!A:AL,16,FALSE)-VLOOKUP(A86,'SegEnds_NonXtal_Prot#'!A:AL,10,FALSE)</f>
        <v>59</v>
      </c>
      <c r="AF86" s="1">
        <f>VLOOKUP(A86,'SegEnds_NonXtal_Prot#'!A:AL,22,FALSE)-VLOOKUP(A86,'SegEnds_NonXtal_Prot#'!A:AL,19,FALSE)</f>
        <v>20</v>
      </c>
      <c r="AG86" s="1" t="e">
        <f>VLOOKUP(#REF!,'SegEnds_NonXtal_Prot#'!#REF!,28,FALSE)-VLOOKUP(#REF!,'SegEnds_NonXtal_Prot#'!#REF!,25,FALSE)</f>
        <v>#REF!</v>
      </c>
      <c r="AH86" s="1">
        <f>VLOOKUP(A86,'SegEnds_NonXtal_Prot#'!A:AL,28,FALSE)-VLOOKUP(A86,'SegEnds_NonXtal_Prot#'!A:AL,25,FALSE)</f>
        <v>24</v>
      </c>
      <c r="AI86" s="1">
        <f>VLOOKUP(A86,'SegEnds_NonXtal_Prot#'!A:AL,28,FALSE)-VLOOKUP(A86,'SegEnds_NonXtal_Prot#'!A:AL,22,FALSE)</f>
        <v>47</v>
      </c>
      <c r="AJ86" s="1">
        <f>VLOOKUP(A86,'SegEnds_NonXtal_Prot#'!A:AL,31,FALSE)-VLOOKUP(A86,'SegEnds_NonXtal_Prot#'!A:AL,28,FALSE)</f>
        <v>45</v>
      </c>
      <c r="AK86" s="1">
        <f>VLOOKUP(A86,'SegEnds_NonXtal_Prot#'!A:AL,34,FALSE)-VLOOKUP(A86,'SegEnds_NonXtal_Prot#'!A:AL,31,FALSE)</f>
        <v>36</v>
      </c>
      <c r="AL86" s="1">
        <f>VLOOKUP(A86,'SegEnds_NonXtal_Prot#'!A:AL,37,FALSE)-VLOOKUP(A86,'SegEnds_NonXtal_Prot#'!A:AL,34,FALSE)</f>
        <v>10</v>
      </c>
      <c r="AM86" s="1" t="str">
        <f>IF(ISERROR(MATCH(A86,'SegEnds_Xtal_Prot#'!B:B, 0)), "NoXtal", "Xtal")</f>
        <v>NoXtal</v>
      </c>
    </row>
    <row r="87" spans="1:39" x14ac:dyDescent="0.2">
      <c r="A87" s="1" t="s">
        <v>283</v>
      </c>
      <c r="B87" s="1" t="str">
        <f>VLOOKUP(A87,Xtal_Templ!A:B,2,FALSE)</f>
        <v>aa2ar_human</v>
      </c>
      <c r="C87" s="5">
        <f>VLOOKUP($B87&amp;"__wt",'SegEnds_Xtal_BW#'!$A:$Z,3,FALSE)</f>
        <v>27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63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34</v>
      </c>
      <c r="T87" s="1">
        <f t="array" ref="T87">INDEX(ICL3_classA!$G$2:$G$41,MATCH(MIN(ABS(AJ87-ICL3_classA!$F$2:$F$41)),ABS(AJ87-ICL3_classA!$F$2:$F$41),0))</f>
        <v>67</v>
      </c>
      <c r="U87" s="1">
        <f t="array" ref="U87">INDEX(ICL3_classA!$H$2:$H$41,MATCH(MIN(ABS(AJ87-ICL3_classA!$F$2:$F$41)),ABS(AJ87-ICL3_classA!$F$2:$F$41),0))</f>
        <v>28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 t="e">
        <f>VLOOKUP(A87,'SegEnds_NonXtal_Prot#'!A:AL,10,FALSE)-VLOOKUP(A87,'SegEnds_NonXtal_Prot#'!A:AL,7,FALSE)</f>
        <v>#VALUE!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59</v>
      </c>
      <c r="AF87" s="1">
        <f>VLOOKUP(A87,'SegEnds_NonXtal_Prot#'!A:AL,22,FALSE)-VLOOKUP(A87,'SegEnds_NonXtal_Prot#'!A:AL,19,FALSE)</f>
        <v>20</v>
      </c>
      <c r="AG87" s="1" t="e">
        <f>VLOOKUP(#REF!,'SegEnds_NonXtal_Prot#'!#REF!,28,FALSE)-VLOOKUP(#REF!,'SegEnds_NonXtal_Prot#'!#REF!,25,FALSE)</f>
        <v>#REF!</v>
      </c>
      <c r="AH87" s="1">
        <f>VLOOKUP(A87,'SegEnds_NonXtal_Prot#'!A:AL,28,FALSE)-VLOOKUP(A87,'SegEnds_NonXtal_Prot#'!A:AL,25,FALSE)</f>
        <v>24</v>
      </c>
      <c r="AI87" s="1">
        <f>VLOOKUP(A87,'SegEnds_NonXtal_Prot#'!A:AL,28,FALSE)-VLOOKUP(A87,'SegEnds_NonXtal_Prot#'!A:AL,22,FALSE)</f>
        <v>47</v>
      </c>
      <c r="AJ87" s="1">
        <f>VLOOKUP(A87,'SegEnds_NonXtal_Prot#'!A:AL,31,FALSE)-VLOOKUP(A87,'SegEnds_NonXtal_Prot#'!A:AL,28,FALSE)</f>
        <v>45</v>
      </c>
      <c r="AK87" s="1">
        <f>VLOOKUP(A87,'SegEnds_NonXtal_Prot#'!A:AL,34,FALSE)-VLOOKUP(A87,'SegEnds_NonXtal_Prot#'!A:AL,31,FALSE)</f>
        <v>36</v>
      </c>
      <c r="AL87" s="1">
        <f>VLOOKUP(A87,'SegEnds_NonXtal_Prot#'!A:AL,37,FALSE)-VLOOKUP(A87,'SegEnds_NonXtal_Prot#'!A:AL,34,FALSE)</f>
        <v>10</v>
      </c>
      <c r="AM87" s="1" t="str">
        <f>IF(ISERROR(MATCH(A87,'SegEnds_Xtal_Prot#'!B:B, 0)), "NoXtal", "Xtal")</f>
        <v>NoXtal</v>
      </c>
    </row>
    <row r="88" spans="1:39" x14ac:dyDescent="0.2">
      <c r="A88" s="1" t="s">
        <v>284</v>
      </c>
      <c r="B88" s="1" t="str">
        <f>VLOOKUP(A88,Xtal_Templ!A:B,2,FALSE)</f>
        <v>mtr1a_human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f>VLOOKUP($B88&amp;"__wt",'SegEnds_Xtal_BW#'!$A:$Z,15,FALSE)</f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INDEX(ICL3_classA!$G$2:$G$41,MATCH(MIN(ABS(AJ88-ICL3_classA!$F$2:$F$41)),ABS(AJ88-ICL3_classA!$F$2:$F$41),0))</f>
        <v>67</v>
      </c>
      <c r="U88" s="1">
        <f t="array" ref="U88">INDEX(ICL3_classA!$H$2:$H$41,MATCH(MIN(ABS(AJ88-ICL3_classA!$F$2:$F$41)),ABS(AJ88-ICL3_classA!$F$2:$F$41),0))</f>
        <v>28</v>
      </c>
      <c r="V88" s="1">
        <v>61</v>
      </c>
      <c r="W88" s="1">
        <v>31</v>
      </c>
      <c r="X88" s="108">
        <v>56</v>
      </c>
      <c r="Y88" s="1">
        <f>VLOOKUP($B88&amp;"__wt",'SegEnds_Xtal_BW#'!$A:$Z,25,FALSE)</f>
        <v>47</v>
      </c>
      <c r="Z88" s="1">
        <f>VLOOKUP($B88&amp;"__wt",'SegEnds_Xtal_BW#'!$A:$Z,26,FALSE)</f>
        <v>63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29</v>
      </c>
      <c r="AC88" s="1" t="e">
        <f>VLOOKUP(A88,'SegEnds_NonXtal_Prot#'!A:AL,10,FALSE)-VLOOKUP(A88,'SegEnds_NonXtal_Prot#'!A:AL,7,FALSE)</f>
        <v>#VALUE!</v>
      </c>
      <c r="AD88" s="1" t="e">
        <f>VLOOKUP(A88,'SegEnds_NonXtal_Prot#'!A:AL,13,FALSE)-VLOOKUP(A88,'SegEnds_NonXtal_Prot#'!A:AL,10,FALSE)</f>
        <v>#VALUE!</v>
      </c>
      <c r="AE88" s="1">
        <f>VLOOKUP(A88,'SegEnds_NonXtal_Prot#'!A:AL,16,FALSE)-VLOOKUP(A88,'SegEnds_NonXtal_Prot#'!A:AL,10,FALSE)</f>
        <v>59</v>
      </c>
      <c r="AF88" s="1">
        <f>VLOOKUP(A88,'SegEnds_NonXtal_Prot#'!A:AL,22,FALSE)-VLOOKUP(A88,'SegEnds_NonXtal_Prot#'!A:AL,19,FALSE)</f>
        <v>20</v>
      </c>
      <c r="AG88" s="1" t="e">
        <f>VLOOKUP(#REF!,'SegEnds_NonXtal_Prot#'!#REF!,28,FALSE)-VLOOKUP(#REF!,'SegEnds_NonXtal_Prot#'!#REF!,25,FALSE)</f>
        <v>#REF!</v>
      </c>
      <c r="AH88" s="1">
        <f>VLOOKUP(A88,'SegEnds_NonXtal_Prot#'!A:AL,28,FALSE)-VLOOKUP(A88,'SegEnds_NonXtal_Prot#'!A:AL,25,FALSE)</f>
        <v>26</v>
      </c>
      <c r="AI88" s="1">
        <f>VLOOKUP(A88,'SegEnds_NonXtal_Prot#'!A:AL,28,FALSE)-VLOOKUP(A88,'SegEnds_NonXtal_Prot#'!A:AL,22,FALSE)</f>
        <v>49</v>
      </c>
      <c r="AJ88" s="1">
        <f>VLOOKUP(A88,'SegEnds_NonXtal_Prot#'!A:AL,31,FALSE)-VLOOKUP(A88,'SegEnds_NonXtal_Prot#'!A:AL,28,FALSE)</f>
        <v>45</v>
      </c>
      <c r="AK88" s="1">
        <f>VLOOKUP(A88,'SegEnds_NonXtal_Prot#'!A:AL,34,FALSE)-VLOOKUP(A88,'SegEnds_NonXtal_Prot#'!A:AL,31,FALSE)</f>
        <v>36</v>
      </c>
      <c r="AL88" s="1">
        <f>VLOOKUP(A88,'SegEnds_NonXtal_Prot#'!A:AL,37,FALSE)-VLOOKUP(A88,'SegEnds_NonXtal_Prot#'!A:AL,34,FALSE)</f>
        <v>10</v>
      </c>
      <c r="AM88" s="1" t="str">
        <f>IF(ISERROR(MATCH(A88,'SegEnds_Xtal_Prot#'!B:B, 0)), "NoXtal", "Xtal")</f>
        <v>NoXtal</v>
      </c>
    </row>
    <row r="89" spans="1:39" x14ac:dyDescent="0.2">
      <c r="A89" s="1" t="s">
        <v>285</v>
      </c>
      <c r="B89" s="1" t="str">
        <f>VLOOKUP(A89,Xtal_Templ!A:B,2,FALSE)</f>
        <v>lpar1_human</v>
      </c>
      <c r="C89" s="5">
        <f>VLOOKUP($B89&amp;"__wt",'SegEnds_Xtal_BW#'!$A:$Z,3,FALSE)</f>
        <v>30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63</v>
      </c>
      <c r="I89" s="1">
        <f>VLOOKUP($B89&amp;"__wt",'SegEnds_Xtal_BW#'!$A:$Z,9,FALSE)</f>
        <v>47</v>
      </c>
      <c r="J89" s="1">
        <f>VLOOKUP($B89&amp;"__wt",'SegEnds_Xtal_BW#'!$A:$Z,10,FALSE)</f>
        <v>53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08">
        <v>56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INDEX(ICL3_classA!$G$2:$G$41,MATCH(MIN(ABS(AJ89-ICL3_classA!$F$2:$F$41)),ABS(AJ89-ICL3_classA!$F$2:$F$41),0))</f>
        <v>73</v>
      </c>
      <c r="U89" s="1">
        <f t="array" ref="U89">INDEX(ICL3_classA!$H$2:$H$41,MATCH(MIN(ABS(AJ89-ICL3_classA!$F$2:$F$41)),ABS(AJ89-ICL3_classA!$F$2:$F$41),0))</f>
        <v>22</v>
      </c>
      <c r="V89" s="1">
        <v>61</v>
      </c>
      <c r="W89" s="1">
        <v>30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18</v>
      </c>
      <c r="AE89" s="1">
        <f>VLOOKUP(A89,'SegEnds_NonXtal_Prot#'!A:AL,16,FALSE)-VLOOKUP(A89,'SegEnds_NonXtal_Prot#'!A:AL,10,FALSE)</f>
        <v>51</v>
      </c>
      <c r="AF89" s="1">
        <f>VLOOKUP(A89,'SegEnds_NonXtal_Prot#'!A:AL,22,FALSE)-VLOOKUP(A89,'SegEnds_NonXtal_Prot#'!A:AL,19,FALSE)</f>
        <v>19</v>
      </c>
      <c r="AG89" s="1" t="e">
        <f>VLOOKUP(#REF!,'SegEnds_NonXtal_Prot#'!#REF!,28,FALSE)-VLOOKUP(#REF!,'SegEnds_NonXtal_Prot#'!#REF!,25,FALSE)</f>
        <v>#REF!</v>
      </c>
      <c r="AH89" s="1" t="e">
        <f>VLOOKUP(A89,'SegEnds_NonXtal_Prot#'!A:AL,28,FALSE)-VLOOKUP(A89,'SegEnds_NonXtal_Prot#'!A:AL,25,FALSE)</f>
        <v>#VALUE!</v>
      </c>
      <c r="AI89" s="1">
        <f>VLOOKUP(A89,'SegEnds_NonXtal_Prot#'!A:AL,28,FALSE)-VLOOKUP(A89,'SegEnds_NonXtal_Prot#'!A:AL,22,FALSE)</f>
        <v>45</v>
      </c>
      <c r="AJ89" s="1">
        <f>VLOOKUP(A89,'SegEnds_NonXtal_Prot#'!A:AL,31,FALSE)-VLOOKUP(A89,'SegEnds_NonXtal_Prot#'!A:AL,28,FALSE)</f>
        <v>56</v>
      </c>
      <c r="AK89" s="1">
        <f>VLOOKUP(A89,'SegEnds_NonXtal_Prot#'!A:AL,34,FALSE)-VLOOKUP(A89,'SegEnds_NonXtal_Prot#'!A:AL,31,FALSE)</f>
        <v>36</v>
      </c>
      <c r="AL89" s="1">
        <f>VLOOKUP(A89,'SegEnds_NonXtal_Prot#'!A:AL,37,FALSE)-VLOOKUP(A89,'SegEnds_NonXtal_Prot#'!A:AL,34,FALSE)</f>
        <v>10</v>
      </c>
      <c r="AM89" s="1" t="str">
        <f>IF(ISERROR(MATCH(A89,'SegEnds_Xtal_Prot#'!B:B, 0)), "NoXtal", "Xtal")</f>
        <v>NoXtal</v>
      </c>
    </row>
    <row r="90" spans="1:39" x14ac:dyDescent="0.2">
      <c r="A90" s="1" t="s">
        <v>286</v>
      </c>
      <c r="B90" s="1" t="str">
        <f>VLOOKUP(A90,Xtal_Templ!A:B,2,FALSE)</f>
        <v>lpar1_human</v>
      </c>
      <c r="C90" s="5">
        <f>VLOOKUP($B90&amp;"__wt",'SegEnds_Xtal_BW#'!$A:$Z,3,FALSE)</f>
        <v>30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63</v>
      </c>
      <c r="I90" s="1">
        <f>VLOOKUP($B90&amp;"__wt",'SegEnds_Xtal_BW#'!$A:$Z,9,FALSE)</f>
        <v>47</v>
      </c>
      <c r="J90" s="1">
        <f>VLOOKUP($B90&amp;"__wt",'SegEnds_Xtal_BW#'!$A:$Z,10,FALSE)</f>
        <v>53</v>
      </c>
      <c r="K90" s="12">
        <v>21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08">
        <v>56</v>
      </c>
      <c r="O90" s="87">
        <f>VLOOKUP($B90&amp;"__wt",'SegEnds_Xtal_BW#'!$A:$Z,15,FALSE)</f>
        <v>38</v>
      </c>
      <c r="P90" s="1">
        <f>VLOOKUP($B90&amp;"__wt",'SegEnds_Xtal_BW#'!$A:$Z,16,FALSE)</f>
        <v>63</v>
      </c>
      <c r="Q90" s="1" t="str">
        <f>VLOOKUP($B90&amp;"__wt",'SegEnds_Xtal_BW#'!$A:$Z,17,FALSE)</f>
        <v>-</v>
      </c>
      <c r="R90" s="1" t="str">
        <f>VLOOKUP($B90&amp;"__wt",'SegEnds_Xtal_BW#'!$A:$Z,18,FALSE)</f>
        <v>-</v>
      </c>
      <c r="S90" s="1">
        <f>VLOOKUP($B90&amp;"__wt",'SegEnds_Xtal_BW#'!$A:$Z,19,FALSE)</f>
        <v>36</v>
      </c>
      <c r="T90" s="1">
        <f t="array" ref="T90">INDEX(ICL3_classA!$G$2:$G$41,MATCH(MIN(ABS(AJ90-ICL3_classA!$F$2:$F$41)),ABS(AJ90-ICL3_classA!$F$2:$F$41),0))</f>
        <v>73</v>
      </c>
      <c r="U90" s="1">
        <f t="array" ref="U90">INDEX(ICL3_classA!$H$2:$H$41,MATCH(MIN(ABS(AJ90-ICL3_classA!$F$2:$F$41)),ABS(AJ90-ICL3_classA!$F$2:$F$41),0))</f>
        <v>22</v>
      </c>
      <c r="V90" s="1">
        <v>61</v>
      </c>
      <c r="W90" s="1">
        <v>30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18</v>
      </c>
      <c r="AE90" s="1">
        <f>VLOOKUP(A90,'SegEnds_NonXtal_Prot#'!A:AL,16,FALSE)-VLOOKUP(A90,'SegEnds_NonXtal_Prot#'!A:AL,10,FALSE)</f>
        <v>51</v>
      </c>
      <c r="AF90" s="1">
        <f>VLOOKUP(A90,'SegEnds_NonXtal_Prot#'!A:AL,22,FALSE)-VLOOKUP(A90,'SegEnds_NonXtal_Prot#'!A:AL,19,FALSE)</f>
        <v>19</v>
      </c>
      <c r="AG90" s="1" t="e">
        <f>VLOOKUP(#REF!,'SegEnds_NonXtal_Prot#'!#REF!,28,FALSE)-VLOOKUP(#REF!,'SegEnds_NonXtal_Prot#'!#REF!,25,FALSE)</f>
        <v>#REF!</v>
      </c>
      <c r="AH90" s="1" t="e">
        <f>VLOOKUP(A90,'SegEnds_NonXtal_Prot#'!A:AL,28,FALSE)-VLOOKUP(A90,'SegEnds_NonXtal_Prot#'!A:AL,25,FALSE)</f>
        <v>#VALUE!</v>
      </c>
      <c r="AI90" s="1">
        <f>VLOOKUP(A90,'SegEnds_NonXtal_Prot#'!A:AL,28,FALSE)-VLOOKUP(A90,'SegEnds_NonXtal_Prot#'!A:AL,22,FALSE)</f>
        <v>45</v>
      </c>
      <c r="AJ90" s="1">
        <f>VLOOKUP(A90,'SegEnds_NonXtal_Prot#'!A:AL,31,FALSE)-VLOOKUP(A90,'SegEnds_NonXtal_Prot#'!A:AL,28,FALSE)</f>
        <v>56</v>
      </c>
      <c r="AK90" s="1">
        <f>VLOOKUP(A90,'SegEnds_NonXtal_Prot#'!A:AL,34,FALSE)-VLOOKUP(A90,'SegEnds_NonXtal_Prot#'!A:AL,31,FALSE)</f>
        <v>36</v>
      </c>
      <c r="AL90" s="1">
        <f>VLOOKUP(A90,'SegEnds_NonXtal_Prot#'!A:AL,37,FALSE)-VLOOKUP(A90,'SegEnds_NonXtal_Prot#'!A:AL,34,FALSE)</f>
        <v>10</v>
      </c>
      <c r="AM90" s="1" t="str">
        <f>IF(ISERROR(MATCH(A90,'SegEnds_Xtal_Prot#'!B:B, 0)), "NoXtal", "Xtal")</f>
        <v>NoXtal</v>
      </c>
    </row>
    <row r="91" spans="1:39" x14ac:dyDescent="0.2">
      <c r="A91" s="1" t="s">
        <v>290</v>
      </c>
      <c r="B91" s="1" t="str">
        <f>VLOOKUP(A91,Xtal_Templ!A:B,2,FALSE)</f>
        <v>hrh1_human</v>
      </c>
      <c r="C91" s="5">
        <f>VLOOKUP($B91&amp;"__wt",'SegEnds_Xtal_BW#'!$A:$Z,3,FALSE)</f>
        <v>34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INDEX(ICL3_classA!$G$2:$G$41,MATCH(MIN(ABS(AJ91-ICL3_classA!$F$2:$F$41)),ABS(AJ91-ICL3_classA!$F$2:$F$41),0))</f>
        <v>67</v>
      </c>
      <c r="U91" s="1">
        <f t="array" ref="U91">INDEX(ICL3_classA!$H$2:$H$41,MATCH(MIN(ABS(AJ91-ICL3_classA!$F$2:$F$41)),ABS(AJ91-ICL3_classA!$F$2:$F$41),0))</f>
        <v>26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14</v>
      </c>
      <c r="AD91" s="1">
        <f>VLOOKUP(A91,'SegEnds_NonXtal_Prot#'!A:AL,13,FALSE)-VLOOKUP(A91,'SegEnds_NonXtal_Prot#'!A:AL,10,FALSE)</f>
        <v>28</v>
      </c>
      <c r="AE91" s="1">
        <f>VLOOKUP(A91,'SegEnds_NonXtal_Prot#'!A:AL,16,FALSE)-VLOOKUP(A91,'SegEnds_NonXtal_Prot#'!A:AL,10,FALSE)</f>
        <v>59</v>
      </c>
      <c r="AF91" s="1">
        <f>VLOOKUP(A91,'SegEnds_NonXtal_Prot#'!A:AL,22,FALSE)-VLOOKUP(A91,'SegEnds_NonXtal_Prot#'!A:AL,19,FALSE)</f>
        <v>20</v>
      </c>
      <c r="AG91" s="1" t="e">
        <f>VLOOKUP(#REF!,'SegEnds_NonXtal_Prot#'!#REF!,28,FALSE)-VLOOKUP(#REF!,'SegEnds_NonXtal_Prot#'!#REF!,25,FALSE)</f>
        <v>#REF!</v>
      </c>
      <c r="AH91" s="1">
        <f>VLOOKUP(A91,'SegEnds_NonXtal_Prot#'!A:AL,28,FALSE)-VLOOKUP(A91,'SegEnds_NonXtal_Prot#'!A:AL,25,FALSE)</f>
        <v>24</v>
      </c>
      <c r="AI91" s="1">
        <f>VLOOKUP(A91,'SegEnds_NonXtal_Prot#'!A:AL,28,FALSE)-VLOOKUP(A91,'SegEnds_NonXtal_Prot#'!A:AL,22,FALSE)</f>
        <v>47</v>
      </c>
      <c r="AJ91" s="1">
        <f>VLOOKUP(A91,'SegEnds_NonXtal_Prot#'!A:AL,31,FALSE)-VLOOKUP(A91,'SegEnds_NonXtal_Prot#'!A:AL,28,FALSE)</f>
        <v>46</v>
      </c>
      <c r="AK91" s="1">
        <f>VLOOKUP(A91,'SegEnds_NonXtal_Prot#'!A:AL,34,FALSE)-VLOOKUP(A91,'SegEnds_NonXtal_Prot#'!A:AL,31,FALSE)</f>
        <v>36</v>
      </c>
      <c r="AL91" s="1">
        <f>VLOOKUP(A91,'SegEnds_NonXtal_Prot#'!A:AL,37,FALSE)-VLOOKUP(A91,'SegEnds_NonXtal_Prot#'!A:AL,34,FALSE)</f>
        <v>10</v>
      </c>
      <c r="AM91" s="1" t="str">
        <f>IF(ISERROR(MATCH(A91,'SegEnds_Xtal_Prot#'!B:B, 0)), "NoXtal", "Xtal")</f>
        <v>NoXtal</v>
      </c>
    </row>
    <row r="92" spans="1:39" x14ac:dyDescent="0.2">
      <c r="A92" s="1" t="s">
        <v>331</v>
      </c>
      <c r="B92" s="1" t="str">
        <f>VLOOKUP(A92,Xtal_Templ!A:B,2,FALSE)</f>
        <v>opsd_bovin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f>VLOOKUP($B92&amp;"__wt",'SegEnds_Xtal_BW#'!$A:$Z,14,FALSE)</f>
        <v>56</v>
      </c>
      <c r="O92" s="87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INDEX(ICL3_classA!$G$2:$G$41,MATCH(MIN(ABS(AJ92-ICL3_classA!$F$2:$F$41)),ABS(AJ92-ICL3_classA!$F$2:$F$41),0))</f>
        <v>73</v>
      </c>
      <c r="U92" s="1">
        <f t="array" ref="U92">INDEX(ICL3_classA!$H$2:$H$41,MATCH(MIN(ABS(AJ92-ICL3_classA!$F$2:$F$41)),ABS(AJ92-ICL3_classA!$F$2:$F$41),0))</f>
        <v>22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 t="e">
        <f>VLOOKUP(A92,'SegEnds_NonXtal_Prot#'!A:AL,22,FALSE)-VLOOKUP(A92,'SegEnds_NonXtal_Prot#'!A:AL,19,FALSE)</f>
        <v>#VALUE!</v>
      </c>
      <c r="AG92" s="1" t="e">
        <f>VLOOKUP(#REF!,'SegEnds_NonXtal_Prot#'!#REF!,28,FALSE)-VLOOKUP(#REF!,'SegEnds_NonXtal_Prot#'!#REF!,25,FALSE)</f>
        <v>#REF!</v>
      </c>
      <c r="AH92" s="1">
        <f>VLOOKUP(A92,'SegEnds_NonXtal_Prot#'!A:AL,28,FALSE)-VLOOKUP(A92,'SegEnds_NonXtal_Prot#'!A:AL,25,FALSE)</f>
        <v>26</v>
      </c>
      <c r="AI92" s="1">
        <f>VLOOKUP(A92,'SegEnds_NonXtal_Prot#'!A:AL,28,FALSE)-VLOOKUP(A92,'SegEnds_NonXtal_Prot#'!A:AL,22,FALSE)</f>
        <v>52</v>
      </c>
      <c r="AJ92" s="1">
        <f>VLOOKUP(A92,'SegEnds_NonXtal_Prot#'!A:AL,31,FALSE)-VLOOKUP(A92,'SegEnds_NonXtal_Prot#'!A:AL,28,FALSE)</f>
        <v>56</v>
      </c>
      <c r="AK92" s="1">
        <f>VLOOKUP(A92,'SegEnds_NonXtal_Prot#'!A:AL,34,FALSE)-VLOOKUP(A92,'SegEnds_NonXtal_Prot#'!A:AL,31,FALSE)</f>
        <v>36</v>
      </c>
      <c r="AL92" s="1">
        <f>VLOOKUP(A92,'SegEnds_NonXtal_Prot#'!A:AL,37,FALSE)-VLOOKUP(A92,'SegEnds_NonXtal_Prot#'!A:AL,34,FALSE)</f>
        <v>10</v>
      </c>
      <c r="AM92" s="1" t="str">
        <f>IF(ISERROR(MATCH(A92,'SegEnds_Xtal_Prot#'!B:B, 0)), "NoXtal", "Xtal")</f>
        <v>NoXtal</v>
      </c>
    </row>
    <row r="93" spans="1:39" x14ac:dyDescent="0.2">
      <c r="A93" s="1" t="s">
        <v>332</v>
      </c>
      <c r="B93" s="1" t="str">
        <f>VLOOKUP(A93,Xtal_Templ!A:B,2,FALSE)</f>
        <v>opsd_bovin</v>
      </c>
      <c r="C93" s="5">
        <f>VLOOKUP($B93&amp;"__wt",'SegEnds_Xtal_BW#'!$A:$Z,3,FALSE)</f>
        <v>28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INDEX(ICL3_classA!$G$2:$G$41,MATCH(MIN(ABS(AJ93-ICL3_classA!$F$2:$F$41)),ABS(AJ93-ICL3_classA!$F$2:$F$41),0))</f>
        <v>81</v>
      </c>
      <c r="U93" s="1">
        <f t="array" ref="U93">INDEX(ICL3_classA!$H$2:$H$41,MATCH(MIN(ABS(AJ93-ICL3_classA!$F$2:$F$41)),ABS(AJ93-ICL3_classA!$F$2:$F$41),0))</f>
        <v>23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 t="e">
        <f>VLOOKUP(#REF!,'SegEnds_NonXtal_Prot#'!#REF!,28,FALSE)-VLOOKUP(#REF!,'SegEnds_NonXtal_Prot#'!#REF!,25,FALSE)</f>
        <v>#REF!</v>
      </c>
      <c r="AH93" s="1">
        <f>VLOOKUP(A93,'SegEnds_NonXtal_Prot#'!A:AL,28,FALSE)-VLOOKUP(A93,'SegEnds_NonXtal_Prot#'!A:AL,25,FALSE)</f>
        <v>26</v>
      </c>
      <c r="AI93" s="1">
        <f>VLOOKUP(A93,'SegEnds_NonXtal_Prot#'!A:AL,28,FALSE)-VLOOKUP(A93,'SegEnds_NonXtal_Prot#'!A:AL,22,FALSE)</f>
        <v>52</v>
      </c>
      <c r="AJ93" s="1">
        <f>VLOOKUP(A93,'SegEnds_NonXtal_Prot#'!A:AL,31,FALSE)-VLOOKUP(A93,'SegEnds_NonXtal_Prot#'!A:AL,28,FALSE)</f>
        <v>64</v>
      </c>
      <c r="AK93" s="1">
        <f>VLOOKUP(A93,'SegEnds_NonXtal_Prot#'!A:AL,34,FALSE)-VLOOKUP(A93,'SegEnds_NonXtal_Prot#'!A:AL,31,FALSE)</f>
        <v>36</v>
      </c>
      <c r="AL93" s="1">
        <f>VLOOKUP(A93,'SegEnds_NonXtal_Prot#'!A:AL,37,FALSE)-VLOOKUP(A93,'SegEnds_NonXtal_Prot#'!A:AL,34,FALSE)</f>
        <v>10</v>
      </c>
      <c r="AM93" s="1" t="str">
        <f>IF(ISERROR(MATCH(A93,'SegEnds_Xtal_Prot#'!B:B, 0)), "NoXtal", "Xtal")</f>
        <v>NoXtal</v>
      </c>
    </row>
    <row r="94" spans="1:39" x14ac:dyDescent="0.2">
      <c r="A94" s="1" t="s">
        <v>333</v>
      </c>
      <c r="B94" s="1" t="str">
        <f>VLOOKUP(A94,Xtal_Templ!A:B,2,FALSE)</f>
        <v>opsd_bovin</v>
      </c>
      <c r="C94" s="5">
        <f>VLOOKUP($B94&amp;"__wt",'SegEnds_Xtal_BW#'!$A:$Z,3,FALSE)</f>
        <v>28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08">
        <v>56</v>
      </c>
      <c r="O94" s="87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34</v>
      </c>
      <c r="T94" s="1">
        <f t="array" ref="T94">INDEX(ICL3_classA!$G$2:$G$41,MATCH(MIN(ABS(AJ94-ICL3_classA!$F$2:$F$41)),ABS(AJ94-ICL3_classA!$F$2:$F$41),0))</f>
        <v>73</v>
      </c>
      <c r="U94" s="1">
        <f t="array" ref="U94">INDEX(ICL3_classA!$H$2:$H$41,MATCH(MIN(ABS(AJ94-ICL3_classA!$F$2:$F$41)),ABS(AJ94-ICL3_classA!$F$2:$F$41),0))</f>
        <v>22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14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19</v>
      </c>
      <c r="AG94" s="1" t="e">
        <f>VLOOKUP(#REF!,'SegEnds_NonXtal_Prot#'!#REF!,28,FALSE)-VLOOKUP(#REF!,'SegEnds_NonXtal_Prot#'!#REF!,25,FALSE)</f>
        <v>#REF!</v>
      </c>
      <c r="AH94" s="1">
        <f>VLOOKUP(A94,'SegEnds_NonXtal_Prot#'!A:AL,28,FALSE)-VLOOKUP(A94,'SegEnds_NonXtal_Prot#'!A:AL,25,FALSE)</f>
        <v>28</v>
      </c>
      <c r="AI94" s="1">
        <f>VLOOKUP(A94,'SegEnds_NonXtal_Prot#'!A:AL,28,FALSE)-VLOOKUP(A94,'SegEnds_NonXtal_Prot#'!A:AL,22,FALSE)</f>
        <v>54</v>
      </c>
      <c r="AJ94" s="1">
        <f>VLOOKUP(A94,'SegEnds_NonXtal_Prot#'!A:AL,31,FALSE)-VLOOKUP(A94,'SegEnds_NonXtal_Prot#'!A:AL,28,FALSE)</f>
        <v>56</v>
      </c>
      <c r="AK94" s="1">
        <f>VLOOKUP(A94,'SegEnds_NonXtal_Prot#'!A:AL,34,FALSE)-VLOOKUP(A94,'SegEnds_NonXtal_Prot#'!A:AL,31,FALSE)</f>
        <v>36</v>
      </c>
      <c r="AL94" s="1">
        <f>VLOOKUP(A94,'SegEnds_NonXtal_Prot#'!A:AL,37,FALSE)-VLOOKUP(A94,'SegEnds_NonXtal_Prot#'!A:AL,34,FALSE)</f>
        <v>10</v>
      </c>
      <c r="AM94" s="1" t="str">
        <f>IF(ISERROR(MATCH(A94,'SegEnds_Xtal_Prot#'!B:B, 0)), "NoXtal", "Xtal")</f>
        <v>NoXtal</v>
      </c>
    </row>
    <row r="95" spans="1:39" x14ac:dyDescent="0.2">
      <c r="A95" s="1" t="s">
        <v>337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08">
        <v>56</v>
      </c>
      <c r="O95" s="87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INDEX(ICL3_classA!$G$2:$G$41,MATCH(MIN(ABS(AJ95-ICL3_classA!$F$2:$F$41)),ABS(AJ95-ICL3_classA!$F$2:$F$41),0))</f>
        <v>72</v>
      </c>
      <c r="U95" s="1">
        <f t="array" ref="U95">INDEX(ICL3_classA!$H$2:$H$41,MATCH(MIN(ABS(AJ95-ICL3_classA!$F$2:$F$41)),ABS(AJ95-ICL3_classA!$F$2:$F$41),0))</f>
        <v>23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19</v>
      </c>
      <c r="AG95" s="1" t="e">
        <f>VLOOKUP(#REF!,'SegEnds_NonXtal_Prot#'!#REF!,28,FALSE)-VLOOKUP(#REF!,'SegEnds_NonXtal_Prot#'!#REF!,25,FALSE)</f>
        <v>#REF!</v>
      </c>
      <c r="AH95" s="1">
        <f>VLOOKUP(A95,'SegEnds_NonXtal_Prot#'!A:AL,28,FALSE)-VLOOKUP(A95,'SegEnds_NonXtal_Prot#'!A:AL,25,FALSE)</f>
        <v>28</v>
      </c>
      <c r="AI95" s="1">
        <f>VLOOKUP(A95,'SegEnds_NonXtal_Prot#'!A:AL,28,FALSE)-VLOOKUP(A95,'SegEnds_NonXtal_Prot#'!A:AL,22,FALSE)</f>
        <v>54</v>
      </c>
      <c r="AJ95" s="1">
        <f>VLOOKUP(A95,'SegEnds_NonXtal_Prot#'!A:AL,31,FALSE)-VLOOKUP(A95,'SegEnds_NonXtal_Prot#'!A:AL,28,FALSE)</f>
        <v>52</v>
      </c>
      <c r="AK95" s="1">
        <f>VLOOKUP(A95,'SegEnds_NonXtal_Prot#'!A:AL,34,FALSE)-VLOOKUP(A95,'SegEnds_NonXtal_Prot#'!A:AL,31,FALSE)</f>
        <v>36</v>
      </c>
      <c r="AL95" s="1">
        <f>VLOOKUP(A95,'SegEnds_NonXtal_Prot#'!A:AL,37,FALSE)-VLOOKUP(A95,'SegEnds_NonXtal_Prot#'!A:AL,34,FALSE)</f>
        <v>10</v>
      </c>
      <c r="AM95" s="1" t="str">
        <f>IF(ISERROR(MATCH(A95,'SegEnds_Xtal_Prot#'!B:B, 0)), "NoXtal", "Xtal")</f>
        <v>NoXtal</v>
      </c>
    </row>
    <row r="96" spans="1:39" x14ac:dyDescent="0.2">
      <c r="A96" s="1" t="s">
        <v>913</v>
      </c>
      <c r="B96" s="1" t="str">
        <f>VLOOKUP(A96,Xtal_Templ!A:B,2,FALSE)</f>
        <v>opsd_bovin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08">
        <f>VLOOKUP($B96&amp;"__wt",'SegEnds_Xtal_BW#'!$A:$Z,14,FALSE)</f>
        <v>56</v>
      </c>
      <c r="O96" s="87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INDEX(ICL3_classA!$G$2:$G$41,MATCH(MIN(ABS(AJ96-ICL3_classA!$F$2:$F$41)),ABS(AJ96-ICL3_classA!$F$2:$F$41),0))</f>
        <v>72</v>
      </c>
      <c r="U96" s="1">
        <f t="array" ref="U96">INDEX(ICL3_classA!$H$2:$H$41,MATCH(MIN(ABS(AJ96-ICL3_classA!$F$2:$F$41)),ABS(AJ96-ICL3_classA!$F$2:$F$41),0))</f>
        <v>23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19</v>
      </c>
      <c r="AG96" s="1" t="e">
        <f>VLOOKUP(#REF!,'SegEnds_NonXtal_Prot#'!#REF!,28,FALSE)-VLOOKUP(#REF!,'SegEnds_NonXtal_Prot#'!#REF!,25,FALSE)</f>
        <v>#REF!</v>
      </c>
      <c r="AH96" s="1">
        <f>VLOOKUP(A96,'SegEnds_NonXtal_Prot#'!A:AL,28,FALSE)-VLOOKUP(A96,'SegEnds_NonXtal_Prot#'!A:AL,25,FALSE)</f>
        <v>28</v>
      </c>
      <c r="AI96" s="1">
        <f>VLOOKUP(A96,'SegEnds_NonXtal_Prot#'!A:AL,28,FALSE)-VLOOKUP(A96,'SegEnds_NonXtal_Prot#'!A:AL,22,FALSE)</f>
        <v>54</v>
      </c>
      <c r="AJ96" s="1">
        <f>VLOOKUP(A96,'SegEnds_NonXtal_Prot#'!A:AL,31,FALSE)-VLOOKUP(A96,'SegEnds_NonXtal_Prot#'!A:AL,28,FALSE)</f>
        <v>52</v>
      </c>
      <c r="AK96" s="1">
        <f>VLOOKUP(A96,'SegEnds_NonXtal_Prot#'!A:AL,34,FALSE)-VLOOKUP(A96,'SegEnds_NonXtal_Prot#'!A:AL,31,FALSE)</f>
        <v>36</v>
      </c>
      <c r="AL96" s="1">
        <f>VLOOKUP(A96,'SegEnds_NonXtal_Prot#'!A:AL,37,FALSE)-VLOOKUP(A96,'SegEnds_NonXtal_Prot#'!A:AL,34,FALSE)</f>
        <v>10</v>
      </c>
      <c r="AM96" s="1" t="str">
        <f>IF(ISERROR(MATCH(A96,'SegEnds_Xtal_Prot#'!B:B, 0)), "NoXtal", "Xtal")</f>
        <v>Xtal</v>
      </c>
    </row>
    <row r="97" spans="1:39" x14ac:dyDescent="0.2">
      <c r="A97" s="1" t="s">
        <v>338</v>
      </c>
      <c r="B97" s="1" t="str">
        <f>VLOOKUP(A97,Xtal_Templ!A:B,2,FALSE)</f>
        <v>opsd_human</v>
      </c>
      <c r="C97" s="5">
        <f>VLOOKUP($B97&amp;"__wt",'SegEnds_Xtal_BW#'!$A:$Z,3,FALSE)</f>
        <v>29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08">
        <f>VLOOKUP($B97&amp;"__wt",'SegEnds_Xtal_BW#'!$A:$Z,14,FALSE)</f>
        <v>56</v>
      </c>
      <c r="O97" s="87">
        <f>VLOOKUP($B97&amp;"__wt",'SegEnds_Xtal_BW#'!$A:$Z,15,FALSE)</f>
        <v>38</v>
      </c>
      <c r="P97" s="1">
        <f>VLOOKUP($B97&amp;"__wt",'SegEnds_Xtal_BW#'!$A:$Z,16,FALSE)</f>
        <v>62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34</v>
      </c>
      <c r="T97" s="1">
        <f t="array" ref="T97">INDEX(ICL3_classA!$G$2:$G$41,MATCH(MIN(ABS(AJ97-ICL3_classA!$F$2:$F$41)),ABS(AJ97-ICL3_classA!$F$2:$F$41),0))</f>
        <v>72</v>
      </c>
      <c r="U97" s="1">
        <f t="array" ref="U97">INDEX(ICL3_classA!$H$2:$H$41,MATCH(MIN(ABS(AJ97-ICL3_classA!$F$2:$F$41)),ABS(AJ97-ICL3_classA!$F$2:$F$41),0))</f>
        <v>23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19</v>
      </c>
      <c r="AG97" s="1" t="e">
        <f>VLOOKUP(#REF!,'SegEnds_NonXtal_Prot#'!#REF!,28,FALSE)-VLOOKUP(#REF!,'SegEnds_NonXtal_Prot#'!#REF!,25,FALSE)</f>
        <v>#REF!</v>
      </c>
      <c r="AH97" s="1">
        <f>VLOOKUP(A97,'SegEnds_NonXtal_Prot#'!A:AL,28,FALSE)-VLOOKUP(A97,'SegEnds_NonXtal_Prot#'!A:AL,25,FALSE)</f>
        <v>28</v>
      </c>
      <c r="AI97" s="1">
        <f>VLOOKUP(A97,'SegEnds_NonXtal_Prot#'!A:AL,28,FALSE)-VLOOKUP(A97,'SegEnds_NonXtal_Prot#'!A:AL,22,FALSE)</f>
        <v>54</v>
      </c>
      <c r="AJ97" s="1">
        <f>VLOOKUP(A97,'SegEnds_NonXtal_Prot#'!A:AL,31,FALSE)-VLOOKUP(A97,'SegEnds_NonXtal_Prot#'!A:AL,28,FALSE)</f>
        <v>52</v>
      </c>
      <c r="AK97" s="1">
        <f>VLOOKUP(A97,'SegEnds_NonXtal_Prot#'!A:AL,34,FALSE)-VLOOKUP(A97,'SegEnds_NonXtal_Prot#'!A:AL,31,FALSE)</f>
        <v>36</v>
      </c>
      <c r="AL97" s="1">
        <f>VLOOKUP(A97,'SegEnds_NonXtal_Prot#'!A:AL,37,FALSE)-VLOOKUP(A97,'SegEnds_NonXtal_Prot#'!A:AL,34,FALSE)</f>
        <v>10</v>
      </c>
      <c r="AM97" s="1" t="str">
        <f>IF(ISERROR(MATCH(A97,'SegEnds_Xtal_Prot#'!B:B, 0)), "NoXtal", "Xtal")</f>
        <v>Xtal</v>
      </c>
    </row>
    <row r="98" spans="1:39" x14ac:dyDescent="0.2">
      <c r="A98" s="1" t="s">
        <v>915</v>
      </c>
      <c r="B98" s="1" t="str">
        <f>VLOOKUP(A98,Xtal_Templ!A:B,2,FALSE)</f>
        <v>opsd_todpa</v>
      </c>
      <c r="C98" s="5">
        <f>VLOOKUP($B98&amp;"__wt",'SegEnds_Xtal_BW#'!$A:$Z,3,FALSE)</f>
        <v>29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69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7">
        <f>VLOOKUP($B98&amp;"__wt",'SegEnds_Xtal_BW#'!$A:$Z,15,FALSE)</f>
        <v>38</v>
      </c>
      <c r="P98" s="1">
        <f>VLOOKUP($B98&amp;"__wt",'SegEnds_Xtal_BW#'!$A:$Z,16,FALSE)</f>
        <v>62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32</v>
      </c>
      <c r="T98" s="1">
        <f t="array" ref="T98">INDEX(ICL3_classA!$G$2:$G$41,MATCH(MIN(ABS(AJ98-ICL3_classA!$F$2:$F$41)),ABS(AJ98-ICL3_classA!$F$2:$F$41),0))</f>
        <v>81</v>
      </c>
      <c r="U98" s="1">
        <f t="array" ref="U98">INDEX(ICL3_classA!$H$2:$H$41,MATCH(MIN(ABS(AJ98-ICL3_classA!$F$2:$F$41)),ABS(AJ98-ICL3_classA!$F$2:$F$41),0))</f>
        <v>23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58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21</v>
      </c>
      <c r="AE98" s="1">
        <f>VLOOKUP(A98,'SegEnds_NonXtal_Prot#'!A:AL,16,FALSE)-VLOOKUP(A98,'SegEnds_NonXtal_Prot#'!A:AL,10,FALSE)</f>
        <v>53</v>
      </c>
      <c r="AF98" s="1">
        <f>VLOOKUP(A98,'SegEnds_NonXtal_Prot#'!A:AL,22,FALSE)-VLOOKUP(A98,'SegEnds_NonXtal_Prot#'!A:AL,19,FALSE)</f>
        <v>20</v>
      </c>
      <c r="AG98" s="1" t="e">
        <f>VLOOKUP(#REF!,'SegEnds_NonXtal_Prot#'!#REF!,28,FALSE)-VLOOKUP(#REF!,'SegEnds_NonXtal_Prot#'!#REF!,25,FALSE)</f>
        <v>#REF!</v>
      </c>
      <c r="AH98" s="1">
        <f>VLOOKUP(A98,'SegEnds_NonXtal_Prot#'!A:AL,28,FALSE)-VLOOKUP(A98,'SegEnds_NonXtal_Prot#'!A:AL,25,FALSE)</f>
        <v>26</v>
      </c>
      <c r="AI98" s="1">
        <f>VLOOKUP(A98,'SegEnds_NonXtal_Prot#'!A:AL,28,FALSE)-VLOOKUP(A98,'SegEnds_NonXtal_Prot#'!A:AL,22,FALSE)</f>
        <v>52</v>
      </c>
      <c r="AJ98" s="1">
        <f>VLOOKUP(A98,'SegEnds_NonXtal_Prot#'!A:AL,31,FALSE)-VLOOKUP(A98,'SegEnds_NonXtal_Prot#'!A:AL,28,FALSE)</f>
        <v>64</v>
      </c>
      <c r="AK98" s="1">
        <f>VLOOKUP(A98,'SegEnds_NonXtal_Prot#'!A:AL,34,FALSE)-VLOOKUP(A98,'SegEnds_NonXtal_Prot#'!A:AL,31,FALSE)</f>
        <v>36</v>
      </c>
      <c r="AL98" s="1">
        <f>VLOOKUP(A98,'SegEnds_NonXtal_Prot#'!A:AL,37,FALSE)-VLOOKUP(A98,'SegEnds_NonXtal_Prot#'!A:AL,34,FALSE)</f>
        <v>10</v>
      </c>
      <c r="AM98" s="1" t="str">
        <f>IF(ISERROR(MATCH(A98,'SegEnds_Xtal_Prot#'!B:B, 0)), "NoXtal", "Xtal")</f>
        <v>Xtal</v>
      </c>
    </row>
    <row r="99" spans="1:39" x14ac:dyDescent="0.2">
      <c r="A99" s="1" t="s">
        <v>339</v>
      </c>
      <c r="B99" s="1" t="str">
        <f>VLOOKUP(A99,Xtal_Templ!A:B,2,FALSE)</f>
        <v>opsd_human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f>VLOOKUP($B99&amp;"__wt",'SegEnds_Xtal_BW#'!$A:$Z,14,FALSE)</f>
        <v>56</v>
      </c>
      <c r="O99" s="87">
        <f>VLOOKUP($B99&amp;"__wt",'SegEnds_Xtal_BW#'!$A:$Z,15,FALSE)</f>
        <v>38</v>
      </c>
      <c r="P99" s="1">
        <f>VLOOKUP($B99&amp;"__wt",'SegEnds_Xtal_BW#'!$A:$Z,16,FALSE)</f>
        <v>62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34</v>
      </c>
      <c r="T99" s="1">
        <f t="array" ref="T99">INDEX(ICL3_classA!$G$2:$G$41,MATCH(MIN(ABS(AJ99-ICL3_classA!$F$2:$F$41)),ABS(AJ99-ICL3_classA!$F$2:$F$41),0))</f>
        <v>72</v>
      </c>
      <c r="U99" s="1">
        <f t="array" ref="U99">INDEX(ICL3_classA!$H$2:$H$41,MATCH(MIN(ABS(AJ99-ICL3_classA!$F$2:$F$41)),ABS(AJ99-ICL3_classA!$F$2:$F$41),0))</f>
        <v>23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20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19</v>
      </c>
      <c r="AG99" s="1" t="e">
        <f>VLOOKUP(#REF!,'SegEnds_NonXtal_Prot#'!#REF!,28,FALSE)-VLOOKUP(#REF!,'SegEnds_NonXtal_Prot#'!#REF!,25,FALSE)</f>
        <v>#REF!</v>
      </c>
      <c r="AH99" s="1">
        <f>VLOOKUP(A99,'SegEnds_NonXtal_Prot#'!A:AL,28,FALSE)-VLOOKUP(A99,'SegEnds_NonXtal_Prot#'!A:AL,25,FALSE)</f>
        <v>28</v>
      </c>
      <c r="AI99" s="1">
        <f>VLOOKUP(A99,'SegEnds_NonXtal_Prot#'!A:AL,28,FALSE)-VLOOKUP(A99,'SegEnds_NonXtal_Prot#'!A:AL,22,FALSE)</f>
        <v>54</v>
      </c>
      <c r="AJ99" s="1">
        <f>VLOOKUP(A99,'SegEnds_NonXtal_Prot#'!A:AL,31,FALSE)-VLOOKUP(A99,'SegEnds_NonXtal_Prot#'!A:AL,28,FALSE)</f>
        <v>52</v>
      </c>
      <c r="AK99" s="1">
        <f>VLOOKUP(A99,'SegEnds_NonXtal_Prot#'!A:AL,34,FALSE)-VLOOKUP(A99,'SegEnds_NonXtal_Prot#'!A:AL,31,FALSE)</f>
        <v>36</v>
      </c>
      <c r="AL99" s="1">
        <f>VLOOKUP(A99,'SegEnds_NonXtal_Prot#'!A:AL,37,FALSE)-VLOOKUP(A99,'SegEnds_NonXtal_Prot#'!A:AL,34,FALSE)</f>
        <v>10</v>
      </c>
      <c r="AM99" s="1" t="str">
        <f>IF(ISERROR(MATCH(A99,'SegEnds_Xtal_Prot#'!B:B, 0)), "NoXtal", "Xtal")</f>
        <v>NoXtal</v>
      </c>
    </row>
    <row r="100" spans="1:39" x14ac:dyDescent="0.2">
      <c r="A100" s="1" t="s">
        <v>340</v>
      </c>
      <c r="B100" s="1" t="str">
        <f>VLOOKUP(A100,Xtal_Templ!A:B,2,FALSE)</f>
        <v>opsd_human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56</v>
      </c>
      <c r="O100" s="87">
        <f>VLOOKUP($B100&amp;"__wt",'SegEnds_Xtal_BW#'!$A:$Z,15,FALSE)</f>
        <v>38</v>
      </c>
      <c r="P100" s="1">
        <f>VLOOKUP($B100&amp;"__wt",'SegEnds_Xtal_BW#'!$A:$Z,16,FALSE)</f>
        <v>62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INDEX(ICL3_classA!$G$2:$G$41,MATCH(MIN(ABS(AJ100-ICL3_classA!$F$2:$F$41)),ABS(AJ100-ICL3_classA!$F$2:$F$41),0))</f>
        <v>72</v>
      </c>
      <c r="U100" s="1">
        <f t="array" ref="U100">INDEX(ICL3_classA!$H$2:$H$41,MATCH(MIN(ABS(AJ100-ICL3_classA!$F$2:$F$41)),ABS(AJ100-ICL3_classA!$F$2:$F$41),0))</f>
        <v>23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19</v>
      </c>
      <c r="AG100" s="1" t="e">
        <f>VLOOKUP(#REF!,'SegEnds_NonXtal_Prot#'!#REF!,28,FALSE)-VLOOKUP(#REF!,'SegEnds_NonXtal_Prot#'!#REF!,25,FALSE)</f>
        <v>#REF!</v>
      </c>
      <c r="AH100" s="1">
        <f>VLOOKUP(A100,'SegEnds_NonXtal_Prot#'!A:AL,28,FALSE)-VLOOKUP(A100,'SegEnds_NonXtal_Prot#'!A:AL,25,FALSE)</f>
        <v>28</v>
      </c>
      <c r="AI100" s="1">
        <f>VLOOKUP(A100,'SegEnds_NonXtal_Prot#'!A:AL,28,FALSE)-VLOOKUP(A100,'SegEnds_NonXtal_Prot#'!A:AL,22,FALSE)</f>
        <v>54</v>
      </c>
      <c r="AJ100" s="1">
        <f>VLOOKUP(A100,'SegEnds_NonXtal_Prot#'!A:AL,31,FALSE)-VLOOKUP(A100,'SegEnds_NonXtal_Prot#'!A:AL,28,FALSE)</f>
        <v>52</v>
      </c>
      <c r="AK100" s="1">
        <f>VLOOKUP(A100,'SegEnds_NonXtal_Prot#'!A:AL,34,FALSE)-VLOOKUP(A100,'SegEnds_NonXtal_Prot#'!A:AL,31,FALSE)</f>
        <v>36</v>
      </c>
      <c r="AL100" s="1">
        <f>VLOOKUP(A100,'SegEnds_NonXtal_Prot#'!A:AL,37,FALSE)-VLOOKUP(A100,'SegEnds_NonXtal_Prot#'!A:AL,34,FALSE)</f>
        <v>10</v>
      </c>
      <c r="AM100" s="1" t="str">
        <f>IF(ISERROR(MATCH(A100,'SegEnds_Xtal_Prot#'!B:B, 0)), "NoXtal", "Xtal")</f>
        <v>NoXtal</v>
      </c>
    </row>
    <row r="101" spans="1:39" x14ac:dyDescent="0.2">
      <c r="A101" s="4" t="s">
        <v>343</v>
      </c>
      <c r="B101" s="4" t="str">
        <f>VLOOKUP(A101,Xtal_Templ!A:B,2,FALSE)</f>
        <v>oxyr_human</v>
      </c>
      <c r="C101" s="5">
        <f>VLOOKUP($B101&amp;"__wt",'SegEnds_Xtal_BW#'!$A:$Z,3,FALSE)</f>
        <v>28</v>
      </c>
      <c r="D101" s="4">
        <f>VLOOKUP($B101&amp;"__wt",'SegEnds_Xtal_BW#'!$A:$Z,4,FALSE)</f>
        <v>60</v>
      </c>
      <c r="E101" s="4">
        <f>VLOOKUP($B101&amp;"__wt",'SegEnds_Xtal_BW#'!$A:$Z,5,FALSE)</f>
        <v>48</v>
      </c>
      <c r="F101" s="4">
        <f>VLOOKUP($B101&amp;"__wt",'SegEnds_Xtal_BW#'!$A:$Z,6,FALSE)</f>
        <v>51</v>
      </c>
      <c r="G101" s="4">
        <v>37</v>
      </c>
      <c r="H101" s="12">
        <f>VLOOKUP($B101&amp;"__wt",'SegEnds_Xtal_BW#'!$A:$Z,8,FALSE)</f>
        <v>67</v>
      </c>
      <c r="I101" s="4">
        <f>VLOOKUP($B101&amp;"__wt",'SegEnds_Xtal_BW#'!$A:$Z,9,FALSE)</f>
        <v>49</v>
      </c>
      <c r="J101" s="4">
        <f>VLOOKUP($B101&amp;"__wt",'SegEnds_Xtal_BW#'!$A:$Z,10,FALSE)</f>
        <v>52</v>
      </c>
      <c r="K101" s="11">
        <v>18</v>
      </c>
      <c r="L101" s="4">
        <f>VLOOKUP($B101&amp;"__wt",'SegEnds_Xtal_BW#'!$A:$Z,12,FALSE)</f>
        <v>56</v>
      </c>
      <c r="M101" s="4" t="str">
        <f>VLOOKUP($B101&amp;"__wt",'SegEnds_Xtal_BW#'!$A:$Z,13,FALSE)</f>
        <v>-</v>
      </c>
      <c r="N101" s="11">
        <v>55</v>
      </c>
      <c r="O101" s="88">
        <v>38</v>
      </c>
      <c r="P101" s="4">
        <f>VLOOKUP($B101&amp;"__wt",'SegEnds_Xtal_BW#'!$A:$Z,16,FALSE)</f>
        <v>64</v>
      </c>
      <c r="Q101" s="4">
        <f>VLOOKUP($B101&amp;"__wt",'SegEnds_Xtal_BW#'!$A:$Z,17,FALSE)</f>
        <v>50</v>
      </c>
      <c r="R101" s="4">
        <f>VLOOKUP($B101&amp;"__wt",'SegEnds_Xtal_BW#'!$A:$Z,18,FALSE)</f>
        <v>52</v>
      </c>
      <c r="S101" s="4">
        <f>VLOOKUP($B101&amp;"__wt",'SegEnds_Xtal_BW#'!$A:$Z,19,FALSE)</f>
        <v>33</v>
      </c>
      <c r="T101" s="4">
        <f t="array" ref="T101">INDEX(ICL3_classA!$G$2:$G$41,MATCH(MIN(ABS(AJ101-ICL3_classA!$F$2:$F$41)),ABS(AJ101-ICL3_classA!$F$2:$F$41),0))</f>
        <v>76</v>
      </c>
      <c r="U101" s="4">
        <f t="array" ref="U101">INDEX(ICL3_classA!$H$2:$H$41,MATCH(MIN(ABS(AJ101-ICL3_classA!$F$2:$F$41)),ABS(AJ101-ICL3_classA!$F$2:$F$41),0))</f>
        <v>24</v>
      </c>
      <c r="V101" s="115">
        <v>60</v>
      </c>
      <c r="W101" s="115">
        <v>30</v>
      </c>
      <c r="X101" s="4">
        <f>VLOOKUP($B101&amp;"__wt",'SegEnds_Xtal_BW#'!$A:$Z,24,FALSE)</f>
        <v>56</v>
      </c>
      <c r="Y101" s="4">
        <f>VLOOKUP($B101&amp;"__wt",'SegEnds_Xtal_BW#'!$A:$Z,25,FALSE)</f>
        <v>47</v>
      </c>
      <c r="Z101" s="4">
        <f>VLOOKUP($B101&amp;"__wt",'SegEnds_Xtal_BW#'!$A:$Z,26,FALSE)</f>
        <v>63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4">
        <f>VLOOKUP(A101,'SegEnds_NonXtal_Prot#'!A:AL,10,FALSE)-VLOOKUP(A101,'SegEnds_NonXtal_Prot#'!A:AL,7,FALSE)</f>
        <v>15</v>
      </c>
      <c r="AD101" s="4">
        <f>VLOOKUP(A101,'SegEnds_NonXtal_Prot#'!A:AL,13,FALSE)-VLOOKUP(A101,'SegEnds_NonXtal_Prot#'!A:AL,10,FALSE)</f>
        <v>20</v>
      </c>
      <c r="AE101" s="4">
        <f>VLOOKUP(A101,'SegEnds_NonXtal_Prot#'!A:AL,16,FALSE)-VLOOKUP(A101,'SegEnds_NonXtal_Prot#'!A:AL,10,FALSE)</f>
        <v>52</v>
      </c>
      <c r="AF101" s="1" t="e">
        <f>VLOOKUP(A101,'SegEnds_NonXtal_Prot#'!A:AL,22,FALSE)-VLOOKUP(A101,'SegEnds_NonXtal_Prot#'!A:AL,19,FALSE)</f>
        <v>#VALUE!</v>
      </c>
      <c r="AG101" s="4" t="e">
        <f>VLOOKUP(#REF!,'SegEnds_NonXtal_Prot#'!#REF!,28,FALSE)-VLOOKUP(#REF!,'SegEnds_NonXtal_Prot#'!#REF!,25,FALSE)</f>
        <v>#REF!</v>
      </c>
      <c r="AH101" s="4">
        <f>VLOOKUP(A101,'SegEnds_NonXtal_Prot#'!A:AL,28,FALSE)-VLOOKUP(A101,'SegEnds_NonXtal_Prot#'!A:AL,25,FALSE)</f>
        <v>25</v>
      </c>
      <c r="AI101" s="1">
        <f>VLOOKUP(A101,'SegEnds_NonXtal_Prot#'!A:AL,28,FALSE)-VLOOKUP(A101,'SegEnds_NonXtal_Prot#'!A:AL,22,FALSE)</f>
        <v>51</v>
      </c>
      <c r="AJ101" s="4">
        <f>VLOOKUP(A101,'SegEnds_NonXtal_Prot#'!A:AL,31,FALSE)-VLOOKUP(A101,'SegEnds_NonXtal_Prot#'!A:AL,28,FALSE)</f>
        <v>78</v>
      </c>
      <c r="AK101" s="4">
        <f>VLOOKUP(A101,'SegEnds_NonXtal_Prot#'!A:AL,34,FALSE)-VLOOKUP(A101,'SegEnds_NonXtal_Prot#'!A:AL,31,FALSE)</f>
        <v>36</v>
      </c>
      <c r="AL101" s="1">
        <f>VLOOKUP(A101,'SegEnds_NonXtal_Prot#'!A:AL,37,FALSE)-VLOOKUP(A101,'SegEnds_NonXtal_Prot#'!A:AL,34,FALSE)</f>
        <v>10</v>
      </c>
      <c r="AM101" s="1" t="str">
        <f>IF(ISERROR(MATCH(A101,'SegEnds_Xtal_Prot#'!B:B, 0)), "NoXtal", "Xtal")</f>
        <v>Xtal</v>
      </c>
    </row>
    <row r="102" spans="1:39" x14ac:dyDescent="0.2">
      <c r="A102" s="1" t="s">
        <v>360</v>
      </c>
      <c r="B102" s="1" t="str">
        <f>VLOOKUP(A102,Xtal_Templ!A:B,2,FALSE)</f>
        <v>ta2r_human</v>
      </c>
      <c r="C102" s="5">
        <f>VLOOKUP($B102&amp;"__wt",'SegEnds_Xtal_BW#'!$A:$Z,3,FALSE)</f>
        <v>35</v>
      </c>
      <c r="D102" s="108">
        <v>61</v>
      </c>
      <c r="E102" s="1" t="str">
        <f>VLOOKUP($B102&amp;"__wt",'SegEnds_Xtal_BW#'!$A:$Z,5,FALSE)</f>
        <v>-</v>
      </c>
      <c r="F102" s="1" t="str">
        <f>VLOOKUP($B102&amp;"__wt",'SegEnds_Xtal_BW#'!$A:$Z,6,FALSE)</f>
        <v>-</v>
      </c>
      <c r="G102" s="1">
        <v>37</v>
      </c>
      <c r="H102" s="12">
        <v>66</v>
      </c>
      <c r="I102" s="1">
        <f>VLOOKUP($B102&amp;"__wt",'SegEnds_Xtal_BW#'!$A:$Z,9,FALSE)</f>
        <v>49</v>
      </c>
      <c r="J102" s="1">
        <f>VLOOKUP($B102&amp;"__wt",'SegEnds_Xtal_BW#'!$A:$Z,10,FALSE)</f>
        <v>53</v>
      </c>
      <c r="K102" s="12">
        <v>21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f>VLOOKUP($B102&amp;"__wt",'SegEnds_Xtal_BW#'!$A:$Z,15,FALSE)</f>
        <v>38</v>
      </c>
      <c r="P102" s="1">
        <f>VLOOKUP($B102&amp;"__wt",'SegEnds_Xtal_BW#'!$A:$Z,16,FALSE)</f>
        <v>63</v>
      </c>
      <c r="Q102" s="108">
        <v>50</v>
      </c>
      <c r="R102" s="108">
        <v>52</v>
      </c>
      <c r="S102" s="108">
        <v>31</v>
      </c>
      <c r="T102" s="1">
        <f t="array" ref="T102">INDEX(ICL3_classA!$G$2:$G$41,MATCH(MIN(ABS(AJ102-ICL3_classA!$F$2:$F$41)),ABS(AJ102-ICL3_classA!$F$2:$F$41),0))</f>
        <v>74</v>
      </c>
      <c r="U102" s="1">
        <f t="array" ref="U102">INDEX(ICL3_classA!$H$2:$H$41,MATCH(MIN(ABS(AJ102-ICL3_classA!$F$2:$F$41)),ABS(AJ102-ICL3_classA!$F$2:$F$41),0))</f>
        <v>24</v>
      </c>
      <c r="V102" s="1">
        <v>61</v>
      </c>
      <c r="W102" s="1">
        <v>31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66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34</v>
      </c>
      <c r="AC102" s="1">
        <f>VLOOKUP(A102,'SegEnds_NonXtal_Prot#'!A:AL,10,FALSE)-VLOOKUP(A102,'SegEnds_NonXtal_Prot#'!A:AL,7,FALSE)</f>
        <v>20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51</v>
      </c>
      <c r="AF102" s="1">
        <f>VLOOKUP(A102,'SegEnds_NonXtal_Prot#'!A:AL,22,FALSE)-VLOOKUP(A102,'SegEnds_NonXtal_Prot#'!A:AL,19,FALSE)</f>
        <v>20</v>
      </c>
      <c r="AG102" s="1" t="e">
        <f>VLOOKUP(#REF!,'SegEnds_NonXtal_Prot#'!#REF!,28,FALSE)-VLOOKUP(#REF!,'SegEnds_NonXtal_Prot#'!#REF!,25,FALSE)</f>
        <v>#REF!</v>
      </c>
      <c r="AH102" s="1">
        <f>VLOOKUP(A102,'SegEnds_NonXtal_Prot#'!A:AL,28,FALSE)-VLOOKUP(A102,'SegEnds_NonXtal_Prot#'!A:AL,25,FALSE)</f>
        <v>28</v>
      </c>
      <c r="AI102" s="1">
        <f>VLOOKUP(A102,'SegEnds_NonXtal_Prot#'!A:AL,28,FALSE)-VLOOKUP(A102,'SegEnds_NonXtal_Prot#'!A:AL,22,FALSE)</f>
        <v>54</v>
      </c>
      <c r="AJ102" s="1">
        <f>VLOOKUP(A102,'SegEnds_NonXtal_Prot#'!A:AL,31,FALSE)-VLOOKUP(A102,'SegEnds_NonXtal_Prot#'!A:AL,28,FALSE)</f>
        <v>96</v>
      </c>
      <c r="AK102" s="1">
        <f>VLOOKUP(A102,'SegEnds_NonXtal_Prot#'!A:AL,34,FALSE)-VLOOKUP(A102,'SegEnds_NonXtal_Prot#'!A:AL,31,FALSE)</f>
        <v>36</v>
      </c>
      <c r="AL102" s="1">
        <f>VLOOKUP(A102,'SegEnds_NonXtal_Prot#'!A:AL,37,FALSE)-VLOOKUP(A102,'SegEnds_NonXtal_Prot#'!A:AL,34,FALSE)</f>
        <v>10</v>
      </c>
      <c r="AM102" s="1" t="str">
        <f>IF(ISERROR(MATCH(A102,'SegEnds_Xtal_Prot#'!B:B, 0)), "NoXtal", "Xtal")</f>
        <v>NoXtal</v>
      </c>
    </row>
    <row r="103" spans="1:39" x14ac:dyDescent="0.2">
      <c r="A103" s="1" t="s">
        <v>393</v>
      </c>
      <c r="B103" s="1" t="str">
        <f>VLOOKUP(A103,Xtal_Templ!A:B,2,FALSE)</f>
        <v>oprx_human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30</v>
      </c>
      <c r="T103" s="1">
        <f t="array" ref="T103">INDEX(ICL3_classA!$G$2:$G$41,MATCH(MIN(ABS(AJ103-ICL3_classA!$F$2:$F$41)),ABS(AJ103-ICL3_classA!$F$2:$F$41),0))</f>
        <v>76</v>
      </c>
      <c r="U103" s="1">
        <f t="array" ref="U103">INDEX(ICL3_classA!$H$2:$H$41,MATCH(MIN(ABS(AJ103-ICL3_classA!$F$2:$F$41)),ABS(AJ103-ICL3_classA!$F$2:$F$41),0))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 t="e">
        <f>VLOOKUP(#REF!,'SegEnds_NonXtal_Prot#'!#REF!,28,FALSE)-VLOOKUP(#REF!,'SegEnds_NonXtal_Prot#'!#REF!,25,FALSE)</f>
        <v>#REF!</v>
      </c>
      <c r="AH103" s="1">
        <f>VLOOKUP(A103,'SegEnds_NonXtal_Prot#'!A:AL,28,FALSE)-VLOOKUP(A103,'SegEnds_NonXtal_Prot#'!A:AL,25,FALSE)</f>
        <v>24</v>
      </c>
      <c r="AI103" s="1">
        <f>VLOOKUP(A103,'SegEnds_NonXtal_Prot#'!A:AL,28,FALSE)-VLOOKUP(A103,'SegEnds_NonXtal_Prot#'!A:AL,22,FALSE)</f>
        <v>53</v>
      </c>
      <c r="AJ103" s="1">
        <f>VLOOKUP(A103,'SegEnds_NonXtal_Prot#'!A:AL,31,FALSE)-VLOOKUP(A103,'SegEnds_NonXtal_Prot#'!A:AL,28,FALSE)</f>
        <v>78</v>
      </c>
      <c r="AK103" s="1">
        <f>VLOOKUP(A103,'SegEnds_NonXtal_Prot#'!A:AL,34,FALSE)-VLOOKUP(A103,'SegEnds_NonXtal_Prot#'!A:AL,31,FALSE)</f>
        <v>36</v>
      </c>
      <c r="AL103" s="1">
        <f>VLOOKUP(A103,'SegEnds_NonXtal_Prot#'!A:AL,37,FALSE)-VLOOKUP(A103,'SegEnds_NonXtal_Prot#'!A:AL,34,FALSE)</f>
        <v>10</v>
      </c>
      <c r="AM103" s="1" t="str">
        <f>IF(ISERROR(MATCH(A103,'SegEnds_Xtal_Prot#'!B:B, 0)), "NoXtal", "Xtal")</f>
        <v>NoXtal</v>
      </c>
    </row>
    <row r="104" spans="1:39" x14ac:dyDescent="0.2">
      <c r="A104" s="1" t="s">
        <v>394</v>
      </c>
      <c r="B104" s="1" t="str">
        <f>VLOOKUP(A104,Xtal_Templ!A:B,2,FALSE)</f>
        <v>aa2ar_human</v>
      </c>
      <c r="C104" s="5">
        <f>VLOOKUP($B104&amp;"__wt",'SegEnds_Xtal_BW#'!$A:$Z,3,FALSE)</f>
        <v>27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f>VLOOKUP($B104&amp;"__wt",'SegEnds_Xtal_BW#'!$A:$Z,15,FALSE)</f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34</v>
      </c>
      <c r="T104" s="1">
        <f t="array" ref="T104">INDEX(ICL3_classA!$G$2:$G$41,MATCH(MIN(ABS(AJ104-ICL3_classA!$F$2:$F$41)),ABS(AJ104-ICL3_classA!$F$2:$F$41),0))</f>
        <v>67</v>
      </c>
      <c r="U104" s="1">
        <f t="array" ref="U104">INDEX(ICL3_classA!$H$2:$H$41,MATCH(MIN(ABS(AJ104-ICL3_classA!$F$2:$F$41)),ABS(AJ104-ICL3_classA!$F$2:$F$41),0))</f>
        <v>26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69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14</v>
      </c>
      <c r="AD104" s="1">
        <f>VLOOKUP(A104,'SegEnds_NonXtal_Prot#'!A:AL,13,FALSE)-VLOOKUP(A104,'SegEnds_NonXtal_Prot#'!A:AL,10,FALSE)</f>
        <v>28</v>
      </c>
      <c r="AE104" s="1">
        <f>VLOOKUP(A104,'SegEnds_NonXtal_Prot#'!A:AL,16,FALSE)-VLOOKUP(A104,'SegEnds_NonXtal_Prot#'!A:AL,10,FALSE)</f>
        <v>59</v>
      </c>
      <c r="AF104" s="1">
        <f>VLOOKUP(A104,'SegEnds_NonXtal_Prot#'!A:AL,22,FALSE)-VLOOKUP(A104,'SegEnds_NonXtal_Prot#'!A:AL,19,FALSE)</f>
        <v>20</v>
      </c>
      <c r="AG104" s="1" t="e">
        <f>VLOOKUP(#REF!,'SegEnds_NonXtal_Prot#'!#REF!,28,FALSE)-VLOOKUP(#REF!,'SegEnds_NonXtal_Prot#'!#REF!,25,FALSE)</f>
        <v>#REF!</v>
      </c>
      <c r="AH104" s="1">
        <f>VLOOKUP(A104,'SegEnds_NonXtal_Prot#'!A:AL,28,FALSE)-VLOOKUP(A104,'SegEnds_NonXtal_Prot#'!A:AL,25,FALSE)</f>
        <v>24</v>
      </c>
      <c r="AI104" s="1">
        <f>VLOOKUP(A104,'SegEnds_NonXtal_Prot#'!A:AL,28,FALSE)-VLOOKUP(A104,'SegEnds_NonXtal_Prot#'!A:AL,22,FALSE)</f>
        <v>47</v>
      </c>
      <c r="AJ104" s="1">
        <f>VLOOKUP(A104,'SegEnds_NonXtal_Prot#'!A:AL,31,FALSE)-VLOOKUP(A104,'SegEnds_NonXtal_Prot#'!A:AL,28,FALSE)</f>
        <v>46</v>
      </c>
      <c r="AK104" s="1">
        <f>VLOOKUP(A104,'SegEnds_NonXtal_Prot#'!A:AL,34,FALSE)-VLOOKUP(A104,'SegEnds_NonXtal_Prot#'!A:AL,31,FALSE)</f>
        <v>36</v>
      </c>
      <c r="AL104" s="1">
        <f>VLOOKUP(A104,'SegEnds_NonXtal_Prot#'!A:AL,37,FALSE)-VLOOKUP(A104,'SegEnds_NonXtal_Prot#'!A:AL,34,FALSE)</f>
        <v>10</v>
      </c>
      <c r="AM104" s="1" t="str">
        <f>IF(ISERROR(MATCH(A104,'SegEnds_Xtal_Prot#'!B:B, 0)), "NoXtal", "Xtal")</f>
        <v>NoXtal</v>
      </c>
    </row>
    <row r="105" spans="1:39" x14ac:dyDescent="0.2">
      <c r="A105" s="1" t="s">
        <v>398</v>
      </c>
      <c r="B105" s="1" t="str">
        <f>VLOOKUP(A105,Xtal_Templ!A:B,2,FALSE)</f>
        <v>oxyr_human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08">
        <v>66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 t="str">
        <f>VLOOKUP($B105&amp;"__wt",'SegEnds_Xtal_BW#'!$A:$Z,13,FALSE)</f>
        <v>-</v>
      </c>
      <c r="N105" s="12">
        <v>57</v>
      </c>
      <c r="O105" s="87">
        <f>VLOOKUP($B105&amp;"__wt",'SegEnds_Xtal_BW#'!$A:$Z,15,FALSE)</f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33</v>
      </c>
      <c r="T105" s="1">
        <f t="array" ref="T105">INDEX(ICL3_classA!$G$2:$G$41,MATCH(MIN(ABS(AJ105-ICL3_classA!$F$2:$F$41)),ABS(AJ105-ICL3_classA!$F$2:$F$41),0))</f>
        <v>76</v>
      </c>
      <c r="U105" s="1">
        <f t="array" ref="U105">INDEX(ICL3_classA!$H$2:$H$41,MATCH(MIN(ABS(AJ105-ICL3_classA!$F$2:$F$41)),ABS(AJ105-ICL3_classA!$F$2:$F$41),0))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63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30</v>
      </c>
      <c r="AC105" s="1">
        <f>VLOOKUP(A105,'SegEnds_NonXtal_Prot#'!A:AL,10,FALSE)-VLOOKUP(A105,'SegEnds_NonXtal_Prot#'!A:AL,7,FALSE)</f>
        <v>16</v>
      </c>
      <c r="AD105" s="1">
        <f>VLOOKUP(A105,'SegEnds_NonXtal_Prot#'!A:AL,13,FALSE)-VLOOKUP(A105,'SegEnds_NonXtal_Prot#'!A:AL,10,FALSE)</f>
        <v>18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 t="e">
        <f>VLOOKUP(#REF!,'SegEnds_NonXtal_Prot#'!#REF!,28,FALSE)-VLOOKUP(#REF!,'SegEnds_NonXtal_Prot#'!#REF!,25,FALSE)</f>
        <v>#REF!</v>
      </c>
      <c r="AH105" s="1">
        <f>VLOOKUP(A105,'SegEnds_NonXtal_Prot#'!A:AL,28,FALSE)-VLOOKUP(A105,'SegEnds_NonXtal_Prot#'!A:AL,25,FALSE)</f>
        <v>25</v>
      </c>
      <c r="AI105" s="1">
        <f>VLOOKUP(A105,'SegEnds_NonXtal_Prot#'!A:AL,28,FALSE)-VLOOKUP(A105,'SegEnds_NonXtal_Prot#'!A:AL,22,FALSE)</f>
        <v>53</v>
      </c>
      <c r="AJ105" s="1">
        <f>VLOOKUP(A105,'SegEnds_NonXtal_Prot#'!A:AL,31,FALSE)-VLOOKUP(A105,'SegEnds_NonXtal_Prot#'!A:AL,28,FALSE)</f>
        <v>69</v>
      </c>
      <c r="AK105" s="1">
        <f>VLOOKUP(A105,'SegEnds_NonXtal_Prot#'!A:AL,34,FALSE)-VLOOKUP(A105,'SegEnds_NonXtal_Prot#'!A:AL,31,FALSE)</f>
        <v>36</v>
      </c>
      <c r="AL105" s="1">
        <f>VLOOKUP(A105,'SegEnds_NonXtal_Prot#'!A:AL,37,FALSE)-VLOOKUP(A105,'SegEnds_NonXtal_Prot#'!A:AL,34,FALSE)</f>
        <v>10</v>
      </c>
      <c r="AM105" s="1" t="str">
        <f>IF(ISERROR(MATCH(A105,'SegEnds_Xtal_Prot#'!B:B, 0)), "NoXtal", "Xtal")</f>
        <v>NoXtal</v>
      </c>
    </row>
    <row r="106" spans="1:39" x14ac:dyDescent="0.2">
      <c r="A106" s="1" t="s">
        <v>128</v>
      </c>
      <c r="B106" s="1" t="str">
        <f>VLOOKUP(A106,Xtal_Templ!A:B,2,FALSE)</f>
        <v>5ht1b_human</v>
      </c>
      <c r="C106" s="5">
        <f>VLOOKUP($B106&amp;"__wt",'SegEnds_Xtal_BW#'!$A:$Z,3,FALSE)</f>
        <v>28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INDEX(ICL3_classA!$G$2:$G$41,MATCH(MIN(ABS(AJ106-ICL3_classA!$F$2:$F$41)),ABS(AJ106-ICL3_classA!$F$2:$F$41),0))</f>
        <v>76</v>
      </c>
      <c r="U106" s="1">
        <f t="array" ref="U106">INDEX(ICL3_classA!$H$2:$H$41,MATCH(MIN(ABS(AJ106-ICL3_classA!$F$2:$F$41)),ABS(AJ106-ICL3_classA!$F$2:$F$41),0))</f>
        <v>24</v>
      </c>
      <c r="V106" s="1">
        <v>60</v>
      </c>
      <c r="W106" s="1">
        <v>31</v>
      </c>
      <c r="X106" s="123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58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 t="e">
        <f>VLOOKUP(#REF!,'SegEnds_NonXtal_Prot#'!#REF!,28,FALSE)-VLOOKUP(#REF!,'SegEnds_NonXtal_Prot#'!#REF!,25,FALSE)</f>
        <v>#REF!</v>
      </c>
      <c r="AH106" s="1">
        <f>VLOOKUP(A106,'SegEnds_NonXtal_Prot#'!A:AL,28,FALSE)-VLOOKUP(A106,'SegEnds_NonXtal_Prot#'!A:AL,25,FALSE)</f>
        <v>20</v>
      </c>
      <c r="AI106" s="1">
        <f>VLOOKUP(A106,'SegEnds_NonXtal_Prot#'!A:AL,28,FALSE)-VLOOKUP(A106,'SegEnds_NonXtal_Prot#'!A:AL,22,FALSE)</f>
        <v>46</v>
      </c>
      <c r="AJ106" s="1">
        <f>VLOOKUP(A106,'SegEnds_NonXtal_Prot#'!A:AL,31,FALSE)-VLOOKUP(A106,'SegEnds_NonXtal_Prot#'!A:AL,28,FALSE)</f>
        <v>153</v>
      </c>
      <c r="AK106" s="1">
        <f>VLOOKUP(A106,'SegEnds_NonXtal_Prot#'!A:AL,34,FALSE)-VLOOKUP(A106,'SegEnds_NonXtal_Prot#'!A:AL,31,FALSE)</f>
        <v>37</v>
      </c>
      <c r="AL106" s="1">
        <f>VLOOKUP(A106,'SegEnds_NonXtal_Prot#'!A:AL,37,FALSE)-VLOOKUP(A106,'SegEnds_NonXtal_Prot#'!A:AL,34,FALSE)</f>
        <v>10</v>
      </c>
      <c r="AM106" s="1" t="str">
        <f>IF(ISERROR(MATCH(A106,'SegEnds_Xtal_Prot#'!B:B, 0)), "NoXtal", "Xtal")</f>
        <v>NoXtal</v>
      </c>
    </row>
    <row r="107" spans="1:39" x14ac:dyDescent="0.2">
      <c r="A107" s="1" t="s">
        <v>34</v>
      </c>
      <c r="B107" s="1" t="str">
        <f>VLOOKUP(A107,Xtal_Templ!A:B,2,FALSE)</f>
        <v>5ht1b_human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7">
        <f>VLOOKUP($B107&amp;"__wt",'SegEnds_Xtal_BW#'!$A:$Z,15,FALSE)</f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INDEX(ICL3_classA!$G$2:$G$41,MATCH(MIN(ABS(AJ107-ICL3_classA!$F$2:$F$41)),ABS(AJ107-ICL3_classA!$F$2:$F$41),0))</f>
        <v>74</v>
      </c>
      <c r="U107" s="1">
        <f t="array" ref="U107">INDEX(ICL3_classA!$H$2:$H$41,MATCH(MIN(ABS(AJ107-ICL3_classA!$F$2:$F$41)),ABS(AJ107-ICL3_classA!$F$2:$F$41),0))</f>
        <v>24</v>
      </c>
      <c r="V107" s="1">
        <v>60</v>
      </c>
      <c r="W107" s="1">
        <v>31</v>
      </c>
      <c r="X107" s="123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58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 t="e">
        <f>VLOOKUP(#REF!,'SegEnds_NonXtal_Prot#'!#REF!,28,FALSE)-VLOOKUP(#REF!,'SegEnds_NonXtal_Prot#'!#REF!,25,FALSE)</f>
        <v>#REF!</v>
      </c>
      <c r="AH107" s="1">
        <f>VLOOKUP(A107,'SegEnds_NonXtal_Prot#'!A:AL,28,FALSE)-VLOOKUP(A107,'SegEnds_NonXtal_Prot#'!A:AL,25,FALSE)</f>
        <v>21</v>
      </c>
      <c r="AI107" s="1">
        <f>VLOOKUP(A107,'SegEnds_NonXtal_Prot#'!A:AL,28,FALSE)-VLOOKUP(A107,'SegEnds_NonXtal_Prot#'!A:AL,22,FALSE)</f>
        <v>46</v>
      </c>
      <c r="AJ107" s="1">
        <f>VLOOKUP(A107,'SegEnds_NonXtal_Prot#'!A:AL,31,FALSE)-VLOOKUP(A107,'SegEnds_NonXtal_Prot#'!A:AL,28,FALSE)</f>
        <v>109</v>
      </c>
      <c r="AK107" s="1">
        <f>VLOOKUP(A107,'SegEnds_NonXtal_Prot#'!A:AL,34,FALSE)-VLOOKUP(A107,'SegEnds_NonXtal_Prot#'!A:AL,31,FALSE)</f>
        <v>37</v>
      </c>
      <c r="AL107" s="1">
        <f>VLOOKUP(A107,'SegEnds_NonXtal_Prot#'!A:AL,37,FALSE)-VLOOKUP(A107,'SegEnds_NonXtal_Prot#'!A:AL,34,FALSE)</f>
        <v>10</v>
      </c>
      <c r="AM107" s="1" t="str">
        <f>IF(ISERROR(MATCH(A107,'SegEnds_Xtal_Prot#'!B:B, 0)), "NoXtal", "Xtal")</f>
        <v>Xtal</v>
      </c>
    </row>
    <row r="108" spans="1:39" x14ac:dyDescent="0.2">
      <c r="A108" s="1" t="s">
        <v>129</v>
      </c>
      <c r="B108" s="1" t="str">
        <f>VLOOKUP(A108,Xtal_Templ!A:B,2,FALSE)</f>
        <v>5ht1b_human</v>
      </c>
      <c r="C108" s="5">
        <f>VLOOKUP($B108&amp;"__wt",'SegEnds_Xtal_BW#'!$A:$Z,3,FALSE)</f>
        <v>28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63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INDEX(ICL3_classA!$G$2:$G$41,MATCH(MIN(ABS(AJ108-ICL3_classA!$F$2:$F$41)),ABS(AJ108-ICL3_classA!$F$2:$F$41),0))</f>
        <v>74</v>
      </c>
      <c r="U108" s="1">
        <f t="array" ref="U108">INDEX(ICL3_classA!$H$2:$H$41,MATCH(MIN(ABS(AJ108-ICL3_classA!$F$2:$F$41)),ABS(AJ108-ICL3_classA!$F$2:$F$41),0))</f>
        <v>24</v>
      </c>
      <c r="V108" s="1">
        <v>60</v>
      </c>
      <c r="W108" s="1">
        <v>31</v>
      </c>
      <c r="X108" s="123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58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 t="e">
        <f>VLOOKUP(#REF!,'SegEnds_NonXtal_Prot#'!#REF!,28,FALSE)-VLOOKUP(#REF!,'SegEnds_NonXtal_Prot#'!#REF!,25,FALSE)</f>
        <v>#REF!</v>
      </c>
      <c r="AH108" s="1">
        <f>VLOOKUP(A108,'SegEnds_NonXtal_Prot#'!A:AL,28,FALSE)-VLOOKUP(A108,'SegEnds_NonXtal_Prot#'!A:AL,25,FALSE)</f>
        <v>21</v>
      </c>
      <c r="AI108" s="1">
        <f>VLOOKUP(A108,'SegEnds_NonXtal_Prot#'!A:AL,28,FALSE)-VLOOKUP(A108,'SegEnds_NonXtal_Prot#'!A:AL,22,FALSE)</f>
        <v>46</v>
      </c>
      <c r="AJ108" s="1">
        <f>VLOOKUP(A108,'SegEnds_NonXtal_Prot#'!A:AL,31,FALSE)-VLOOKUP(A108,'SegEnds_NonXtal_Prot#'!A:AL,28,FALSE)</f>
        <v>107</v>
      </c>
      <c r="AK108" s="1">
        <f>VLOOKUP(A108,'SegEnds_NonXtal_Prot#'!A:AL,34,FALSE)-VLOOKUP(A108,'SegEnds_NonXtal_Prot#'!A:AL,31,FALSE)</f>
        <v>37</v>
      </c>
      <c r="AL108" s="1">
        <f>VLOOKUP(A108,'SegEnds_NonXtal_Prot#'!A:AL,37,FALSE)-VLOOKUP(A108,'SegEnds_NonXtal_Prot#'!A:AL,34,FALSE)</f>
        <v>10</v>
      </c>
      <c r="AM108" s="1" t="str">
        <f>IF(ISERROR(MATCH(A108,'SegEnds_Xtal_Prot#'!B:B, 0)), "NoXtal", "Xtal")</f>
        <v>NoXtal</v>
      </c>
    </row>
    <row r="109" spans="1:39" x14ac:dyDescent="0.2">
      <c r="A109" s="1" t="s">
        <v>139</v>
      </c>
      <c r="B109" s="1" t="str">
        <f>VLOOKUP(A109,Xtal_Templ!A:B,2,FALSE)</f>
        <v>aa2ar_human</v>
      </c>
      <c r="C109" s="5">
        <f>VLOOKUP($B109&amp;"__wt",'SegEnds_Xtal_BW#'!$A:$Z,3,FALSE)</f>
        <v>27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66</v>
      </c>
      <c r="I109" s="1">
        <f>VLOOKUP($B109&amp;"__wt",'SegEnds_Xtal_BW#'!$A:$Z,9,FALSE)</f>
        <v>50</v>
      </c>
      <c r="J109" s="1">
        <f>VLOOKUP($B109&amp;"__wt",'SegEnds_Xtal_BW#'!$A:$Z,10,FALSE)</f>
        <v>52</v>
      </c>
      <c r="K109" s="12">
        <v>24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63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34</v>
      </c>
      <c r="T109" s="1">
        <f t="array" ref="T109">INDEX(ICL3_classA!$G$2:$G$41,MATCH(MIN(ABS(AJ109-ICL3_classA!$F$2:$F$41)),ABS(AJ109-ICL3_classA!$F$2:$F$41),0))</f>
        <v>74</v>
      </c>
      <c r="U109" s="1">
        <f t="array" ref="U109">INDEX(ICL3_classA!$H$2:$H$41,MATCH(MIN(ABS(AJ109-ICL3_classA!$F$2:$F$41)),ABS(AJ109-ICL3_classA!$F$2:$F$41),0))</f>
        <v>21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69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18</v>
      </c>
      <c r="AE109" s="1">
        <f>VLOOKUP(A109,'SegEnds_NonXtal_Prot#'!A:AL,16,FALSE)-VLOOKUP(A109,'SegEnds_NonXtal_Prot#'!A:AL,10,FALSE)</f>
        <v>50</v>
      </c>
      <c r="AF109" s="1">
        <f>VLOOKUP(A109,'SegEnds_NonXtal_Prot#'!A:AL,22,FALSE)-VLOOKUP(A109,'SegEnds_NonXtal_Prot#'!A:AL,19,FALSE)</f>
        <v>20</v>
      </c>
      <c r="AG109" s="1" t="e">
        <f>VLOOKUP(#REF!,'SegEnds_NonXtal_Prot#'!#REF!,28,FALSE)-VLOOKUP(#REF!,'SegEnds_NonXtal_Prot#'!#REF!,25,FALSE)</f>
        <v>#REF!</v>
      </c>
      <c r="AH109" s="1">
        <f>VLOOKUP(A109,'SegEnds_NonXtal_Prot#'!A:AL,28,FALSE)-VLOOKUP(A109,'SegEnds_NonXtal_Prot#'!A:AL,25,FALSE)</f>
        <v>23</v>
      </c>
      <c r="AI109" s="1">
        <f>VLOOKUP(A109,'SegEnds_NonXtal_Prot#'!A:AL,28,FALSE)-VLOOKUP(A109,'SegEnds_NonXtal_Prot#'!A:AL,22,FALSE)</f>
        <v>60</v>
      </c>
      <c r="AJ109" s="1">
        <f>VLOOKUP(A109,'SegEnds_NonXtal_Prot#'!A:AL,31,FALSE)-VLOOKUP(A109,'SegEnds_NonXtal_Prot#'!A:AL,28,FALSE)</f>
        <v>59</v>
      </c>
      <c r="AK109" s="1">
        <f>VLOOKUP(A109,'SegEnds_NonXtal_Prot#'!A:AL,34,FALSE)-VLOOKUP(A109,'SegEnds_NonXtal_Prot#'!A:AL,31,FALSE)</f>
        <v>37</v>
      </c>
      <c r="AL109" s="1">
        <f>VLOOKUP(A109,'SegEnds_NonXtal_Prot#'!A:AL,37,FALSE)-VLOOKUP(A109,'SegEnds_NonXtal_Prot#'!A:AL,34,FALSE)</f>
        <v>10</v>
      </c>
      <c r="AM109" s="1" t="str">
        <f>IF(ISERROR(MATCH(A109,'SegEnds_Xtal_Prot#'!B:B, 0)), "NoXtal", "Xtal")</f>
        <v>Xtal</v>
      </c>
    </row>
    <row r="110" spans="1:39" x14ac:dyDescent="0.2">
      <c r="A110" s="1" t="s">
        <v>156</v>
      </c>
      <c r="B110" s="1" t="str">
        <f>VLOOKUP(A110,Xtal_Templ!A:B,2,FALSE)</f>
        <v>ada2b_human</v>
      </c>
      <c r="C110" s="5">
        <f>VLOOKUP($B110&amp;"__wt",'SegEnds_Xtal_BW#'!$A:$Z,3,FALSE)</f>
        <v>31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68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v>38</v>
      </c>
      <c r="P110" s="1">
        <f>VLOOKUP($B110&amp;"__wt",'SegEnds_Xtal_BW#'!$A:$Z,16,FALSE)</f>
        <v>62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INDEX(ICL3_classA!$G$2:$G$41,MATCH(MIN(ABS(AJ110-ICL3_classA!$F$2:$F$41)),ABS(AJ110-ICL3_classA!$F$2:$F$41),0))</f>
        <v>75</v>
      </c>
      <c r="U110" s="1">
        <f t="array" ref="U110">INDEX(ICL3_classA!$H$2:$H$41,MATCH(MIN(ABS(AJ110-ICL3_classA!$F$2:$F$41)),ABS(AJ110-ICL3_classA!$F$2:$F$41),0))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 t="e">
        <f>VLOOKUP(#REF!,'SegEnds_NonXtal_Prot#'!#REF!,28,FALSE)-VLOOKUP(#REF!,'SegEnds_NonXtal_Prot#'!#REF!,25,FALSE)</f>
        <v>#REF!</v>
      </c>
      <c r="AH110" s="1">
        <f>VLOOKUP(A110,'SegEnds_NonXtal_Prot#'!A:AL,28,FALSE)-VLOOKUP(A110,'SegEnds_NonXtal_Prot#'!A:AL,25,FALSE)</f>
        <v>20</v>
      </c>
      <c r="AI110" s="1">
        <f>VLOOKUP(A110,'SegEnds_NonXtal_Prot#'!A:AL,28,FALSE)-VLOOKUP(A110,'SegEnds_NonXtal_Prot#'!A:AL,22,FALSE)</f>
        <v>47</v>
      </c>
      <c r="AJ110" s="1">
        <f>VLOOKUP(A110,'SegEnds_NonXtal_Prot#'!A:AL,31,FALSE)-VLOOKUP(A110,'SegEnds_NonXtal_Prot#'!A:AL,28,FALSE)</f>
        <v>202</v>
      </c>
      <c r="AK110" s="1">
        <f>VLOOKUP(A110,'SegEnds_NonXtal_Prot#'!A:AL,34,FALSE)-VLOOKUP(A110,'SegEnds_NonXtal_Prot#'!A:AL,31,FALSE)</f>
        <v>37</v>
      </c>
      <c r="AL110" s="1">
        <f>VLOOKUP(A110,'SegEnds_NonXtal_Prot#'!A:AL,37,FALSE)-VLOOKUP(A110,'SegEnds_NonXtal_Prot#'!A:AL,34,FALSE)</f>
        <v>10</v>
      </c>
      <c r="AM110" s="1" t="str">
        <f>IF(ISERROR(MATCH(A110,'SegEnds_Xtal_Prot#'!B:B, 0)), "NoXtal", "Xtal")</f>
        <v>Xtal</v>
      </c>
    </row>
    <row r="111" spans="1:39" x14ac:dyDescent="0.2">
      <c r="A111" s="1" t="s">
        <v>157</v>
      </c>
      <c r="B111" s="1" t="str">
        <f>VLOOKUP(A111,Xtal_Templ!A:B,2,FALSE)</f>
        <v>ada2c_human</v>
      </c>
      <c r="C111" s="5">
        <f>VLOOKUP($B111&amp;"__wt",'SegEnds_Xtal_BW#'!$A:$Z,3,FALSE)</f>
        <v>28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62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INDEX(ICL3_classA!$G$2:$G$41,MATCH(MIN(ABS(AJ111-ICL3_classA!$F$2:$F$41)),ABS(AJ111-ICL3_classA!$F$2:$F$41),0))</f>
        <v>75</v>
      </c>
      <c r="U111" s="1">
        <f t="array" ref="U111">INDEX(ICL3_classA!$H$2:$H$41,MATCH(MIN(ABS(AJ111-ICL3_classA!$F$2:$F$41)),ABS(AJ111-ICL3_classA!$F$2:$F$41),0))</f>
        <v>24</v>
      </c>
      <c r="V111" s="108">
        <v>62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 t="e">
        <f>VLOOKUP(#REF!,'SegEnds_NonXtal_Prot#'!#REF!,28,FALSE)-VLOOKUP(#REF!,'SegEnds_NonXtal_Prot#'!#REF!,25,FALSE)</f>
        <v>#REF!</v>
      </c>
      <c r="AH111" s="1">
        <f>VLOOKUP(A111,'SegEnds_NonXtal_Prot#'!A:AL,28,FALSE)-VLOOKUP(A111,'SegEnds_NonXtal_Prot#'!A:AL,25,FALSE)</f>
        <v>20</v>
      </c>
      <c r="AI111" s="1">
        <f>VLOOKUP(A111,'SegEnds_NonXtal_Prot#'!A:AL,28,FALSE)-VLOOKUP(A111,'SegEnds_NonXtal_Prot#'!A:AL,22,FALSE)</f>
        <v>46</v>
      </c>
      <c r="AJ111" s="1">
        <f>VLOOKUP(A111,'SegEnds_NonXtal_Prot#'!A:AL,31,FALSE)-VLOOKUP(A111,'SegEnds_NonXtal_Prot#'!A:AL,28,FALSE)</f>
        <v>175</v>
      </c>
      <c r="AK111" s="1">
        <f>VLOOKUP(A111,'SegEnds_NonXtal_Prot#'!A:AL,34,FALSE)-VLOOKUP(A111,'SegEnds_NonXtal_Prot#'!A:AL,31,FALSE)</f>
        <v>37</v>
      </c>
      <c r="AL111" s="1">
        <f>VLOOKUP(A111,'SegEnds_NonXtal_Prot#'!A:AL,37,FALSE)-VLOOKUP(A111,'SegEnds_NonXtal_Prot#'!A:AL,34,FALSE)</f>
        <v>10</v>
      </c>
      <c r="AM111" s="1" t="str">
        <f>IF(ISERROR(MATCH(A111,'SegEnds_Xtal_Prot#'!B:B, 0)), "NoXtal", "Xtal")</f>
        <v>Xtal</v>
      </c>
    </row>
    <row r="112" spans="1:39" x14ac:dyDescent="0.2">
      <c r="A112" s="1" t="s">
        <v>211</v>
      </c>
      <c r="B112" s="1" t="str">
        <f>VLOOKUP(A112,Xtal_Templ!A:B,2,FALSE)</f>
        <v>ccr5_human</v>
      </c>
      <c r="C112" s="5">
        <f>VLOOKUP($B112&amp;"__wt",'SegEnds_Xtal_BW#'!$A:$Z,3,FALSE)</f>
        <v>24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v>35</v>
      </c>
      <c r="T112" s="1">
        <f t="array" ref="T112">INDEX(ICL3_classA!$G$2:$G$41,MATCH(MIN(ABS(AJ112-ICL3_classA!$F$2:$F$41)),ABS(AJ112-ICL3_classA!$F$2:$F$41),0))</f>
        <v>75</v>
      </c>
      <c r="U112" s="1">
        <f t="array" ref="U112">INDEX(ICL3_classA!$H$2:$H$41,MATCH(MIN(ABS(AJ112-ICL3_classA!$F$2:$F$41)),ABS(AJ112-ICL3_classA!$F$2:$F$41),0))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59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 t="e">
        <f>VLOOKUP(#REF!,'SegEnds_NonXtal_Prot#'!#REF!,28,FALSE)-VLOOKUP(#REF!,'SegEnds_NonXtal_Prot#'!#REF!,25,FALSE)</f>
        <v>#REF!</v>
      </c>
      <c r="AH112" s="1">
        <f>VLOOKUP(A112,'SegEnds_NonXtal_Prot#'!A:AL,28,FALSE)-VLOOKUP(A112,'SegEnds_NonXtal_Prot#'!A:AL,25,FALSE)</f>
        <v>22</v>
      </c>
      <c r="AI112" s="1">
        <f>VLOOKUP(A112,'SegEnds_NonXtal_Prot#'!A:AL,28,FALSE)-VLOOKUP(A112,'SegEnds_NonXtal_Prot#'!A:AL,22,FALSE)</f>
        <v>48</v>
      </c>
      <c r="AJ112" s="1">
        <f>VLOOKUP(A112,'SegEnds_NonXtal_Prot#'!A:AL,31,FALSE)-VLOOKUP(A112,'SegEnds_NonXtal_Prot#'!A:AL,28,FALSE)</f>
        <v>210</v>
      </c>
      <c r="AK112" s="1">
        <f>VLOOKUP(A112,'SegEnds_NonXtal_Prot#'!A:AL,34,FALSE)-VLOOKUP(A112,'SegEnds_NonXtal_Prot#'!A:AL,31,FALSE)</f>
        <v>37</v>
      </c>
      <c r="AL112" s="1">
        <f>VLOOKUP(A112,'SegEnds_NonXtal_Prot#'!A:AL,37,FALSE)-VLOOKUP(A112,'SegEnds_NonXtal_Prot#'!A:AL,34,FALSE)</f>
        <v>10</v>
      </c>
      <c r="AM112" s="1" t="str">
        <f>IF(ISERROR(MATCH(A112,'SegEnds_Xtal_Prot#'!B:B, 0)), "NoXtal", "Xtal")</f>
        <v>NoXtal</v>
      </c>
    </row>
    <row r="113" spans="1:39" x14ac:dyDescent="0.2">
      <c r="A113" s="1" t="s">
        <v>265</v>
      </c>
      <c r="B113" s="1" t="str">
        <f>VLOOKUP(A113,Xtal_Templ!A:B,2,FALSE)</f>
        <v>ccr9_human</v>
      </c>
      <c r="C113" s="5">
        <f>VLOOKUP($B113&amp;"__wt",'SegEnds_Xtal_BW#'!$A:$Z,3,FALSE)</f>
        <v>27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56</v>
      </c>
      <c r="O113" s="87">
        <f>VLOOKUP($B113&amp;"__wt",'SegEnds_Xtal_BW#'!$A:$Z,15,FALSE)</f>
        <v>35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33</v>
      </c>
      <c r="T113" s="1">
        <f t="array" ref="T113">INDEX(ICL3_classA!$G$2:$G$41,MATCH(MIN(ABS(AJ113-ICL3_classA!$F$2:$F$41)),ABS(AJ113-ICL3_classA!$F$2:$F$41),0))</f>
        <v>76</v>
      </c>
      <c r="U113" s="1">
        <f t="array" ref="U113">INDEX(ICL3_classA!$H$2:$H$41,MATCH(MIN(ABS(AJ113-ICL3_classA!$F$2:$F$41)),ABS(AJ113-ICL3_classA!$F$2:$F$41),0))</f>
        <v>24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67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30</v>
      </c>
      <c r="AC113" s="1">
        <f>VLOOKUP(A113,'SegEnds_NonXtal_Prot#'!A:AL,10,FALSE)-VLOOKUP(A113,'SegEnds_NonXtal_Prot#'!A:AL,7,FALSE)</f>
        <v>15</v>
      </c>
      <c r="AD113" s="1" t="e">
        <f>VLOOKUP(A113,'SegEnds_NonXtal_Prot#'!A:AL,13,FALSE)-VLOOKUP(A113,'SegEnds_NonXtal_Prot#'!A:AL,10,FALSE)</f>
        <v>#VALUE!</v>
      </c>
      <c r="AE113" s="1">
        <f>VLOOKUP(A113,'SegEnds_NonXtal_Prot#'!A:AL,16,FALSE)-VLOOKUP(A113,'SegEnds_NonXtal_Prot#'!A:AL,10,FALSE)</f>
        <v>53</v>
      </c>
      <c r="AF113" s="1" t="e">
        <f>VLOOKUP(A113,'SegEnds_NonXtal_Prot#'!A:AL,22,FALSE)-VLOOKUP(A113,'SegEnds_NonXtal_Prot#'!A:AL,19,FALSE)</f>
        <v>#VALUE!</v>
      </c>
      <c r="AG113" s="1" t="e">
        <f>VLOOKUP(#REF!,'SegEnds_NonXtal_Prot#'!#REF!,28,FALSE)-VLOOKUP(#REF!,'SegEnds_NonXtal_Prot#'!#REF!,25,FALSE)</f>
        <v>#REF!</v>
      </c>
      <c r="AH113" s="1">
        <f>VLOOKUP(A113,'SegEnds_NonXtal_Prot#'!A:AL,28,FALSE)-VLOOKUP(A113,'SegEnds_NonXtal_Prot#'!A:AL,25,FALSE)</f>
        <v>25</v>
      </c>
      <c r="AI113" s="1">
        <f>VLOOKUP(A113,'SegEnds_NonXtal_Prot#'!A:AL,28,FALSE)-VLOOKUP(A113,'SegEnds_NonXtal_Prot#'!A:AL,22,FALSE)</f>
        <v>45</v>
      </c>
      <c r="AJ113" s="1">
        <f>VLOOKUP(A113,'SegEnds_NonXtal_Prot#'!A:AL,31,FALSE)-VLOOKUP(A113,'SegEnds_NonXtal_Prot#'!A:AL,28,FALSE)</f>
        <v>122</v>
      </c>
      <c r="AK113" s="1">
        <f>VLOOKUP(A113,'SegEnds_NonXtal_Prot#'!A:AL,34,FALSE)-VLOOKUP(A113,'SegEnds_NonXtal_Prot#'!A:AL,31,FALSE)</f>
        <v>37</v>
      </c>
      <c r="AL113" s="1">
        <f>VLOOKUP(A113,'SegEnds_NonXtal_Prot#'!A:AL,37,FALSE)-VLOOKUP(A113,'SegEnds_NonXtal_Prot#'!A:AL,34,FALSE)</f>
        <v>10</v>
      </c>
      <c r="AM113" s="1" t="str">
        <f>IF(ISERROR(MATCH(A113,'SegEnds_Xtal_Prot#'!B:B, 0)), "NoXtal", "Xtal")</f>
        <v>NoXtal</v>
      </c>
    </row>
    <row r="114" spans="1:39" x14ac:dyDescent="0.2">
      <c r="A114" s="1" t="s">
        <v>280</v>
      </c>
      <c r="B114" s="1" t="str">
        <f>VLOOKUP(A114,Xtal_Templ!A:B,2,FALSE)</f>
        <v>acm3_rat</v>
      </c>
      <c r="C114" s="5">
        <f>VLOOKUP($B114&amp;"__wt",'SegEnds_Xtal_BW#'!$A:$Z,3,FALSE)</f>
        <v>28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58</v>
      </c>
      <c r="O114" s="87">
        <v>38</v>
      </c>
      <c r="P114" s="1">
        <v>63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v>35</v>
      </c>
      <c r="T114" s="1">
        <f t="array" ref="T114">INDEX(ICL3_classA!$G$2:$G$41,MATCH(MIN(ABS(AJ114-ICL3_classA!$F$2:$F$41)),ABS(AJ114-ICL3_classA!$F$2:$F$41),0))</f>
        <v>76</v>
      </c>
      <c r="U114" s="1">
        <f t="array" ref="U114">INDEX(ICL3_classA!$H$2:$H$41,MATCH(MIN(ABS(AJ114-ICL3_classA!$F$2:$F$41)),ABS(AJ114-ICL3_classA!$F$2:$F$41),0))</f>
        <v>24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60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19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21</v>
      </c>
      <c r="AG114" s="1" t="e">
        <f>VLOOKUP(#REF!,'SegEnds_NonXtal_Prot#'!#REF!,28,FALSE)-VLOOKUP(#REF!,'SegEnds_NonXtal_Prot#'!#REF!,25,FALSE)</f>
        <v>#REF!</v>
      </c>
      <c r="AH114" s="1">
        <f>VLOOKUP(A114,'SegEnds_NonXtal_Prot#'!A:AL,28,FALSE)-VLOOKUP(A114,'SegEnds_NonXtal_Prot#'!A:AL,25,FALSE)</f>
        <v>22</v>
      </c>
      <c r="AI114" s="1">
        <f>VLOOKUP(A114,'SegEnds_NonXtal_Prot#'!A:AL,28,FALSE)-VLOOKUP(A114,'SegEnds_NonXtal_Prot#'!A:AL,22,FALSE)</f>
        <v>46</v>
      </c>
      <c r="AJ114" s="1">
        <f>VLOOKUP(A114,'SegEnds_NonXtal_Prot#'!A:AL,31,FALSE)-VLOOKUP(A114,'SegEnds_NonXtal_Prot#'!A:AL,28,FALSE)</f>
        <v>132</v>
      </c>
      <c r="AK114" s="1">
        <f>VLOOKUP(A114,'SegEnds_NonXtal_Prot#'!A:AL,34,FALSE)-VLOOKUP(A114,'SegEnds_NonXtal_Prot#'!A:AL,31,FALSE)</f>
        <v>37</v>
      </c>
      <c r="AL114" s="1">
        <f>VLOOKUP(A114,'SegEnds_NonXtal_Prot#'!A:AL,37,FALSE)-VLOOKUP(A114,'SegEnds_NonXtal_Prot#'!A:AL,34,FALSE)</f>
        <v>10</v>
      </c>
      <c r="AM114" s="1" t="str">
        <f>IF(ISERROR(MATCH(A114,'SegEnds_Xtal_Prot#'!B:B, 0)), "NoXtal", "Xtal")</f>
        <v>NoXtal</v>
      </c>
    </row>
    <row r="115" spans="1:39" x14ac:dyDescent="0.2">
      <c r="A115" s="1" t="s">
        <v>298</v>
      </c>
      <c r="B115" s="1" t="str">
        <f>VLOOKUP(A115,Xtal_Templ!A:B,2,FALSE)</f>
        <v>oprk_human</v>
      </c>
      <c r="C115" s="5">
        <f>VLOOKUP($B115&amp;"__wt",'SegEnds_Xtal_BW#'!$A:$Z,3,FALSE)</f>
        <v>30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30</v>
      </c>
      <c r="T115" s="1">
        <f t="array" ref="T115">INDEX(ICL3_classA!$G$2:$G$41,MATCH(MIN(ABS(AJ115-ICL3_classA!$F$2:$F$41)),ABS(AJ115-ICL3_classA!$F$2:$F$41),0))</f>
        <v>68</v>
      </c>
      <c r="U115" s="1">
        <f t="array" ref="U115">INDEX(ICL3_classA!$H$2:$H$41,MATCH(MIN(ABS(AJ115-ICL3_classA!$F$2:$F$41)),ABS(AJ115-ICL3_classA!$F$2:$F$41),0))</f>
        <v>23</v>
      </c>
      <c r="V115" s="1">
        <v>61</v>
      </c>
      <c r="W115" s="1">
        <v>31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31</v>
      </c>
      <c r="AC115" s="1">
        <f>VLOOKUP(A115,'SegEnds_NonXtal_Prot#'!A:AL,10,FALSE)-VLOOKUP(A115,'SegEnds_NonXtal_Prot#'!A:AL,7,FALSE)</f>
        <v>18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 t="e">
        <f>VLOOKUP(#REF!,'SegEnds_NonXtal_Prot#'!#REF!,28,FALSE)-VLOOKUP(#REF!,'SegEnds_NonXtal_Prot#'!#REF!,25,FALSE)</f>
        <v>#REF!</v>
      </c>
      <c r="AH115" s="1">
        <f>VLOOKUP(A115,'SegEnds_NonXtal_Prot#'!A:AL,28,FALSE)-VLOOKUP(A115,'SegEnds_NonXtal_Prot#'!A:AL,25,FALSE)</f>
        <v>26</v>
      </c>
      <c r="AI115" s="1">
        <f>VLOOKUP(A115,'SegEnds_NonXtal_Prot#'!A:AL,28,FALSE)-VLOOKUP(A115,'SegEnds_NonXtal_Prot#'!A:AL,22,FALSE)</f>
        <v>52</v>
      </c>
      <c r="AJ115" s="1">
        <f>VLOOKUP(A115,'SegEnds_NonXtal_Prot#'!A:AL,31,FALSE)-VLOOKUP(A115,'SegEnds_NonXtal_Prot#'!A:AL,28,FALSE)</f>
        <v>51</v>
      </c>
      <c r="AK115" s="1">
        <f>VLOOKUP(A115,'SegEnds_NonXtal_Prot#'!A:AL,34,FALSE)-VLOOKUP(A115,'SegEnds_NonXtal_Prot#'!A:AL,31,FALSE)</f>
        <v>37</v>
      </c>
      <c r="AL115" s="1">
        <f>VLOOKUP(A115,'SegEnds_NonXtal_Prot#'!A:AL,37,FALSE)-VLOOKUP(A115,'SegEnds_NonXtal_Prot#'!A:AL,34,FALSE)</f>
        <v>10</v>
      </c>
      <c r="AM115" s="1" t="str">
        <f>IF(ISERROR(MATCH(A115,'SegEnds_Xtal_Prot#'!B:B, 0)), "NoXtal", "Xtal")</f>
        <v>NoXtal</v>
      </c>
    </row>
    <row r="116" spans="1:39" x14ac:dyDescent="0.2">
      <c r="A116" s="1" t="s">
        <v>299</v>
      </c>
      <c r="B116" s="1" t="str">
        <f>VLOOKUP(A116,Xtal_Templ!A:B,2,FALSE)</f>
        <v>oprd_human</v>
      </c>
      <c r="C116" s="5">
        <f>VLOOKUP($B116&amp;"__wt",'SegEnds_Xtal_BW#'!$A:$Z,3,FALSE)</f>
        <v>22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INDEX(ICL3_classA!$G$2:$G$41,MATCH(MIN(ABS(AJ116-ICL3_classA!$F$2:$F$41)),ABS(AJ116-ICL3_classA!$F$2:$F$41),0))</f>
        <v>73</v>
      </c>
      <c r="U116" s="1">
        <f t="array" ref="U116">INDEX(ICL3_classA!$H$2:$H$41,MATCH(MIN(ABS(AJ116-ICL3_classA!$F$2:$F$41)),ABS(AJ116-ICL3_classA!$F$2:$F$41),0))</f>
        <v>22</v>
      </c>
      <c r="V116" s="1">
        <v>61</v>
      </c>
      <c r="W116" s="1">
        <v>31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60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27</v>
      </c>
      <c r="AC116" s="1" t="e">
        <f>VLOOKUP(A116,'SegEnds_NonXtal_Prot#'!A:AL,10,FALSE)-VLOOKUP(A116,'SegEnds_NonXtal_Prot#'!A:AL,7,FALSE)</f>
        <v>#VALUE!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 t="e">
        <f>VLOOKUP(#REF!,'SegEnds_NonXtal_Prot#'!#REF!,28,FALSE)-VLOOKUP(#REF!,'SegEnds_NonXtal_Prot#'!#REF!,25,FALSE)</f>
        <v>#REF!</v>
      </c>
      <c r="AH116" s="1">
        <f>VLOOKUP(A116,'SegEnds_NonXtal_Prot#'!A:AL,28,FALSE)-VLOOKUP(A116,'SegEnds_NonXtal_Prot#'!A:AL,25,FALSE)</f>
        <v>25</v>
      </c>
      <c r="AI116" s="1">
        <f>VLOOKUP(A116,'SegEnds_NonXtal_Prot#'!A:AL,28,FALSE)-VLOOKUP(A116,'SegEnds_NonXtal_Prot#'!A:AL,22,FALSE)</f>
        <v>51</v>
      </c>
      <c r="AJ116" s="1">
        <f>VLOOKUP(A116,'SegEnds_NonXtal_Prot#'!A:AL,31,FALSE)-VLOOKUP(A116,'SegEnds_NonXtal_Prot#'!A:AL,28,FALSE)</f>
        <v>57</v>
      </c>
      <c r="AK116" s="1">
        <f>VLOOKUP(A116,'SegEnds_NonXtal_Prot#'!A:AL,34,FALSE)-VLOOKUP(A116,'SegEnds_NonXtal_Prot#'!A:AL,31,FALSE)</f>
        <v>37</v>
      </c>
      <c r="AL116" s="1">
        <f>VLOOKUP(A116,'SegEnds_NonXtal_Prot#'!A:AL,37,FALSE)-VLOOKUP(A116,'SegEnds_NonXtal_Prot#'!A:AL,34,FALSE)</f>
        <v>10</v>
      </c>
      <c r="AM116" s="1" t="str">
        <f>IF(ISERROR(MATCH(A116,'SegEnds_Xtal_Prot#'!B:B, 0)), "NoXtal", "Xtal")</f>
        <v>NoXtal</v>
      </c>
    </row>
    <row r="117" spans="1:39" x14ac:dyDescent="0.2">
      <c r="A117" s="1" t="s">
        <v>300</v>
      </c>
      <c r="B117" s="1" t="str">
        <f>VLOOKUP(A117,Xtal_Templ!A:B,2,FALSE)</f>
        <v>c5ar1_human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31</v>
      </c>
      <c r="T117" s="1">
        <f t="array" ref="T117">INDEX(ICL3_classA!$G$2:$G$41,MATCH(MIN(ABS(AJ117-ICL3_classA!$F$2:$F$41)),ABS(AJ117-ICL3_classA!$F$2:$F$41),0))</f>
        <v>68</v>
      </c>
      <c r="U117" s="1">
        <f t="array" ref="U117">INDEX(ICL3_classA!$H$2:$H$41,MATCH(MIN(ABS(AJ117-ICL3_classA!$F$2:$F$41)),ABS(AJ117-ICL3_classA!$F$2:$F$41),0))</f>
        <v>28</v>
      </c>
      <c r="V117" s="1">
        <v>61</v>
      </c>
      <c r="W117" s="1">
        <v>31</v>
      </c>
      <c r="X117" s="108">
        <v>56</v>
      </c>
      <c r="Y117" s="1">
        <f>VLOOKUP($B117&amp;"__wt",'SegEnds_Xtal_BW#'!$A:$Z,25,FALSE)</f>
        <v>47</v>
      </c>
      <c r="Z117" s="1">
        <f>VLOOKUP($B117&amp;"__wt",'SegEnds_Xtal_BW#'!$A:$Z,26,FALSE)</f>
        <v>56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27</v>
      </c>
      <c r="AC117" s="1" t="e">
        <f>VLOOKUP(A117,'SegEnds_NonXtal_Prot#'!A:AL,10,FALSE)-VLOOKUP(A117,'SegEnds_NonXtal_Prot#'!A:AL,7,FALSE)</f>
        <v>#VALUE!</v>
      </c>
      <c r="AD117" s="1" t="e">
        <f>VLOOKUP(A117,'SegEnds_NonXtal_Prot#'!A:AL,13,FALSE)-VLOOKUP(A117,'SegEnds_NonXtal_Prot#'!A:AL,10,FALSE)</f>
        <v>#VALUE!</v>
      </c>
      <c r="AE117" s="1">
        <f>VLOOKUP(A117,'SegEnds_NonXtal_Prot#'!A:AL,16,FALSE)-VLOOKUP(A117,'SegEnds_NonXtal_Prot#'!A:AL,10,FALSE)</f>
        <v>51</v>
      </c>
      <c r="AF117" s="1">
        <f>VLOOKUP(A117,'SegEnds_NonXtal_Prot#'!A:AL,22,FALSE)-VLOOKUP(A117,'SegEnds_NonXtal_Prot#'!A:AL,19,FALSE)</f>
        <v>20</v>
      </c>
      <c r="AG117" s="1" t="e">
        <f>VLOOKUP(#REF!,'SegEnds_NonXtal_Prot#'!#REF!,28,FALSE)-VLOOKUP(#REF!,'SegEnds_NonXtal_Prot#'!#REF!,25,FALSE)</f>
        <v>#REF!</v>
      </c>
      <c r="AH117" s="1" t="e">
        <f>VLOOKUP(A117,'SegEnds_NonXtal_Prot#'!A:AL,28,FALSE)-VLOOKUP(A117,'SegEnds_NonXtal_Prot#'!A:AL,25,FALSE)</f>
        <v>#VALUE!</v>
      </c>
      <c r="AI117" s="1">
        <f>VLOOKUP(A117,'SegEnds_NonXtal_Prot#'!A:AL,28,FALSE)-VLOOKUP(A117,'SegEnds_NonXtal_Prot#'!A:AL,22,FALSE)</f>
        <v>42</v>
      </c>
      <c r="AJ117" s="1">
        <f>VLOOKUP(A117,'SegEnds_NonXtal_Prot#'!A:AL,31,FALSE)-VLOOKUP(A117,'SegEnds_NonXtal_Prot#'!A:AL,28,FALSE)</f>
        <v>44</v>
      </c>
      <c r="AK117" s="1">
        <f>VLOOKUP(A117,'SegEnds_NonXtal_Prot#'!A:AL,34,FALSE)-VLOOKUP(A117,'SegEnds_NonXtal_Prot#'!A:AL,31,FALSE)</f>
        <v>37</v>
      </c>
      <c r="AL117" s="1">
        <f>VLOOKUP(A117,'SegEnds_NonXtal_Prot#'!A:AL,37,FALSE)-VLOOKUP(A117,'SegEnds_NonXtal_Prot#'!A:AL,34,FALSE)</f>
        <v>10</v>
      </c>
      <c r="AM117" s="1" t="str">
        <f>IF(ISERROR(MATCH(A117,'SegEnds_Xtal_Prot#'!B:B, 0)), "NoXtal", "Xtal")</f>
        <v>NoXtal</v>
      </c>
    </row>
    <row r="118" spans="1:39" x14ac:dyDescent="0.2">
      <c r="A118" s="1" t="s">
        <v>364</v>
      </c>
      <c r="B118" s="1" t="str">
        <f>VLOOKUP(A118,Xtal_Templ!A:B,2,FALSE)</f>
        <v>ta2r_human</v>
      </c>
      <c r="C118" s="5">
        <f>VLOOKUP($B118&amp;"__wt",'SegEnds_Xtal_BW#'!$A:$Z,3,FALSE)</f>
        <v>35</v>
      </c>
      <c r="D118" s="108">
        <v>61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53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f>VLOOKUP($B118&amp;"__wt",'SegEnds_Xtal_BW#'!$A:$Z,15,FALSE)</f>
        <v>38</v>
      </c>
      <c r="P118" s="1">
        <f>VLOOKUP($B118&amp;"__wt",'SegEnds_Xtal_BW#'!$A:$Z,16,FALSE)</f>
        <v>63</v>
      </c>
      <c r="Q118" s="108">
        <v>50</v>
      </c>
      <c r="R118" s="108">
        <v>52</v>
      </c>
      <c r="S118" s="1">
        <v>35</v>
      </c>
      <c r="T118" s="1">
        <f t="array" ref="T118">INDEX(ICL3_classA!$G$2:$G$41,MATCH(MIN(ABS(AJ118-ICL3_classA!$F$2:$F$41)),ABS(AJ118-ICL3_classA!$F$2:$F$41),0))</f>
        <v>72</v>
      </c>
      <c r="U118" s="1">
        <f t="array" ref="U118">INDEX(ICL3_classA!$H$2:$H$41,MATCH(MIN(ABS(AJ118-ICL3_classA!$F$2:$F$41)),ABS(AJ118-ICL3_classA!$F$2:$F$41),0))</f>
        <v>29</v>
      </c>
      <c r="V118" s="1">
        <v>61</v>
      </c>
      <c r="W118" s="1">
        <v>31</v>
      </c>
      <c r="X118" s="108">
        <v>56</v>
      </c>
      <c r="Y118" s="108">
        <v>47</v>
      </c>
      <c r="Z118" s="1">
        <f>VLOOKUP($B118&amp;"__wt",'SegEnds_Xtal_BW#'!$A:$Z,26,FALSE)</f>
        <v>66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33</v>
      </c>
      <c r="AC118" s="1">
        <f>VLOOKUP(A118,'SegEnds_NonXtal_Prot#'!A:AL,10,FALSE)-VLOOKUP(A118,'SegEnds_NonXtal_Prot#'!A:AL,7,FALSE)</f>
        <v>19</v>
      </c>
      <c r="AD118" s="1">
        <f>VLOOKUP(A118,'SegEnds_NonXtal_Prot#'!A:AL,13,FALSE)-VLOOKUP(A118,'SegEnds_NonXtal_Prot#'!A:AL,10,FALSE)</f>
        <v>21</v>
      </c>
      <c r="AE118" s="1">
        <f>VLOOKUP(A118,'SegEnds_NonXtal_Prot#'!A:AL,16,FALSE)-VLOOKUP(A118,'SegEnds_NonXtal_Prot#'!A:AL,10,FALSE)</f>
        <v>56</v>
      </c>
      <c r="AF118" s="1">
        <f>VLOOKUP(A118,'SegEnds_NonXtal_Prot#'!A:AL,22,FALSE)-VLOOKUP(A118,'SegEnds_NonXtal_Prot#'!A:AL,19,FALSE)</f>
        <v>20</v>
      </c>
      <c r="AG118" s="1" t="e">
        <f>VLOOKUP(#REF!,'SegEnds_NonXtal_Prot#'!#REF!,28,FALSE)-VLOOKUP(#REF!,'SegEnds_NonXtal_Prot#'!#REF!,25,FALSE)</f>
        <v>#REF!</v>
      </c>
      <c r="AH118" s="1">
        <f>VLOOKUP(A118,'SegEnds_NonXtal_Prot#'!A:AL,28,FALSE)-VLOOKUP(A118,'SegEnds_NonXtal_Prot#'!A:AL,25,FALSE)</f>
        <v>28</v>
      </c>
      <c r="AI118" s="1">
        <f>VLOOKUP(A118,'SegEnds_NonXtal_Prot#'!A:AL,28,FALSE)-VLOOKUP(A118,'SegEnds_NonXtal_Prot#'!A:AL,22,FALSE)</f>
        <v>54</v>
      </c>
      <c r="AJ118" s="1">
        <f>VLOOKUP(A118,'SegEnds_NonXtal_Prot#'!A:AL,31,FALSE)-VLOOKUP(A118,'SegEnds_NonXtal_Prot#'!A:AL,28,FALSE)</f>
        <v>50</v>
      </c>
      <c r="AK118" s="1">
        <f>VLOOKUP(A118,'SegEnds_NonXtal_Prot#'!A:AL,34,FALSE)-VLOOKUP(A118,'SegEnds_NonXtal_Prot#'!A:AL,31,FALSE)</f>
        <v>37</v>
      </c>
      <c r="AL118" s="1">
        <f>VLOOKUP(A118,'SegEnds_NonXtal_Prot#'!A:AL,37,FALSE)-VLOOKUP(A118,'SegEnds_NonXtal_Prot#'!A:AL,34,FALSE)</f>
        <v>10</v>
      </c>
      <c r="AM118" s="1" t="str">
        <f>IF(ISERROR(MATCH(A118,'SegEnds_Xtal_Prot#'!B:B, 0)), "NoXtal", "Xtal")</f>
        <v>NoXtal</v>
      </c>
    </row>
    <row r="119" spans="1:39" x14ac:dyDescent="0.2">
      <c r="A119" s="4" t="s">
        <v>104</v>
      </c>
      <c r="B119" s="4" t="str">
        <f>VLOOKUP(A119,Xtal_Templ!A:B,2,FALSE)</f>
        <v>s1pr1_human</v>
      </c>
      <c r="C119" s="5">
        <f>VLOOKUP($B119&amp;"__wt",'SegEnds_Xtal_BW#'!$A:$Z,3,FALSE)</f>
        <v>29</v>
      </c>
      <c r="D119" s="4">
        <f>VLOOKUP($B119&amp;"__wt",'SegEnds_Xtal_BW#'!$A:$Z,4,FALSE)</f>
        <v>60</v>
      </c>
      <c r="E119" s="4">
        <f>VLOOKUP($B119&amp;"__wt",'SegEnds_Xtal_BW#'!$A:$Z,5,FALSE)</f>
        <v>48</v>
      </c>
      <c r="F119" s="4">
        <f>VLOOKUP($B119&amp;"__wt",'SegEnds_Xtal_BW#'!$A:$Z,6,FALSE)</f>
        <v>51</v>
      </c>
      <c r="G119" s="4">
        <v>37</v>
      </c>
      <c r="H119" s="11">
        <v>63</v>
      </c>
      <c r="I119" s="4">
        <f>VLOOKUP($B119&amp;"__wt",'SegEnds_Xtal_BW#'!$A:$Z,9,FALSE)</f>
        <v>47</v>
      </c>
      <c r="J119" s="4">
        <f>VLOOKUP($B119&amp;"__wt",'SegEnds_Xtal_BW#'!$A:$Z,10,FALSE)</f>
        <v>53</v>
      </c>
      <c r="K119" s="11">
        <f>VLOOKUP($B119&amp;"__wt",'SegEnds_Xtal_BW#'!$A:$Z,11,FALSE)</f>
        <v>21</v>
      </c>
      <c r="L119" s="4">
        <f>VLOOKUP($B119&amp;"__wt",'SegEnds_Xtal_BW#'!$A:$Z,12,FALSE)</f>
        <v>56</v>
      </c>
      <c r="M119" s="4">
        <f>VLOOKUP($B119&amp;"__wt",'SegEnds_Xtal_BW#'!$A:$Z,13,FALSE)</f>
        <v>50</v>
      </c>
      <c r="N119" s="108">
        <f>VLOOKUP($B119&amp;"__wt",'SegEnds_Xtal_BW#'!$A:$Z,14,FALSE)</f>
        <v>56</v>
      </c>
      <c r="O119" s="87">
        <f>VLOOKUP($B119&amp;"__wt",'SegEnds_Xtal_BW#'!$A:$Z,15,FALSE)</f>
        <v>38</v>
      </c>
      <c r="P119" s="4">
        <f>VLOOKUP($B119&amp;"__wt",'SegEnds_Xtal_BW#'!$A:$Z,16,FALSE)</f>
        <v>63</v>
      </c>
      <c r="Q119" s="4" t="str">
        <f>VLOOKUP($B119&amp;"__wt",'SegEnds_Xtal_BW#'!$A:$Z,17,FALSE)</f>
        <v>-</v>
      </c>
      <c r="R119" s="4" t="str">
        <f>VLOOKUP($B119&amp;"__wt",'SegEnds_Xtal_BW#'!$A:$Z,18,FALSE)</f>
        <v>-</v>
      </c>
      <c r="S119" s="4">
        <f>VLOOKUP($B119&amp;"__wt",'SegEnds_Xtal_BW#'!$A:$Z,19,FALSE)</f>
        <v>36</v>
      </c>
      <c r="T119" s="4">
        <f t="array" ref="T119">INDEX(ICL3_classA!$G$2:$G$41,MATCH(MIN(ABS(AJ119-ICL3_classA!$F$2:$F$41)),ABS(AJ119-ICL3_classA!$F$2:$F$41),0))</f>
        <v>73</v>
      </c>
      <c r="U119" s="4">
        <f t="array" ref="U119">INDEX(ICL3_classA!$H$2:$H$41,MATCH(MIN(ABS(AJ119-ICL3_classA!$F$2:$F$41)),ABS(AJ119-ICL3_classA!$F$2:$F$41),0))</f>
        <v>24</v>
      </c>
      <c r="V119" s="4">
        <v>61</v>
      </c>
      <c r="W119" s="4">
        <v>30</v>
      </c>
      <c r="X119" s="1">
        <f>VLOOKUP($B119&amp;"__wt",'SegEnds_Xtal_BW#'!$A:$Z,24,FALSE)</f>
        <v>56</v>
      </c>
      <c r="Y119" s="4">
        <f>VLOOKUP($B119&amp;"__wt",'SegEnds_Xtal_BW#'!$A:$Z,25,FALSE)</f>
        <v>47</v>
      </c>
      <c r="Z119" s="4">
        <f>VLOOKUP($B119&amp;"__wt",'SegEnds_Xtal_BW#'!$A:$Z,26,FALSE)</f>
        <v>59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4">
        <f>VLOOKUP(A119,'SegEnds_NonXtal_Prot#'!A:AL,10,FALSE)-VLOOKUP(A119,'SegEnds_NonXtal_Prot#'!A:AL,7,FALSE)</f>
        <v>15</v>
      </c>
      <c r="AD119" s="4">
        <f>VLOOKUP(A119,'SegEnds_NonXtal_Prot#'!A:AL,13,FALSE)-VLOOKUP(A119,'SegEnds_NonXtal_Prot#'!A:AL,10,FALSE)</f>
        <v>18</v>
      </c>
      <c r="AE119" s="4">
        <f>VLOOKUP(A119,'SegEnds_NonXtal_Prot#'!A:AL,16,FALSE)-VLOOKUP(A119,'SegEnds_NonXtal_Prot#'!A:AL,10,FALSE)</f>
        <v>51</v>
      </c>
      <c r="AF119" s="1">
        <f>VLOOKUP(A119,'SegEnds_NonXtal_Prot#'!A:AL,22,FALSE)-VLOOKUP(A119,'SegEnds_NonXtal_Prot#'!A:AL,19,FALSE)</f>
        <v>19</v>
      </c>
      <c r="AG119" s="4" t="e">
        <f>VLOOKUP(#REF!,'SegEnds_NonXtal_Prot#'!#REF!,28,FALSE)-VLOOKUP(#REF!,'SegEnds_NonXtal_Prot#'!#REF!,25,FALSE)</f>
        <v>#REF!</v>
      </c>
      <c r="AH119" s="4" t="e">
        <f>VLOOKUP(A119,'SegEnds_NonXtal_Prot#'!A:AL,28,FALSE)-VLOOKUP(A119,'SegEnds_NonXtal_Prot#'!A:AL,25,FALSE)</f>
        <v>#VALUE!</v>
      </c>
      <c r="AI119" s="1">
        <f>VLOOKUP(A119,'SegEnds_NonXtal_Prot#'!A:AL,28,FALSE)-VLOOKUP(A119,'SegEnds_NonXtal_Prot#'!A:AL,22,FALSE)</f>
        <v>45</v>
      </c>
      <c r="AJ119" s="4">
        <f>VLOOKUP(A119,'SegEnds_NonXtal_Prot#'!A:AL,31,FALSE)-VLOOKUP(A119,'SegEnds_NonXtal_Prot#'!A:AL,28,FALSE)</f>
        <v>58</v>
      </c>
      <c r="AK119" s="4">
        <f>VLOOKUP(A119,'SegEnds_NonXtal_Prot#'!A:AL,34,FALSE)-VLOOKUP(A119,'SegEnds_NonXtal_Prot#'!A:AL,31,FALSE)</f>
        <v>37</v>
      </c>
      <c r="AL119" s="1">
        <f>VLOOKUP(A119,'SegEnds_NonXtal_Prot#'!A:AL,37,FALSE)-VLOOKUP(A119,'SegEnds_NonXtal_Prot#'!A:AL,34,FALSE)</f>
        <v>10</v>
      </c>
      <c r="AM119" s="1" t="str">
        <f>IF(ISERROR(MATCH(A119,'SegEnds_Xtal_Prot#'!B:B, 0)), "NoXtal", "Xtal")</f>
        <v>Xtal</v>
      </c>
    </row>
    <row r="120" spans="1:39" x14ac:dyDescent="0.2">
      <c r="A120" s="1" t="s">
        <v>376</v>
      </c>
      <c r="B120" s="1" t="str">
        <f>VLOOKUP(A120,Xtal_Templ!A:B,2,FALSE)</f>
        <v>s1pr1_human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63</v>
      </c>
      <c r="I120" s="1">
        <f>VLOOKUP($B120&amp;"__wt",'SegEnds_Xtal_BW#'!$A:$Z,9,FALSE)</f>
        <v>47</v>
      </c>
      <c r="J120" s="1">
        <f>VLOOKUP($B120&amp;"__wt",'SegEnds_Xtal_BW#'!$A:$Z,10,FALSE)</f>
        <v>53</v>
      </c>
      <c r="K120" s="12">
        <v>21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08">
        <v>56</v>
      </c>
      <c r="O120" s="87">
        <f>VLOOKUP($B120&amp;"__wt",'SegEnds_Xtal_BW#'!$A:$Z,15,FALSE)</f>
        <v>38</v>
      </c>
      <c r="P120" s="1">
        <f>VLOOKUP($B120&amp;"__wt",'SegEnds_Xtal_BW#'!$A:$Z,16,FALSE)</f>
        <v>63</v>
      </c>
      <c r="Q120" s="1" t="str">
        <f>VLOOKUP($B120&amp;"__wt",'SegEnds_Xtal_BW#'!$A:$Z,17,FALSE)</f>
        <v>-</v>
      </c>
      <c r="R120" s="1" t="str">
        <f>VLOOKUP($B120&amp;"__wt",'SegEnds_Xtal_BW#'!$A:$Z,18,FALSE)</f>
        <v>-</v>
      </c>
      <c r="S120" s="1">
        <f>VLOOKUP($B120&amp;"__wt",'SegEnds_Xtal_BW#'!$A:$Z,19,FALSE)</f>
        <v>36</v>
      </c>
      <c r="T120" s="1">
        <f t="array" ref="T120">INDEX(ICL3_classA!$G$2:$G$41,MATCH(MIN(ABS(AJ120-ICL3_classA!$F$2:$F$41)),ABS(AJ120-ICL3_classA!$F$2:$F$41),0))</f>
        <v>67</v>
      </c>
      <c r="U120" s="1">
        <f t="array" ref="U120">INDEX(ICL3_classA!$H$2:$H$41,MATCH(MIN(ABS(AJ120-ICL3_classA!$F$2:$F$41)),ABS(AJ120-ICL3_classA!$F$2:$F$41),0))</f>
        <v>26</v>
      </c>
      <c r="V120" s="1">
        <v>61</v>
      </c>
      <c r="W120" s="1">
        <v>30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51</v>
      </c>
      <c r="AF120" s="1">
        <f>VLOOKUP(A120,'SegEnds_NonXtal_Prot#'!A:AL,22,FALSE)-VLOOKUP(A120,'SegEnds_NonXtal_Prot#'!A:AL,19,FALSE)</f>
        <v>19</v>
      </c>
      <c r="AG120" s="1" t="e">
        <f>VLOOKUP(#REF!,'SegEnds_NonXtal_Prot#'!#REF!,28,FALSE)-VLOOKUP(#REF!,'SegEnds_NonXtal_Prot#'!#REF!,25,FALSE)</f>
        <v>#REF!</v>
      </c>
      <c r="AH120" s="1" t="e">
        <f>VLOOKUP(A120,'SegEnds_NonXtal_Prot#'!A:AL,28,FALSE)-VLOOKUP(A120,'SegEnds_NonXtal_Prot#'!A:AL,25,FALSE)</f>
        <v>#VALUE!</v>
      </c>
      <c r="AI120" s="1">
        <f>VLOOKUP(A120,'SegEnds_NonXtal_Prot#'!A:AL,28,FALSE)-VLOOKUP(A120,'SegEnds_NonXtal_Prot#'!A:AL,22,FALSE)</f>
        <v>45</v>
      </c>
      <c r="AJ120" s="1">
        <f>VLOOKUP(A120,'SegEnds_NonXtal_Prot#'!A:AL,31,FALSE)-VLOOKUP(A120,'SegEnds_NonXtal_Prot#'!A:AL,28,FALSE)</f>
        <v>47</v>
      </c>
      <c r="AK120" s="1">
        <f>VLOOKUP(A120,'SegEnds_NonXtal_Prot#'!A:AL,34,FALSE)-VLOOKUP(A120,'SegEnds_NonXtal_Prot#'!A:AL,31,FALSE)</f>
        <v>37</v>
      </c>
      <c r="AL120" s="1">
        <f>VLOOKUP(A120,'SegEnds_NonXtal_Prot#'!A:AL,37,FALSE)-VLOOKUP(A120,'SegEnds_NonXtal_Prot#'!A:AL,34,FALSE)</f>
        <v>10</v>
      </c>
      <c r="AM120" s="1" t="str">
        <f>IF(ISERROR(MATCH(A120,'SegEnds_Xtal_Prot#'!B:B, 0)), "NoXtal", "Xtal")</f>
        <v>NoXtal</v>
      </c>
    </row>
    <row r="121" spans="1:39" x14ac:dyDescent="0.2">
      <c r="A121" s="1" t="s">
        <v>377</v>
      </c>
      <c r="B121" s="1" t="str">
        <f>VLOOKUP(A121,Xtal_Templ!A:B,2,FALSE)</f>
        <v>s1pr1_human</v>
      </c>
      <c r="C121" s="5">
        <f>VLOOKUP($B121&amp;"__wt",'SegEnds_Xtal_BW#'!$A:$Z,3,FALSE)</f>
        <v>29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v>63</v>
      </c>
      <c r="I121" s="1">
        <f>VLOOKUP($B121&amp;"__wt",'SegEnds_Xtal_BW#'!$A:$Z,9,FALSE)</f>
        <v>47</v>
      </c>
      <c r="J121" s="1">
        <f>VLOOKUP($B121&amp;"__wt",'SegEnds_Xtal_BW#'!$A:$Z,10,FALSE)</f>
        <v>53</v>
      </c>
      <c r="K121" s="12">
        <v>21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08">
        <v>56</v>
      </c>
      <c r="O121" s="87">
        <f>VLOOKUP($B121&amp;"__wt",'SegEnds_Xtal_BW#'!$A:$Z,15,FALSE)</f>
        <v>38</v>
      </c>
      <c r="P121" s="1">
        <f>VLOOKUP($B121&amp;"__wt",'SegEnds_Xtal_BW#'!$A:$Z,16,FALSE)</f>
        <v>63</v>
      </c>
      <c r="Q121" s="1" t="str">
        <f>VLOOKUP($B121&amp;"__wt",'SegEnds_Xtal_BW#'!$A:$Z,17,FALSE)</f>
        <v>-</v>
      </c>
      <c r="R121" s="1" t="str">
        <f>VLOOKUP($B121&amp;"__wt",'SegEnds_Xtal_BW#'!$A:$Z,18,FALSE)</f>
        <v>-</v>
      </c>
      <c r="S121" s="1">
        <f>VLOOKUP($B121&amp;"__wt",'SegEnds_Xtal_BW#'!$A:$Z,19,FALSE)</f>
        <v>36</v>
      </c>
      <c r="T121" s="1">
        <f t="array" ref="T121">INDEX(ICL3_classA!$G$2:$G$41,MATCH(MIN(ABS(AJ121-ICL3_classA!$F$2:$F$41)),ABS(AJ121-ICL3_classA!$F$2:$F$41),0))</f>
        <v>68</v>
      </c>
      <c r="U121" s="1">
        <f t="array" ref="U121">INDEX(ICL3_classA!$H$2:$H$41,MATCH(MIN(ABS(AJ121-ICL3_classA!$F$2:$F$41)),ABS(AJ121-ICL3_classA!$F$2:$F$41),0))</f>
        <v>23</v>
      </c>
      <c r="V121" s="1">
        <v>61</v>
      </c>
      <c r="W121" s="1">
        <v>30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18</v>
      </c>
      <c r="AE121" s="1">
        <f>VLOOKUP(A121,'SegEnds_NonXtal_Prot#'!A:AL,16,FALSE)-VLOOKUP(A121,'SegEnds_NonXtal_Prot#'!A:AL,10,FALSE)</f>
        <v>51</v>
      </c>
      <c r="AF121" s="1">
        <f>VLOOKUP(A121,'SegEnds_NonXtal_Prot#'!A:AL,22,FALSE)-VLOOKUP(A121,'SegEnds_NonXtal_Prot#'!A:AL,19,FALSE)</f>
        <v>19</v>
      </c>
      <c r="AG121" s="1" t="e">
        <f>VLOOKUP(#REF!,'SegEnds_NonXtal_Prot#'!#REF!,28,FALSE)-VLOOKUP(#REF!,'SegEnds_NonXtal_Prot#'!#REF!,25,FALSE)</f>
        <v>#REF!</v>
      </c>
      <c r="AH121" s="1" t="e">
        <f>VLOOKUP(A121,'SegEnds_NonXtal_Prot#'!A:AL,28,FALSE)-VLOOKUP(A121,'SegEnds_NonXtal_Prot#'!A:AL,25,FALSE)</f>
        <v>#VALUE!</v>
      </c>
      <c r="AI121" s="1">
        <f>VLOOKUP(A121,'SegEnds_NonXtal_Prot#'!A:AL,28,FALSE)-VLOOKUP(A121,'SegEnds_NonXtal_Prot#'!A:AL,22,FALSE)</f>
        <v>45</v>
      </c>
      <c r="AJ121" s="1">
        <f>VLOOKUP(A121,'SegEnds_NonXtal_Prot#'!A:AL,31,FALSE)-VLOOKUP(A121,'SegEnds_NonXtal_Prot#'!A:AL,28,FALSE)</f>
        <v>51</v>
      </c>
      <c r="AK121" s="1">
        <f>VLOOKUP(A121,'SegEnds_NonXtal_Prot#'!A:AL,34,FALSE)-VLOOKUP(A121,'SegEnds_NonXtal_Prot#'!A:AL,31,FALSE)</f>
        <v>37</v>
      </c>
      <c r="AL121" s="1">
        <f>VLOOKUP(A121,'SegEnds_NonXtal_Prot#'!A:AL,37,FALSE)-VLOOKUP(A121,'SegEnds_NonXtal_Prot#'!A:AL,34,FALSE)</f>
        <v>10</v>
      </c>
      <c r="AM121" s="1" t="str">
        <f>IF(ISERROR(MATCH(A121,'SegEnds_Xtal_Prot#'!B:B, 0)), "NoXtal", "Xtal")</f>
        <v>NoXtal</v>
      </c>
    </row>
    <row r="122" spans="1:39" x14ac:dyDescent="0.2">
      <c r="A122" s="1" t="s">
        <v>379</v>
      </c>
      <c r="B122" s="1" t="str">
        <f>VLOOKUP(A122,Xtal_Templ!A:B,2,FALSE)</f>
        <v>s1pr1_human</v>
      </c>
      <c r="C122" s="5">
        <f>VLOOKUP($B122&amp;"__wt",'SegEnds_Xtal_BW#'!$A:$Z,3,FALSE)</f>
        <v>29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v>63</v>
      </c>
      <c r="I122" s="1">
        <f>VLOOKUP($B122&amp;"__wt",'SegEnds_Xtal_BW#'!$A:$Z,9,FALSE)</f>
        <v>47</v>
      </c>
      <c r="J122" s="1">
        <f>VLOOKUP($B122&amp;"__wt",'SegEnds_Xtal_BW#'!$A:$Z,10,FALSE)</f>
        <v>53</v>
      </c>
      <c r="K122" s="12">
        <v>21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08">
        <v>56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 t="str">
        <f>VLOOKUP($B122&amp;"__wt",'SegEnds_Xtal_BW#'!$A:$Z,17,FALSE)</f>
        <v>-</v>
      </c>
      <c r="R122" s="1" t="str">
        <f>VLOOKUP($B122&amp;"__wt",'SegEnds_Xtal_BW#'!$A:$Z,18,FALSE)</f>
        <v>-</v>
      </c>
      <c r="S122" s="1">
        <f>VLOOKUP($B122&amp;"__wt",'SegEnds_Xtal_BW#'!$A:$Z,19,FALSE)</f>
        <v>36</v>
      </c>
      <c r="T122" s="1">
        <f t="array" ref="T122">INDEX(ICL3_classA!$G$2:$G$41,MATCH(MIN(ABS(AJ122-ICL3_classA!$F$2:$F$41)),ABS(AJ122-ICL3_classA!$F$2:$F$41),0))</f>
        <v>81</v>
      </c>
      <c r="U122" s="1">
        <f t="array" ref="U122">INDEX(ICL3_classA!$H$2:$H$41,MATCH(MIN(ABS(AJ122-ICL3_classA!$F$2:$F$41)),ABS(AJ122-ICL3_classA!$F$2:$F$41),0))</f>
        <v>23</v>
      </c>
      <c r="V122" s="1">
        <v>61</v>
      </c>
      <c r="W122" s="1">
        <v>30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>
        <f>VLOOKUP(A122,'SegEnds_NonXtal_Prot#'!A:AL,10,FALSE)-VLOOKUP(A122,'SegEnds_NonXtal_Prot#'!A:AL,7,FALSE)</f>
        <v>15</v>
      </c>
      <c r="AD122" s="1">
        <f>VLOOKUP(A122,'SegEnds_NonXtal_Prot#'!A:AL,13,FALSE)-VLOOKUP(A122,'SegEnds_NonXtal_Prot#'!A:AL,10,FALSE)</f>
        <v>18</v>
      </c>
      <c r="AE122" s="1">
        <f>VLOOKUP(A122,'SegEnds_NonXtal_Prot#'!A:AL,16,FALSE)-VLOOKUP(A122,'SegEnds_NonXtal_Prot#'!A:AL,10,FALSE)</f>
        <v>51</v>
      </c>
      <c r="AF122" s="1">
        <f>VLOOKUP(A122,'SegEnds_NonXtal_Prot#'!A:AL,22,FALSE)-VLOOKUP(A122,'SegEnds_NonXtal_Prot#'!A:AL,19,FALSE)</f>
        <v>19</v>
      </c>
      <c r="AG122" s="1" t="e">
        <f>VLOOKUP(#REF!,'SegEnds_NonXtal_Prot#'!#REF!,28,FALSE)-VLOOKUP(#REF!,'SegEnds_NonXtal_Prot#'!#REF!,25,FALSE)</f>
        <v>#REF!</v>
      </c>
      <c r="AH122" s="1" t="e">
        <f>VLOOKUP(A122,'SegEnds_NonXtal_Prot#'!A:AL,28,FALSE)-VLOOKUP(A122,'SegEnds_NonXtal_Prot#'!A:AL,25,FALSE)</f>
        <v>#VALUE!</v>
      </c>
      <c r="AI122" s="1">
        <f>VLOOKUP(A122,'SegEnds_NonXtal_Prot#'!A:AL,28,FALSE)-VLOOKUP(A122,'SegEnds_NonXtal_Prot#'!A:AL,22,FALSE)</f>
        <v>45</v>
      </c>
      <c r="AJ122" s="1">
        <f>VLOOKUP(A122,'SegEnds_NonXtal_Prot#'!A:AL,31,FALSE)-VLOOKUP(A122,'SegEnds_NonXtal_Prot#'!A:AL,28,FALSE)</f>
        <v>62</v>
      </c>
      <c r="AK122" s="1">
        <f>VLOOKUP(A122,'SegEnds_NonXtal_Prot#'!A:AL,34,FALSE)-VLOOKUP(A122,'SegEnds_NonXtal_Prot#'!A:AL,31,FALSE)</f>
        <v>37</v>
      </c>
      <c r="AL122" s="1">
        <f>VLOOKUP(A122,'SegEnds_NonXtal_Prot#'!A:AL,37,FALSE)-VLOOKUP(A122,'SegEnds_NonXtal_Prot#'!A:AL,34,FALSE)</f>
        <v>10</v>
      </c>
      <c r="AM122" s="1" t="str">
        <f>IF(ISERROR(MATCH(A122,'SegEnds_Xtal_Prot#'!B:B, 0)), "NoXtal", "Xtal")</f>
        <v>NoXtal</v>
      </c>
    </row>
    <row r="123" spans="1:39" x14ac:dyDescent="0.2">
      <c r="A123" s="1" t="s">
        <v>35</v>
      </c>
      <c r="B123" s="1" t="str">
        <f>VLOOKUP(A123,Xtal_Templ!A:B,2,FALSE)</f>
        <v>5ht2b_human</v>
      </c>
      <c r="C123" s="5">
        <f>VLOOKUP($B123&amp;"__wt",'SegEnds_Xtal_BW#'!$A:$Z,3,FALSE)</f>
        <v>31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f>VLOOKUP($B123&amp;"__wt",'SegEnds_Xtal_BW#'!$A:$Z,14,FALSE)</f>
        <v>57</v>
      </c>
      <c r="O123" s="87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v>35</v>
      </c>
      <c r="T123" s="1">
        <f t="array" ref="T123">INDEX(ICL3_classA!$G$2:$G$41,MATCH(MIN(ABS(AJ123-ICL3_classA!$F$2:$F$41)),ABS(AJ123-ICL3_classA!$F$2:$F$41),0))</f>
        <v>76</v>
      </c>
      <c r="U123" s="1">
        <f t="array" ref="U123">INDEX(ICL3_classA!$H$2:$H$41,MATCH(MIN(ABS(AJ123-ICL3_classA!$F$2:$F$41)),ABS(AJ123-ICL3_classA!$F$2:$F$41),0))</f>
        <v>24</v>
      </c>
      <c r="V123" s="1">
        <v>61</v>
      </c>
      <c r="W123" s="128">
        <v>27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58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21</v>
      </c>
      <c r="AE123" s="1">
        <f>VLOOKUP(A123,'SegEnds_NonXtal_Prot#'!A:AL,16,FALSE)-VLOOKUP(A123,'SegEnds_NonXtal_Prot#'!A:AL,10,FALSE)</f>
        <v>53</v>
      </c>
      <c r="AF123" s="1">
        <f>VLOOKUP(A123,'SegEnds_NonXtal_Prot#'!A:AL,22,FALSE)-VLOOKUP(A123,'SegEnds_NonXtal_Prot#'!A:AL,19,FALSE)</f>
        <v>20</v>
      </c>
      <c r="AG123" s="1" t="e">
        <f>VLOOKUP(#REF!,'SegEnds_NonXtal_Prot#'!#REF!,28,FALSE)-VLOOKUP(#REF!,'SegEnds_NonXtal_Prot#'!#REF!,25,FALSE)</f>
        <v>#REF!</v>
      </c>
      <c r="AH123" s="1">
        <f>VLOOKUP(A123,'SegEnds_NonXtal_Prot#'!A:AL,28,FALSE)-VLOOKUP(A123,'SegEnds_NonXtal_Prot#'!A:AL,25,FALSE)</f>
        <v>22</v>
      </c>
      <c r="AI123" s="1">
        <f>VLOOKUP(A123,'SegEnds_NonXtal_Prot#'!A:AL,28,FALSE)-VLOOKUP(A123,'SegEnds_NonXtal_Prot#'!A:AL,22,FALSE)</f>
        <v>49</v>
      </c>
      <c r="AJ123" s="1">
        <f>VLOOKUP(A123,'SegEnds_NonXtal_Prot#'!A:AL,31,FALSE)-VLOOKUP(A123,'SegEnds_NonXtal_Prot#'!A:AL,28,FALSE)</f>
        <v>110</v>
      </c>
      <c r="AK123" s="1">
        <f>VLOOKUP(A123,'SegEnds_NonXtal_Prot#'!A:AL,34,FALSE)-VLOOKUP(A123,'SegEnds_NonXtal_Prot#'!A:AL,31,FALSE)</f>
        <v>38</v>
      </c>
      <c r="AL123" s="1">
        <f>VLOOKUP(A123,'SegEnds_NonXtal_Prot#'!A:AL,37,FALSE)-VLOOKUP(A123,'SegEnds_NonXtal_Prot#'!A:AL,34,FALSE)</f>
        <v>10</v>
      </c>
      <c r="AM123" s="1" t="str">
        <f>IF(ISERROR(MATCH(A123,'SegEnds_Xtal_Prot#'!B:B, 0)), "NoXtal", "Xtal")</f>
        <v>Xtal</v>
      </c>
    </row>
    <row r="124" spans="1:39" x14ac:dyDescent="0.2">
      <c r="A124" s="1" t="s">
        <v>140</v>
      </c>
      <c r="B124" s="1" t="str">
        <f>VLOOKUP(A124,Xtal_Templ!A:B,2,FALSE)</f>
        <v>aa2ar_human</v>
      </c>
      <c r="C124" s="5">
        <f>VLOOKUP($B124&amp;"__wt",'SegEnds_Xtal_BW#'!$A:$Z,3,FALSE)</f>
        <v>27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v>66</v>
      </c>
      <c r="I124" s="1">
        <f>VLOOKUP($B124&amp;"__wt",'SegEnds_Xtal_BW#'!$A:$Z,9,FALSE)</f>
        <v>50</v>
      </c>
      <c r="J124" s="1">
        <f>VLOOKUP($B124&amp;"__wt",'SegEnds_Xtal_BW#'!$A:$Z,10,FALSE)</f>
        <v>52</v>
      </c>
      <c r="K124" s="12">
        <v>24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63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34</v>
      </c>
      <c r="T124" s="1">
        <f t="array" ref="T124">INDEX(ICL3_classA!$G$2:$G$41,MATCH(MIN(ABS(AJ124-ICL3_classA!$F$2:$F$41)),ABS(AJ124-ICL3_classA!$F$2:$F$41),0))</f>
        <v>73</v>
      </c>
      <c r="U124" s="1">
        <f t="array" ref="U124">INDEX(ICL3_classA!$H$2:$H$41,MATCH(MIN(ABS(AJ124-ICL3_classA!$F$2:$F$41)),ABS(AJ124-ICL3_classA!$F$2:$F$41),0))</f>
        <v>22</v>
      </c>
      <c r="V124" s="1">
        <v>61</v>
      </c>
      <c r="W124" s="128">
        <f>VLOOKUP($B124&amp;"__wt",'SegEnds_Xtal_BW#'!$A:$Z,23,FALSE)</f>
        <v>31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18</v>
      </c>
      <c r="AE124" s="1">
        <f>VLOOKUP(A124,'SegEnds_NonXtal_Prot#'!A:AL,16,FALSE)-VLOOKUP(A124,'SegEnds_NonXtal_Prot#'!A:AL,10,FALSE)</f>
        <v>50</v>
      </c>
      <c r="AF124" s="1">
        <f>VLOOKUP(A124,'SegEnds_NonXtal_Prot#'!A:AL,22,FALSE)-VLOOKUP(A124,'SegEnds_NonXtal_Prot#'!A:AL,19,FALSE)</f>
        <v>20</v>
      </c>
      <c r="AG124" s="1" t="e">
        <f>VLOOKUP(#REF!,'SegEnds_NonXtal_Prot#'!#REF!,28,FALSE)-VLOOKUP(#REF!,'SegEnds_NonXtal_Prot#'!#REF!,25,FALSE)</f>
        <v>#REF!</v>
      </c>
      <c r="AH124" s="1">
        <f>VLOOKUP(A124,'SegEnds_NonXtal_Prot#'!A:AL,28,FALSE)-VLOOKUP(A124,'SegEnds_NonXtal_Prot#'!A:AL,25,FALSE)</f>
        <v>23</v>
      </c>
      <c r="AI124" s="1">
        <f>VLOOKUP(A124,'SegEnds_NonXtal_Prot#'!A:AL,28,FALSE)-VLOOKUP(A124,'SegEnds_NonXtal_Prot#'!A:AL,22,FALSE)</f>
        <v>64</v>
      </c>
      <c r="AJ124" s="1">
        <f>VLOOKUP(A124,'SegEnds_NonXtal_Prot#'!A:AL,31,FALSE)-VLOOKUP(A124,'SegEnds_NonXtal_Prot#'!A:AL,28,FALSE)</f>
        <v>55</v>
      </c>
      <c r="AK124" s="1">
        <f>VLOOKUP(A124,'SegEnds_NonXtal_Prot#'!A:AL,34,FALSE)-VLOOKUP(A124,'SegEnds_NonXtal_Prot#'!A:AL,31,FALSE)</f>
        <v>38</v>
      </c>
      <c r="AL124" s="1">
        <f>VLOOKUP(A124,'SegEnds_NonXtal_Prot#'!A:AL,37,FALSE)-VLOOKUP(A124,'SegEnds_NonXtal_Prot#'!A:AL,34,FALSE)</f>
        <v>10</v>
      </c>
      <c r="AM124" s="1" t="str">
        <f>IF(ISERROR(MATCH(A124,'SegEnds_Xtal_Prot#'!B:B, 0)), "NoXtal", "Xtal")</f>
        <v>NoXtal</v>
      </c>
    </row>
    <row r="125" spans="1:39" x14ac:dyDescent="0.2">
      <c r="A125" s="1" t="s">
        <v>181</v>
      </c>
      <c r="B125" s="1" t="str">
        <f>VLOOKUP(A125,Xtal_Templ!A:B,2,FALSE)</f>
        <v>fpr2_human</v>
      </c>
      <c r="C125" s="5">
        <f>VLOOKUP($B125&amp;"__wt",'SegEnds_Xtal_BW#'!$A:$Z,3,FALSE)</f>
        <v>25</v>
      </c>
      <c r="D125" s="1">
        <f>VLOOKUP($B125&amp;"__wt",'SegEnds_Xtal_BW#'!$A:$Z,4,FALSE)</f>
        <v>61</v>
      </c>
      <c r="E125" s="1" t="str">
        <f>VLOOKUP($B125&amp;"__wt",'SegEnds_Xtal_BW#'!$A:$Z,5,FALSE)</f>
        <v>-</v>
      </c>
      <c r="F125" s="1" t="str">
        <f>VLOOKUP($B125&amp;"__wt",'SegEnds_Xtal_BW#'!$A:$Z,6,FALSE)</f>
        <v>-</v>
      </c>
      <c r="G125" s="1">
        <v>37</v>
      </c>
      <c r="H125" s="12">
        <f>VLOOKUP($B125&amp;"__wt",'SegEnds_Xtal_BW#'!$A:$Z,8,FALSE)</f>
        <v>67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23</v>
      </c>
      <c r="T125" s="1">
        <f t="array" ref="T125">INDEX(ICL3_classA!$G$2:$G$41,MATCH(MIN(ABS(AJ125-ICL3_classA!$F$2:$F$41)),ABS(AJ125-ICL3_classA!$F$2:$F$41),0))</f>
        <v>68</v>
      </c>
      <c r="U125" s="1">
        <f t="array" ref="U125">INDEX(ICL3_classA!$H$2:$H$41,MATCH(MIN(ABS(AJ125-ICL3_classA!$F$2:$F$41)),ABS(AJ125-ICL3_classA!$F$2:$F$41),0))</f>
        <v>30</v>
      </c>
      <c r="V125" s="1">
        <v>61</v>
      </c>
      <c r="W125" s="108">
        <v>25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58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27</v>
      </c>
      <c r="AC125" s="1" t="e">
        <f>VLOOKUP(A125,'SegEnds_NonXtal_Prot#'!A:AL,10,FALSE)-VLOOKUP(A125,'SegEnds_NonXtal_Prot#'!A:AL,7,FALSE)</f>
        <v>#VALUE!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 t="e">
        <f>VLOOKUP(#REF!,'SegEnds_NonXtal_Prot#'!#REF!,28,FALSE)-VLOOKUP(#REF!,'SegEnds_NonXtal_Prot#'!#REF!,25,FALSE)</f>
        <v>#REF!</v>
      </c>
      <c r="AH125" s="1">
        <f>VLOOKUP(A125,'SegEnds_NonXtal_Prot#'!A:AL,28,FALSE)-VLOOKUP(A125,'SegEnds_NonXtal_Prot#'!A:AL,25,FALSE)</f>
        <v>43</v>
      </c>
      <c r="AI125" s="1">
        <f>VLOOKUP(A125,'SegEnds_NonXtal_Prot#'!A:AL,28,FALSE)-VLOOKUP(A125,'SegEnds_NonXtal_Prot#'!A:AL,22,FALSE)</f>
        <v>68</v>
      </c>
      <c r="AJ125" s="1">
        <f>VLOOKUP(A125,'SegEnds_NonXtal_Prot#'!A:AL,31,FALSE)-VLOOKUP(A125,'SegEnds_NonXtal_Prot#'!A:AL,28,FALSE)</f>
        <v>43</v>
      </c>
      <c r="AK125" s="1">
        <f>VLOOKUP(A125,'SegEnds_NonXtal_Prot#'!A:AL,34,FALSE)-VLOOKUP(A125,'SegEnds_NonXtal_Prot#'!A:AL,31,FALSE)</f>
        <v>38</v>
      </c>
      <c r="AL125" s="1">
        <f>VLOOKUP(A125,'SegEnds_NonXtal_Prot#'!A:AL,37,FALSE)-VLOOKUP(A125,'SegEnds_NonXtal_Prot#'!A:AL,34,FALSE)</f>
        <v>10</v>
      </c>
      <c r="AM125" s="1" t="str">
        <f>IF(ISERROR(MATCH(A125,'SegEnds_Xtal_Prot#'!B:B, 0)), "NoXtal", "Xtal")</f>
        <v>NoXtal</v>
      </c>
    </row>
    <row r="126" spans="1:39" x14ac:dyDescent="0.2">
      <c r="A126" s="1" t="s">
        <v>204</v>
      </c>
      <c r="B126" s="1" t="str">
        <f>VLOOKUP(A126,Xtal_Templ!A:B,2,FALSE)</f>
        <v>oprk_human</v>
      </c>
      <c r="C126" s="5">
        <f>VLOOKUP($B126&amp;"__wt",'SegEnds_Xtal_BW#'!$A:$Z,3,FALSE)</f>
        <v>30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30</v>
      </c>
      <c r="T126" s="1">
        <f t="array" ref="T126">INDEX(ICL3_classA!$G$2:$G$41,MATCH(MIN(ABS(AJ126-ICL3_classA!$F$2:$F$41)),ABS(AJ126-ICL3_classA!$F$2:$F$41),0))</f>
        <v>72</v>
      </c>
      <c r="U126" s="1">
        <f t="array" ref="U126">INDEX(ICL3_classA!$H$2:$H$41,MATCH(MIN(ABS(AJ126-ICL3_classA!$F$2:$F$41)),ABS(AJ126-ICL3_classA!$F$2:$F$41),0))</f>
        <v>29</v>
      </c>
      <c r="V126" s="1">
        <v>61</v>
      </c>
      <c r="W126" s="128">
        <f>VLOOKUP($B126&amp;"__wt",'SegEnds_Xtal_BW#'!$A:$Z,23,FALSE)</f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30</v>
      </c>
      <c r="AC126" s="1" t="e">
        <f>VLOOKUP(A126,'SegEnds_NonXtal_Prot#'!A:AL,10,FALSE)-VLOOKUP(A126,'SegEnds_NonXtal_Prot#'!A:AL,7,FALSE)</f>
        <v>#VALUE!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 t="e">
        <f>VLOOKUP(#REF!,'SegEnds_NonXtal_Prot#'!#REF!,28,FALSE)-VLOOKUP(#REF!,'SegEnds_NonXtal_Prot#'!#REF!,25,FALSE)</f>
        <v>#REF!</v>
      </c>
      <c r="AH126" s="1">
        <f>VLOOKUP(A126,'SegEnds_NonXtal_Prot#'!A:AL,28,FALSE)-VLOOKUP(A126,'SegEnds_NonXtal_Prot#'!A:AL,25,FALSE)</f>
        <v>25</v>
      </c>
      <c r="AI126" s="1">
        <f>VLOOKUP(A126,'SegEnds_NonXtal_Prot#'!A:AL,28,FALSE)-VLOOKUP(A126,'SegEnds_NonXtal_Prot#'!A:AL,22,FALSE)</f>
        <v>52</v>
      </c>
      <c r="AJ126" s="1">
        <f>VLOOKUP(A126,'SegEnds_NonXtal_Prot#'!A:AL,31,FALSE)-VLOOKUP(A126,'SegEnds_NonXtal_Prot#'!A:AL,28,FALSE)</f>
        <v>50</v>
      </c>
      <c r="AK126" s="1">
        <f>VLOOKUP(A126,'SegEnds_NonXtal_Prot#'!A:AL,34,FALSE)-VLOOKUP(A126,'SegEnds_NonXtal_Prot#'!A:AL,31,FALSE)</f>
        <v>38</v>
      </c>
      <c r="AL126" s="1">
        <f>VLOOKUP(A126,'SegEnds_NonXtal_Prot#'!A:AL,37,FALSE)-VLOOKUP(A126,'SegEnds_NonXtal_Prot#'!A:AL,34,FALSE)</f>
        <v>10</v>
      </c>
      <c r="AM126" s="1" t="str">
        <f>IF(ISERROR(MATCH(A126,'SegEnds_Xtal_Prot#'!B:B, 0)), "NoXtal", "Xtal")</f>
        <v>NoXtal</v>
      </c>
    </row>
    <row r="127" spans="1:39" x14ac:dyDescent="0.2">
      <c r="A127" s="1" t="s">
        <v>205</v>
      </c>
      <c r="B127" s="1" t="str">
        <f>VLOOKUP(A127,Xtal_Templ!A:B,2,FALSE)</f>
        <v>oprk_human</v>
      </c>
      <c r="C127" s="5">
        <f>VLOOKUP($B127&amp;"__wt",'SegEnds_Xtal_BW#'!$A:$Z,3,FALSE)</f>
        <v>30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INDEX(ICL3_classA!$G$2:$G$41,MATCH(MIN(ABS(AJ127-ICL3_classA!$F$2:$F$41)),ABS(AJ127-ICL3_classA!$F$2:$F$41),0))</f>
        <v>72</v>
      </c>
      <c r="U127" s="1">
        <f t="array" ref="U127">INDEX(ICL3_classA!$H$2:$H$41,MATCH(MIN(ABS(AJ127-ICL3_classA!$F$2:$F$41)),ABS(AJ127-ICL3_classA!$F$2:$F$41),0))</f>
        <v>23</v>
      </c>
      <c r="V127" s="1">
        <v>61</v>
      </c>
      <c r="W127" s="128">
        <f>VLOOKUP($B127&amp;"__wt",'SegEnds_Xtal_BW#'!$A:$Z,23,FALSE)</f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 t="e">
        <f>VLOOKUP(#REF!,'SegEnds_NonXtal_Prot#'!#REF!,28,FALSE)-VLOOKUP(#REF!,'SegEnds_NonXtal_Prot#'!#REF!,25,FALSE)</f>
        <v>#REF!</v>
      </c>
      <c r="AH127" s="1">
        <f>VLOOKUP(A127,'SegEnds_NonXtal_Prot#'!A:AL,28,FALSE)-VLOOKUP(A127,'SegEnds_NonXtal_Prot#'!A:AL,25,FALSE)</f>
        <v>24</v>
      </c>
      <c r="AI127" s="1">
        <f>VLOOKUP(A127,'SegEnds_NonXtal_Prot#'!A:AL,28,FALSE)-VLOOKUP(A127,'SegEnds_NonXtal_Prot#'!A:AL,22,FALSE)</f>
        <v>49</v>
      </c>
      <c r="AJ127" s="1">
        <f>VLOOKUP(A127,'SegEnds_NonXtal_Prot#'!A:AL,31,FALSE)-VLOOKUP(A127,'SegEnds_NonXtal_Prot#'!A:AL,28,FALSE)</f>
        <v>52</v>
      </c>
      <c r="AK127" s="1">
        <f>VLOOKUP(A127,'SegEnds_NonXtal_Prot#'!A:AL,34,FALSE)-VLOOKUP(A127,'SegEnds_NonXtal_Prot#'!A:AL,31,FALSE)</f>
        <v>38</v>
      </c>
      <c r="AL127" s="1">
        <f>VLOOKUP(A127,'SegEnds_NonXtal_Prot#'!A:AL,37,FALSE)-VLOOKUP(A127,'SegEnds_NonXtal_Prot#'!A:AL,34,FALSE)</f>
        <v>10</v>
      </c>
      <c r="AM127" s="1" t="str">
        <f>IF(ISERROR(MATCH(A127,'SegEnds_Xtal_Prot#'!B:B, 0)), "NoXtal", "Xtal")</f>
        <v>NoXtal</v>
      </c>
    </row>
    <row r="128" spans="1:39" x14ac:dyDescent="0.2">
      <c r="A128" s="1" t="s">
        <v>206</v>
      </c>
      <c r="B128" s="1" t="str">
        <f>VLOOKUP(A128,Xtal_Templ!A:B,2,FALSE)</f>
        <v>oprk_human</v>
      </c>
      <c r="C128" s="5">
        <f>VLOOKUP($B128&amp;"__wt",'SegEnds_Xtal_BW#'!$A:$Z,3,FALSE)</f>
        <v>30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30</v>
      </c>
      <c r="T128" s="1">
        <f t="array" ref="T128">INDEX(ICL3_classA!$G$2:$G$41,MATCH(MIN(ABS(AJ128-ICL3_classA!$F$2:$F$41)),ABS(AJ128-ICL3_classA!$F$2:$F$41),0))</f>
        <v>72</v>
      </c>
      <c r="U128" s="1">
        <f t="array" ref="U128">INDEX(ICL3_classA!$H$2:$H$41,MATCH(MIN(ABS(AJ128-ICL3_classA!$F$2:$F$41)),ABS(AJ128-ICL3_classA!$F$2:$F$41),0))</f>
        <v>24</v>
      </c>
      <c r="V128" s="1">
        <v>61</v>
      </c>
      <c r="W128" s="128">
        <f>VLOOKUP($B128&amp;"__wt",'SegEnds_Xtal_BW#'!$A:$Z,23,FALSE)</f>
        <v>28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59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33</v>
      </c>
      <c r="AC128" s="1">
        <f>VLOOKUP(A128,'SegEnds_NonXtal_Prot#'!A:AL,10,FALSE)-VLOOKUP(A128,'SegEnds_NonXtal_Prot#'!A:AL,7,FALSE)</f>
        <v>19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 t="e">
        <f>VLOOKUP(#REF!,'SegEnds_NonXtal_Prot#'!#REF!,28,FALSE)-VLOOKUP(#REF!,'SegEnds_NonXtal_Prot#'!#REF!,25,FALSE)</f>
        <v>#REF!</v>
      </c>
      <c r="AH128" s="1">
        <f>VLOOKUP(A128,'SegEnds_NonXtal_Prot#'!A:AL,28,FALSE)-VLOOKUP(A128,'SegEnds_NonXtal_Prot#'!A:AL,25,FALSE)</f>
        <v>24</v>
      </c>
      <c r="AI128" s="1">
        <f>VLOOKUP(A128,'SegEnds_NonXtal_Prot#'!A:AL,28,FALSE)-VLOOKUP(A128,'SegEnds_NonXtal_Prot#'!A:AL,22,FALSE)</f>
        <v>49</v>
      </c>
      <c r="AJ128" s="1">
        <f>VLOOKUP(A128,'SegEnds_NonXtal_Prot#'!A:AL,31,FALSE)-VLOOKUP(A128,'SegEnds_NonXtal_Prot#'!A:AL,28,FALSE)</f>
        <v>54</v>
      </c>
      <c r="AK128" s="1">
        <f>VLOOKUP(A128,'SegEnds_NonXtal_Prot#'!A:AL,34,FALSE)-VLOOKUP(A128,'SegEnds_NonXtal_Prot#'!A:AL,31,FALSE)</f>
        <v>38</v>
      </c>
      <c r="AL128" s="1">
        <f>VLOOKUP(A128,'SegEnds_NonXtal_Prot#'!A:AL,37,FALSE)-VLOOKUP(A128,'SegEnds_NonXtal_Prot#'!A:AL,34,FALSE)</f>
        <v>10</v>
      </c>
      <c r="AM128" s="1" t="str">
        <f>IF(ISERROR(MATCH(A128,'SegEnds_Xtal_Prot#'!B:B, 0)), "NoXtal", "Xtal")</f>
        <v>NoXtal</v>
      </c>
    </row>
    <row r="129" spans="1:39" x14ac:dyDescent="0.2">
      <c r="A129" s="1" t="s">
        <v>209</v>
      </c>
      <c r="B129" s="1" t="str">
        <f>VLOOKUP(A129,Xtal_Templ!A:B,2,FALSE)</f>
        <v>oxyr_human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21</v>
      </c>
      <c r="L129" s="1">
        <f>VLOOKUP($B129&amp;"__wt",'SegEnds_Xtal_BW#'!$A:$Z,12,FALSE)</f>
        <v>56</v>
      </c>
      <c r="M129" s="1" t="str">
        <f>VLOOKUP($B129&amp;"__wt",'SegEnds_Xtal_BW#'!$A:$Z,13,FALSE)</f>
        <v>-</v>
      </c>
      <c r="N129" s="12">
        <v>53</v>
      </c>
      <c r="O129" s="87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33</v>
      </c>
      <c r="T129" s="1">
        <f t="array" ref="T129">INDEX(ICL3_classA!$G$2:$G$41,MATCH(MIN(ABS(AJ129-ICL3_classA!$F$2:$F$41)),ABS(AJ129-ICL3_classA!$F$2:$F$41),0))</f>
        <v>74</v>
      </c>
      <c r="U129" s="1">
        <f t="array" ref="U129">INDEX(ICL3_classA!$H$2:$H$41,MATCH(MIN(ABS(AJ129-ICL3_classA!$F$2:$F$41)),ABS(AJ129-ICL3_classA!$F$2:$F$41),0))</f>
        <v>21</v>
      </c>
      <c r="V129" s="1">
        <v>61</v>
      </c>
      <c r="W129" s="108">
        <v>25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63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34</v>
      </c>
      <c r="AC129" s="1">
        <f>VLOOKUP(A129,'SegEnds_NonXtal_Prot#'!A:AL,10,FALSE)-VLOOKUP(A129,'SegEnds_NonXtal_Prot#'!A:AL,7,FALSE)</f>
        <v>14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18</v>
      </c>
      <c r="AG129" s="1" t="e">
        <f>VLOOKUP(#REF!,'SegEnds_NonXtal_Prot#'!#REF!,28,FALSE)-VLOOKUP(#REF!,'SegEnds_NonXtal_Prot#'!#REF!,25,FALSE)</f>
        <v>#REF!</v>
      </c>
      <c r="AH129" s="1">
        <f>VLOOKUP(A129,'SegEnds_NonXtal_Prot#'!A:AL,28,FALSE)-VLOOKUP(A129,'SegEnds_NonXtal_Prot#'!A:AL,25,FALSE)</f>
        <v>23</v>
      </c>
      <c r="AI129" s="1">
        <f>VLOOKUP(A129,'SegEnds_NonXtal_Prot#'!A:AL,28,FALSE)-VLOOKUP(A129,'SegEnds_NonXtal_Prot#'!A:AL,22,FALSE)</f>
        <v>59</v>
      </c>
      <c r="AJ129" s="1">
        <f>VLOOKUP(A129,'SegEnds_NonXtal_Prot#'!A:AL,31,FALSE)-VLOOKUP(A129,'SegEnds_NonXtal_Prot#'!A:AL,28,FALSE)</f>
        <v>59</v>
      </c>
      <c r="AK129" s="1">
        <f>VLOOKUP(A129,'SegEnds_NonXtal_Prot#'!A:AL,34,FALSE)-VLOOKUP(A129,'SegEnds_NonXtal_Prot#'!A:AL,31,FALSE)</f>
        <v>38</v>
      </c>
      <c r="AL129" s="1" t="e">
        <f>VLOOKUP(A129,'SegEnds_NonXtal_Prot#'!A:AL,37,FALSE)-VLOOKUP(A129,'SegEnds_NonXtal_Prot#'!A:AL,34,FALSE)</f>
        <v>#VALUE!</v>
      </c>
      <c r="AM129" s="1" t="str">
        <f>IF(ISERROR(MATCH(A129,'SegEnds_Xtal_Prot#'!B:B, 0)), "NoXtal", "Xtal")</f>
        <v>NoXtal</v>
      </c>
    </row>
    <row r="130" spans="1:39" x14ac:dyDescent="0.2">
      <c r="A130" s="1" t="s">
        <v>214</v>
      </c>
      <c r="B130" s="1" t="str">
        <f>VLOOKUP(A130,Xtal_Templ!A:B,2,FALSE)</f>
        <v>mtr1a_human</v>
      </c>
      <c r="C130" s="5">
        <f>VLOOKUP($B130&amp;"__wt",'SegEnds_Xtal_BW#'!$A:$Z,3,FALSE)</f>
        <v>28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68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56</v>
      </c>
      <c r="O130" s="87">
        <f>VLOOKUP($B130&amp;"__wt",'SegEnds_Xtal_BW#'!$A:$Z,15,FALSE)</f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35</v>
      </c>
      <c r="T130" s="1">
        <f t="array" ref="T130">INDEX(ICL3_classA!$G$2:$G$41,MATCH(MIN(ABS(AJ130-ICL3_classA!$F$2:$F$41)),ABS(AJ130-ICL3_classA!$F$2:$F$41),0))</f>
        <v>73</v>
      </c>
      <c r="U130" s="1">
        <f t="array" ref="U130">INDEX(ICL3_classA!$H$2:$H$41,MATCH(MIN(ABS(AJ130-ICL3_classA!$F$2:$F$41)),ABS(AJ130-ICL3_classA!$F$2:$F$41),0))</f>
        <v>22</v>
      </c>
      <c r="V130" s="1">
        <v>61</v>
      </c>
      <c r="W130" s="128">
        <f>VLOOKUP($B130&amp;"__wt",'SegEnds_Xtal_BW#'!$A:$Z,23,FALSE)</f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63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28</v>
      </c>
      <c r="AC130" s="1">
        <f>VLOOKUP(A130,'SegEnds_NonXtal_Prot#'!A:AL,10,FALSE)-VLOOKUP(A130,'SegEnds_NonXtal_Prot#'!A:AL,7,FALSE)</f>
        <v>15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60</v>
      </c>
      <c r="AF130" s="1" t="e">
        <f>VLOOKUP(A130,'SegEnds_NonXtal_Prot#'!A:AL,22,FALSE)-VLOOKUP(A130,'SegEnds_NonXtal_Prot#'!A:AL,19,FALSE)</f>
        <v>#VALUE!</v>
      </c>
      <c r="AG130" s="1" t="e">
        <f>VLOOKUP(#REF!,'SegEnds_NonXtal_Prot#'!#REF!,28,FALSE)-VLOOKUP(#REF!,'SegEnds_NonXtal_Prot#'!#REF!,25,FALSE)</f>
        <v>#REF!</v>
      </c>
      <c r="AH130" s="1">
        <f>VLOOKUP(A130,'SegEnds_NonXtal_Prot#'!A:AL,28,FALSE)-VLOOKUP(A130,'SegEnds_NonXtal_Prot#'!A:AL,25,FALSE)</f>
        <v>27</v>
      </c>
      <c r="AI130" s="1">
        <f>VLOOKUP(A130,'SegEnds_NonXtal_Prot#'!A:AL,28,FALSE)-VLOOKUP(A130,'SegEnds_NonXtal_Prot#'!A:AL,22,FALSE)</f>
        <v>55</v>
      </c>
      <c r="AJ130" s="1">
        <f>VLOOKUP(A130,'SegEnds_NonXtal_Prot#'!A:AL,31,FALSE)-VLOOKUP(A130,'SegEnds_NonXtal_Prot#'!A:AL,28,FALSE)</f>
        <v>57</v>
      </c>
      <c r="AK130" s="1">
        <f>VLOOKUP(A130,'SegEnds_NonXtal_Prot#'!A:AL,34,FALSE)-VLOOKUP(A130,'SegEnds_NonXtal_Prot#'!A:AL,31,FALSE)</f>
        <v>38</v>
      </c>
      <c r="AL130" s="1">
        <f>VLOOKUP(A130,'SegEnds_NonXtal_Prot#'!A:AL,37,FALSE)-VLOOKUP(A130,'SegEnds_NonXtal_Prot#'!A:AL,34,FALSE)</f>
        <v>10</v>
      </c>
      <c r="AM130" s="1" t="str">
        <f>IF(ISERROR(MATCH(A130,'SegEnds_Xtal_Prot#'!B:B, 0)), "NoXtal", "Xtal")</f>
        <v>NoXtal</v>
      </c>
    </row>
    <row r="131" spans="1:39" x14ac:dyDescent="0.2">
      <c r="A131" s="1" t="s">
        <v>222</v>
      </c>
      <c r="B131" s="1" t="str">
        <f>VLOOKUP(A131,Xtal_Templ!A:B,2,FALSE)</f>
        <v>agtr2_human</v>
      </c>
      <c r="C131" s="5">
        <f>VLOOKUP($B131&amp;"__wt",'SegEnds_Xtal_BW#'!$A:$Z,3,FALSE)</f>
        <v>33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47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56</v>
      </c>
      <c r="O131" s="87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30</v>
      </c>
      <c r="T131" s="1">
        <f t="array" ref="T131">INDEX(ICL3_classA!$G$2:$G$41,MATCH(MIN(ABS(AJ131-ICL3_classA!$F$2:$F$41)),ABS(AJ131-ICL3_classA!$F$2:$F$41),0))</f>
        <v>68</v>
      </c>
      <c r="U131" s="1">
        <f t="array" ref="U131">INDEX(ICL3_classA!$H$2:$H$41,MATCH(MIN(ABS(AJ131-ICL3_classA!$F$2:$F$41)),ABS(AJ131-ICL3_classA!$F$2:$F$41),0))</f>
        <v>23</v>
      </c>
      <c r="V131" s="1">
        <v>61</v>
      </c>
      <c r="W131" s="108">
        <v>25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30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19</v>
      </c>
      <c r="AG131" s="1" t="e">
        <f>VLOOKUP(#REF!,'SegEnds_NonXtal_Prot#'!#REF!,28,FALSE)-VLOOKUP(#REF!,'SegEnds_NonXtal_Prot#'!#REF!,25,FALSE)</f>
        <v>#REF!</v>
      </c>
      <c r="AH131" s="1">
        <f>VLOOKUP(A131,'SegEnds_NonXtal_Prot#'!A:AL,28,FALSE)-VLOOKUP(A131,'SegEnds_NonXtal_Prot#'!A:AL,25,FALSE)</f>
        <v>27</v>
      </c>
      <c r="AI131" s="1">
        <f>VLOOKUP(A131,'SegEnds_NonXtal_Prot#'!A:AL,28,FALSE)-VLOOKUP(A131,'SegEnds_NonXtal_Prot#'!A:AL,22,FALSE)</f>
        <v>52</v>
      </c>
      <c r="AJ131" s="1">
        <f>VLOOKUP(A131,'SegEnds_NonXtal_Prot#'!A:AL,31,FALSE)-VLOOKUP(A131,'SegEnds_NonXtal_Prot#'!A:AL,28,FALSE)</f>
        <v>51</v>
      </c>
      <c r="AK131" s="1">
        <f>VLOOKUP(A131,'SegEnds_NonXtal_Prot#'!A:AL,34,FALSE)-VLOOKUP(A131,'SegEnds_NonXtal_Prot#'!A:AL,31,FALSE)</f>
        <v>38</v>
      </c>
      <c r="AL131" s="1">
        <f>VLOOKUP(A131,'SegEnds_NonXtal_Prot#'!A:AL,37,FALSE)-VLOOKUP(A131,'SegEnds_NonXtal_Prot#'!A:AL,34,FALSE)</f>
        <v>10</v>
      </c>
      <c r="AM131" s="1" t="str">
        <f>IF(ISERROR(MATCH(A131,'SegEnds_Xtal_Prot#'!B:B, 0)), "NoXtal", "Xtal")</f>
        <v>NoXtal</v>
      </c>
    </row>
    <row r="132" spans="1:39" x14ac:dyDescent="0.2">
      <c r="A132" s="4" t="s">
        <v>234</v>
      </c>
      <c r="B132" s="4" t="str">
        <f>VLOOKUP(A132,Xtal_Templ!A:B,2,FALSE)</f>
        <v>gpbar_human</v>
      </c>
      <c r="C132" s="5">
        <f>VLOOKUP($B132&amp;"__wt",'SegEnds_Xtal_BW#'!$A:$Z,3,FALSE)</f>
        <v>32</v>
      </c>
      <c r="D132" s="4">
        <f>VLOOKUP($B132&amp;"__wt",'SegEnds_Xtal_BW#'!$A:$Z,4,FALSE)</f>
        <v>60</v>
      </c>
      <c r="E132" s="4">
        <f>VLOOKUP($B132&amp;"__wt",'SegEnds_Xtal_BW#'!$A:$Z,5,FALSE)</f>
        <v>48</v>
      </c>
      <c r="F132" s="4">
        <f>VLOOKUP($B132&amp;"__wt",'SegEnds_Xtal_BW#'!$A:$Z,6,FALSE)</f>
        <v>51</v>
      </c>
      <c r="G132" s="4">
        <v>37</v>
      </c>
      <c r="H132" s="115">
        <v>63</v>
      </c>
      <c r="I132" s="4">
        <v>48</v>
      </c>
      <c r="J132" s="4">
        <v>52</v>
      </c>
      <c r="K132" s="115">
        <v>21</v>
      </c>
      <c r="L132" s="4">
        <f>VLOOKUP($B132&amp;"__wt",'SegEnds_Xtal_BW#'!$A:$Z,12,FALSE)</f>
        <v>56</v>
      </c>
      <c r="M132" s="4" t="str">
        <f>VLOOKUP($B132&amp;"__wt",'SegEnds_Xtal_BW#'!$A:$Z,13,FALSE)</f>
        <v>-</v>
      </c>
      <c r="N132" s="11" t="str">
        <f>VLOOKUP($B132&amp;"__wt",'SegEnds_Xtal_BW#'!$A:$Z,14,FALSE)</f>
        <v>-</v>
      </c>
      <c r="O132" s="115">
        <v>41</v>
      </c>
      <c r="P132" s="4">
        <f>VLOOKUP($B132&amp;"__wt",'SegEnds_Xtal_BW#'!$A:$Z,16,FALSE)</f>
        <v>63</v>
      </c>
      <c r="Q132" s="115">
        <v>50</v>
      </c>
      <c r="R132" s="115">
        <v>52</v>
      </c>
      <c r="S132" s="115">
        <v>36</v>
      </c>
      <c r="T132" s="4">
        <f t="array" ref="T132">INDEX(ICL3_classA!$G$2:$G$41,MATCH(MIN(ABS(AJ132-ICL3_classA!$F$2:$F$41)),ABS(AJ132-ICL3_classA!$F$2:$F$41),0))</f>
        <v>81</v>
      </c>
      <c r="U132" s="4">
        <f t="array" ref="U132">INDEX(ICL3_classA!$H$2:$H$41,MATCH(MIN(ABS(AJ132-ICL3_classA!$F$2:$F$41)),ABS(AJ132-ICL3_classA!$F$2:$F$41),0))</f>
        <v>23</v>
      </c>
      <c r="V132" s="115">
        <v>64</v>
      </c>
      <c r="W132" s="128">
        <f>VLOOKUP($B132&amp;"__wt",'SegEnds_Xtal_BW#'!$A:$Z,23,FALSE)</f>
        <v>31</v>
      </c>
      <c r="X132" s="4">
        <f>VLOOKUP($B132&amp;"__wt",'SegEnds_Xtal_BW#'!$A:$Z,24,FALSE)</f>
        <v>56</v>
      </c>
      <c r="Y132" s="4">
        <f>VLOOKUP($B132&amp;"__wt",'SegEnds_Xtal_BW#'!$A:$Z,25,FALSE)</f>
        <v>47</v>
      </c>
      <c r="Z132" s="4">
        <f>VLOOKUP($B132&amp;"__wt",'SegEnds_Xtal_BW#'!$A:$Z,26,FALSE)</f>
        <v>59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29</v>
      </c>
      <c r="AC132" s="4">
        <f>VLOOKUP(A132,'SegEnds_NonXtal_Prot#'!A:AL,10,FALSE)-VLOOKUP(A132,'SegEnds_NonXtal_Prot#'!A:AL,7,FALSE)</f>
        <v>16</v>
      </c>
      <c r="AD132" s="4" t="e">
        <f>VLOOKUP(A132,'SegEnds_NonXtal_Prot#'!A:AL,13,FALSE)-VLOOKUP(A132,'SegEnds_NonXtal_Prot#'!A:AL,10,FALSE)</f>
        <v>#VALUE!</v>
      </c>
      <c r="AE132" s="4">
        <f>VLOOKUP(A132,'SegEnds_NonXtal_Prot#'!A:AL,16,FALSE)-VLOOKUP(A132,'SegEnds_NonXtal_Prot#'!A:AL,10,FALSE)</f>
        <v>49</v>
      </c>
      <c r="AF132" s="1" t="e">
        <f>VLOOKUP(A132,'SegEnds_NonXtal_Prot#'!A:AL,22,FALSE)-VLOOKUP(A132,'SegEnds_NonXtal_Prot#'!A:AL,19,FALSE)</f>
        <v>#VALUE!</v>
      </c>
      <c r="AG132" s="4" t="e">
        <f>VLOOKUP(#REF!,'SegEnds_NonXtal_Prot#'!#REF!,28,FALSE)-VLOOKUP(#REF!,'SegEnds_NonXtal_Prot#'!#REF!,25,FALSE)</f>
        <v>#REF!</v>
      </c>
      <c r="AH132" s="4">
        <f>VLOOKUP(A132,'SegEnds_NonXtal_Prot#'!A:AL,28,FALSE)-VLOOKUP(A132,'SegEnds_NonXtal_Prot#'!A:AL,25,FALSE)</f>
        <v>21</v>
      </c>
      <c r="AI132" s="1">
        <f>VLOOKUP(A132,'SegEnds_NonXtal_Prot#'!A:AL,28,FALSE)-VLOOKUP(A132,'SegEnds_NonXtal_Prot#'!A:AL,22,FALSE)</f>
        <v>44</v>
      </c>
      <c r="AJ132" s="4">
        <f>VLOOKUP(A132,'SegEnds_NonXtal_Prot#'!A:AL,31,FALSE)-VLOOKUP(A132,'SegEnds_NonXtal_Prot#'!A:AL,28,FALSE)</f>
        <v>63</v>
      </c>
      <c r="AK132" s="4">
        <f>VLOOKUP(A132,'SegEnds_NonXtal_Prot#'!A:AL,34,FALSE)-VLOOKUP(A132,'SegEnds_NonXtal_Prot#'!A:AL,31,FALSE)</f>
        <v>38</v>
      </c>
      <c r="AL132" s="1">
        <f>VLOOKUP(A132,'SegEnds_NonXtal_Prot#'!A:AL,37,FALSE)-VLOOKUP(A132,'SegEnds_NonXtal_Prot#'!A:AL,34,FALSE)</f>
        <v>10</v>
      </c>
      <c r="AM132" s="1" t="str">
        <f>IF(ISERROR(MATCH(A132,'SegEnds_Xtal_Prot#'!B:B, 0)), "NoXtal", "Xtal")</f>
        <v>Xtal</v>
      </c>
    </row>
    <row r="133" spans="1:39" x14ac:dyDescent="0.2">
      <c r="A133" s="1" t="s">
        <v>242</v>
      </c>
      <c r="B133" s="1" t="str">
        <f>VLOOKUP(A133,Xtal_Templ!A:B,2,FALSE)</f>
        <v>par2_human</v>
      </c>
      <c r="C133" s="5">
        <f>VLOOKUP($B133&amp;"__wt",'SegEnds_Xtal_BW#'!$A:$Z,3,FALSE)</f>
        <v>28</v>
      </c>
      <c r="D133" s="1">
        <f>VLOOKUP($B133&amp;"__wt",'SegEnds_Xtal_BW#'!$A:$Z,4,FALSE)</f>
        <v>60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08">
        <v>63</v>
      </c>
      <c r="I133" s="1">
        <f>VLOOKUP($B133&amp;"__wt",'SegEnds_Xtal_BW#'!$A:$Z,9,FALSE)</f>
        <v>47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62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08">
        <v>38</v>
      </c>
      <c r="T133" s="1">
        <f t="array" ref="T133">INDEX(ICL3_classA!$G$2:$G$41,MATCH(MIN(ABS(AJ133-ICL3_classA!$F$2:$F$41)),ABS(AJ133-ICL3_classA!$F$2:$F$41),0))</f>
        <v>68</v>
      </c>
      <c r="U133" s="1">
        <f t="array" ref="U133">INDEX(ICL3_classA!$H$2:$H$41,MATCH(MIN(ABS(AJ133-ICL3_classA!$F$2:$F$41)),ABS(AJ133-ICL3_classA!$F$2:$F$41),0))</f>
        <v>24</v>
      </c>
      <c r="V133" s="1">
        <v>61</v>
      </c>
      <c r="W133" s="128">
        <f>VLOOKUP($B133&amp;"__wt",'SegEnds_Xtal_BW#'!$A:$Z,23,FALSE)</f>
        <v>31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49</v>
      </c>
      <c r="AF133" s="1">
        <f>VLOOKUP(A133,'SegEnds_NonXtal_Prot#'!A:AL,22,FALSE)-VLOOKUP(A133,'SegEnds_NonXtal_Prot#'!A:AL,19,FALSE)</f>
        <v>20</v>
      </c>
      <c r="AG133" s="1" t="e">
        <f>VLOOKUP(#REF!,'SegEnds_NonXtal_Prot#'!#REF!,28,FALSE)-VLOOKUP(#REF!,'SegEnds_NonXtal_Prot#'!#REF!,25,FALSE)</f>
        <v>#REF!</v>
      </c>
      <c r="AH133" s="1" t="e">
        <f>VLOOKUP(A133,'SegEnds_NonXtal_Prot#'!A:AL,28,FALSE)-VLOOKUP(A133,'SegEnds_NonXtal_Prot#'!A:AL,25,FALSE)</f>
        <v>#VALUE!</v>
      </c>
      <c r="AI133" s="1">
        <f>VLOOKUP(A133,'SegEnds_NonXtal_Prot#'!A:AL,28,FALSE)-VLOOKUP(A133,'SegEnds_NonXtal_Prot#'!A:AL,22,FALSE)</f>
        <v>33</v>
      </c>
      <c r="AJ133" s="1">
        <f>VLOOKUP(A133,'SegEnds_NonXtal_Prot#'!A:AL,31,FALSE)-VLOOKUP(A133,'SegEnds_NonXtal_Prot#'!A:AL,28,FALSE)</f>
        <v>48</v>
      </c>
      <c r="AK133" s="1">
        <f>VLOOKUP(A133,'SegEnds_NonXtal_Prot#'!A:AL,34,FALSE)-VLOOKUP(A133,'SegEnds_NonXtal_Prot#'!A:AL,31,FALSE)</f>
        <v>38</v>
      </c>
      <c r="AL133" s="1">
        <f>VLOOKUP(A133,'SegEnds_NonXtal_Prot#'!A:AL,37,FALSE)-VLOOKUP(A133,'SegEnds_NonXtal_Prot#'!A:AL,34,FALSE)</f>
        <v>10</v>
      </c>
      <c r="AM133" s="1" t="str">
        <f>IF(ISERROR(MATCH(A133,'SegEnds_Xtal_Prot#'!B:B, 0)), "NoXtal", "Xtal")</f>
        <v>NoXtal</v>
      </c>
    </row>
    <row r="134" spans="1:39" x14ac:dyDescent="0.2">
      <c r="A134" s="1" t="s">
        <v>304</v>
      </c>
      <c r="B134" s="1" t="str">
        <f>VLOOKUP(A134,Xtal_Templ!A:B,2,FALSE)</f>
        <v>agtr1_human</v>
      </c>
      <c r="C134" s="5">
        <f>VLOOKUP($B134&amp;"__wt",'SegEnds_Xtal_BW#'!$A:$Z,3,FALSE)</f>
        <v>28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24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34</v>
      </c>
      <c r="T134" s="1">
        <f t="array" ref="T134">INDEX(ICL3_classA!$G$2:$G$41,MATCH(MIN(ABS(AJ134-ICL3_classA!$F$2:$F$41)),ABS(AJ134-ICL3_classA!$F$2:$F$41),0))</f>
        <v>68</v>
      </c>
      <c r="U134" s="1">
        <f t="array" ref="U134">INDEX(ICL3_classA!$H$2:$H$41,MATCH(MIN(ABS(AJ134-ICL3_classA!$F$2:$F$41)),ABS(AJ134-ICL3_classA!$F$2:$F$41),0))</f>
        <v>30</v>
      </c>
      <c r="V134" s="1">
        <v>61</v>
      </c>
      <c r="W134" s="108">
        <v>25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61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27</v>
      </c>
      <c r="AC134" s="1" t="e">
        <f>VLOOKUP(A134,'SegEnds_NonXtal_Prot#'!A:AL,10,FALSE)-VLOOKUP(A134,'SegEnds_NonXtal_Prot#'!A:AL,7,FALSE)</f>
        <v>#VALUE!</v>
      </c>
      <c r="AD134" s="1" t="e">
        <f>VLOOKUP(A134,'SegEnds_NonXtal_Prot#'!A:AL,13,FALSE)-VLOOKUP(A134,'SegEnds_NonXtal_Prot#'!A:AL,10,FALSE)</f>
        <v>#VALUE!</v>
      </c>
      <c r="AE134" s="1">
        <f>VLOOKUP(A134,'SegEnds_NonXtal_Prot#'!A:AL,16,FALSE)-VLOOKUP(A134,'SegEnds_NonXtal_Prot#'!A:AL,10,FALSE)</f>
        <v>48</v>
      </c>
      <c r="AF134" s="1">
        <f>VLOOKUP(A134,'SegEnds_NonXtal_Prot#'!A:AL,22,FALSE)-VLOOKUP(A134,'SegEnds_NonXtal_Prot#'!A:AL,19,FALSE)</f>
        <v>20</v>
      </c>
      <c r="AG134" s="1" t="e">
        <f>VLOOKUP(#REF!,'SegEnds_NonXtal_Prot#'!#REF!,28,FALSE)-VLOOKUP(#REF!,'SegEnds_NonXtal_Prot#'!#REF!,25,FALSE)</f>
        <v>#REF!</v>
      </c>
      <c r="AH134" s="1" t="e">
        <f>VLOOKUP(A134,'SegEnds_NonXtal_Prot#'!A:AL,28,FALSE)-VLOOKUP(A134,'SegEnds_NonXtal_Prot#'!A:AL,25,FALSE)</f>
        <v>#VALUE!</v>
      </c>
      <c r="AI134" s="1">
        <f>VLOOKUP(A134,'SegEnds_NonXtal_Prot#'!A:AL,28,FALSE)-VLOOKUP(A134,'SegEnds_NonXtal_Prot#'!A:AL,22,FALSE)</f>
        <v>42</v>
      </c>
      <c r="AJ134" s="1">
        <f>VLOOKUP(A134,'SegEnds_NonXtal_Prot#'!A:AL,31,FALSE)-VLOOKUP(A134,'SegEnds_NonXtal_Prot#'!A:AL,28,FALSE)</f>
        <v>42</v>
      </c>
      <c r="AK134" s="1">
        <f>VLOOKUP(A134,'SegEnds_NonXtal_Prot#'!A:AL,34,FALSE)-VLOOKUP(A134,'SegEnds_NonXtal_Prot#'!A:AL,31,FALSE)</f>
        <v>38</v>
      </c>
      <c r="AL134" s="1">
        <f>VLOOKUP(A134,'SegEnds_NonXtal_Prot#'!A:AL,37,FALSE)-VLOOKUP(A134,'SegEnds_NonXtal_Prot#'!A:AL,34,FALSE)</f>
        <v>10</v>
      </c>
      <c r="AM134" s="1" t="str">
        <f>IF(ISERROR(MATCH(A134,'SegEnds_Xtal_Prot#'!B:B, 0)), "NoXtal", "Xtal")</f>
        <v>NoXtal</v>
      </c>
    </row>
    <row r="135" spans="1:39" x14ac:dyDescent="0.2">
      <c r="A135" s="1" t="s">
        <v>305</v>
      </c>
      <c r="B135" s="1" t="str">
        <f>VLOOKUP(A135,Xtal_Templ!A:B,2,FALSE)</f>
        <v>c5ar1_human</v>
      </c>
      <c r="C135" s="5">
        <f>VLOOKUP($B135&amp;"__wt",'SegEnds_Xtal_BW#'!$A:$Z,3,FALSE)</f>
        <v>29</v>
      </c>
      <c r="D135" s="1">
        <f>VLOOKUP($B135&amp;"__wt",'SegEnds_Xtal_BW#'!$A:$Z,4,FALSE)</f>
        <v>60</v>
      </c>
      <c r="E135" s="1" t="str">
        <f>VLOOKUP($B135&amp;"__wt",'SegEnds_Xtal_BW#'!$A:$Z,5,FALSE)</f>
        <v>-</v>
      </c>
      <c r="F135" s="1" t="str">
        <f>VLOOKUP($B135&amp;"__wt",'SegEnds_Xtal_BW#'!$A:$Z,6,FALSE)</f>
        <v>-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INDEX(ICL3_classA!$G$2:$G$41,MATCH(MIN(ABS(AJ135-ICL3_classA!$F$2:$F$41)),ABS(AJ135-ICL3_classA!$F$2:$F$41),0))</f>
        <v>68</v>
      </c>
      <c r="U135" s="1">
        <f t="array" ref="U135">INDEX(ICL3_classA!$H$2:$H$41,MATCH(MIN(ABS(AJ135-ICL3_classA!$F$2:$F$41)),ABS(AJ135-ICL3_classA!$F$2:$F$41),0))</f>
        <v>30</v>
      </c>
      <c r="V135" s="1">
        <v>61</v>
      </c>
      <c r="W135" s="128">
        <f>VLOOKUP($B135&amp;"__wt",'SegEnds_Xtal_BW#'!$A:$Z,23,FALSE)</f>
        <v>25</v>
      </c>
      <c r="X135" s="108">
        <v>56</v>
      </c>
      <c r="Y135" s="1">
        <f>VLOOKUP($B135&amp;"__wt",'SegEnds_Xtal_BW#'!$A:$Z,25,FALSE)</f>
        <v>47</v>
      </c>
      <c r="Z135" s="1">
        <f>VLOOKUP($B135&amp;"__wt",'SegEnds_Xtal_BW#'!$A:$Z,26,FALSE)</f>
        <v>56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27</v>
      </c>
      <c r="AC135" s="1" t="e">
        <f>VLOOKUP(A135,'SegEnds_NonXtal_Prot#'!A:AL,10,FALSE)-VLOOKUP(A135,'SegEnds_NonXtal_Prot#'!A:AL,7,FALSE)</f>
        <v>#VALUE!</v>
      </c>
      <c r="AD135" s="1" t="e">
        <f>VLOOKUP(A135,'SegEnds_NonXtal_Prot#'!A:AL,13,FALSE)-VLOOKUP(A135,'SegEnds_NonXtal_Prot#'!A:AL,10,FALSE)</f>
        <v>#VALUE!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 t="e">
        <f>VLOOKUP(#REF!,'SegEnds_NonXtal_Prot#'!#REF!,28,FALSE)-VLOOKUP(#REF!,'SegEnds_NonXtal_Prot#'!#REF!,25,FALSE)</f>
        <v>#REF!</v>
      </c>
      <c r="AH135" s="1" t="e">
        <f>VLOOKUP(A135,'SegEnds_NonXtal_Prot#'!A:AL,28,FALSE)-VLOOKUP(A135,'SegEnds_NonXtal_Prot#'!A:AL,25,FALSE)</f>
        <v>#VALUE!</v>
      </c>
      <c r="AI135" s="1">
        <f>VLOOKUP(A135,'SegEnds_NonXtal_Prot#'!A:AL,28,FALSE)-VLOOKUP(A135,'SegEnds_NonXtal_Prot#'!A:AL,22,FALSE)</f>
        <v>42</v>
      </c>
      <c r="AJ135" s="1">
        <f>VLOOKUP(A135,'SegEnds_NonXtal_Prot#'!A:AL,31,FALSE)-VLOOKUP(A135,'SegEnds_NonXtal_Prot#'!A:AL,28,FALSE)</f>
        <v>42</v>
      </c>
      <c r="AK135" s="1">
        <f>VLOOKUP(A135,'SegEnds_NonXtal_Prot#'!A:AL,34,FALSE)-VLOOKUP(A135,'SegEnds_NonXtal_Prot#'!A:AL,31,FALSE)</f>
        <v>38</v>
      </c>
      <c r="AL135" s="1">
        <f>VLOOKUP(A135,'SegEnds_NonXtal_Prot#'!A:AL,37,FALSE)-VLOOKUP(A135,'SegEnds_NonXtal_Prot#'!A:AL,34,FALSE)</f>
        <v>10</v>
      </c>
      <c r="AM135" s="1" t="str">
        <f>IF(ISERROR(MATCH(A135,'SegEnds_Xtal_Prot#'!B:B, 0)), "NoXtal", "Xtal")</f>
        <v>NoXtal</v>
      </c>
    </row>
    <row r="136" spans="1:39" x14ac:dyDescent="0.2">
      <c r="A136" s="1" t="s">
        <v>306</v>
      </c>
      <c r="B136" s="1" t="str">
        <f>VLOOKUP(A136,Xtal_Templ!A:B,2,FALSE)</f>
        <v>pd2r2_human</v>
      </c>
      <c r="C136" s="5">
        <f>VLOOKUP($B136&amp;"__wt",'SegEnds_Xtal_BW#'!$A:$Z,3,FALSE)</f>
        <v>32</v>
      </c>
      <c r="D136" s="1">
        <f>VLOOKUP($B136&amp;"__wt",'SegEnds_Xtal_BW#'!$A:$Z,4,FALSE)</f>
        <v>60</v>
      </c>
      <c r="E136" s="1" t="str">
        <f>VLOOKUP($B136&amp;"__wt",'SegEnds_Xtal_BW#'!$A:$Z,5,FALSE)</f>
        <v>-</v>
      </c>
      <c r="F136" s="1" t="str">
        <f>VLOOKUP($B136&amp;"__wt",'SegEnds_Xtal_BW#'!$A:$Z,6,FALSE)</f>
        <v>-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24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26</v>
      </c>
      <c r="T136" s="1">
        <f t="array" ref="T136">INDEX(ICL3_classA!$G$2:$G$41,MATCH(MIN(ABS(AJ136-ICL3_classA!$F$2:$F$41)),ABS(AJ136-ICL3_classA!$F$2:$F$41),0))</f>
        <v>68</v>
      </c>
      <c r="U136" s="1">
        <f t="array" ref="U136">INDEX(ICL3_classA!$H$2:$H$41,MATCH(MIN(ABS(AJ136-ICL3_classA!$F$2:$F$41)),ABS(AJ136-ICL3_classA!$F$2:$F$41),0))</f>
        <v>30</v>
      </c>
      <c r="V136" s="1">
        <v>61</v>
      </c>
      <c r="W136" s="128">
        <f>VLOOKUP($B136&amp;"__wt",'SegEnds_Xtal_BW#'!$A:$Z,23,FALSE)</f>
        <v>27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64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27</v>
      </c>
      <c r="AC136" s="1" t="e">
        <f>VLOOKUP(A136,'SegEnds_NonXtal_Prot#'!A:AL,10,FALSE)-VLOOKUP(A136,'SegEnds_NonXtal_Prot#'!A:AL,7,FALSE)</f>
        <v>#VALUE!</v>
      </c>
      <c r="AD136" s="1" t="e">
        <f>VLOOKUP(A136,'SegEnds_NonXtal_Prot#'!A:AL,13,FALSE)-VLOOKUP(A136,'SegEnds_NonXtal_Prot#'!A:AL,10,FALSE)</f>
        <v>#VALUE!</v>
      </c>
      <c r="AE136" s="1">
        <f>VLOOKUP(A136,'SegEnds_NonXtal_Prot#'!A:AL,16,FALSE)-VLOOKUP(A136,'SegEnds_NonXtal_Prot#'!A:AL,10,FALSE)</f>
        <v>48</v>
      </c>
      <c r="AF136" s="1">
        <f>VLOOKUP(A136,'SegEnds_NonXtal_Prot#'!A:AL,22,FALSE)-VLOOKUP(A136,'SegEnds_NonXtal_Prot#'!A:AL,19,FALSE)</f>
        <v>20</v>
      </c>
      <c r="AG136" s="1" t="e">
        <f>VLOOKUP(#REF!,'SegEnds_NonXtal_Prot#'!#REF!,28,FALSE)-VLOOKUP(#REF!,'SegEnds_NonXtal_Prot#'!#REF!,25,FALSE)</f>
        <v>#REF!</v>
      </c>
      <c r="AH136" s="1" t="e">
        <f>VLOOKUP(A136,'SegEnds_NonXtal_Prot#'!A:AL,28,FALSE)-VLOOKUP(A136,'SegEnds_NonXtal_Prot#'!A:AL,25,FALSE)</f>
        <v>#VALUE!</v>
      </c>
      <c r="AI136" s="1">
        <f>VLOOKUP(A136,'SegEnds_NonXtal_Prot#'!A:AL,28,FALSE)-VLOOKUP(A136,'SegEnds_NonXtal_Prot#'!A:AL,22,FALSE)</f>
        <v>42</v>
      </c>
      <c r="AJ136" s="1">
        <f>VLOOKUP(A136,'SegEnds_NonXtal_Prot#'!A:AL,31,FALSE)-VLOOKUP(A136,'SegEnds_NonXtal_Prot#'!A:AL,28,FALSE)</f>
        <v>42</v>
      </c>
      <c r="AK136" s="1">
        <f>VLOOKUP(A136,'SegEnds_NonXtal_Prot#'!A:AL,34,FALSE)-VLOOKUP(A136,'SegEnds_NonXtal_Prot#'!A:AL,31,FALSE)</f>
        <v>38</v>
      </c>
      <c r="AL136" s="1">
        <f>VLOOKUP(A136,'SegEnds_NonXtal_Prot#'!A:AL,37,FALSE)-VLOOKUP(A136,'SegEnds_NonXtal_Prot#'!A:AL,34,FALSE)</f>
        <v>10</v>
      </c>
      <c r="AM136" s="1" t="str">
        <f>IF(ISERROR(MATCH(A136,'SegEnds_Xtal_Prot#'!B:B, 0)), "NoXtal", "Xtal")</f>
        <v>NoXtal</v>
      </c>
    </row>
    <row r="137" spans="1:39" x14ac:dyDescent="0.2">
      <c r="A137" s="1" t="s">
        <v>307</v>
      </c>
      <c r="B137" s="1" t="str">
        <f>VLOOKUP(A137,Xtal_Templ!A:B,2,FALSE)</f>
        <v>par2_human</v>
      </c>
      <c r="C137" s="5">
        <f>VLOOKUP($B137&amp;"__wt",'SegEnds_Xtal_BW#'!$A:$Z,3,FALSE)</f>
        <v>28</v>
      </c>
      <c r="D137" s="1">
        <f>VLOOKUP($B137&amp;"__wt",'SegEnds_Xtal_BW#'!$A:$Z,4,FALSE)</f>
        <v>60</v>
      </c>
      <c r="E137" s="1" t="str">
        <f>VLOOKUP($B137&amp;"__wt",'SegEnds_Xtal_BW#'!$A:$Z,5,FALSE)</f>
        <v>-</v>
      </c>
      <c r="F137" s="1" t="str">
        <f>VLOOKUP($B137&amp;"__wt",'SegEnds_Xtal_BW#'!$A:$Z,6,FALSE)</f>
        <v>-</v>
      </c>
      <c r="G137" s="1">
        <v>37</v>
      </c>
      <c r="H137" s="12">
        <v>66</v>
      </c>
      <c r="I137" s="1">
        <f>VLOOKUP($B137&amp;"__wt",'SegEnds_Xtal_BW#'!$A:$Z,9,FALSE)</f>
        <v>47</v>
      </c>
      <c r="J137" s="1">
        <f>VLOOKUP($B137&amp;"__wt",'SegEnds_Xtal_BW#'!$A:$Z,10,FALSE)</f>
        <v>52</v>
      </c>
      <c r="K137" s="12">
        <v>24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v>38</v>
      </c>
      <c r="P137" s="1">
        <f>VLOOKUP($B137&amp;"__wt",'SegEnds_Xtal_BW#'!$A:$Z,16,FALSE)</f>
        <v>62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INDEX(ICL3_classA!$G$2:$G$41,MATCH(MIN(ABS(AJ137-ICL3_classA!$F$2:$F$41)),ABS(AJ137-ICL3_classA!$F$2:$F$41),0))</f>
        <v>68</v>
      </c>
      <c r="U137" s="1">
        <f t="array" ref="U137">INDEX(ICL3_classA!$H$2:$H$41,MATCH(MIN(ABS(AJ137-ICL3_classA!$F$2:$F$41)),ABS(AJ137-ICL3_classA!$F$2:$F$41),0))</f>
        <v>30</v>
      </c>
      <c r="V137" s="1">
        <v>61</v>
      </c>
      <c r="W137" s="128">
        <f>VLOOKUP($B137&amp;"__wt",'SegEnds_Xtal_BW#'!$A:$Z,23,FALSE)</f>
        <v>31</v>
      </c>
      <c r="X137" s="108"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27</v>
      </c>
      <c r="AC137" s="1" t="e">
        <f>VLOOKUP(A137,'SegEnds_NonXtal_Prot#'!A:AL,10,FALSE)-VLOOKUP(A137,'SegEnds_NonXtal_Prot#'!A:AL,7,FALSE)</f>
        <v>#VALUE!</v>
      </c>
      <c r="AD137" s="1" t="e">
        <f>VLOOKUP(A137,'SegEnds_NonXtal_Prot#'!A:AL,13,FALSE)-VLOOKUP(A137,'SegEnds_NonXtal_Prot#'!A:AL,10,FALSE)</f>
        <v>#VALUE!</v>
      </c>
      <c r="AE137" s="1">
        <f>VLOOKUP(A137,'SegEnds_NonXtal_Prot#'!A:AL,16,FALSE)-VLOOKUP(A137,'SegEnds_NonXtal_Prot#'!A:AL,10,FALSE)</f>
        <v>48</v>
      </c>
      <c r="AF137" s="1">
        <f>VLOOKUP(A137,'SegEnds_NonXtal_Prot#'!A:AL,22,FALSE)-VLOOKUP(A137,'SegEnds_NonXtal_Prot#'!A:AL,19,FALSE)</f>
        <v>20</v>
      </c>
      <c r="AG137" s="1" t="e">
        <f>VLOOKUP(#REF!,'SegEnds_NonXtal_Prot#'!#REF!,28,FALSE)-VLOOKUP(#REF!,'SegEnds_NonXtal_Prot#'!#REF!,25,FALSE)</f>
        <v>#REF!</v>
      </c>
      <c r="AH137" s="1" t="e">
        <f>VLOOKUP(A137,'SegEnds_NonXtal_Prot#'!A:AL,28,FALSE)-VLOOKUP(A137,'SegEnds_NonXtal_Prot#'!A:AL,25,FALSE)</f>
        <v>#VALUE!</v>
      </c>
      <c r="AI137" s="1">
        <f>VLOOKUP(A137,'SegEnds_NonXtal_Prot#'!A:AL,28,FALSE)-VLOOKUP(A137,'SegEnds_NonXtal_Prot#'!A:AL,22,FALSE)</f>
        <v>42</v>
      </c>
      <c r="AJ137" s="1">
        <f>VLOOKUP(A137,'SegEnds_NonXtal_Prot#'!A:AL,31,FALSE)-VLOOKUP(A137,'SegEnds_NonXtal_Prot#'!A:AL,28,FALSE)</f>
        <v>42</v>
      </c>
      <c r="AK137" s="1">
        <f>VLOOKUP(A137,'SegEnds_NonXtal_Prot#'!A:AL,34,FALSE)-VLOOKUP(A137,'SegEnds_NonXtal_Prot#'!A:AL,31,FALSE)</f>
        <v>38</v>
      </c>
      <c r="AL137" s="1">
        <f>VLOOKUP(A137,'SegEnds_NonXtal_Prot#'!A:AL,37,FALSE)-VLOOKUP(A137,'SegEnds_NonXtal_Prot#'!A:AL,34,FALSE)</f>
        <v>10</v>
      </c>
      <c r="AM137" s="1" t="str">
        <f>IF(ISERROR(MATCH(A137,'SegEnds_Xtal_Prot#'!B:B, 0)), "NoXtal", "Xtal")</f>
        <v>NoXtal</v>
      </c>
    </row>
    <row r="138" spans="1:39" x14ac:dyDescent="0.2">
      <c r="A138" s="1" t="s">
        <v>319</v>
      </c>
      <c r="B138" s="1" t="str">
        <f>VLOOKUP(A138,Xtal_Templ!A:B,2,FALSE)</f>
        <v>oprd_human</v>
      </c>
      <c r="C138" s="5">
        <f>VLOOKUP($B138&amp;"__wt",'SegEnds_Xtal_BW#'!$A:$Z,3,FALSE)</f>
        <v>22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30</v>
      </c>
      <c r="T138" s="1">
        <f t="array" ref="T138">INDEX(ICL3_classA!$G$2:$G$41,MATCH(MIN(ABS(AJ138-ICL3_classA!$F$2:$F$41)),ABS(AJ138-ICL3_classA!$F$2:$F$41),0))</f>
        <v>68</v>
      </c>
      <c r="U138" s="1">
        <f t="array" ref="U138">INDEX(ICL3_classA!$H$2:$H$41,MATCH(MIN(ABS(AJ138-ICL3_classA!$F$2:$F$41)),ABS(AJ138-ICL3_classA!$F$2:$F$41),0))</f>
        <v>23</v>
      </c>
      <c r="V138" s="1">
        <v>61</v>
      </c>
      <c r="W138" s="128">
        <f>VLOOKUP($B138&amp;"__wt",'SegEnds_Xtal_BW#'!$A:$Z,23,FALSE)</f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60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 t="e">
        <f>VLOOKUP(A138,'SegEnds_NonXtal_Prot#'!A:AL,22,FALSE)-VLOOKUP(A138,'SegEnds_NonXtal_Prot#'!A:AL,19,FALSE)</f>
        <v>#VALUE!</v>
      </c>
      <c r="AG138" s="1" t="e">
        <f>VLOOKUP(#REF!,'SegEnds_NonXtal_Prot#'!#REF!,28,FALSE)-VLOOKUP(#REF!,'SegEnds_NonXtal_Prot#'!#REF!,25,FALSE)</f>
        <v>#REF!</v>
      </c>
      <c r="AH138" s="1">
        <f>VLOOKUP(A138,'SegEnds_NonXtal_Prot#'!A:AL,28,FALSE)-VLOOKUP(A138,'SegEnds_NonXtal_Prot#'!A:AL,25,FALSE)</f>
        <v>27</v>
      </c>
      <c r="AI138" s="1">
        <f>VLOOKUP(A138,'SegEnds_NonXtal_Prot#'!A:AL,28,FALSE)-VLOOKUP(A138,'SegEnds_NonXtal_Prot#'!A:AL,22,FALSE)</f>
        <v>52</v>
      </c>
      <c r="AJ138" s="1">
        <f>VLOOKUP(A138,'SegEnds_NonXtal_Prot#'!A:AL,31,FALSE)-VLOOKUP(A138,'SegEnds_NonXtal_Prot#'!A:AL,28,FALSE)</f>
        <v>51</v>
      </c>
      <c r="AK138" s="1">
        <f>VLOOKUP(A138,'SegEnds_NonXtal_Prot#'!A:AL,34,FALSE)-VLOOKUP(A138,'SegEnds_NonXtal_Prot#'!A:AL,31,FALSE)</f>
        <v>38</v>
      </c>
      <c r="AL138" s="1">
        <f>VLOOKUP(A138,'SegEnds_NonXtal_Prot#'!A:AL,37,FALSE)-VLOOKUP(A138,'SegEnds_NonXtal_Prot#'!A:AL,34,FALSE)</f>
        <v>10</v>
      </c>
      <c r="AM138" s="1" t="str">
        <f>IF(ISERROR(MATCH(A138,'SegEnds_Xtal_Prot#'!B:B, 0)), "NoXtal", "Xtal")</f>
        <v>NoXtal</v>
      </c>
    </row>
    <row r="139" spans="1:39" x14ac:dyDescent="0.2">
      <c r="A139" s="1" t="s">
        <v>320</v>
      </c>
      <c r="B139" s="1" t="str">
        <f>VLOOKUP(A139,Xtal_Templ!A:B,2,FALSE)</f>
        <v>oprd_human</v>
      </c>
      <c r="C139" s="5">
        <f>VLOOKUP($B139&amp;"__wt",'SegEnds_Xtal_BW#'!$A:$Z,3,FALSE)</f>
        <v>22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INDEX(ICL3_classA!$G$2:$G$41,MATCH(MIN(ABS(AJ139-ICL3_classA!$F$2:$F$41)),ABS(AJ139-ICL3_classA!$F$2:$F$41),0))</f>
        <v>68</v>
      </c>
      <c r="U139" s="1">
        <f t="array" ref="U139">INDEX(ICL3_classA!$H$2:$H$41,MATCH(MIN(ABS(AJ139-ICL3_classA!$F$2:$F$41)),ABS(AJ139-ICL3_classA!$F$2:$F$41),0))</f>
        <v>23</v>
      </c>
      <c r="V139" s="1">
        <v>61</v>
      </c>
      <c r="W139" s="128">
        <f>VLOOKUP($B139&amp;"__wt",'SegEnds_Xtal_BW#'!$A:$Z,23,FALSE)</f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60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19</v>
      </c>
      <c r="AE139" s="1">
        <f>VLOOKUP(A139,'SegEnds_NonXtal_Prot#'!A:AL,16,FALSE)-VLOOKUP(A139,'SegEnds_NonXtal_Prot#'!A:AL,10,FALSE)</f>
        <v>51</v>
      </c>
      <c r="AF139" s="1" t="e">
        <f>VLOOKUP(A139,'SegEnds_NonXtal_Prot#'!A:AL,22,FALSE)-VLOOKUP(A139,'SegEnds_NonXtal_Prot#'!A:AL,19,FALSE)</f>
        <v>#VALUE!</v>
      </c>
      <c r="AG139" s="1" t="e">
        <f>VLOOKUP(#REF!,'SegEnds_NonXtal_Prot#'!#REF!,28,FALSE)-VLOOKUP(#REF!,'SegEnds_NonXtal_Prot#'!#REF!,25,FALSE)</f>
        <v>#REF!</v>
      </c>
      <c r="AH139" s="1">
        <f>VLOOKUP(A139,'SegEnds_NonXtal_Prot#'!A:AL,28,FALSE)-VLOOKUP(A139,'SegEnds_NonXtal_Prot#'!A:AL,25,FALSE)</f>
        <v>27</v>
      </c>
      <c r="AI139" s="1">
        <f>VLOOKUP(A139,'SegEnds_NonXtal_Prot#'!A:AL,28,FALSE)-VLOOKUP(A139,'SegEnds_NonXtal_Prot#'!A:AL,22,FALSE)</f>
        <v>53</v>
      </c>
      <c r="AJ139" s="1">
        <f>VLOOKUP(A139,'SegEnds_NonXtal_Prot#'!A:AL,31,FALSE)-VLOOKUP(A139,'SegEnds_NonXtal_Prot#'!A:AL,28,FALSE)</f>
        <v>51</v>
      </c>
      <c r="AK139" s="1">
        <f>VLOOKUP(A139,'SegEnds_NonXtal_Prot#'!A:AL,34,FALSE)-VLOOKUP(A139,'SegEnds_NonXtal_Prot#'!A:AL,31,FALSE)</f>
        <v>38</v>
      </c>
      <c r="AL139" s="1">
        <f>VLOOKUP(A139,'SegEnds_NonXtal_Prot#'!A:AL,37,FALSE)-VLOOKUP(A139,'SegEnds_NonXtal_Prot#'!A:AL,34,FALSE)</f>
        <v>10</v>
      </c>
      <c r="AM139" s="1" t="str">
        <f>IF(ISERROR(MATCH(A139,'SegEnds_Xtal_Prot#'!B:B, 0)), "NoXtal", "Xtal")</f>
        <v>NoXtal</v>
      </c>
    </row>
    <row r="140" spans="1:39" x14ac:dyDescent="0.2">
      <c r="A140" s="1" t="s">
        <v>323</v>
      </c>
      <c r="B140" s="1" t="str">
        <f>VLOOKUP(A140,Xtal_Templ!A:B,2,FALSE)</f>
        <v>oxyr_human</v>
      </c>
      <c r="C140" s="5">
        <f>VLOOKUP($B140&amp;"__wt",'SegEnds_Xtal_BW#'!$A:$Z,3,FALSE)</f>
        <v>28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67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 t="str">
        <f>VLOOKUP($B140&amp;"__wt",'SegEnds_Xtal_BW#'!$A:$Z,13,FALSE)</f>
        <v>-</v>
      </c>
      <c r="N140" s="12">
        <v>53</v>
      </c>
      <c r="O140" s="87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33</v>
      </c>
      <c r="T140" s="1">
        <f t="array" ref="T140">INDEX(ICL3_classA!$G$2:$G$41,MATCH(MIN(ABS(AJ140-ICL3_classA!$F$2:$F$41)),ABS(AJ140-ICL3_classA!$F$2:$F$41),0))</f>
        <v>81</v>
      </c>
      <c r="U140" s="1">
        <f t="array" ref="U140">INDEX(ICL3_classA!$H$2:$H$41,MATCH(MIN(ABS(AJ140-ICL3_classA!$F$2:$F$41)),ABS(AJ140-ICL3_classA!$F$2:$F$41),0))</f>
        <v>23</v>
      </c>
      <c r="V140" s="1">
        <v>61</v>
      </c>
      <c r="W140" s="128">
        <f>VLOOKUP($B140&amp;"__wt",'SegEnds_Xtal_BW#'!$A:$Z,23,FALSE)</f>
        <v>30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63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27</v>
      </c>
      <c r="AC140" s="1" t="e">
        <f>VLOOKUP(A140,'SegEnds_NonXtal_Prot#'!A:AL,10,FALSE)-VLOOKUP(A140,'SegEnds_NonXtal_Prot#'!A:AL,7,FALSE)</f>
        <v>#VALUE!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18</v>
      </c>
      <c r="AG140" s="1" t="e">
        <f>VLOOKUP(#REF!,'SegEnds_NonXtal_Prot#'!#REF!,28,FALSE)-VLOOKUP(#REF!,'SegEnds_NonXtal_Prot#'!#REF!,25,FALSE)</f>
        <v>#REF!</v>
      </c>
      <c r="AH140" s="1">
        <f>VLOOKUP(A140,'SegEnds_NonXtal_Prot#'!A:AL,28,FALSE)-VLOOKUP(A140,'SegEnds_NonXtal_Prot#'!A:AL,25,FALSE)</f>
        <v>25</v>
      </c>
      <c r="AI140" s="1">
        <f>VLOOKUP(A140,'SegEnds_NonXtal_Prot#'!A:AL,28,FALSE)-VLOOKUP(A140,'SegEnds_NonXtal_Prot#'!A:AL,22,FALSE)</f>
        <v>51</v>
      </c>
      <c r="AJ140" s="1">
        <f>VLOOKUP(A140,'SegEnds_NonXtal_Prot#'!A:AL,31,FALSE)-VLOOKUP(A140,'SegEnds_NonXtal_Prot#'!A:AL,28,FALSE)</f>
        <v>67</v>
      </c>
      <c r="AK140" s="1">
        <f>VLOOKUP(A140,'SegEnds_NonXtal_Prot#'!A:AL,34,FALSE)-VLOOKUP(A140,'SegEnds_NonXtal_Prot#'!A:AL,31,FALSE)</f>
        <v>38</v>
      </c>
      <c r="AL140" s="1">
        <f>VLOOKUP(A140,'SegEnds_NonXtal_Prot#'!A:AL,37,FALSE)-VLOOKUP(A140,'SegEnds_NonXtal_Prot#'!A:AL,34,FALSE)</f>
        <v>10</v>
      </c>
      <c r="AM140" s="1" t="str">
        <f>IF(ISERROR(MATCH(A140,'SegEnds_Xtal_Prot#'!B:B, 0)), "NoXtal", "Xtal")</f>
        <v>NoXtal</v>
      </c>
    </row>
    <row r="141" spans="1:39" x14ac:dyDescent="0.2">
      <c r="A141" s="1" t="s">
        <v>335</v>
      </c>
      <c r="B141" s="1" t="str">
        <f>VLOOKUP(A141,Xtal_Templ!A:B,2,FALSE)</f>
        <v>oprk_human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08">
        <v>67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f>VLOOKUP($B141&amp;"__wt",'SegEnds_Xtal_BW#'!$A:$Z,11,FALSE)</f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f>VLOOKUP($B141&amp;"__wt",'SegEnds_Xtal_BW#'!$A:$Z,14,FALSE)</f>
        <v>57</v>
      </c>
      <c r="O141" s="87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INDEX(ICL3_classA!$G$2:$G$41,MATCH(MIN(ABS(AJ141-ICL3_classA!$F$2:$F$41)),ABS(AJ141-ICL3_classA!$F$2:$F$41),0))</f>
        <v>68</v>
      </c>
      <c r="U141" s="1">
        <f t="array" ref="U141">INDEX(ICL3_classA!$H$2:$H$41,MATCH(MIN(ABS(AJ141-ICL3_classA!$F$2:$F$41)),ABS(AJ141-ICL3_classA!$F$2:$F$41),0))</f>
        <v>23</v>
      </c>
      <c r="V141" s="1">
        <v>61</v>
      </c>
      <c r="W141" s="128">
        <f>VLOOKUP($B141&amp;"__wt",'SegEnds_Xtal_BW#'!$A:$Z,23,FALSE)</f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19</v>
      </c>
      <c r="AE141" s="1">
        <f>VLOOKUP(A141,'SegEnds_NonXtal_Prot#'!A:AL,16,FALSE)-VLOOKUP(A141,'SegEnds_NonXtal_Prot#'!A:AL,10,FALSE)</f>
        <v>51</v>
      </c>
      <c r="AF141" s="1">
        <f>VLOOKUP(A141,'SegEnds_NonXtal_Prot#'!A:AL,22,FALSE)-VLOOKUP(A141,'SegEnds_NonXtal_Prot#'!A:AL,19,FALSE)</f>
        <v>20</v>
      </c>
      <c r="AG141" s="1" t="e">
        <f>VLOOKUP(#REF!,'SegEnds_NonXtal_Prot#'!#REF!,28,FALSE)-VLOOKUP(#REF!,'SegEnds_NonXtal_Prot#'!#REF!,25,FALSE)</f>
        <v>#REF!</v>
      </c>
      <c r="AH141" s="1">
        <f>VLOOKUP(A141,'SegEnds_NonXtal_Prot#'!A:AL,28,FALSE)-VLOOKUP(A141,'SegEnds_NonXtal_Prot#'!A:AL,25,FALSE)</f>
        <v>28</v>
      </c>
      <c r="AI141" s="1">
        <f>VLOOKUP(A141,'SegEnds_NonXtal_Prot#'!A:AL,28,FALSE)-VLOOKUP(A141,'SegEnds_NonXtal_Prot#'!A:AL,22,FALSE)</f>
        <v>55</v>
      </c>
      <c r="AJ141" s="1">
        <f>VLOOKUP(A141,'SegEnds_NonXtal_Prot#'!A:AL,31,FALSE)-VLOOKUP(A141,'SegEnds_NonXtal_Prot#'!A:AL,28,FALSE)</f>
        <v>51</v>
      </c>
      <c r="AK141" s="1">
        <f>VLOOKUP(A141,'SegEnds_NonXtal_Prot#'!A:AL,34,FALSE)-VLOOKUP(A141,'SegEnds_NonXtal_Prot#'!A:AL,31,FALSE)</f>
        <v>38</v>
      </c>
      <c r="AL141" s="1">
        <f>VLOOKUP(A141,'SegEnds_NonXtal_Prot#'!A:AL,37,FALSE)-VLOOKUP(A141,'SegEnds_NonXtal_Prot#'!A:AL,34,FALSE)</f>
        <v>10</v>
      </c>
      <c r="AM141" s="1" t="str">
        <f>IF(ISERROR(MATCH(A141,'SegEnds_Xtal_Prot#'!B:B, 0)), "NoXtal", "Xtal")</f>
        <v>Xtal</v>
      </c>
    </row>
    <row r="142" spans="1:39" x14ac:dyDescent="0.2">
      <c r="A142" s="1" t="s">
        <v>336</v>
      </c>
      <c r="B142" s="1" t="str">
        <f>VLOOKUP(A142,Xtal_Templ!A:B,2,FALSE)</f>
        <v>oprm_mouse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08"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INDEX(ICL3_classA!$G$2:$G$41,MATCH(MIN(ABS(AJ142-ICL3_classA!$F$2:$F$41)),ABS(AJ142-ICL3_classA!$F$2:$F$41),0))</f>
        <v>68</v>
      </c>
      <c r="U142" s="1">
        <f t="array" ref="U142">INDEX(ICL3_classA!$H$2:$H$41,MATCH(MIN(ABS(AJ142-ICL3_classA!$F$2:$F$41)),ABS(AJ142-ICL3_classA!$F$2:$F$41),0))</f>
        <v>23</v>
      </c>
      <c r="V142" s="1">
        <v>61</v>
      </c>
      <c r="W142" s="128">
        <f>VLOOKUP($B142&amp;"__wt",'SegEnds_Xtal_BW#'!$A:$Z,23,FALSE)</f>
        <v>28</v>
      </c>
      <c r="X142" s="123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19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 t="e">
        <f>VLOOKUP(#REF!,'SegEnds_NonXtal_Prot#'!#REF!,28,FALSE)-VLOOKUP(#REF!,'SegEnds_NonXtal_Prot#'!#REF!,25,FALSE)</f>
        <v>#REF!</v>
      </c>
      <c r="AH142" s="1">
        <f>VLOOKUP(A142,'SegEnds_NonXtal_Prot#'!A:AL,28,FALSE)-VLOOKUP(A142,'SegEnds_NonXtal_Prot#'!A:AL,25,FALSE)</f>
        <v>27</v>
      </c>
      <c r="AI142" s="1">
        <f>VLOOKUP(A142,'SegEnds_NonXtal_Prot#'!A:AL,28,FALSE)-VLOOKUP(A142,'SegEnds_NonXtal_Prot#'!A:AL,22,FALSE)</f>
        <v>52</v>
      </c>
      <c r="AJ142" s="1">
        <f>VLOOKUP(A142,'SegEnds_NonXtal_Prot#'!A:AL,31,FALSE)-VLOOKUP(A142,'SegEnds_NonXtal_Prot#'!A:AL,28,FALSE)</f>
        <v>51</v>
      </c>
      <c r="AK142" s="1">
        <f>VLOOKUP(A142,'SegEnds_NonXtal_Prot#'!A:AL,34,FALSE)-VLOOKUP(A142,'SegEnds_NonXtal_Prot#'!A:AL,31,FALSE)</f>
        <v>38</v>
      </c>
      <c r="AL142" s="1">
        <f>VLOOKUP(A142,'SegEnds_NonXtal_Prot#'!A:AL,37,FALSE)-VLOOKUP(A142,'SegEnds_NonXtal_Prot#'!A:AL,34,FALSE)</f>
        <v>10</v>
      </c>
      <c r="AM142" s="1" t="str">
        <f>IF(ISERROR(MATCH(A142,'SegEnds_Xtal_Prot#'!B:B, 0)), "NoXtal", "Xtal")</f>
        <v>NoXtal</v>
      </c>
    </row>
    <row r="143" spans="1:39" x14ac:dyDescent="0.2">
      <c r="A143" s="1" t="s">
        <v>911</v>
      </c>
      <c r="B143" s="1" t="str">
        <f>VLOOKUP(A143,Xtal_Templ!A:B,2,FALSE)</f>
        <v>oprm_mouse</v>
      </c>
      <c r="C143" s="5">
        <f>VLOOKUP($B143&amp;"__wt",'SegEnds_Xtal_BW#'!$A:$Z,3,FALSE)</f>
        <v>29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08"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f>VLOOKUP($B143&amp;"__wt",'SegEnds_Xtal_BW#'!$A:$Z,11,FALSE)</f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INDEX(ICL3_classA!$G$2:$G$41,MATCH(MIN(ABS(AJ143-ICL3_classA!$F$2:$F$41)),ABS(AJ143-ICL3_classA!$F$2:$F$41),0))</f>
        <v>68</v>
      </c>
      <c r="U143" s="1">
        <f t="array" ref="U143">INDEX(ICL3_classA!$H$2:$H$41,MATCH(MIN(ABS(AJ143-ICL3_classA!$F$2:$F$41)),ABS(AJ143-ICL3_classA!$F$2:$F$41),0))</f>
        <v>23</v>
      </c>
      <c r="V143" s="1">
        <v>61</v>
      </c>
      <c r="W143" s="128">
        <f>VLOOKUP($B143&amp;"__wt",'SegEnds_Xtal_BW#'!$A:$Z,23,FALSE)</f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 t="e">
        <f>VLOOKUP(#REF!,'SegEnds_NonXtal_Prot#'!#REF!,28,FALSE)-VLOOKUP(#REF!,'SegEnds_NonXtal_Prot#'!#REF!,25,FALSE)</f>
        <v>#REF!</v>
      </c>
      <c r="AH143" s="1">
        <f>VLOOKUP(A143,'SegEnds_NonXtal_Prot#'!A:AL,28,FALSE)-VLOOKUP(A143,'SegEnds_NonXtal_Prot#'!A:AL,25,FALSE)</f>
        <v>27</v>
      </c>
      <c r="AI143" s="1">
        <f>VLOOKUP(A143,'SegEnds_NonXtal_Prot#'!A:AL,28,FALSE)-VLOOKUP(A143,'SegEnds_NonXtal_Prot#'!A:AL,22,FALSE)</f>
        <v>52</v>
      </c>
      <c r="AJ143" s="1">
        <f>VLOOKUP(A143,'SegEnds_NonXtal_Prot#'!A:AL,31,FALSE)-VLOOKUP(A143,'SegEnds_NonXtal_Prot#'!A:AL,28,FALSE)</f>
        <v>51</v>
      </c>
      <c r="AK143" s="1">
        <f>VLOOKUP(A143,'SegEnds_NonXtal_Prot#'!A:AL,34,FALSE)-VLOOKUP(A143,'SegEnds_NonXtal_Prot#'!A:AL,31,FALSE)</f>
        <v>38</v>
      </c>
      <c r="AL143" s="1">
        <f>VLOOKUP(A143,'SegEnds_NonXtal_Prot#'!A:AL,37,FALSE)-VLOOKUP(A143,'SegEnds_NonXtal_Prot#'!A:AL,34,FALSE)</f>
        <v>10</v>
      </c>
      <c r="AM143" s="1" t="str">
        <f>IF(ISERROR(MATCH(A143,'SegEnds_Xtal_Prot#'!B:B, 0)), "NoXtal", "Xtal")</f>
        <v>Xtal</v>
      </c>
    </row>
    <row r="144" spans="1:39" x14ac:dyDescent="0.2">
      <c r="A144" s="1" t="s">
        <v>1167</v>
      </c>
      <c r="B144" s="1" t="str">
        <f>VLOOKUP(A144,Xtal_Templ!A:B,2,FALSE)</f>
        <v>oprx_human</v>
      </c>
      <c r="C144" s="5">
        <f>VLOOKUP($B144&amp;"__wt",'SegEnds_Xtal_BW#'!$A:$Z,3,FALSE)</f>
        <v>29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08"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f>VLOOKUP($B144&amp;"__wt",'SegEnds_Xtal_BW#'!$A:$Z,11,FALSE)</f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f>VLOOKUP($B144&amp;"__wt",'SegEnds_Xtal_BW#'!$A:$Z,14,FALSE)</f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INDEX(ICL3_classA!$G$2:$G$41,MATCH(MIN(ABS(AJ144-ICL3_classA!$F$2:$F$41)),ABS(AJ144-ICL3_classA!$F$2:$F$41),0))</f>
        <v>68</v>
      </c>
      <c r="U144" s="1">
        <f t="array" ref="U144">INDEX(ICL3_classA!$H$2:$H$41,MATCH(MIN(ABS(AJ144-ICL3_classA!$F$2:$F$41)),ABS(AJ144-ICL3_classA!$F$2:$F$41),0))</f>
        <v>23</v>
      </c>
      <c r="V144" s="1">
        <v>61</v>
      </c>
      <c r="W144" s="128">
        <f>VLOOKUP($B144&amp;"__wt",'SegEnds_Xtal_BW#'!$A:$Z,23,FALSE)</f>
        <v>28</v>
      </c>
      <c r="X144" s="123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19</v>
      </c>
      <c r="AE144" s="1">
        <f>VLOOKUP(A144,'SegEnds_NonXtal_Prot#'!A:AL,16,FALSE)-VLOOKUP(A144,'SegEnds_NonXtal_Prot#'!A:AL,10,FALSE)</f>
        <v>51</v>
      </c>
      <c r="AF144" s="1">
        <f>VLOOKUP(A144,'SegEnds_NonXtal_Prot#'!A:AL,22,FALSE)-VLOOKUP(A144,'SegEnds_NonXtal_Prot#'!A:AL,19,FALSE)</f>
        <v>20</v>
      </c>
      <c r="AG144" s="1" t="e">
        <f>VLOOKUP(#REF!,'SegEnds_NonXtal_Prot#'!#REF!,28,FALSE)-VLOOKUP(#REF!,'SegEnds_NonXtal_Prot#'!#REF!,25,FALSE)</f>
        <v>#REF!</v>
      </c>
      <c r="AH144" s="1">
        <f>VLOOKUP(A144,'SegEnds_NonXtal_Prot#'!A:AL,28,FALSE)-VLOOKUP(A144,'SegEnds_NonXtal_Prot#'!A:AL,25,FALSE)</f>
        <v>27</v>
      </c>
      <c r="AI144" s="1">
        <f>VLOOKUP(A144,'SegEnds_NonXtal_Prot#'!A:AL,28,FALSE)-VLOOKUP(A144,'SegEnds_NonXtal_Prot#'!A:AL,22,FALSE)</f>
        <v>52</v>
      </c>
      <c r="AJ144" s="1">
        <f>VLOOKUP(A144,'SegEnds_NonXtal_Prot#'!A:AL,31,FALSE)-VLOOKUP(A144,'SegEnds_NonXtal_Prot#'!A:AL,28,FALSE)</f>
        <v>51</v>
      </c>
      <c r="AK144" s="1">
        <f>VLOOKUP(A144,'SegEnds_NonXtal_Prot#'!A:AL,34,FALSE)-VLOOKUP(A144,'SegEnds_NonXtal_Prot#'!A:AL,31,FALSE)</f>
        <v>38</v>
      </c>
      <c r="AL144" s="1">
        <f>VLOOKUP(A144,'SegEnds_NonXtal_Prot#'!A:AL,37,FALSE)-VLOOKUP(A144,'SegEnds_NonXtal_Prot#'!A:AL,34,FALSE)</f>
        <v>10</v>
      </c>
      <c r="AM144" s="1" t="str">
        <f>IF(ISERROR(MATCH(A144,'SegEnds_Xtal_Prot#'!B:B, 0)), "NoXtal", "Xtal")</f>
        <v>Xtal</v>
      </c>
    </row>
    <row r="145" spans="1:39" x14ac:dyDescent="0.2">
      <c r="A145" s="1" t="s">
        <v>348</v>
      </c>
      <c r="B145" s="1" t="str">
        <f>VLOOKUP(A145,Xtal_Templ!A:B,2,FALSE)</f>
        <v>par2_human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 t="str">
        <f>VLOOKUP($B145&amp;"__wt",'SegEnds_Xtal_BW#'!$A:$Z,5,FALSE)</f>
        <v>-</v>
      </c>
      <c r="F145" s="1" t="str">
        <f>VLOOKUP($B145&amp;"__wt",'SegEnds_Xtal_BW#'!$A:$Z,6,FALSE)</f>
        <v>-</v>
      </c>
      <c r="G145" s="1">
        <v>37</v>
      </c>
      <c r="H145" s="12">
        <f>VLOOKUP($B145&amp;"__wt",'SegEnds_Xtal_BW#'!$A:$Z,8,FALSE)</f>
        <v>66</v>
      </c>
      <c r="I145" s="1">
        <f>VLOOKUP($B145&amp;"__wt",'SegEnds_Xtal_BW#'!$A:$Z,9,FALSE)</f>
        <v>47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f>VLOOKUP($B145&amp;"__wt",'SegEnds_Xtal_BW#'!$A:$Z,15,FALSE)</f>
        <v>38</v>
      </c>
      <c r="P145" s="1">
        <f>VLOOKUP($B145&amp;"__wt",'SegEnds_Xtal_BW#'!$A:$Z,16,FALSE)</f>
        <v>62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INDEX(ICL3_classA!$G$2:$G$41,MATCH(MIN(ABS(AJ145-ICL3_classA!$F$2:$F$41)),ABS(AJ145-ICL3_classA!$F$2:$F$41),0))</f>
        <v>67</v>
      </c>
      <c r="U145" s="1">
        <f t="array" ref="U145">INDEX(ICL3_classA!$H$2:$H$41,MATCH(MIN(ABS(AJ145-ICL3_classA!$F$2:$F$41)),ABS(AJ145-ICL3_classA!$F$2:$F$41),0))</f>
        <v>26</v>
      </c>
      <c r="V145" s="1">
        <v>61</v>
      </c>
      <c r="W145" s="128">
        <f>VLOOKUP($B145&amp;"__wt",'SegEnds_Xtal_BW#'!$A:$Z,23,FALSE)</f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61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 t="e">
        <f>VLOOKUP(A145,'SegEnds_NonXtal_Prot#'!A:AL,10,FALSE)-VLOOKUP(A145,'SegEnds_NonXtal_Prot#'!A:AL,7,FALSE)</f>
        <v>#VALUE!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 t="e">
        <f>VLOOKUP(#REF!,'SegEnds_NonXtal_Prot#'!#REF!,28,FALSE)-VLOOKUP(#REF!,'SegEnds_NonXtal_Prot#'!#REF!,25,FALSE)</f>
        <v>#REF!</v>
      </c>
      <c r="AH145" s="1">
        <f>VLOOKUP(A145,'SegEnds_NonXtal_Prot#'!A:AL,28,FALSE)-VLOOKUP(A145,'SegEnds_NonXtal_Prot#'!A:AL,25,FALSE)</f>
        <v>30</v>
      </c>
      <c r="AI145" s="1">
        <f>VLOOKUP(A145,'SegEnds_NonXtal_Prot#'!A:AL,28,FALSE)-VLOOKUP(A145,'SegEnds_NonXtal_Prot#'!A:AL,22,FALSE)</f>
        <v>57</v>
      </c>
      <c r="AJ145" s="1">
        <f>VLOOKUP(A145,'SegEnds_NonXtal_Prot#'!A:AL,31,FALSE)-VLOOKUP(A145,'SegEnds_NonXtal_Prot#'!A:AL,28,FALSE)</f>
        <v>47</v>
      </c>
      <c r="AK145" s="1">
        <f>VLOOKUP(A145,'SegEnds_NonXtal_Prot#'!A:AL,34,FALSE)-VLOOKUP(A145,'SegEnds_NonXtal_Prot#'!A:AL,31,FALSE)</f>
        <v>38</v>
      </c>
      <c r="AL145" s="1">
        <f>VLOOKUP(A145,'SegEnds_NonXtal_Prot#'!A:AL,37,FALSE)-VLOOKUP(A145,'SegEnds_NonXtal_Prot#'!A:AL,34,FALSE)</f>
        <v>10</v>
      </c>
      <c r="AM145" s="1" t="str">
        <f>IF(ISERROR(MATCH(A145,'SegEnds_Xtal_Prot#'!B:B, 0)), "NoXtal", "Xtal")</f>
        <v>NoXtal</v>
      </c>
    </row>
    <row r="146" spans="1:39" x14ac:dyDescent="0.2">
      <c r="A146" s="1" t="s">
        <v>378</v>
      </c>
      <c r="B146" s="1" t="str">
        <f>VLOOKUP(A146,Xtal_Templ!A:B,2,FALSE)</f>
        <v>s1pr1_human</v>
      </c>
      <c r="C146" s="5">
        <f>VLOOKUP($B146&amp;"__wt",'SegEnds_Xtal_BW#'!$A:$Z,3,FALSE)</f>
        <v>29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63</v>
      </c>
      <c r="I146" s="1">
        <f>VLOOKUP($B146&amp;"__wt",'SegEnds_Xtal_BW#'!$A:$Z,9,FALSE)</f>
        <v>47</v>
      </c>
      <c r="J146" s="1">
        <f>VLOOKUP($B146&amp;"__wt",'SegEnds_Xtal_BW#'!$A:$Z,10,FALSE)</f>
        <v>53</v>
      </c>
      <c r="K146" s="12">
        <v>21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v>38</v>
      </c>
      <c r="P146" s="1">
        <f>VLOOKUP($B146&amp;"__wt",'SegEnds_Xtal_BW#'!$A:$Z,16,FALSE)</f>
        <v>63</v>
      </c>
      <c r="Q146" s="1" t="str">
        <f>VLOOKUP($B146&amp;"__wt",'SegEnds_Xtal_BW#'!$A:$Z,17,FALSE)</f>
        <v>-</v>
      </c>
      <c r="R146" s="1" t="str">
        <f>VLOOKUP($B146&amp;"__wt",'SegEnds_Xtal_BW#'!$A:$Z,18,FALSE)</f>
        <v>-</v>
      </c>
      <c r="S146" s="1">
        <f>VLOOKUP($B146&amp;"__wt",'SegEnds_Xtal_BW#'!$A:$Z,19,FALSE)</f>
        <v>36</v>
      </c>
      <c r="T146" s="1">
        <f t="array" ref="T146">INDEX(ICL3_classA!$G$2:$G$41,MATCH(MIN(ABS(AJ146-ICL3_classA!$F$2:$F$41)),ABS(AJ146-ICL3_classA!$F$2:$F$41),0))</f>
        <v>68</v>
      </c>
      <c r="U146" s="1">
        <f t="array" ref="U146">INDEX(ICL3_classA!$H$2:$H$41,MATCH(MIN(ABS(AJ146-ICL3_classA!$F$2:$F$41)),ABS(AJ146-ICL3_classA!$F$2:$F$41),0))</f>
        <v>23</v>
      </c>
      <c r="V146" s="1">
        <v>61</v>
      </c>
      <c r="W146" s="128">
        <f>VLOOKUP($B146&amp;"__wt",'SegEnds_Xtal_BW#'!$A:$Z,23,FALSE)</f>
        <v>30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18</v>
      </c>
      <c r="AE146" s="1">
        <f>VLOOKUP(A146,'SegEnds_NonXtal_Prot#'!A:AL,16,FALSE)-VLOOKUP(A146,'SegEnds_NonXtal_Prot#'!A:AL,10,FALSE)</f>
        <v>51</v>
      </c>
      <c r="AF146" s="1">
        <f>VLOOKUP(A146,'SegEnds_NonXtal_Prot#'!A:AL,22,FALSE)-VLOOKUP(A146,'SegEnds_NonXtal_Prot#'!A:AL,19,FALSE)</f>
        <v>20</v>
      </c>
      <c r="AG146" s="1" t="e">
        <f>VLOOKUP(#REF!,'SegEnds_NonXtal_Prot#'!#REF!,28,FALSE)-VLOOKUP(#REF!,'SegEnds_NonXtal_Prot#'!#REF!,25,FALSE)</f>
        <v>#REF!</v>
      </c>
      <c r="AH146" s="1" t="e">
        <f>VLOOKUP(A146,'SegEnds_NonXtal_Prot#'!A:AL,28,FALSE)-VLOOKUP(A146,'SegEnds_NonXtal_Prot#'!A:AL,25,FALSE)</f>
        <v>#VALUE!</v>
      </c>
      <c r="AI146" s="1">
        <f>VLOOKUP(A146,'SegEnds_NonXtal_Prot#'!A:AL,28,FALSE)-VLOOKUP(A146,'SegEnds_NonXtal_Prot#'!A:AL,22,FALSE)</f>
        <v>45</v>
      </c>
      <c r="AJ146" s="1">
        <f>VLOOKUP(A146,'SegEnds_NonXtal_Prot#'!A:AL,31,FALSE)-VLOOKUP(A146,'SegEnds_NonXtal_Prot#'!A:AL,28,FALSE)</f>
        <v>51</v>
      </c>
      <c r="AK146" s="1">
        <f>VLOOKUP(A146,'SegEnds_NonXtal_Prot#'!A:AL,34,FALSE)-VLOOKUP(A146,'SegEnds_NonXtal_Prot#'!A:AL,31,FALSE)</f>
        <v>38</v>
      </c>
      <c r="AL146" s="1">
        <f>VLOOKUP(A146,'SegEnds_NonXtal_Prot#'!A:AL,37,FALSE)-VLOOKUP(A146,'SegEnds_NonXtal_Prot#'!A:AL,34,FALSE)</f>
        <v>10</v>
      </c>
      <c r="AM146" s="1" t="str">
        <f>IF(ISERROR(MATCH(A146,'SegEnds_Xtal_Prot#'!B:B, 0)), "NoXtal", "Xtal")</f>
        <v>NoXtal</v>
      </c>
    </row>
    <row r="147" spans="1:39" x14ac:dyDescent="0.2">
      <c r="A147" s="1" t="s">
        <v>381</v>
      </c>
      <c r="B147" s="1" t="str">
        <f>VLOOKUP(A147,Xtal_Templ!A:B,2,FALSE)</f>
        <v>oprk_human</v>
      </c>
      <c r="C147" s="5">
        <f>VLOOKUP($B147&amp;"__wt",'SegEnds_Xtal_BW#'!$A:$Z,3,FALSE)</f>
        <v>30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66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21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INDEX(ICL3_classA!$G$2:$G$41,MATCH(MIN(ABS(AJ147-ICL3_classA!$F$2:$F$41)),ABS(AJ147-ICL3_classA!$F$2:$F$41),0))</f>
        <v>68</v>
      </c>
      <c r="U147" s="1">
        <f t="array" ref="U147">INDEX(ICL3_classA!$H$2:$H$41,MATCH(MIN(ABS(AJ147-ICL3_classA!$F$2:$F$41)),ABS(AJ147-ICL3_classA!$F$2:$F$41),0))</f>
        <v>23</v>
      </c>
      <c r="V147" s="1">
        <v>61</v>
      </c>
      <c r="W147" s="128">
        <f>VLOOKUP($B147&amp;"__wt",'SegEnds_Xtal_BW#'!$A:$Z,23,FALSE)</f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19</v>
      </c>
      <c r="AE147" s="1">
        <f>VLOOKUP(A147,'SegEnds_NonXtal_Prot#'!A:AL,16,FALSE)-VLOOKUP(A147,'SegEnds_NonXtal_Prot#'!A:AL,10,FALSE)</f>
        <v>51</v>
      </c>
      <c r="AF147" s="1">
        <f>VLOOKUP(A147,'SegEnds_NonXtal_Prot#'!A:AL,22,FALSE)-VLOOKUP(A147,'SegEnds_NonXtal_Prot#'!A:AL,19,FALSE)</f>
        <v>20</v>
      </c>
      <c r="AG147" s="1" t="e">
        <f>VLOOKUP(#REF!,'SegEnds_NonXtal_Prot#'!#REF!,28,FALSE)-VLOOKUP(#REF!,'SegEnds_NonXtal_Prot#'!#REF!,25,FALSE)</f>
        <v>#REF!</v>
      </c>
      <c r="AH147" s="1">
        <f>VLOOKUP(A147,'SegEnds_NonXtal_Prot#'!A:AL,28,FALSE)-VLOOKUP(A147,'SegEnds_NonXtal_Prot#'!A:AL,25,FALSE)</f>
        <v>27</v>
      </c>
      <c r="AI147" s="1">
        <f>VLOOKUP(A147,'SegEnds_NonXtal_Prot#'!A:AL,28,FALSE)-VLOOKUP(A147,'SegEnds_NonXtal_Prot#'!A:AL,22,FALSE)</f>
        <v>53</v>
      </c>
      <c r="AJ147" s="1">
        <f>VLOOKUP(A147,'SegEnds_NonXtal_Prot#'!A:AL,31,FALSE)-VLOOKUP(A147,'SegEnds_NonXtal_Prot#'!A:AL,28,FALSE)</f>
        <v>51</v>
      </c>
      <c r="AK147" s="1">
        <f>VLOOKUP(A147,'SegEnds_NonXtal_Prot#'!A:AL,34,FALSE)-VLOOKUP(A147,'SegEnds_NonXtal_Prot#'!A:AL,31,FALSE)</f>
        <v>38</v>
      </c>
      <c r="AL147" s="1">
        <f>VLOOKUP(A147,'SegEnds_NonXtal_Prot#'!A:AL,37,FALSE)-VLOOKUP(A147,'SegEnds_NonXtal_Prot#'!A:AL,34,FALSE)</f>
        <v>10</v>
      </c>
      <c r="AM147" s="1" t="str">
        <f>IF(ISERROR(MATCH(A147,'SegEnds_Xtal_Prot#'!B:B, 0)), "NoXtal", "Xtal")</f>
        <v>NoXtal</v>
      </c>
    </row>
    <row r="148" spans="1:39" x14ac:dyDescent="0.2">
      <c r="A148" s="1" t="s">
        <v>382</v>
      </c>
      <c r="B148" s="1" t="str">
        <f>VLOOKUP(A148,Xtal_Templ!A:B,2,FALSE)</f>
        <v>oprk_human</v>
      </c>
      <c r="C148" s="5">
        <f>VLOOKUP($B148&amp;"__wt",'SegEnds_Xtal_BW#'!$A:$Z,3,FALSE)</f>
        <v>30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21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30</v>
      </c>
      <c r="T148" s="1">
        <f t="array" ref="T148">INDEX(ICL3_classA!$G$2:$G$41,MATCH(MIN(ABS(AJ148-ICL3_classA!$F$2:$F$41)),ABS(AJ148-ICL3_classA!$F$2:$F$41),0))</f>
        <v>72</v>
      </c>
      <c r="U148" s="1">
        <f t="array" ref="U148">INDEX(ICL3_classA!$H$2:$H$41,MATCH(MIN(ABS(AJ148-ICL3_classA!$F$2:$F$41)),ABS(AJ148-ICL3_classA!$F$2:$F$41),0))</f>
        <v>24</v>
      </c>
      <c r="V148" s="1">
        <v>61</v>
      </c>
      <c r="W148" s="128">
        <f>VLOOKUP($B148&amp;"__wt",'SegEnds_Xtal_BW#'!$A:$Z,23,FALSE)</f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19</v>
      </c>
      <c r="AE148" s="1">
        <f>VLOOKUP(A148,'SegEnds_NonXtal_Prot#'!A:AL,16,FALSE)-VLOOKUP(A148,'SegEnds_NonXtal_Prot#'!A:AL,10,FALSE)</f>
        <v>51</v>
      </c>
      <c r="AF148" s="1">
        <f>VLOOKUP(A148,'SegEnds_NonXtal_Prot#'!A:AL,22,FALSE)-VLOOKUP(A148,'SegEnds_NonXtal_Prot#'!A:AL,19,FALSE)</f>
        <v>20</v>
      </c>
      <c r="AG148" s="1" t="e">
        <f>VLOOKUP(#REF!,'SegEnds_NonXtal_Prot#'!#REF!,28,FALSE)-VLOOKUP(#REF!,'SegEnds_NonXtal_Prot#'!#REF!,25,FALSE)</f>
        <v>#REF!</v>
      </c>
      <c r="AH148" s="1">
        <f>VLOOKUP(A148,'SegEnds_NonXtal_Prot#'!A:AL,28,FALSE)-VLOOKUP(A148,'SegEnds_NonXtal_Prot#'!A:AL,25,FALSE)</f>
        <v>27</v>
      </c>
      <c r="AI148" s="1">
        <f>VLOOKUP(A148,'SegEnds_NonXtal_Prot#'!A:AL,28,FALSE)-VLOOKUP(A148,'SegEnds_NonXtal_Prot#'!A:AL,22,FALSE)</f>
        <v>50</v>
      </c>
      <c r="AJ148" s="1">
        <f>VLOOKUP(A148,'SegEnds_NonXtal_Prot#'!A:AL,31,FALSE)-VLOOKUP(A148,'SegEnds_NonXtal_Prot#'!A:AL,28,FALSE)</f>
        <v>54</v>
      </c>
      <c r="AK148" s="1">
        <f>VLOOKUP(A148,'SegEnds_NonXtal_Prot#'!A:AL,34,FALSE)-VLOOKUP(A148,'SegEnds_NonXtal_Prot#'!A:AL,31,FALSE)</f>
        <v>38</v>
      </c>
      <c r="AL148" s="1">
        <f>VLOOKUP(A148,'SegEnds_NonXtal_Prot#'!A:AL,37,FALSE)-VLOOKUP(A148,'SegEnds_NonXtal_Prot#'!A:AL,34,FALSE)</f>
        <v>10</v>
      </c>
      <c r="AM148" s="1" t="str">
        <f>IF(ISERROR(MATCH(A148,'SegEnds_Xtal_Prot#'!B:B, 0)), "NoXtal", "Xtal")</f>
        <v>NoXtal</v>
      </c>
    </row>
    <row r="149" spans="1:39" x14ac:dyDescent="0.2">
      <c r="A149" s="1" t="s">
        <v>384</v>
      </c>
      <c r="B149" s="1" t="str">
        <f>VLOOKUP(A149,Xtal_Templ!A:B,2,FALSE)</f>
        <v>oprd_human</v>
      </c>
      <c r="C149" s="5">
        <f>VLOOKUP($B149&amp;"__wt",'SegEnds_Xtal_BW#'!$A:$Z,3,FALSE)</f>
        <v>22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66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30</v>
      </c>
      <c r="T149" s="1">
        <f t="array" ref="T149">INDEX(ICL3_classA!$G$2:$G$41,MATCH(MIN(ABS(AJ149-ICL3_classA!$F$2:$F$41)),ABS(AJ149-ICL3_classA!$F$2:$F$41),0))</f>
        <v>72</v>
      </c>
      <c r="U149" s="1">
        <f t="array" ref="U149">INDEX(ICL3_classA!$H$2:$H$41,MATCH(MIN(ABS(AJ149-ICL3_classA!$F$2:$F$41)),ABS(AJ149-ICL3_classA!$F$2:$F$41),0))</f>
        <v>29</v>
      </c>
      <c r="V149" s="1">
        <v>61</v>
      </c>
      <c r="W149" s="128">
        <f>VLOOKUP($B149&amp;"__wt",'SegEnds_Xtal_BW#'!$A:$Z,23,FALSE)</f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60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19</v>
      </c>
      <c r="AE149" s="1">
        <f>VLOOKUP(A149,'SegEnds_NonXtal_Prot#'!A:AL,16,FALSE)-VLOOKUP(A149,'SegEnds_NonXtal_Prot#'!A:AL,10,FALSE)</f>
        <v>51</v>
      </c>
      <c r="AF149" s="1">
        <f>VLOOKUP(A149,'SegEnds_NonXtal_Prot#'!A:AL,22,FALSE)-VLOOKUP(A149,'SegEnds_NonXtal_Prot#'!A:AL,19,FALSE)</f>
        <v>20</v>
      </c>
      <c r="AG149" s="1" t="e">
        <f>VLOOKUP(#REF!,'SegEnds_NonXtal_Prot#'!#REF!,28,FALSE)-VLOOKUP(#REF!,'SegEnds_NonXtal_Prot#'!#REF!,25,FALSE)</f>
        <v>#REF!</v>
      </c>
      <c r="AH149" s="1">
        <f>VLOOKUP(A149,'SegEnds_NonXtal_Prot#'!A:AL,28,FALSE)-VLOOKUP(A149,'SegEnds_NonXtal_Prot#'!A:AL,25,FALSE)</f>
        <v>27</v>
      </c>
      <c r="AI149" s="1">
        <f>VLOOKUP(A149,'SegEnds_NonXtal_Prot#'!A:AL,28,FALSE)-VLOOKUP(A149,'SegEnds_NonXtal_Prot#'!A:AL,22,FALSE)</f>
        <v>49</v>
      </c>
      <c r="AJ149" s="1">
        <f>VLOOKUP(A149,'SegEnds_NonXtal_Prot#'!A:AL,31,FALSE)-VLOOKUP(A149,'SegEnds_NonXtal_Prot#'!A:AL,28,FALSE)</f>
        <v>50</v>
      </c>
      <c r="AK149" s="1">
        <f>VLOOKUP(A149,'SegEnds_NonXtal_Prot#'!A:AL,34,FALSE)-VLOOKUP(A149,'SegEnds_NonXtal_Prot#'!A:AL,31,FALSE)</f>
        <v>38</v>
      </c>
      <c r="AL149" s="1">
        <f>VLOOKUP(A149,'SegEnds_NonXtal_Prot#'!A:AL,37,FALSE)-VLOOKUP(A149,'SegEnds_NonXtal_Prot#'!A:AL,34,FALSE)</f>
        <v>10</v>
      </c>
      <c r="AM149" s="1" t="str">
        <f>IF(ISERROR(MATCH(A149,'SegEnds_Xtal_Prot#'!B:B, 0)), "NoXtal", "Xtal")</f>
        <v>NoXtal</v>
      </c>
    </row>
    <row r="150" spans="1:39" x14ac:dyDescent="0.2">
      <c r="A150" s="1" t="s">
        <v>132</v>
      </c>
      <c r="B150" s="1" t="str">
        <f>VLOOKUP(A150,Xtal_Templ!A:B,2,FALSE)</f>
        <v>5ht2a_human</v>
      </c>
      <c r="C150" s="5">
        <f>VLOOKUP($B150&amp;"__wt",'SegEnds_Xtal_BW#'!$A:$Z,3,FALSE)</f>
        <v>27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68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67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v>35</v>
      </c>
      <c r="T150" s="1">
        <f t="array" ref="T150">INDEX(ICL3_classA!$G$2:$G$41,MATCH(MIN(ABS(AJ150-ICL3_classA!$F$2:$F$41)),ABS(AJ150-ICL3_classA!$F$2:$F$41),0))</f>
        <v>76</v>
      </c>
      <c r="U150" s="1">
        <f t="array" ref="U150">INDEX(ICL3_classA!$H$2:$H$41,MATCH(MIN(ABS(AJ150-ICL3_classA!$F$2:$F$41)),ABS(AJ150-ICL3_classA!$F$2:$F$41),0))</f>
        <v>24</v>
      </c>
      <c r="V150" s="1">
        <v>61</v>
      </c>
      <c r="W150" s="128">
        <v>27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21</v>
      </c>
      <c r="AE150" s="1">
        <f>VLOOKUP(A150,'SegEnds_NonXtal_Prot#'!A:AL,16,FALSE)-VLOOKUP(A150,'SegEnds_NonXtal_Prot#'!A:AL,10,FALSE)</f>
        <v>53</v>
      </c>
      <c r="AF150" s="1">
        <f>VLOOKUP(A150,'SegEnds_NonXtal_Prot#'!A:AL,22,FALSE)-VLOOKUP(A150,'SegEnds_NonXtal_Prot#'!A:AL,19,FALSE)</f>
        <v>20</v>
      </c>
      <c r="AG150" s="1" t="e">
        <f>VLOOKUP(#REF!,'SegEnds_NonXtal_Prot#'!#REF!,28,FALSE)-VLOOKUP(#REF!,'SegEnds_NonXtal_Prot#'!#REF!,25,FALSE)</f>
        <v>#REF!</v>
      </c>
      <c r="AH150" s="1">
        <f>VLOOKUP(A150,'SegEnds_NonXtal_Prot#'!A:AL,28,FALSE)-VLOOKUP(A150,'SegEnds_NonXtal_Prot#'!A:AL,25,FALSE)</f>
        <v>19</v>
      </c>
      <c r="AI150" s="1">
        <f>VLOOKUP(A150,'SegEnds_NonXtal_Prot#'!A:AL,28,FALSE)-VLOOKUP(A150,'SegEnds_NonXtal_Prot#'!A:AL,22,FALSE)</f>
        <v>46</v>
      </c>
      <c r="AJ150" s="1">
        <f>VLOOKUP(A150,'SegEnds_NonXtal_Prot#'!A:AL,31,FALSE)-VLOOKUP(A150,'SegEnds_NonXtal_Prot#'!A:AL,28,FALSE)</f>
        <v>92</v>
      </c>
      <c r="AK150" s="1">
        <f>VLOOKUP(A150,'SegEnds_NonXtal_Prot#'!A:AL,34,FALSE)-VLOOKUP(A150,'SegEnds_NonXtal_Prot#'!A:AL,31,FALSE)</f>
        <v>39</v>
      </c>
      <c r="AL150" s="1">
        <f>VLOOKUP(A150,'SegEnds_NonXtal_Prot#'!A:AL,37,FALSE)-VLOOKUP(A150,'SegEnds_NonXtal_Prot#'!A:AL,34,FALSE)</f>
        <v>10</v>
      </c>
      <c r="AM150" s="1" t="str">
        <f>IF(ISERROR(MATCH(A150,'SegEnds_Xtal_Prot#'!B:B, 0)), "NoXtal", "Xtal")</f>
        <v>Xtal</v>
      </c>
    </row>
    <row r="151" spans="1:39" x14ac:dyDescent="0.2">
      <c r="A151" s="1" t="s">
        <v>133</v>
      </c>
      <c r="B151" s="1" t="str">
        <f>VLOOKUP(A151,Xtal_Templ!A:B,2,FALSE)</f>
        <v>5ht2c_human</v>
      </c>
      <c r="C151" s="5">
        <f>VLOOKUP($B151&amp;"__wt",'SegEnds_Xtal_BW#'!$A:$Z,3,FALSE)</f>
        <v>33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68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67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35</v>
      </c>
      <c r="T151" s="1">
        <f t="array" ref="T151">INDEX(ICL3_classA!$G$2:$G$41,MATCH(MIN(ABS(AJ151-ICL3_classA!$F$2:$F$41)),ABS(AJ151-ICL3_classA!$F$2:$F$41),0))</f>
        <v>74</v>
      </c>
      <c r="U151" s="1">
        <f t="array" ref="U151">INDEX(ICL3_classA!$H$2:$H$41,MATCH(MIN(ABS(AJ151-ICL3_classA!$F$2:$F$41)),ABS(AJ151-ICL3_classA!$F$2:$F$41),0))</f>
        <v>24</v>
      </c>
      <c r="V151" s="1">
        <v>61</v>
      </c>
      <c r="W151" s="128">
        <v>27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21</v>
      </c>
      <c r="AE151" s="1">
        <f>VLOOKUP(A151,'SegEnds_NonXtal_Prot#'!A:AL,16,FALSE)-VLOOKUP(A151,'SegEnds_NonXtal_Prot#'!A:AL,10,FALSE)</f>
        <v>53</v>
      </c>
      <c r="AF151" s="1">
        <f>VLOOKUP(A151,'SegEnds_NonXtal_Prot#'!A:AL,22,FALSE)-VLOOKUP(A151,'SegEnds_NonXtal_Prot#'!A:AL,19,FALSE)</f>
        <v>20</v>
      </c>
      <c r="AG151" s="1" t="e">
        <f>VLOOKUP(#REF!,'SegEnds_NonXtal_Prot#'!#REF!,28,FALSE)-VLOOKUP(#REF!,'SegEnds_NonXtal_Prot#'!#REF!,25,FALSE)</f>
        <v>#REF!</v>
      </c>
      <c r="AH151" s="1">
        <f>VLOOKUP(A151,'SegEnds_NonXtal_Prot#'!A:AL,28,FALSE)-VLOOKUP(A151,'SegEnds_NonXtal_Prot#'!A:AL,25,FALSE)</f>
        <v>19</v>
      </c>
      <c r="AI151" s="1">
        <f>VLOOKUP(A151,'SegEnds_NonXtal_Prot#'!A:AL,28,FALSE)-VLOOKUP(A151,'SegEnds_NonXtal_Prot#'!A:AL,22,FALSE)</f>
        <v>47</v>
      </c>
      <c r="AJ151" s="1">
        <f>VLOOKUP(A151,'SegEnds_NonXtal_Prot#'!A:AL,31,FALSE)-VLOOKUP(A151,'SegEnds_NonXtal_Prot#'!A:AL,28,FALSE)</f>
        <v>100</v>
      </c>
      <c r="AK151" s="1">
        <f>VLOOKUP(A151,'SegEnds_NonXtal_Prot#'!A:AL,34,FALSE)-VLOOKUP(A151,'SegEnds_NonXtal_Prot#'!A:AL,31,FALSE)</f>
        <v>39</v>
      </c>
      <c r="AL151" s="1">
        <f>VLOOKUP(A151,'SegEnds_NonXtal_Prot#'!A:AL,37,FALSE)-VLOOKUP(A151,'SegEnds_NonXtal_Prot#'!A:AL,34,FALSE)</f>
        <v>10</v>
      </c>
      <c r="AM151" s="1" t="str">
        <f>IF(ISERROR(MATCH(A151,'SegEnds_Xtal_Prot#'!B:B, 0)), "NoXtal", "Xtal")</f>
        <v>Xtal</v>
      </c>
    </row>
    <row r="152" spans="1:39" x14ac:dyDescent="0.2">
      <c r="A152" s="1" t="s">
        <v>137</v>
      </c>
      <c r="B152" s="1" t="str">
        <f>VLOOKUP(A152,Xtal_Templ!A:B,2,FALSE)</f>
        <v>5ht1b_human</v>
      </c>
      <c r="C152" s="5">
        <f>VLOOKUP($B152&amp;"__wt",'SegEnds_Xtal_BW#'!$A:$Z,3,FALSE)</f>
        <v>28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68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f>VLOOKUP($B152&amp;"__wt",'SegEnds_Xtal_BW#'!$A:$Z,15,FALSE)</f>
        <v>38</v>
      </c>
      <c r="P152" s="1">
        <f>VLOOKUP($B152&amp;"__wt",'SegEnds_Xtal_BW#'!$A:$Z,16,FALSE)</f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INDEX(ICL3_classA!$G$2:$G$41,MATCH(MIN(ABS(AJ152-ICL3_classA!$F$2:$F$41)),ABS(AJ152-ICL3_classA!$F$2:$F$41),0))</f>
        <v>76</v>
      </c>
      <c r="U152" s="1">
        <f t="array" ref="U152">INDEX(ICL3_classA!$H$2:$H$41,MATCH(MIN(ABS(AJ152-ICL3_classA!$F$2:$F$41)),ABS(AJ152-ICL3_classA!$F$2:$F$41),0))</f>
        <v>24</v>
      </c>
      <c r="V152" s="1">
        <v>61</v>
      </c>
      <c r="W152" s="128">
        <v>27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>
        <f>VLOOKUP(A152,'SegEnds_NonXtal_Prot#'!A:AL,13,FALSE)-VLOOKUP(A152,'SegEnds_NonXtal_Prot#'!A:AL,10,FALSE)</f>
        <v>21</v>
      </c>
      <c r="AE152" s="1">
        <f>VLOOKUP(A152,'SegEnds_NonXtal_Prot#'!A:AL,16,FALSE)-VLOOKUP(A152,'SegEnds_NonXtal_Prot#'!A:AL,10,FALSE)</f>
        <v>53</v>
      </c>
      <c r="AF152" s="1">
        <f>VLOOKUP(A152,'SegEnds_NonXtal_Prot#'!A:AL,22,FALSE)-VLOOKUP(A152,'SegEnds_NonXtal_Prot#'!A:AL,19,FALSE)</f>
        <v>20</v>
      </c>
      <c r="AG152" s="1" t="e">
        <f>VLOOKUP(#REF!,'SegEnds_NonXtal_Prot#'!#REF!,28,FALSE)-VLOOKUP(#REF!,'SegEnds_NonXtal_Prot#'!#REF!,25,FALSE)</f>
        <v>#REF!</v>
      </c>
      <c r="AH152" s="1">
        <f>VLOOKUP(A152,'SegEnds_NonXtal_Prot#'!A:AL,28,FALSE)-VLOOKUP(A152,'SegEnds_NonXtal_Prot#'!A:AL,25,FALSE)</f>
        <v>20</v>
      </c>
      <c r="AI152" s="1">
        <f>VLOOKUP(A152,'SegEnds_NonXtal_Prot#'!A:AL,28,FALSE)-VLOOKUP(A152,'SegEnds_NonXtal_Prot#'!A:AL,22,FALSE)</f>
        <v>44</v>
      </c>
      <c r="AJ152" s="1">
        <f>VLOOKUP(A152,'SegEnds_NonXtal_Prot#'!A:AL,31,FALSE)-VLOOKUP(A152,'SegEnds_NonXtal_Prot#'!A:AL,28,FALSE)</f>
        <v>91</v>
      </c>
      <c r="AK152" s="1">
        <f>VLOOKUP(A152,'SegEnds_NonXtal_Prot#'!A:AL,34,FALSE)-VLOOKUP(A152,'SegEnds_NonXtal_Prot#'!A:AL,31,FALSE)</f>
        <v>39</v>
      </c>
      <c r="AL152" s="1">
        <f>VLOOKUP(A152,'SegEnds_NonXtal_Prot#'!A:AL,37,FALSE)-VLOOKUP(A152,'SegEnds_NonXtal_Prot#'!A:AL,34,FALSE)</f>
        <v>10</v>
      </c>
      <c r="AM152" s="1" t="str">
        <f>IF(ISERROR(MATCH(A152,'SegEnds_Xtal_Prot#'!B:B, 0)), "NoXtal", "Xtal")</f>
        <v>NoXtal</v>
      </c>
    </row>
    <row r="153" spans="1:39" x14ac:dyDescent="0.2">
      <c r="A153" s="1" t="s">
        <v>151</v>
      </c>
      <c r="B153" s="1" t="str">
        <f>VLOOKUP(A153,Xtal_Templ!A:B,2,FALSE)</f>
        <v>mc4r_human</v>
      </c>
      <c r="C153" s="5">
        <f>VLOOKUP($B153&amp;"__wt",'SegEnds_Xtal_BW#'!$A:$Z,3,FALSE)</f>
        <v>35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v>67</v>
      </c>
      <c r="I153" s="1" t="s">
        <v>23</v>
      </c>
      <c r="J153" s="1" t="s">
        <v>23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f>VLOOKUP($B153&amp;"__wt",'SegEnds_Xtal_BW#'!$A:$Z,15,FALSE)</f>
        <v>38</v>
      </c>
      <c r="P153" s="1">
        <f>VLOOKUP($B153&amp;"__wt",'SegEnds_Xtal_BW#'!$A:$Z,16,FALSE)</f>
        <v>64</v>
      </c>
      <c r="Q153" s="1" t="str">
        <f>VLOOKUP($B153&amp;"__wt",'SegEnds_Xtal_BW#'!$A:$Z,17,FALSE)</f>
        <v>-</v>
      </c>
      <c r="R153" s="1" t="str">
        <f>VLOOKUP($B153&amp;"__wt",'SegEnds_Xtal_BW#'!$A:$Z,18,FALSE)</f>
        <v>-</v>
      </c>
      <c r="S153" s="108">
        <v>36</v>
      </c>
      <c r="T153" s="1">
        <f t="array" ref="T153">INDEX(ICL3_classA!$G$2:$G$41,MATCH(MIN(ABS(AJ153-ICL3_classA!$F$2:$F$41)),ABS(AJ153-ICL3_classA!$F$2:$F$41),0))</f>
        <v>68</v>
      </c>
      <c r="U153" s="1">
        <f t="array" ref="U153">INDEX(ICL3_classA!$H$2:$H$41,MATCH(MIN(ABS(AJ153-ICL3_classA!$F$2:$F$41)),ABS(AJ153-ICL3_classA!$F$2:$F$41),0))</f>
        <v>24</v>
      </c>
      <c r="V153" s="1">
        <v>61</v>
      </c>
      <c r="W153" s="128">
        <f>VLOOKUP($B153&amp;"__wt",'SegEnds_Xtal_BW#'!$A:$Z,23,FALSE)</f>
        <v>34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61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 t="e">
        <f>VLOOKUP(A153,'SegEnds_NonXtal_Prot#'!A:AL,13,FALSE)-VLOOKUP(A153,'SegEnds_NonXtal_Prot#'!A:AL,10,FALSE)</f>
        <v>#VALUE!</v>
      </c>
      <c r="AE153" s="1">
        <f>VLOOKUP(A153,'SegEnds_NonXtal_Prot#'!A:AL,16,FALSE)-VLOOKUP(A153,'SegEnds_NonXtal_Prot#'!A:AL,10,FALSE)</f>
        <v>58</v>
      </c>
      <c r="AF153" s="1">
        <f>VLOOKUP(A153,'SegEnds_NonXtal_Prot#'!A:AL,22,FALSE)-VLOOKUP(A153,'SegEnds_NonXtal_Prot#'!A:AL,19,FALSE)</f>
        <v>20</v>
      </c>
      <c r="AG153" s="1" t="e">
        <f>VLOOKUP(#REF!,'SegEnds_NonXtal_Prot#'!#REF!,28,FALSE)-VLOOKUP(#REF!,'SegEnds_NonXtal_Prot#'!#REF!,25,FALSE)</f>
        <v>#REF!</v>
      </c>
      <c r="AH153" s="1" t="e">
        <f>VLOOKUP(A153,'SegEnds_NonXtal_Prot#'!A:AL,28,FALSE)-VLOOKUP(A153,'SegEnds_NonXtal_Prot#'!A:AL,25,FALSE)</f>
        <v>#VALUE!</v>
      </c>
      <c r="AI153" s="1">
        <f>VLOOKUP(A153,'SegEnds_NonXtal_Prot#'!A:AL,28,FALSE)-VLOOKUP(A153,'SegEnds_NonXtal_Prot#'!A:AL,22,FALSE)</f>
        <v>30</v>
      </c>
      <c r="AJ153" s="1">
        <f>VLOOKUP(A153,'SegEnds_NonXtal_Prot#'!A:AL,31,FALSE)-VLOOKUP(A153,'SegEnds_NonXtal_Prot#'!A:AL,28,FALSE)</f>
        <v>49</v>
      </c>
      <c r="AK153" s="1">
        <f>VLOOKUP(A153,'SegEnds_NonXtal_Prot#'!A:AL,34,FALSE)-VLOOKUP(A153,'SegEnds_NonXtal_Prot#'!A:AL,31,FALSE)</f>
        <v>39</v>
      </c>
      <c r="AL153" s="1">
        <f>VLOOKUP(A153,'SegEnds_NonXtal_Prot#'!A:AL,37,FALSE)-VLOOKUP(A153,'SegEnds_NonXtal_Prot#'!A:AL,34,FALSE)</f>
        <v>10</v>
      </c>
      <c r="AM153" s="1" t="str">
        <f>IF(ISERROR(MATCH(A153,'SegEnds_Xtal_Prot#'!B:B, 0)), "NoXtal", "Xtal")</f>
        <v>NoXtal</v>
      </c>
    </row>
    <row r="154" spans="1:39" x14ac:dyDescent="0.2">
      <c r="A154" s="1" t="s">
        <v>167</v>
      </c>
      <c r="B154" s="1" t="str">
        <f>VLOOKUP(A154,Xtal_Templ!A:B,2,FALSE)</f>
        <v>ox1r_human</v>
      </c>
      <c r="C154" s="5">
        <f>VLOOKUP($B154&amp;"__wt",'SegEnds_Xtal_BW#'!$A:$Z,3,FALSE)</f>
        <v>32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33</v>
      </c>
      <c r="T154" s="1">
        <f t="array" ref="T154">INDEX(ICL3_classA!$G$2:$G$41,MATCH(MIN(ABS(AJ154-ICL3_classA!$F$2:$F$41)),ABS(AJ154-ICL3_classA!$F$2:$F$41),0))</f>
        <v>74</v>
      </c>
      <c r="U154" s="1">
        <f t="array" ref="U154">INDEX(ICL3_classA!$H$2:$H$41,MATCH(MIN(ABS(AJ154-ICL3_classA!$F$2:$F$41)),ABS(AJ154-ICL3_classA!$F$2:$F$41),0))</f>
        <v>24</v>
      </c>
      <c r="V154" s="1">
        <v>61</v>
      </c>
      <c r="W154" s="128">
        <f>VLOOKUP($B154&amp;"__wt",'SegEnds_Xtal_BW#'!$A:$Z,23,FALSE)</f>
        <v>27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63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 t="e">
        <f>VLOOKUP(#REF!,'SegEnds_NonXtal_Prot#'!#REF!,28,FALSE)-VLOOKUP(#REF!,'SegEnds_NonXtal_Prot#'!#REF!,25,FALSE)</f>
        <v>#REF!</v>
      </c>
      <c r="AH154" s="1">
        <f>VLOOKUP(A154,'SegEnds_NonXtal_Prot#'!A:AL,28,FALSE)-VLOOKUP(A154,'SegEnds_NonXtal_Prot#'!A:AL,25,FALSE)</f>
        <v>25</v>
      </c>
      <c r="AI154" s="1">
        <f>VLOOKUP(A154,'SegEnds_NonXtal_Prot#'!A:AL,28,FALSE)-VLOOKUP(A154,'SegEnds_NonXtal_Prot#'!A:AL,22,FALSE)</f>
        <v>55</v>
      </c>
      <c r="AJ154" s="1">
        <f>VLOOKUP(A154,'SegEnds_NonXtal_Prot#'!A:AL,31,FALSE)-VLOOKUP(A154,'SegEnds_NonXtal_Prot#'!A:AL,28,FALSE)</f>
        <v>107</v>
      </c>
      <c r="AK154" s="1">
        <f>VLOOKUP(A154,'SegEnds_NonXtal_Prot#'!A:AL,34,FALSE)-VLOOKUP(A154,'SegEnds_NonXtal_Prot#'!A:AL,31,FALSE)</f>
        <v>39</v>
      </c>
      <c r="AL154" s="1">
        <f>VLOOKUP(A154,'SegEnds_NonXtal_Prot#'!A:AL,37,FALSE)-VLOOKUP(A154,'SegEnds_NonXtal_Prot#'!A:AL,34,FALSE)</f>
        <v>10</v>
      </c>
      <c r="AM154" s="1" t="str">
        <f>IF(ISERROR(MATCH(A154,'SegEnds_Xtal_Prot#'!B:B, 0)), "NoXtal", "Xtal")</f>
        <v>NoXtal</v>
      </c>
    </row>
    <row r="155" spans="1:39" x14ac:dyDescent="0.2">
      <c r="A155" s="12" t="s">
        <v>189</v>
      </c>
      <c r="B155" s="12" t="str">
        <f>VLOOKUP(A155,Xtal_Templ!A:B,2,FALSE)</f>
        <v>ccr9_human</v>
      </c>
      <c r="C155" s="13">
        <f>VLOOKUP($B155&amp;"__wt",'SegEnds_Xtal_BW#'!$A:$Z,3,FALSE)</f>
        <v>27</v>
      </c>
      <c r="D155" s="12">
        <f>VLOOKUP($B155&amp;"__wt",'SegEnds_Xtal_BW#'!$A:$Z,4,FALSE)</f>
        <v>60</v>
      </c>
      <c r="E155" s="12">
        <f>VLOOKUP($B155&amp;"__wt",'SegEnds_Xtal_BW#'!$A:$Z,5,FALSE)</f>
        <v>48</v>
      </c>
      <c r="F155" s="12">
        <f>VLOOKUP($B155&amp;"__wt",'SegEnds_Xtal_BW#'!$A:$Z,6,FALSE)</f>
        <v>51</v>
      </c>
      <c r="G155" s="12">
        <v>37</v>
      </c>
      <c r="H155" s="12">
        <v>66</v>
      </c>
      <c r="I155" s="12">
        <f>VLOOKUP($B155&amp;"__wt",'SegEnds_Xtal_BW#'!$A:$Z,9,FALSE)</f>
        <v>49</v>
      </c>
      <c r="J155" s="12">
        <f>VLOOKUP($B155&amp;"__wt",'SegEnds_Xtal_BW#'!$A:$Z,10,FALSE)</f>
        <v>52</v>
      </c>
      <c r="K155" s="12">
        <v>24</v>
      </c>
      <c r="L155" s="12">
        <f>VLOOKUP($B155&amp;"__wt",'SegEnds_Xtal_BW#'!$A:$Z,12,FALSE)</f>
        <v>56</v>
      </c>
      <c r="M155" s="12">
        <f>VLOOKUP($B155&amp;"__wt",'SegEnds_Xtal_BW#'!$A:$Z,13,FALSE)</f>
        <v>50</v>
      </c>
      <c r="N155" s="108">
        <v>59</v>
      </c>
      <c r="O155" s="87">
        <v>38</v>
      </c>
      <c r="P155" s="12">
        <f>VLOOKUP($B155&amp;"__wt",'SegEnds_Xtal_BW#'!$A:$Z,16,FALSE)</f>
        <v>64</v>
      </c>
      <c r="Q155" s="12">
        <f>VLOOKUP($B155&amp;"__wt",'SegEnds_Xtal_BW#'!$A:$Z,17,FALSE)</f>
        <v>50</v>
      </c>
      <c r="R155" s="12">
        <f>VLOOKUP($B155&amp;"__wt",'SegEnds_Xtal_BW#'!$A:$Z,18,FALSE)</f>
        <v>52</v>
      </c>
      <c r="S155" s="12">
        <f>VLOOKUP($B155&amp;"__wt",'SegEnds_Xtal_BW#'!$A:$Z,19,FALSE)</f>
        <v>33</v>
      </c>
      <c r="T155" s="12">
        <f t="array" ref="T155">INDEX(ICL3_classA!$G$2:$G$41,MATCH(MIN(ABS(AJ155-ICL3_classA!$F$2:$F$41)),ABS(AJ155-ICL3_classA!$F$2:$F$41),0))</f>
        <v>68</v>
      </c>
      <c r="U155" s="108">
        <v>29</v>
      </c>
      <c r="V155" s="12">
        <v>61</v>
      </c>
      <c r="W155" s="128">
        <f>VLOOKUP($B155&amp;"__wt",'SegEnds_Xtal_BW#'!$A:$Z,23,FALSE)</f>
        <v>24</v>
      </c>
      <c r="X155" s="12">
        <f>VLOOKUP($B155&amp;"__wt",'SegEnds_Xtal_BW#'!$A:$Z,24,FALSE)</f>
        <v>56</v>
      </c>
      <c r="Y155" s="12">
        <f>VLOOKUP($B155&amp;"__wt",'SegEnds_Xtal_BW#'!$A:$Z,25,FALSE)</f>
        <v>47</v>
      </c>
      <c r="Z155" s="12">
        <f>VLOOKUP($B155&amp;"__wt",'SegEnds_Xtal_BW#'!$A:$Z,26,FALSE)</f>
        <v>67</v>
      </c>
      <c r="AA155" s="36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2">
        <f>VLOOKUP(A155,'SegEnds_NonXtal_Prot#'!A:AL,10,FALSE)-VLOOKUP(A155,'SegEnds_NonXtal_Prot#'!A:AL,7,FALSE)</f>
        <v>15</v>
      </c>
      <c r="AD155" s="12">
        <f>VLOOKUP(A155,'SegEnds_NonXtal_Prot#'!A:AL,13,FALSE)-VLOOKUP(A155,'SegEnds_NonXtal_Prot#'!A:AL,10,FALSE)</f>
        <v>18</v>
      </c>
      <c r="AE155" s="12">
        <f>VLOOKUP(A155,'SegEnds_NonXtal_Prot#'!A:AL,16,FALSE)-VLOOKUP(A155,'SegEnds_NonXtal_Prot#'!A:AL,10,FALSE)</f>
        <v>50</v>
      </c>
      <c r="AF155" s="1">
        <f>VLOOKUP(A155,'SegEnds_NonXtal_Prot#'!A:AL,22,FALSE)-VLOOKUP(A155,'SegEnds_NonXtal_Prot#'!A:AL,19,FALSE)</f>
        <v>22</v>
      </c>
      <c r="AG155" s="12" t="e">
        <f>VLOOKUP(#REF!,'SegEnds_NonXtal_Prot#'!#REF!,28,FALSE)-VLOOKUP(#REF!,'SegEnds_NonXtal_Prot#'!#REF!,25,FALSE)</f>
        <v>#REF!</v>
      </c>
      <c r="AH155" s="12">
        <f>VLOOKUP(A155,'SegEnds_NonXtal_Prot#'!A:AL,28,FALSE)-VLOOKUP(A155,'SegEnds_NonXtal_Prot#'!A:AL,25,FALSE)</f>
        <v>23</v>
      </c>
      <c r="AI155" s="1">
        <f>VLOOKUP(A155,'SegEnds_NonXtal_Prot#'!A:AL,28,FALSE)-VLOOKUP(A155,'SegEnds_NonXtal_Prot#'!A:AL,22,FALSE)</f>
        <v>47</v>
      </c>
      <c r="AJ155" s="12">
        <f>VLOOKUP(A155,'SegEnds_NonXtal_Prot#'!A:AL,31,FALSE)-VLOOKUP(A155,'SegEnds_NonXtal_Prot#'!A:AL,28,FALSE)</f>
        <v>43</v>
      </c>
      <c r="AK155" s="12">
        <f>VLOOKUP(A155,'SegEnds_NonXtal_Prot#'!A:AL,34,FALSE)-VLOOKUP(A155,'SegEnds_NonXtal_Prot#'!A:AL,31,FALSE)</f>
        <v>39</v>
      </c>
      <c r="AL155" s="1">
        <f>VLOOKUP(A155,'SegEnds_NonXtal_Prot#'!A:AL,37,FALSE)-VLOOKUP(A155,'SegEnds_NonXtal_Prot#'!A:AL,34,FALSE)</f>
        <v>10</v>
      </c>
      <c r="AM155" s="12" t="str">
        <f>IF(ISERROR(MATCH(A155,'SegEnds_Xtal_Prot#'!B:B, 0)), "NoXtal", "Xtal")</f>
        <v>NoXtal</v>
      </c>
    </row>
    <row r="156" spans="1:39" x14ac:dyDescent="0.2">
      <c r="A156" s="4" t="s">
        <v>199</v>
      </c>
      <c r="B156" s="4" t="str">
        <f>VLOOKUP(A156,Xtal_Templ!A:B,2,FALSE)</f>
        <v>ox2r_human</v>
      </c>
      <c r="C156" s="5">
        <f>VLOOKUP($B156&amp;"__wt",'SegEnds_Xtal_BW#'!$A:$Z,3,FALSE)</f>
        <v>31</v>
      </c>
      <c r="D156" s="4">
        <f>VLOOKUP($B156&amp;"__wt",'SegEnds_Xtal_BW#'!$A:$Z,4,FALSE)</f>
        <v>60</v>
      </c>
      <c r="E156" s="4">
        <f>VLOOKUP($B156&amp;"__wt",'SegEnds_Xtal_BW#'!$A:$Z,5,FALSE)</f>
        <v>48</v>
      </c>
      <c r="F156" s="4">
        <f>VLOOKUP($B156&amp;"__wt",'SegEnds_Xtal_BW#'!$A:$Z,6,FALSE)</f>
        <v>51</v>
      </c>
      <c r="G156" s="4">
        <v>37</v>
      </c>
      <c r="H156" s="11">
        <v>66</v>
      </c>
      <c r="I156" s="4">
        <f>VLOOKUP($B156&amp;"__wt",'SegEnds_Xtal_BW#'!$A:$Z,9,FALSE)</f>
        <v>49</v>
      </c>
      <c r="J156" s="4">
        <f>VLOOKUP($B156&amp;"__wt",'SegEnds_Xtal_BW#'!$A:$Z,10,FALSE)</f>
        <v>52</v>
      </c>
      <c r="K156" s="11">
        <v>21</v>
      </c>
      <c r="L156" s="4">
        <f>VLOOKUP($B156&amp;"__wt",'SegEnds_Xtal_BW#'!$A:$Z,12,FALSE)</f>
        <v>56</v>
      </c>
      <c r="M156" s="4">
        <f>VLOOKUP($B156&amp;"__wt",'SegEnds_Xtal_BW#'!$A:$Z,13,FALSE)</f>
        <v>50</v>
      </c>
      <c r="N156" s="11">
        <v>57</v>
      </c>
      <c r="O156" s="87">
        <f>VLOOKUP($B156&amp;"__wt",'SegEnds_Xtal_BW#'!$A:$Z,15,FALSE)</f>
        <v>38</v>
      </c>
      <c r="P156" s="4">
        <f>VLOOKUP($B156&amp;"__wt",'SegEnds_Xtal_BW#'!$A:$Z,16,FALSE)</f>
        <v>64</v>
      </c>
      <c r="Q156" s="4">
        <f>VLOOKUP($B156&amp;"__wt",'SegEnds_Xtal_BW#'!$A:$Z,17,FALSE)</f>
        <v>50</v>
      </c>
      <c r="R156" s="4">
        <f>VLOOKUP($B156&amp;"__wt",'SegEnds_Xtal_BW#'!$A:$Z,18,FALSE)</f>
        <v>52</v>
      </c>
      <c r="S156" s="4">
        <f>VLOOKUP($B156&amp;"__wt",'SegEnds_Xtal_BW#'!$A:$Z,19,FALSE)</f>
        <v>33</v>
      </c>
      <c r="T156" s="4">
        <f t="array" ref="T156">INDEX(ICL3_classA!$G$2:$G$41,MATCH(MIN(ABS(AJ156-ICL3_classA!$F$2:$F$41)),ABS(AJ156-ICL3_classA!$F$2:$F$41),0))</f>
        <v>76</v>
      </c>
      <c r="U156" s="4">
        <f t="array" ref="U156">INDEX(ICL3_classA!$H$2:$H$41,MATCH(MIN(ABS(AJ156-ICL3_classA!$F$2:$F$41)),ABS(AJ156-ICL3_classA!$F$2:$F$41),0))</f>
        <v>24</v>
      </c>
      <c r="V156" s="4">
        <v>61</v>
      </c>
      <c r="W156" s="128">
        <f>VLOOKUP($B156&amp;"__wt",'SegEnds_Xtal_BW#'!$A:$Z,23,FALSE)</f>
        <v>27</v>
      </c>
      <c r="X156" s="4">
        <f>VLOOKUP($B156&amp;"__wt",'SegEnds_Xtal_BW#'!$A:$Z,24,FALSE)</f>
        <v>56</v>
      </c>
      <c r="Y156" s="4">
        <f>VLOOKUP($B156&amp;"__wt",'SegEnds_Xtal_BW#'!$A:$Z,25,FALSE)</f>
        <v>47</v>
      </c>
      <c r="Z156" s="4">
        <f>VLOOKUP($B156&amp;"__wt",'SegEnds_Xtal_BW#'!$A:$Z,26,FALSE)</f>
        <v>63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27</v>
      </c>
      <c r="AC156" s="4" t="e">
        <f>VLOOKUP(A156,'SegEnds_NonXtal_Prot#'!A:AL,10,FALSE)-VLOOKUP(A156,'SegEnds_NonXtal_Prot#'!A:AL,7,FALSE)</f>
        <v>#VALUE!</v>
      </c>
      <c r="AD156" s="4">
        <f>VLOOKUP(A156,'SegEnds_NonXtal_Prot#'!A:AL,13,FALSE)-VLOOKUP(A156,'SegEnds_NonXtal_Prot#'!A:AL,10,FALSE)</f>
        <v>19</v>
      </c>
      <c r="AE156" s="4">
        <f>VLOOKUP(A156,'SegEnds_NonXtal_Prot#'!A:AL,16,FALSE)-VLOOKUP(A156,'SegEnds_NonXtal_Prot#'!A:AL,10,FALSE)</f>
        <v>51</v>
      </c>
      <c r="AF156" s="1">
        <f>VLOOKUP(A156,'SegEnds_NonXtal_Prot#'!A:AL,22,FALSE)-VLOOKUP(A156,'SegEnds_NonXtal_Prot#'!A:AL,19,FALSE)</f>
        <v>20</v>
      </c>
      <c r="AG156" s="4" t="e">
        <f>VLOOKUP(#REF!,'SegEnds_NonXtal_Prot#'!#REF!,28,FALSE)-VLOOKUP(#REF!,'SegEnds_NonXtal_Prot#'!#REF!,25,FALSE)</f>
        <v>#REF!</v>
      </c>
      <c r="AH156" s="4">
        <f>VLOOKUP(A156,'SegEnds_NonXtal_Prot#'!A:AL,28,FALSE)-VLOOKUP(A156,'SegEnds_NonXtal_Prot#'!A:AL,25,FALSE)</f>
        <v>25</v>
      </c>
      <c r="AI156" s="1">
        <f>VLOOKUP(A156,'SegEnds_NonXtal_Prot#'!A:AL,28,FALSE)-VLOOKUP(A156,'SegEnds_NonXtal_Prot#'!A:AL,22,FALSE)</f>
        <v>56</v>
      </c>
      <c r="AJ156" s="4">
        <f>VLOOKUP(A156,'SegEnds_NonXtal_Prot#'!A:AL,31,FALSE)-VLOOKUP(A156,'SegEnds_NonXtal_Prot#'!A:AL,28,FALSE)</f>
        <v>76</v>
      </c>
      <c r="AK156" s="4">
        <f>VLOOKUP(A156,'SegEnds_NonXtal_Prot#'!A:AL,34,FALSE)-VLOOKUP(A156,'SegEnds_NonXtal_Prot#'!A:AL,31,FALSE)</f>
        <v>39</v>
      </c>
      <c r="AL156" s="1">
        <f>VLOOKUP(A156,'SegEnds_NonXtal_Prot#'!A:AL,37,FALSE)-VLOOKUP(A156,'SegEnds_NonXtal_Prot#'!A:AL,34,FALSE)</f>
        <v>10</v>
      </c>
      <c r="AM156" s="1" t="str">
        <f>IF(ISERROR(MATCH(A156,'SegEnds_Xtal_Prot#'!B:B, 0)), "NoXtal", "Xtal")</f>
        <v>NoXtal</v>
      </c>
    </row>
    <row r="157" spans="1:39" x14ac:dyDescent="0.2">
      <c r="A157" s="3" t="s">
        <v>1690</v>
      </c>
      <c r="B157" s="1" t="str">
        <f>VLOOKUP(A157,Xtal_Templ!A:B,2,FALSE)</f>
        <v>ednrb_human</v>
      </c>
      <c r="C157" s="5">
        <f>VLOOKUP($B157&amp;"__wt",'SegEnds_Xtal_BW#'!$A:$Z,3,FALSE)</f>
        <v>22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52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21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28</v>
      </c>
      <c r="T157" s="1">
        <f t="array" ref="T157">INDEX(ICL3_classA!$G$2:$G$41,MATCH(MIN(ABS(AJ157-ICL3_classA!$F$2:$F$41)),ABS(AJ157-ICL3_classA!$F$2:$F$41),0))</f>
        <v>72</v>
      </c>
      <c r="U157" s="1">
        <f t="array" ref="U157">INDEX(ICL3_classA!$H$2:$H$41,MATCH(MIN(ABS(AJ157-ICL3_classA!$F$2:$F$41)),ABS(AJ157-ICL3_classA!$F$2:$F$41),0))</f>
        <v>24</v>
      </c>
      <c r="V157" s="1">
        <v>61</v>
      </c>
      <c r="W157" s="128">
        <f>VLOOKUP($B157&amp;"__wt",'SegEnds_Xtal_BW#'!$A:$Z,23,FALSE)</f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60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 t="e">
        <f>VLOOKUP(A157,'SegEnds_NonXtal_Prot#'!A:AL,13,FALSE)-VLOOKUP(A157,'SegEnds_NonXtal_Prot#'!A:AL,10,FALSE)</f>
        <v>#VALUE!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 t="e">
        <f>VLOOKUP(#REF!,'SegEnds_NonXtal_Prot#'!#REF!,28,FALSE)-VLOOKUP(#REF!,'SegEnds_NonXtal_Prot#'!#REF!,25,FALSE)</f>
        <v>#REF!</v>
      </c>
      <c r="AH157" s="1">
        <f>VLOOKUP(A157,'SegEnds_NonXtal_Prot#'!A:AL,28,FALSE)-VLOOKUP(A157,'SegEnds_NonXtal_Prot#'!A:AL,25,FALSE)</f>
        <v>35</v>
      </c>
      <c r="AI157" s="1">
        <f>VLOOKUP(A157,'SegEnds_NonXtal_Prot#'!A:AL,28,FALSE)-VLOOKUP(A157,'SegEnds_NonXtal_Prot#'!A:AL,22,FALSE)</f>
        <v>65</v>
      </c>
      <c r="AJ157" s="1">
        <f>VLOOKUP(A157,'SegEnds_NonXtal_Prot#'!A:AL,31,FALSE)-VLOOKUP(A157,'SegEnds_NonXtal_Prot#'!A:AL,28,FALSE)</f>
        <v>53</v>
      </c>
      <c r="AK157" s="1">
        <f>VLOOKUP(A157,'SegEnds_NonXtal_Prot#'!A:AL,34,FALSE)-VLOOKUP(A157,'SegEnds_NonXtal_Prot#'!A:AL,31,FALSE)</f>
        <v>39</v>
      </c>
      <c r="AL157" s="1">
        <f>VLOOKUP(A157,'SegEnds_NonXtal_Prot#'!A:AL,37,FALSE)-VLOOKUP(A157,'SegEnds_NonXtal_Prot#'!A:AL,34,FALSE)</f>
        <v>10</v>
      </c>
      <c r="AM157" s="1" t="str">
        <f>IF(ISERROR(MATCH(A157,'SegEnds_Xtal_Prot#'!B:B, 0)), "NoXtal", "Xtal")</f>
        <v>NoXtal</v>
      </c>
    </row>
    <row r="158" spans="1:39" x14ac:dyDescent="0.2">
      <c r="A158" s="1" t="s">
        <v>207</v>
      </c>
      <c r="B158" s="1" t="str">
        <f>VLOOKUP(A158,Xtal_Templ!A:B,2,FALSE)</f>
        <v>ox2r_human</v>
      </c>
      <c r="C158" s="5">
        <f>VLOOKUP($B158&amp;"__wt",'SegEnds_Xtal_BW#'!$A:$Z,3,FALSE)</f>
        <v>31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68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33</v>
      </c>
      <c r="T158" s="1">
        <f t="array" ref="T158">INDEX(ICL3_classA!$G$2:$G$41,MATCH(MIN(ABS(AJ158-ICL3_classA!$F$2:$F$41)),ABS(AJ158-ICL3_classA!$F$2:$F$41),0))</f>
        <v>76</v>
      </c>
      <c r="U158" s="1">
        <f t="array" ref="U158">INDEX(ICL3_classA!$H$2:$H$41,MATCH(MIN(ABS(AJ158-ICL3_classA!$F$2:$F$41)),ABS(AJ158-ICL3_classA!$F$2:$F$41),0))</f>
        <v>24</v>
      </c>
      <c r="V158" s="1">
        <v>61</v>
      </c>
      <c r="W158" s="128">
        <f>VLOOKUP($B158&amp;"__wt",'SegEnds_Xtal_BW#'!$A:$Z,23,FALSE)</f>
        <v>27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63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 t="e">
        <f>VLOOKUP(#REF!,'SegEnds_NonXtal_Prot#'!#REF!,28,FALSE)-VLOOKUP(#REF!,'SegEnds_NonXtal_Prot#'!#REF!,25,FALSE)</f>
        <v>#REF!</v>
      </c>
      <c r="AH158" s="1">
        <f>VLOOKUP(A158,'SegEnds_NonXtal_Prot#'!A:AL,28,FALSE)-VLOOKUP(A158,'SegEnds_NonXtal_Prot#'!A:AL,25,FALSE)</f>
        <v>25</v>
      </c>
      <c r="AI158" s="1">
        <f>VLOOKUP(A158,'SegEnds_NonXtal_Prot#'!A:AL,28,FALSE)-VLOOKUP(A158,'SegEnds_NonXtal_Prot#'!A:AL,22,FALSE)</f>
        <v>51</v>
      </c>
      <c r="AJ158" s="1">
        <f>VLOOKUP(A158,'SegEnds_NonXtal_Prot#'!A:AL,31,FALSE)-VLOOKUP(A158,'SegEnds_NonXtal_Prot#'!A:AL,28,FALSE)</f>
        <v>118</v>
      </c>
      <c r="AK158" s="1">
        <f>VLOOKUP(A158,'SegEnds_NonXtal_Prot#'!A:AL,34,FALSE)-VLOOKUP(A158,'SegEnds_NonXtal_Prot#'!A:AL,31,FALSE)</f>
        <v>39</v>
      </c>
      <c r="AL158" s="1">
        <f>VLOOKUP(A158,'SegEnds_NonXtal_Prot#'!A:AL,37,FALSE)-VLOOKUP(A158,'SegEnds_NonXtal_Prot#'!A:AL,34,FALSE)</f>
        <v>10</v>
      </c>
      <c r="AM158" s="1" t="str">
        <f>IF(ISERROR(MATCH(A158,'SegEnds_Xtal_Prot#'!B:B, 0)), "NoXtal", "Xtal")</f>
        <v>NoXtal</v>
      </c>
    </row>
    <row r="159" spans="1:39" x14ac:dyDescent="0.2">
      <c r="A159" s="1" t="s">
        <v>215</v>
      </c>
      <c r="B159" s="1" t="str">
        <f>VLOOKUP(A159,Xtal_Templ!A:B,2,FALSE)</f>
        <v>5ht2c_human</v>
      </c>
      <c r="C159" s="5">
        <f>VLOOKUP($B159&amp;"__wt",'SegEnds_Xtal_BW#'!$A:$Z,3,FALSE)</f>
        <v>33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"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08">
        <v>56</v>
      </c>
      <c r="O159" s="87">
        <f>VLOOKUP($B159&amp;"__wt",'SegEnds_Xtal_BW#'!$A:$Z,15,FALSE)</f>
        <v>38</v>
      </c>
      <c r="P159" s="1">
        <f>VLOOKUP($B159&amp;"__wt",'SegEnds_Xtal_BW#'!$A:$Z,16,FALSE)</f>
        <v>67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35</v>
      </c>
      <c r="T159" s="1">
        <f t="array" ref="T159">INDEX(ICL3_classA!$G$2:$G$41,MATCH(MIN(ABS(AJ159-ICL3_classA!$F$2:$F$41)),ABS(AJ159-ICL3_classA!$F$2:$F$41),0))</f>
        <v>68</v>
      </c>
      <c r="U159" s="1">
        <f t="array" ref="U159">INDEX(ICL3_classA!$H$2:$H$41,MATCH(MIN(ABS(AJ159-ICL3_classA!$F$2:$F$41)),ABS(AJ159-ICL3_classA!$F$2:$F$41),0))</f>
        <v>24</v>
      </c>
      <c r="V159" s="1">
        <v>61</v>
      </c>
      <c r="W159" s="128">
        <f>VLOOKUP($B159&amp;"__wt",'SegEnds_Xtal_BW#'!$A:$Z,23,FALSE)</f>
        <v>27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60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29</v>
      </c>
      <c r="AC159" s="1" t="e">
        <f>VLOOKUP(A159,'SegEnds_NonXtal_Prot#'!A:AL,10,FALSE)-VLOOKUP(A159,'SegEnds_NonXtal_Prot#'!A:AL,7,FALSE)</f>
        <v>#VALUE!</v>
      </c>
      <c r="AD159" s="1" t="e">
        <f>VLOOKUP(A159,'SegEnds_NonXtal_Prot#'!A:AL,13,FALSE)-VLOOKUP(A159,'SegEnds_NonXtal_Prot#'!A:AL,10,FALSE)</f>
        <v>#VALUE!</v>
      </c>
      <c r="AE159" s="1">
        <f>VLOOKUP(A159,'SegEnds_NonXtal_Prot#'!A:AL,16,FALSE)-VLOOKUP(A159,'SegEnds_NonXtal_Prot#'!A:AL,10,FALSE)</f>
        <v>53</v>
      </c>
      <c r="AF159" s="1">
        <f>VLOOKUP(A159,'SegEnds_NonXtal_Prot#'!A:AL,22,FALSE)-VLOOKUP(A159,'SegEnds_NonXtal_Prot#'!A:AL,19,FALSE)</f>
        <v>19</v>
      </c>
      <c r="AG159" s="1" t="e">
        <f>VLOOKUP(#REF!,'SegEnds_NonXtal_Prot#'!#REF!,28,FALSE)-VLOOKUP(#REF!,'SegEnds_NonXtal_Prot#'!#REF!,25,FALSE)</f>
        <v>#REF!</v>
      </c>
      <c r="AH159" s="1" t="e">
        <f>VLOOKUP(A159,'SegEnds_NonXtal_Prot#'!A:AL,28,FALSE)-VLOOKUP(A159,'SegEnds_NonXtal_Prot#'!A:AL,25,FALSE)</f>
        <v>#VALUE!</v>
      </c>
      <c r="AI159" s="1">
        <f>VLOOKUP(A159,'SegEnds_NonXtal_Prot#'!A:AL,28,FALSE)-VLOOKUP(A159,'SegEnds_NonXtal_Prot#'!A:AL,22,FALSE)</f>
        <v>43</v>
      </c>
      <c r="AJ159" s="1">
        <f>VLOOKUP(A159,'SegEnds_NonXtal_Prot#'!A:AL,31,FALSE)-VLOOKUP(A159,'SegEnds_NonXtal_Prot#'!A:AL,28,FALSE)</f>
        <v>48</v>
      </c>
      <c r="AK159" s="1">
        <f>VLOOKUP(A159,'SegEnds_NonXtal_Prot#'!A:AL,34,FALSE)-VLOOKUP(A159,'SegEnds_NonXtal_Prot#'!A:AL,31,FALSE)</f>
        <v>39</v>
      </c>
      <c r="AL159" s="1">
        <f>VLOOKUP(A159,'SegEnds_NonXtal_Prot#'!A:AL,37,FALSE)-VLOOKUP(A159,'SegEnds_NonXtal_Prot#'!A:AL,34,FALSE)</f>
        <v>10</v>
      </c>
      <c r="AM159" s="1" t="str">
        <f>IF(ISERROR(MATCH(A159,'SegEnds_Xtal_Prot#'!B:B, 0)), "NoXtal", "Xtal")</f>
        <v>NoXtal</v>
      </c>
    </row>
    <row r="160" spans="1:39" x14ac:dyDescent="0.2">
      <c r="A160" s="1" t="s">
        <v>217</v>
      </c>
      <c r="B160" s="1" t="str">
        <f>VLOOKUP(A160,Xtal_Templ!A:B,2,FALSE)</f>
        <v>5ht2a_human</v>
      </c>
      <c r="C160" s="5">
        <f>VLOOKUP($B160&amp;"__wt",'SegEnds_Xtal_BW#'!$A:$Z,3,FALSE)</f>
        <v>27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"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08">
        <v>56</v>
      </c>
      <c r="O160" s="108">
        <v>38</v>
      </c>
      <c r="P160" s="1">
        <f>VLOOKUP($B160&amp;"__wt",'SegEnds_Xtal_BW#'!$A:$Z,16,FALSE)</f>
        <v>67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35</v>
      </c>
      <c r="T160" s="1">
        <f t="array" ref="T160">INDEX(ICL3_classA!$G$2:$G$41,MATCH(MIN(ABS(AJ160-ICL3_classA!$F$2:$F$41)),ABS(AJ160-ICL3_classA!$F$2:$F$41),0))</f>
        <v>67</v>
      </c>
      <c r="U160" s="1">
        <f t="array" ref="U160">INDEX(ICL3_classA!$H$2:$H$41,MATCH(MIN(ABS(AJ160-ICL3_classA!$F$2:$F$41)),ABS(AJ160-ICL3_classA!$F$2:$F$41),0))</f>
        <v>26</v>
      </c>
      <c r="V160" s="1">
        <v>61</v>
      </c>
      <c r="W160" s="128">
        <f>VLOOKUP($B160&amp;"__wt",'SegEnds_Xtal_BW#'!$A:$Z,23,FALSE)</f>
        <v>27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29</v>
      </c>
      <c r="AC160" s="1" t="e">
        <f>VLOOKUP(A160,'SegEnds_NonXtal_Prot#'!A:AL,10,FALSE)-VLOOKUP(A160,'SegEnds_NonXtal_Prot#'!A:AL,7,FALSE)</f>
        <v>#VALUE!</v>
      </c>
      <c r="AD160" s="1" t="e">
        <f>VLOOKUP(A160,'SegEnds_NonXtal_Prot#'!A:AL,13,FALSE)-VLOOKUP(A160,'SegEnds_NonXtal_Prot#'!A:AL,10,FALSE)</f>
        <v>#VALUE!</v>
      </c>
      <c r="AE160" s="1">
        <f>VLOOKUP(A160,'SegEnds_NonXtal_Prot#'!A:AL,16,FALSE)-VLOOKUP(A160,'SegEnds_NonXtal_Prot#'!A:AL,10,FALSE)</f>
        <v>53</v>
      </c>
      <c r="AF160" s="1">
        <f>VLOOKUP(A160,'SegEnds_NonXtal_Prot#'!A:AL,22,FALSE)-VLOOKUP(A160,'SegEnds_NonXtal_Prot#'!A:AL,19,FALSE)</f>
        <v>19</v>
      </c>
      <c r="AG160" s="1" t="e">
        <f>VLOOKUP(#REF!,'SegEnds_NonXtal_Prot#'!#REF!,28,FALSE)-VLOOKUP(#REF!,'SegEnds_NonXtal_Prot#'!#REF!,25,FALSE)</f>
        <v>#REF!</v>
      </c>
      <c r="AH160" s="1" t="e">
        <f>VLOOKUP(A160,'SegEnds_NonXtal_Prot#'!A:AL,28,FALSE)-VLOOKUP(A160,'SegEnds_NonXtal_Prot#'!A:AL,25,FALSE)</f>
        <v>#VALUE!</v>
      </c>
      <c r="AI160" s="1">
        <f>VLOOKUP(A160,'SegEnds_NonXtal_Prot#'!A:AL,28,FALSE)-VLOOKUP(A160,'SegEnds_NonXtal_Prot#'!A:AL,22,FALSE)</f>
        <v>43</v>
      </c>
      <c r="AJ160" s="1">
        <f>VLOOKUP(A160,'SegEnds_NonXtal_Prot#'!A:AL,31,FALSE)-VLOOKUP(A160,'SegEnds_NonXtal_Prot#'!A:AL,28,FALSE)</f>
        <v>47</v>
      </c>
      <c r="AK160" s="1">
        <f>VLOOKUP(A160,'SegEnds_NonXtal_Prot#'!A:AL,34,FALSE)-VLOOKUP(A160,'SegEnds_NonXtal_Prot#'!A:AL,31,FALSE)</f>
        <v>39</v>
      </c>
      <c r="AL160" s="1">
        <f>VLOOKUP(A160,'SegEnds_NonXtal_Prot#'!A:AL,37,FALSE)-VLOOKUP(A160,'SegEnds_NonXtal_Prot#'!A:AL,34,FALSE)</f>
        <v>10</v>
      </c>
      <c r="AM160" s="1" t="str">
        <f>IF(ISERROR(MATCH(A160,'SegEnds_Xtal_Prot#'!B:B, 0)), "NoXtal", "Xtal")</f>
        <v>NoXtal</v>
      </c>
    </row>
    <row r="161" spans="1:39" x14ac:dyDescent="0.2">
      <c r="A161" s="1" t="s">
        <v>221</v>
      </c>
      <c r="B161" s="1" t="str">
        <f>VLOOKUP(A161,Xtal_Templ!A:B,2,FALSE)</f>
        <v>oxyr_human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 t="str">
        <f>VLOOKUP($B161&amp;"__wt",'SegEnds_Xtal_BW#'!$A:$Z,13,FALSE)</f>
        <v>-</v>
      </c>
      <c r="N161" s="12" t="str">
        <f>VLOOKUP($B161&amp;"__wt",'SegEnds_Xtal_BW#'!$A:$Z,14,FALSE)</f>
        <v>-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33</v>
      </c>
      <c r="T161" s="1">
        <f t="array" ref="T161">INDEX(ICL3_classA!$G$2:$G$41,MATCH(MIN(ABS(AJ161-ICL3_classA!$F$2:$F$41)),ABS(AJ161-ICL3_classA!$F$2:$F$41),0))</f>
        <v>81</v>
      </c>
      <c r="U161" s="1">
        <f t="array" ref="U161">INDEX(ICL3_classA!$H$2:$H$41,MATCH(MIN(ABS(AJ161-ICL3_classA!$F$2:$F$41)),ABS(AJ161-ICL3_classA!$F$2:$F$41),0))</f>
        <v>23</v>
      </c>
      <c r="V161" s="1">
        <v>61</v>
      </c>
      <c r="W161" s="128">
        <f>VLOOKUP($B161&amp;"__wt",'SegEnds_Xtal_BW#'!$A:$Z,23,FALSE)</f>
        <v>30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63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33</v>
      </c>
      <c r="AC161" s="1" t="e">
        <f>VLOOKUP(A161,'SegEnds_NonXtal_Prot#'!A:AL,10,FALSE)-VLOOKUP(A161,'SegEnds_NonXtal_Prot#'!A:AL,7,FALSE)</f>
        <v>#VALUE!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54</v>
      </c>
      <c r="AF161" s="1" t="e">
        <f>VLOOKUP(A161,'SegEnds_NonXtal_Prot#'!A:AL,22,FALSE)-VLOOKUP(A161,'SegEnds_NonXtal_Prot#'!A:AL,19,FALSE)</f>
        <v>#VALUE!</v>
      </c>
      <c r="AG161" s="1" t="e">
        <f>VLOOKUP(#REF!,'SegEnds_NonXtal_Prot#'!#REF!,28,FALSE)-VLOOKUP(#REF!,'SegEnds_NonXtal_Prot#'!#REF!,25,FALSE)</f>
        <v>#REF!</v>
      </c>
      <c r="AH161" s="1">
        <f>VLOOKUP(A161,'SegEnds_NonXtal_Prot#'!A:AL,28,FALSE)-VLOOKUP(A161,'SegEnds_NonXtal_Prot#'!A:AL,25,FALSE)</f>
        <v>27</v>
      </c>
      <c r="AI161" s="1">
        <f>VLOOKUP(A161,'SegEnds_NonXtal_Prot#'!A:AL,28,FALSE)-VLOOKUP(A161,'SegEnds_NonXtal_Prot#'!A:AL,22,FALSE)</f>
        <v>75</v>
      </c>
      <c r="AJ161" s="1">
        <f>VLOOKUP(A161,'SegEnds_NonXtal_Prot#'!A:AL,31,FALSE)-VLOOKUP(A161,'SegEnds_NonXtal_Prot#'!A:AL,28,FALSE)</f>
        <v>66</v>
      </c>
      <c r="AK161" s="1">
        <f>VLOOKUP(A161,'SegEnds_NonXtal_Prot#'!A:AL,34,FALSE)-VLOOKUP(A161,'SegEnds_NonXtal_Prot#'!A:AL,31,FALSE)</f>
        <v>39</v>
      </c>
      <c r="AL161" s="1">
        <f>VLOOKUP(A161,'SegEnds_NonXtal_Prot#'!A:AL,37,FALSE)-VLOOKUP(A161,'SegEnds_NonXtal_Prot#'!A:AL,34,FALSE)</f>
        <v>10</v>
      </c>
      <c r="AM161" s="1" t="str">
        <f>IF(ISERROR(MATCH(A161,'SegEnds_Xtal_Prot#'!B:B, 0)), "NoXtal", "Xtal")</f>
        <v>NoXtal</v>
      </c>
    </row>
    <row r="162" spans="1:39" x14ac:dyDescent="0.2">
      <c r="A162" s="1" t="s">
        <v>254</v>
      </c>
      <c r="B162" s="1" t="str">
        <f>VLOOKUP(A162,Xtal_Templ!A:B,2,FALSE)</f>
        <v>ednrb_human</v>
      </c>
      <c r="C162" s="5">
        <f>VLOOKUP($B162&amp;"__wt",'SegEnds_Xtal_BW#'!$A:$Z,3,FALSE)</f>
        <v>22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52</v>
      </c>
      <c r="G162" s="1">
        <v>37</v>
      </c>
      <c r="H162" s="12">
        <f>VLOOKUP($B162&amp;"__wt",'SegEnds_Xtal_BW#'!$A:$Z,8,FALSE)</f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28</v>
      </c>
      <c r="T162" s="1">
        <f t="array" ref="T162">INDEX(ICL3_classA!$G$2:$G$41,MATCH(MIN(ABS(AJ162-ICL3_classA!$F$2:$F$41)),ABS(AJ162-ICL3_classA!$F$2:$F$41),0))</f>
        <v>72</v>
      </c>
      <c r="U162" s="1">
        <f t="array" ref="U162">INDEX(ICL3_classA!$H$2:$H$41,MATCH(MIN(ABS(AJ162-ICL3_classA!$F$2:$F$41)),ABS(AJ162-ICL3_classA!$F$2:$F$41),0))</f>
        <v>24</v>
      </c>
      <c r="V162" s="1">
        <v>61</v>
      </c>
      <c r="W162" s="128">
        <f>VLOOKUP($B162&amp;"__wt",'SegEnds_Xtal_BW#'!$A:$Z,23,FALSE)</f>
        <v>24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60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 t="e">
        <f>VLOOKUP(#REF!,'SegEnds_NonXtal_Prot#'!#REF!,28,FALSE)-VLOOKUP(#REF!,'SegEnds_NonXtal_Prot#'!#REF!,25,FALSE)</f>
        <v>#REF!</v>
      </c>
      <c r="AH162" s="1">
        <f>VLOOKUP(A162,'SegEnds_NonXtal_Prot#'!A:AL,28,FALSE)-VLOOKUP(A162,'SegEnds_NonXtal_Prot#'!A:AL,25,FALSE)</f>
        <v>35</v>
      </c>
      <c r="AI162" s="1">
        <f>VLOOKUP(A162,'SegEnds_NonXtal_Prot#'!A:AL,28,FALSE)-VLOOKUP(A162,'SegEnds_NonXtal_Prot#'!A:AL,22,FALSE)</f>
        <v>67</v>
      </c>
      <c r="AJ162" s="1">
        <f>VLOOKUP(A162,'SegEnds_NonXtal_Prot#'!A:AL,31,FALSE)-VLOOKUP(A162,'SegEnds_NonXtal_Prot#'!A:AL,28,FALSE)</f>
        <v>53</v>
      </c>
      <c r="AK162" s="1">
        <f>VLOOKUP(A162,'SegEnds_NonXtal_Prot#'!A:AL,34,FALSE)-VLOOKUP(A162,'SegEnds_NonXtal_Prot#'!A:AL,31,FALSE)</f>
        <v>39</v>
      </c>
      <c r="AL162" s="1">
        <f>VLOOKUP(A162,'SegEnds_NonXtal_Prot#'!A:AL,37,FALSE)-VLOOKUP(A162,'SegEnds_NonXtal_Prot#'!A:AL,34,FALSE)</f>
        <v>10</v>
      </c>
      <c r="AM162" s="1" t="str">
        <f>IF(ISERROR(MATCH(A162,'SegEnds_Xtal_Prot#'!B:B, 0)), "NoXtal", "Xtal")</f>
        <v>NoXtal</v>
      </c>
    </row>
    <row r="163" spans="1:39" x14ac:dyDescent="0.2">
      <c r="A163" s="1" t="s">
        <v>258</v>
      </c>
      <c r="B163" s="1" t="str">
        <f>VLOOKUP(A163,Xtal_Templ!A:B,2,FALSE)</f>
        <v>ccr6_human</v>
      </c>
      <c r="C163" s="5">
        <f>VLOOKUP($B163&amp;"__wt",'SegEnds_Xtal_BW#'!$A:$Z,3,FALSE)</f>
        <v>25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67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56</v>
      </c>
      <c r="O163" s="87"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INDEX(ICL3_classA!$G$2:$G$41,MATCH(MIN(ABS(AJ163-ICL3_classA!$F$2:$F$41)),ABS(AJ163-ICL3_classA!$F$2:$F$41),0))</f>
        <v>76</v>
      </c>
      <c r="U163" s="1">
        <f t="array" ref="U163">INDEX(ICL3_classA!$H$2:$H$41,MATCH(MIN(ABS(AJ163-ICL3_classA!$F$2:$F$41)),ABS(AJ163-ICL3_classA!$F$2:$F$41),0))</f>
        <v>24</v>
      </c>
      <c r="V163" s="1">
        <v>61</v>
      </c>
      <c r="W163" s="128">
        <f>VLOOKUP($B163&amp;"__wt",'SegEnds_Xtal_BW#'!$A:$Z,23,FALSE)</f>
        <v>24</v>
      </c>
      <c r="X163" s="123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62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 t="e">
        <f>VLOOKUP(A163,'SegEnds_NonXtal_Prot#'!A:AL,22,FALSE)-VLOOKUP(A163,'SegEnds_NonXtal_Prot#'!A:AL,19,FALSE)</f>
        <v>#VALUE!</v>
      </c>
      <c r="AG163" s="1" t="e">
        <f>VLOOKUP(#REF!,'SegEnds_NonXtal_Prot#'!#REF!,28,FALSE)-VLOOKUP(#REF!,'SegEnds_NonXtal_Prot#'!#REF!,25,FALSE)</f>
        <v>#REF!</v>
      </c>
      <c r="AH163" s="1">
        <f>VLOOKUP(A163,'SegEnds_NonXtal_Prot#'!A:AL,28,FALSE)-VLOOKUP(A163,'SegEnds_NonXtal_Prot#'!A:AL,25,FALSE)</f>
        <v>25</v>
      </c>
      <c r="AI163" s="1">
        <f>VLOOKUP(A163,'SegEnds_NonXtal_Prot#'!A:AL,28,FALSE)-VLOOKUP(A163,'SegEnds_NonXtal_Prot#'!A:AL,22,FALSE)</f>
        <v>51</v>
      </c>
      <c r="AJ163" s="1">
        <f>VLOOKUP(A163,'SegEnds_NonXtal_Prot#'!A:AL,31,FALSE)-VLOOKUP(A163,'SegEnds_NonXtal_Prot#'!A:AL,28,FALSE)</f>
        <v>75</v>
      </c>
      <c r="AK163" s="1">
        <f>VLOOKUP(A163,'SegEnds_NonXtal_Prot#'!A:AL,34,FALSE)-VLOOKUP(A163,'SegEnds_NonXtal_Prot#'!A:AL,31,FALSE)</f>
        <v>39</v>
      </c>
      <c r="AL163" s="1">
        <f>VLOOKUP(A163,'SegEnds_NonXtal_Prot#'!A:AL,37,FALSE)-VLOOKUP(A163,'SegEnds_NonXtal_Prot#'!A:AL,34,FALSE)</f>
        <v>10</v>
      </c>
      <c r="AM163" s="1" t="str">
        <f>IF(ISERROR(MATCH(A163,'SegEnds_Xtal_Prot#'!B:B, 0)), "NoXtal", "Xtal")</f>
        <v>NoXtal</v>
      </c>
    </row>
    <row r="164" spans="1:39" x14ac:dyDescent="0.2">
      <c r="A164" s="1" t="s">
        <v>264</v>
      </c>
      <c r="B164" s="1" t="str">
        <f>VLOOKUP(A164,Xtal_Templ!A:B,2,FALSE)</f>
        <v>drd2_human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f>VLOOKUP($B164&amp;"__wt",'SegEnds_Xtal_BW#'!$A:$Z,14,FALSE)</f>
        <v>58</v>
      </c>
      <c r="O164" s="87">
        <v>38</v>
      </c>
      <c r="P164" s="1">
        <f>VLOOKUP($B164&amp;"__wt",'SegEnds_Xtal_BW#'!$A:$Z,16,FALSE)</f>
        <v>62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INDEX(ICL3_classA!$G$2:$G$41,MATCH(MIN(ABS(AJ164-ICL3_classA!$F$2:$F$41)),ABS(AJ164-ICL3_classA!$F$2:$F$41),0))</f>
        <v>76</v>
      </c>
      <c r="U164" s="1">
        <f t="array" ref="U164">INDEX(ICL3_classA!$H$2:$H$41,MATCH(MIN(ABS(AJ164-ICL3_classA!$F$2:$F$41)),ABS(AJ164-ICL3_classA!$F$2:$F$41),0))</f>
        <v>24</v>
      </c>
      <c r="V164" s="1">
        <v>61</v>
      </c>
      <c r="W164" s="128">
        <f>VLOOKUP($B164&amp;"__wt",'SegEnds_Xtal_BW#'!$A:$Z,23,FALSE)</f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 t="e">
        <f>VLOOKUP(A164,'SegEnds_NonXtal_Prot#'!A:AL,22,FALSE)-VLOOKUP(A164,'SegEnds_NonXtal_Prot#'!A:AL,19,FALSE)</f>
        <v>#VALUE!</v>
      </c>
      <c r="AG164" s="1" t="e">
        <f>VLOOKUP(#REF!,'SegEnds_NonXtal_Prot#'!#REF!,28,FALSE)-VLOOKUP(#REF!,'SegEnds_NonXtal_Prot#'!#REF!,25,FALSE)</f>
        <v>#REF!</v>
      </c>
      <c r="AH164" s="1">
        <f>VLOOKUP(A164,'SegEnds_NonXtal_Prot#'!A:AL,28,FALSE)-VLOOKUP(A164,'SegEnds_NonXtal_Prot#'!A:AL,25,FALSE)</f>
        <v>25</v>
      </c>
      <c r="AI164" s="1">
        <f>VLOOKUP(A164,'SegEnds_NonXtal_Prot#'!A:AL,28,FALSE)-VLOOKUP(A164,'SegEnds_NonXtal_Prot#'!A:AL,22,FALSE)</f>
        <v>51</v>
      </c>
      <c r="AJ164" s="1">
        <f>VLOOKUP(A164,'SegEnds_NonXtal_Prot#'!A:AL,31,FALSE)-VLOOKUP(A164,'SegEnds_NonXtal_Prot#'!A:AL,28,FALSE)</f>
        <v>75</v>
      </c>
      <c r="AK164" s="1">
        <f>VLOOKUP(A164,'SegEnds_NonXtal_Prot#'!A:AL,34,FALSE)-VLOOKUP(A164,'SegEnds_NonXtal_Prot#'!A:AL,31,FALSE)</f>
        <v>39</v>
      </c>
      <c r="AL164" s="1">
        <f>VLOOKUP(A164,'SegEnds_NonXtal_Prot#'!A:AL,37,FALSE)-VLOOKUP(A164,'SegEnds_NonXtal_Prot#'!A:AL,34,FALSE)</f>
        <v>10</v>
      </c>
      <c r="AM164" s="1" t="str">
        <f>IF(ISERROR(MATCH(A164,'SegEnds_Xtal_Prot#'!B:B, 0)), "NoXtal", "Xtal")</f>
        <v>NoXtal</v>
      </c>
    </row>
    <row r="165" spans="1:39" x14ac:dyDescent="0.2">
      <c r="A165" s="1" t="s">
        <v>295</v>
      </c>
      <c r="B165" s="1" t="str">
        <f>VLOOKUP(A165,Xtal_Templ!A:B,2,FALSE)</f>
        <v>mc4r_human</v>
      </c>
      <c r="C165" s="5">
        <f>VLOOKUP($B165&amp;"__wt",'SegEnds_Xtal_BW#'!$A:$Z,3,FALSE)</f>
        <v>35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 t="s">
        <v>23</v>
      </c>
      <c r="J165" s="1" t="s">
        <v>23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 t="str">
        <f>VLOOKUP($B165&amp;"__wt",'SegEnds_Xtal_BW#'!$A:$Z,17,FALSE)</f>
        <v>-</v>
      </c>
      <c r="R165" s="1" t="str">
        <f>VLOOKUP($B165&amp;"__wt",'SegEnds_Xtal_BW#'!$A:$Z,18,FALSE)</f>
        <v>-</v>
      </c>
      <c r="S165" s="108">
        <v>36</v>
      </c>
      <c r="T165" s="1">
        <f t="array" ref="T165">INDEX(ICL3_classA!$G$2:$G$41,MATCH(MIN(ABS(AJ165-ICL3_classA!$F$2:$F$41)),ABS(AJ165-ICL3_classA!$F$2:$F$41),0))</f>
        <v>73</v>
      </c>
      <c r="U165" s="108">
        <v>27</v>
      </c>
      <c r="V165" s="1">
        <v>61</v>
      </c>
      <c r="W165" s="128">
        <f>VLOOKUP($B165&amp;"__wt",'SegEnds_Xtal_BW#'!$A:$Z,23,FALSE)</f>
        <v>34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61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 t="e">
        <f>VLOOKUP(A165,'SegEnds_NonXtal_Prot#'!A:AL,13,FALSE)-VLOOKUP(A165,'SegEnds_NonXtal_Prot#'!A:AL,10,FALSE)</f>
        <v>#VALUE!</v>
      </c>
      <c r="AE165" s="1">
        <f>VLOOKUP(A165,'SegEnds_NonXtal_Prot#'!A:AL,16,FALSE)-VLOOKUP(A165,'SegEnds_NonXtal_Prot#'!A:AL,10,FALSE)</f>
        <v>58</v>
      </c>
      <c r="AF165" s="1">
        <f>VLOOKUP(A165,'SegEnds_NonXtal_Prot#'!A:AL,22,FALSE)-VLOOKUP(A165,'SegEnds_NonXtal_Prot#'!A:AL,19,FALSE)</f>
        <v>20</v>
      </c>
      <c r="AG165" s="1" t="e">
        <f>VLOOKUP(#REF!,'SegEnds_NonXtal_Prot#'!#REF!,28,FALSE)-VLOOKUP(#REF!,'SegEnds_NonXtal_Prot#'!#REF!,25,FALSE)</f>
        <v>#REF!</v>
      </c>
      <c r="AH165" s="1" t="e">
        <f>VLOOKUP(A165,'SegEnds_NonXtal_Prot#'!A:AL,28,FALSE)-VLOOKUP(A165,'SegEnds_NonXtal_Prot#'!A:AL,25,FALSE)</f>
        <v>#VALUE!</v>
      </c>
      <c r="AI165" s="1">
        <f>VLOOKUP(A165,'SegEnds_NonXtal_Prot#'!A:AL,28,FALSE)-VLOOKUP(A165,'SegEnds_NonXtal_Prot#'!A:AL,22,FALSE)</f>
        <v>30</v>
      </c>
      <c r="AJ165" s="1">
        <f>VLOOKUP(A165,'SegEnds_NonXtal_Prot#'!A:AL,31,FALSE)-VLOOKUP(A165,'SegEnds_NonXtal_Prot#'!A:AL,28,FALSE)</f>
        <v>58</v>
      </c>
      <c r="AK165" s="1">
        <f>VLOOKUP(A165,'SegEnds_NonXtal_Prot#'!A:AL,34,FALSE)-VLOOKUP(A165,'SegEnds_NonXtal_Prot#'!A:AL,31,FALSE)</f>
        <v>39</v>
      </c>
      <c r="AL165" s="1">
        <f>VLOOKUP(A165,'SegEnds_NonXtal_Prot#'!A:AL,37,FALSE)-VLOOKUP(A165,'SegEnds_NonXtal_Prot#'!A:AL,34,FALSE)</f>
        <v>10</v>
      </c>
      <c r="AM165" s="1" t="str">
        <f>IF(ISERROR(MATCH(A165,'SegEnds_Xtal_Prot#'!B:B, 0)), "NoXtal", "Xtal")</f>
        <v>NoXtal</v>
      </c>
    </row>
    <row r="166" spans="1:39" x14ac:dyDescent="0.2">
      <c r="A166" s="1" t="s">
        <v>296</v>
      </c>
      <c r="B166" s="1" t="str">
        <f>VLOOKUP(A166,Xtal_Templ!A:B,2,FALSE)</f>
        <v>mc4r_human</v>
      </c>
      <c r="C166" s="5">
        <f>VLOOKUP($B166&amp;"__wt",'SegEnds_Xtal_BW#'!$A:$Z,3,FALSE)</f>
        <v>35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v>67</v>
      </c>
      <c r="I166" s="1" t="s">
        <v>23</v>
      </c>
      <c r="J166" s="1" t="s">
        <v>23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 t="str">
        <f>VLOOKUP($B166&amp;"__wt",'SegEnds_Xtal_BW#'!$A:$Z,17,FALSE)</f>
        <v>-</v>
      </c>
      <c r="R166" s="1" t="str">
        <f>VLOOKUP($B166&amp;"__wt",'SegEnds_Xtal_BW#'!$A:$Z,18,FALSE)</f>
        <v>-</v>
      </c>
      <c r="S166" s="108">
        <v>36</v>
      </c>
      <c r="T166" s="1">
        <f t="array" ref="T166">INDEX(ICL3_classA!$G$2:$G$41,MATCH(MIN(ABS(AJ166-ICL3_classA!$F$2:$F$41)),ABS(AJ166-ICL3_classA!$F$2:$F$41),0))</f>
        <v>73</v>
      </c>
      <c r="U166" s="108">
        <v>27</v>
      </c>
      <c r="V166" s="1">
        <v>61</v>
      </c>
      <c r="W166" s="128">
        <f>VLOOKUP($B166&amp;"__wt",'SegEnds_Xtal_BW#'!$A:$Z,23,FALSE)</f>
        <v>34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61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 t="e">
        <f>VLOOKUP(A166,'SegEnds_NonXtal_Prot#'!A:AL,13,FALSE)-VLOOKUP(A166,'SegEnds_NonXtal_Prot#'!A:AL,10,FALSE)</f>
        <v>#VALUE!</v>
      </c>
      <c r="AE166" s="1">
        <f>VLOOKUP(A166,'SegEnds_NonXtal_Prot#'!A:AL,16,FALSE)-VLOOKUP(A166,'SegEnds_NonXtal_Prot#'!A:AL,10,FALSE)</f>
        <v>57</v>
      </c>
      <c r="AF166" s="1">
        <f>VLOOKUP(A166,'SegEnds_NonXtal_Prot#'!A:AL,22,FALSE)-VLOOKUP(A166,'SegEnds_NonXtal_Prot#'!A:AL,19,FALSE)</f>
        <v>20</v>
      </c>
      <c r="AG166" s="1" t="e">
        <f>VLOOKUP(#REF!,'SegEnds_NonXtal_Prot#'!#REF!,28,FALSE)-VLOOKUP(#REF!,'SegEnds_NonXtal_Prot#'!#REF!,25,FALSE)</f>
        <v>#REF!</v>
      </c>
      <c r="AH166" s="1" t="e">
        <f>VLOOKUP(A166,'SegEnds_NonXtal_Prot#'!A:AL,28,FALSE)-VLOOKUP(A166,'SegEnds_NonXtal_Prot#'!A:AL,25,FALSE)</f>
        <v>#VALUE!</v>
      </c>
      <c r="AI166" s="1">
        <f>VLOOKUP(A166,'SegEnds_NonXtal_Prot#'!A:AL,28,FALSE)-VLOOKUP(A166,'SegEnds_NonXtal_Prot#'!A:AL,22,FALSE)</f>
        <v>30</v>
      </c>
      <c r="AJ166" s="1">
        <f>VLOOKUP(A166,'SegEnds_NonXtal_Prot#'!A:AL,31,FALSE)-VLOOKUP(A166,'SegEnds_NonXtal_Prot#'!A:AL,28,FALSE)</f>
        <v>56</v>
      </c>
      <c r="AK166" s="1">
        <f>VLOOKUP(A166,'SegEnds_NonXtal_Prot#'!A:AL,34,FALSE)-VLOOKUP(A166,'SegEnds_NonXtal_Prot#'!A:AL,31,FALSE)</f>
        <v>39</v>
      </c>
      <c r="AL166" s="1">
        <f>VLOOKUP(A166,'SegEnds_NonXtal_Prot#'!A:AL,37,FALSE)-VLOOKUP(A166,'SegEnds_NonXtal_Prot#'!A:AL,34,FALSE)</f>
        <v>10</v>
      </c>
      <c r="AM166" s="1" t="str">
        <f>IF(ISERROR(MATCH(A166,'SegEnds_Xtal_Prot#'!B:B, 0)), "NoXtal", "Xtal")</f>
        <v>Xtal</v>
      </c>
    </row>
    <row r="167" spans="1:39" x14ac:dyDescent="0.2">
      <c r="A167" s="1" t="s">
        <v>297</v>
      </c>
      <c r="B167" s="1" t="str">
        <f>VLOOKUP(A167,Xtal_Templ!A:B,2,FALSE)</f>
        <v>mc4r_human</v>
      </c>
      <c r="C167" s="5">
        <f>VLOOKUP($B167&amp;"__wt",'SegEnds_Xtal_BW#'!$A:$Z,3,FALSE)</f>
        <v>35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v>49</v>
      </c>
      <c r="J167" s="1" t="str">
        <f>VLOOKUP($B167&amp;"__wt",'SegEnds_Xtal_BW#'!$A:$Z,10,FALSE)</f>
        <v>-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 t="str">
        <f>VLOOKUP($B167&amp;"__wt",'SegEnds_Xtal_BW#'!$A:$Z,17,FALSE)</f>
        <v>-</v>
      </c>
      <c r="R167" s="1" t="str">
        <f>VLOOKUP($B167&amp;"__wt",'SegEnds_Xtal_BW#'!$A:$Z,18,FALSE)</f>
        <v>-</v>
      </c>
      <c r="S167" s="108">
        <v>36</v>
      </c>
      <c r="T167" s="1">
        <f t="array" ref="T167">INDEX(ICL3_classA!$G$2:$G$41,MATCH(MIN(ABS(AJ167-ICL3_classA!$F$2:$F$41)),ABS(AJ167-ICL3_classA!$F$2:$F$41),0))</f>
        <v>73</v>
      </c>
      <c r="U167" s="108">
        <v>27</v>
      </c>
      <c r="V167" s="1">
        <v>61</v>
      </c>
      <c r="W167" s="128">
        <f>VLOOKUP($B167&amp;"__wt",'SegEnds_Xtal_BW#'!$A:$Z,23,FALSE)</f>
        <v>34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61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 t="e">
        <f>VLOOKUP(A167,'SegEnds_NonXtal_Prot#'!A:AL,13,FALSE)-VLOOKUP(A167,'SegEnds_NonXtal_Prot#'!A:AL,10,FALSE)</f>
        <v>#VALUE!</v>
      </c>
      <c r="AE167" s="1">
        <f>VLOOKUP(A167,'SegEnds_NonXtal_Prot#'!A:AL,16,FALSE)-VLOOKUP(A167,'SegEnds_NonXtal_Prot#'!A:AL,10,FALSE)</f>
        <v>58</v>
      </c>
      <c r="AF167" s="1">
        <f>VLOOKUP(A167,'SegEnds_NonXtal_Prot#'!A:AL,22,FALSE)-VLOOKUP(A167,'SegEnds_NonXtal_Prot#'!A:AL,19,FALSE)</f>
        <v>20</v>
      </c>
      <c r="AG167" s="1" t="e">
        <f>VLOOKUP(#REF!,'SegEnds_NonXtal_Prot#'!#REF!,28,FALSE)-VLOOKUP(#REF!,'SegEnds_NonXtal_Prot#'!#REF!,25,FALSE)</f>
        <v>#REF!</v>
      </c>
      <c r="AH167" s="1" t="e">
        <f>VLOOKUP(A167,'SegEnds_NonXtal_Prot#'!A:AL,28,FALSE)-VLOOKUP(A167,'SegEnds_NonXtal_Prot#'!A:AL,25,FALSE)</f>
        <v>#VALUE!</v>
      </c>
      <c r="AI167" s="1">
        <f>VLOOKUP(A167,'SegEnds_NonXtal_Prot#'!A:AL,28,FALSE)-VLOOKUP(A167,'SegEnds_NonXtal_Prot#'!A:AL,22,FALSE)</f>
        <v>30</v>
      </c>
      <c r="AJ167" s="1">
        <f>VLOOKUP(A167,'SegEnds_NonXtal_Prot#'!A:AL,31,FALSE)-VLOOKUP(A167,'SegEnds_NonXtal_Prot#'!A:AL,28,FALSE)</f>
        <v>56</v>
      </c>
      <c r="AK167" s="1">
        <f>VLOOKUP(A167,'SegEnds_NonXtal_Prot#'!A:AL,34,FALSE)-VLOOKUP(A167,'SegEnds_NonXtal_Prot#'!A:AL,31,FALSE)</f>
        <v>39</v>
      </c>
      <c r="AL167" s="1">
        <f>VLOOKUP(A167,'SegEnds_NonXtal_Prot#'!A:AL,37,FALSE)-VLOOKUP(A167,'SegEnds_NonXtal_Prot#'!A:AL,34,FALSE)</f>
        <v>10</v>
      </c>
      <c r="AM167" s="1" t="str">
        <f>IF(ISERROR(MATCH(A167,'SegEnds_Xtal_Prot#'!B:B, 0)), "NoXtal", "Xtal")</f>
        <v>NoXtal</v>
      </c>
    </row>
    <row r="168" spans="1:39" x14ac:dyDescent="0.2">
      <c r="A168" s="1" t="s">
        <v>308</v>
      </c>
      <c r="B168" s="1" t="str">
        <f>VLOOKUP(A168,Xtal_Templ!A:B,2,FALSE)</f>
        <v>mc4r_human</v>
      </c>
      <c r="C168" s="5">
        <f>VLOOKUP($B168&amp;"__wt",'SegEnds_Xtal_BW#'!$A:$Z,3,FALSE)</f>
        <v>35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v>67</v>
      </c>
      <c r="I168" s="1" t="s">
        <v>23</v>
      </c>
      <c r="J168" s="1" t="s">
        <v>23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 t="str">
        <f>VLOOKUP($B168&amp;"__wt",'SegEnds_Xtal_BW#'!$A:$Z,17,FALSE)</f>
        <v>-</v>
      </c>
      <c r="R168" s="1" t="str">
        <f>VLOOKUP($B168&amp;"__wt",'SegEnds_Xtal_BW#'!$A:$Z,18,FALSE)</f>
        <v>-</v>
      </c>
      <c r="S168" s="108">
        <v>36</v>
      </c>
      <c r="T168" s="1">
        <f t="array" ref="T168">INDEX(ICL3_classA!$G$2:$G$41,MATCH(MIN(ABS(AJ168-ICL3_classA!$F$2:$F$41)),ABS(AJ168-ICL3_classA!$F$2:$F$41),0))</f>
        <v>73</v>
      </c>
      <c r="U168" s="108">
        <v>27</v>
      </c>
      <c r="V168" s="1">
        <v>61</v>
      </c>
      <c r="W168" s="128">
        <f>VLOOKUP($B168&amp;"__wt",'SegEnds_Xtal_BW#'!$A:$Z,23,FALSE)</f>
        <v>34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61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 t="e">
        <f>VLOOKUP(A168,'SegEnds_NonXtal_Prot#'!A:AL,13,FALSE)-VLOOKUP(A168,'SegEnds_NonXtal_Prot#'!A:AL,10,FALSE)</f>
        <v>#VALUE!</v>
      </c>
      <c r="AE168" s="1">
        <f>VLOOKUP(A168,'SegEnds_NonXtal_Prot#'!A:AL,16,FALSE)-VLOOKUP(A168,'SegEnds_NonXtal_Prot#'!A:AL,10,FALSE)</f>
        <v>58</v>
      </c>
      <c r="AF168" s="1">
        <f>VLOOKUP(A168,'SegEnds_NonXtal_Prot#'!A:AL,22,FALSE)-VLOOKUP(A168,'SegEnds_NonXtal_Prot#'!A:AL,19,FALSE)</f>
        <v>20</v>
      </c>
      <c r="AG168" s="1" t="e">
        <f>VLOOKUP(#REF!,'SegEnds_NonXtal_Prot#'!#REF!,28,FALSE)-VLOOKUP(#REF!,'SegEnds_NonXtal_Prot#'!#REF!,25,FALSE)</f>
        <v>#REF!</v>
      </c>
      <c r="AH168" s="1" t="e">
        <f>VLOOKUP(A168,'SegEnds_NonXtal_Prot#'!A:AL,28,FALSE)-VLOOKUP(A168,'SegEnds_NonXtal_Prot#'!A:AL,25,FALSE)</f>
        <v>#VALUE!</v>
      </c>
      <c r="AI168" s="1">
        <f>VLOOKUP(A168,'SegEnds_NonXtal_Prot#'!A:AL,28,FALSE)-VLOOKUP(A168,'SegEnds_NonXtal_Prot#'!A:AL,22,FALSE)</f>
        <v>30</v>
      </c>
      <c r="AJ168" s="1">
        <f>VLOOKUP(A168,'SegEnds_NonXtal_Prot#'!A:AL,31,FALSE)-VLOOKUP(A168,'SegEnds_NonXtal_Prot#'!A:AL,28,FALSE)</f>
        <v>57</v>
      </c>
      <c r="AK168" s="1">
        <f>VLOOKUP(A168,'SegEnds_NonXtal_Prot#'!A:AL,34,FALSE)-VLOOKUP(A168,'SegEnds_NonXtal_Prot#'!A:AL,31,FALSE)</f>
        <v>39</v>
      </c>
      <c r="AL168" s="1">
        <f>VLOOKUP(A168,'SegEnds_NonXtal_Prot#'!A:AL,37,FALSE)-VLOOKUP(A168,'SegEnds_NonXtal_Prot#'!A:AL,34,FALSE)</f>
        <v>10</v>
      </c>
      <c r="AM168" s="1" t="str">
        <f>IF(ISERROR(MATCH(A168,'SegEnds_Xtal_Prot#'!B:B, 0)), "NoXtal", "Xtal")</f>
        <v>NoXtal</v>
      </c>
    </row>
    <row r="169" spans="1:39" x14ac:dyDescent="0.2">
      <c r="A169" s="1" t="s">
        <v>309</v>
      </c>
      <c r="B169" s="1" t="str">
        <f>VLOOKUP(A169,Xtal_Templ!A:B,2,FALSE)</f>
        <v>ghsr_human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34</v>
      </c>
      <c r="T169" s="1">
        <f t="array" ref="T169">INDEX(ICL3_classA!$G$2:$G$41,MATCH(MIN(ABS(AJ169-ICL3_classA!$F$2:$F$41)),ABS(AJ169-ICL3_classA!$F$2:$F$41),0))</f>
        <v>72</v>
      </c>
      <c r="U169" s="1">
        <f t="array" ref="U169">INDEX(ICL3_classA!$H$2:$H$41,MATCH(MIN(ABS(AJ169-ICL3_classA!$F$2:$F$41)),ABS(AJ169-ICL3_classA!$F$2:$F$41),0))</f>
        <v>24</v>
      </c>
      <c r="V169" s="1">
        <v>61</v>
      </c>
      <c r="W169" s="128">
        <f>VLOOKUP($B169&amp;"__wt",'SegEnds_Xtal_BW#'!$A:$Z,23,FALSE)</f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62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>
        <f>VLOOKUP(A169,'SegEnds_NonXtal_Prot#'!A:AL,22,FALSE)-VLOOKUP(A169,'SegEnds_NonXtal_Prot#'!A:AL,19,FALSE)</f>
        <v>20</v>
      </c>
      <c r="AG169" s="1" t="e">
        <f>VLOOKUP(#REF!,'SegEnds_NonXtal_Prot#'!#REF!,28,FALSE)-VLOOKUP(#REF!,'SegEnds_NonXtal_Prot#'!#REF!,25,FALSE)</f>
        <v>#REF!</v>
      </c>
      <c r="AH169" s="1">
        <f>VLOOKUP(A169,'SegEnds_NonXtal_Prot#'!A:AL,28,FALSE)-VLOOKUP(A169,'SegEnds_NonXtal_Prot#'!A:AL,25,FALSE)</f>
        <v>24</v>
      </c>
      <c r="AI169" s="1">
        <f>VLOOKUP(A169,'SegEnds_NonXtal_Prot#'!A:AL,28,FALSE)-VLOOKUP(A169,'SegEnds_NonXtal_Prot#'!A:AL,22,FALSE)</f>
        <v>96</v>
      </c>
      <c r="AJ169" s="1">
        <f>VLOOKUP(A169,'SegEnds_NonXtal_Prot#'!A:AL,31,FALSE)-VLOOKUP(A169,'SegEnds_NonXtal_Prot#'!A:AL,28,FALSE)</f>
        <v>54</v>
      </c>
      <c r="AK169" s="1">
        <f>VLOOKUP(A169,'SegEnds_NonXtal_Prot#'!A:AL,34,FALSE)-VLOOKUP(A169,'SegEnds_NonXtal_Prot#'!A:AL,31,FALSE)</f>
        <v>39</v>
      </c>
      <c r="AL169" s="1">
        <f>VLOOKUP(A169,'SegEnds_NonXtal_Prot#'!A:AL,37,FALSE)-VLOOKUP(A169,'SegEnds_NonXtal_Prot#'!A:AL,34,FALSE)</f>
        <v>10</v>
      </c>
      <c r="AM169" s="1" t="str">
        <f>IF(ISERROR(MATCH(A169,'SegEnds_Xtal_Prot#'!B:B, 0)), "NoXtal", "Xtal")</f>
        <v>NoXtal</v>
      </c>
    </row>
    <row r="170" spans="1:39" x14ac:dyDescent="0.2">
      <c r="A170" s="1" t="s">
        <v>310</v>
      </c>
      <c r="B170" s="1" t="str">
        <f>VLOOKUP(A170,Xtal_Templ!A:B,2,FALSE)</f>
        <v>mtr1a_human</v>
      </c>
      <c r="C170" s="5">
        <f>VLOOKUP($B170&amp;"__wt",'SegEnds_Xtal_BW#'!$A:$Z,3,FALSE)</f>
        <v>28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68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35</v>
      </c>
      <c r="T170" s="1">
        <f t="array" ref="T170">INDEX(ICL3_classA!$G$2:$G$41,MATCH(MIN(ABS(AJ170-ICL3_classA!$F$2:$F$41)),ABS(AJ170-ICL3_classA!$F$2:$F$41),0))</f>
        <v>72</v>
      </c>
      <c r="U170" s="1">
        <f t="array" ref="U170">INDEX(ICL3_classA!$H$2:$H$41,MATCH(MIN(ABS(AJ170-ICL3_classA!$F$2:$F$41)),ABS(AJ170-ICL3_classA!$F$2:$F$41),0))</f>
        <v>24</v>
      </c>
      <c r="V170" s="1">
        <v>61</v>
      </c>
      <c r="W170" s="128">
        <f>VLOOKUP($B170&amp;"__wt",'SegEnds_Xtal_BW#'!$A:$Z,23,FALSE)</f>
        <v>31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63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 t="e">
        <f>VLOOKUP(#REF!,'SegEnds_NonXtal_Prot#'!#REF!,28,FALSE)-VLOOKUP(#REF!,'SegEnds_NonXtal_Prot#'!#REF!,25,FALSE)</f>
        <v>#REF!</v>
      </c>
      <c r="AH170" s="1">
        <f>VLOOKUP(A170,'SegEnds_NonXtal_Prot#'!A:AL,28,FALSE)-VLOOKUP(A170,'SegEnds_NonXtal_Prot#'!A:AL,25,FALSE)</f>
        <v>22</v>
      </c>
      <c r="AI170" s="1">
        <f>VLOOKUP(A170,'SegEnds_NonXtal_Prot#'!A:AL,28,FALSE)-VLOOKUP(A170,'SegEnds_NonXtal_Prot#'!A:AL,22,FALSE)</f>
        <v>47</v>
      </c>
      <c r="AJ170" s="1">
        <f>VLOOKUP(A170,'SegEnds_NonXtal_Prot#'!A:AL,31,FALSE)-VLOOKUP(A170,'SegEnds_NonXtal_Prot#'!A:AL,28,FALSE)</f>
        <v>54</v>
      </c>
      <c r="AK170" s="1">
        <f>VLOOKUP(A170,'SegEnds_NonXtal_Prot#'!A:AL,34,FALSE)-VLOOKUP(A170,'SegEnds_NonXtal_Prot#'!A:AL,31,FALSE)</f>
        <v>39</v>
      </c>
      <c r="AL170" s="1">
        <f>VLOOKUP(A170,'SegEnds_NonXtal_Prot#'!A:AL,37,FALSE)-VLOOKUP(A170,'SegEnds_NonXtal_Prot#'!A:AL,34,FALSE)</f>
        <v>10</v>
      </c>
      <c r="AM170" s="1" t="str">
        <f>IF(ISERROR(MATCH(A170,'SegEnds_Xtal_Prot#'!B:B, 0)), "NoXtal", "Xtal")</f>
        <v>Xtal</v>
      </c>
    </row>
    <row r="171" spans="1:39" x14ac:dyDescent="0.2">
      <c r="A171" s="1" t="s">
        <v>311</v>
      </c>
      <c r="B171" s="1" t="str">
        <f>VLOOKUP(A171,Xtal_Templ!A:B,2,FALSE)</f>
        <v>mtr1b_human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v>35</v>
      </c>
      <c r="T171" s="1">
        <f t="array" ref="T171">INDEX(ICL3_classA!$G$2:$G$41,MATCH(MIN(ABS(AJ171-ICL3_classA!$F$2:$F$41)),ABS(AJ171-ICL3_classA!$F$2:$F$41),0))</f>
        <v>72</v>
      </c>
      <c r="U171" s="1">
        <f t="array" ref="U171">INDEX(ICL3_classA!$H$2:$H$41,MATCH(MIN(ABS(AJ171-ICL3_classA!$F$2:$F$41)),ABS(AJ171-ICL3_classA!$F$2:$F$41),0))</f>
        <v>24</v>
      </c>
      <c r="V171" s="1">
        <v>61</v>
      </c>
      <c r="W171" s="128">
        <f>VLOOKUP($B171&amp;"__wt",'SegEnds_Xtal_BW#'!$A:$Z,23,FALSE)</f>
        <v>31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63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 t="e">
        <f>VLOOKUP(#REF!,'SegEnds_NonXtal_Prot#'!#REF!,28,FALSE)-VLOOKUP(#REF!,'SegEnds_NonXtal_Prot#'!#REF!,25,FALSE)</f>
        <v>#REF!</v>
      </c>
      <c r="AH171" s="1">
        <f>VLOOKUP(A171,'SegEnds_NonXtal_Prot#'!A:AL,28,FALSE)-VLOOKUP(A171,'SegEnds_NonXtal_Prot#'!A:AL,25,FALSE)</f>
        <v>22</v>
      </c>
      <c r="AI171" s="1">
        <f>VLOOKUP(A171,'SegEnds_NonXtal_Prot#'!A:AL,28,FALSE)-VLOOKUP(A171,'SegEnds_NonXtal_Prot#'!A:AL,22,FALSE)</f>
        <v>47</v>
      </c>
      <c r="AJ171" s="1">
        <f>VLOOKUP(A171,'SegEnds_NonXtal_Prot#'!A:AL,31,FALSE)-VLOOKUP(A171,'SegEnds_NonXtal_Prot#'!A:AL,28,FALSE)</f>
        <v>54</v>
      </c>
      <c r="AK171" s="1">
        <f>VLOOKUP(A171,'SegEnds_NonXtal_Prot#'!A:AL,34,FALSE)-VLOOKUP(A171,'SegEnds_NonXtal_Prot#'!A:AL,31,FALSE)</f>
        <v>39</v>
      </c>
      <c r="AL171" s="1">
        <f>VLOOKUP(A171,'SegEnds_NonXtal_Prot#'!A:AL,37,FALSE)-VLOOKUP(A171,'SegEnds_NonXtal_Prot#'!A:AL,34,FALSE)</f>
        <v>10</v>
      </c>
      <c r="AM171" s="1" t="str">
        <f>IF(ISERROR(MATCH(A171,'SegEnds_Xtal_Prot#'!B:B, 0)), "NoXtal", "Xtal")</f>
        <v>Xtal</v>
      </c>
    </row>
    <row r="172" spans="1:39" x14ac:dyDescent="0.2">
      <c r="A172" s="1" t="s">
        <v>312</v>
      </c>
      <c r="B172" s="1" t="str">
        <f>VLOOKUP(A172,Xtal_Templ!A:B,2,FALSE)</f>
        <v>mtr1a_human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v>35</v>
      </c>
      <c r="T172" s="1">
        <f t="array" ref="T172">INDEX(ICL3_classA!$G$2:$G$41,MATCH(MIN(ABS(AJ172-ICL3_classA!$F$2:$F$41)),ABS(AJ172-ICL3_classA!$F$2:$F$41),0))</f>
        <v>72</v>
      </c>
      <c r="U172" s="1">
        <f t="array" ref="U172">INDEX(ICL3_classA!$H$2:$H$41,MATCH(MIN(ABS(AJ172-ICL3_classA!$F$2:$F$41)),ABS(AJ172-ICL3_classA!$F$2:$F$41),0))</f>
        <v>23</v>
      </c>
      <c r="V172" s="1">
        <v>61</v>
      </c>
      <c r="W172" s="128">
        <f>VLOOKUP($B172&amp;"__wt",'SegEnds_Xtal_BW#'!$A:$Z,23,FALSE)</f>
        <v>31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63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 t="e">
        <f>VLOOKUP(#REF!,'SegEnds_NonXtal_Prot#'!#REF!,28,FALSE)-VLOOKUP(#REF!,'SegEnds_NonXtal_Prot#'!#REF!,25,FALSE)</f>
        <v>#REF!</v>
      </c>
      <c r="AH172" s="1">
        <f>VLOOKUP(A172,'SegEnds_NonXtal_Prot#'!A:AL,28,FALSE)-VLOOKUP(A172,'SegEnds_NonXtal_Prot#'!A:AL,25,FALSE)</f>
        <v>22</v>
      </c>
      <c r="AI172" s="1">
        <f>VLOOKUP(A172,'SegEnds_NonXtal_Prot#'!A:AL,28,FALSE)-VLOOKUP(A172,'SegEnds_NonXtal_Prot#'!A:AL,22,FALSE)</f>
        <v>47</v>
      </c>
      <c r="AJ172" s="1">
        <f>VLOOKUP(A172,'SegEnds_NonXtal_Prot#'!A:AL,31,FALSE)-VLOOKUP(A172,'SegEnds_NonXtal_Prot#'!A:AL,28,FALSE)</f>
        <v>52</v>
      </c>
      <c r="AK172" s="1">
        <f>VLOOKUP(A172,'SegEnds_NonXtal_Prot#'!A:AL,34,FALSE)-VLOOKUP(A172,'SegEnds_NonXtal_Prot#'!A:AL,31,FALSE)</f>
        <v>39</v>
      </c>
      <c r="AL172" s="1">
        <f>VLOOKUP(A172,'SegEnds_NonXtal_Prot#'!A:AL,37,FALSE)-VLOOKUP(A172,'SegEnds_NonXtal_Prot#'!A:AL,34,FALSE)</f>
        <v>10</v>
      </c>
      <c r="AM172" s="1" t="str">
        <f>IF(ISERROR(MATCH(A172,'SegEnds_Xtal_Prot#'!B:B, 0)), "NoXtal", "Xtal")</f>
        <v>NoXtal</v>
      </c>
    </row>
    <row r="173" spans="1:39" x14ac:dyDescent="0.2">
      <c r="A173" s="1" t="s">
        <v>313</v>
      </c>
      <c r="B173" s="1" t="str">
        <f>VLOOKUP(A173,Xtal_Templ!A:B,2,FALSE)</f>
        <v>nk1r_human</v>
      </c>
      <c r="C173" s="5">
        <f>VLOOKUP($B173&amp;"__wt",'SegEnds_Xtal_BW#'!$A:$Z,3,FALSE)</f>
        <v>28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68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 t="str">
        <f>VLOOKUP($B173&amp;"__wt",'SegEnds_Xtal_BW#'!$A:$Z,13,FALSE)</f>
        <v>-</v>
      </c>
      <c r="N173" s="12">
        <v>56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30</v>
      </c>
      <c r="T173" s="1">
        <f t="array" ref="T173">INDEX(ICL3_classA!$G$2:$G$41,MATCH(MIN(ABS(AJ173-ICL3_classA!$F$2:$F$41)),ABS(AJ173-ICL3_classA!$F$2:$F$41),0))</f>
        <v>73</v>
      </c>
      <c r="U173" s="1">
        <f t="array" ref="U173">INDEX(ICL3_classA!$H$2:$H$41,MATCH(MIN(ABS(AJ173-ICL3_classA!$F$2:$F$41)),ABS(AJ173-ICL3_classA!$F$2:$F$41),0))</f>
        <v>22</v>
      </c>
      <c r="V173" s="1">
        <v>61</v>
      </c>
      <c r="W173" s="128">
        <f>VLOOKUP($B173&amp;"__wt",'SegEnds_Xtal_BW#'!$A:$Z,23,FALSE)</f>
        <v>30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 t="e">
        <f>VLOOKUP(A173,'SegEnds_NonXtal_Prot#'!A:AL,22,FALSE)-VLOOKUP(A173,'SegEnds_NonXtal_Prot#'!A:AL,19,FALSE)</f>
        <v>#VALUE!</v>
      </c>
      <c r="AG173" s="1" t="e">
        <f>VLOOKUP(#REF!,'SegEnds_NonXtal_Prot#'!#REF!,28,FALSE)-VLOOKUP(#REF!,'SegEnds_NonXtal_Prot#'!#REF!,25,FALSE)</f>
        <v>#REF!</v>
      </c>
      <c r="AH173" s="1">
        <f>VLOOKUP(A173,'SegEnds_NonXtal_Prot#'!A:AL,28,FALSE)-VLOOKUP(A173,'SegEnds_NonXtal_Prot#'!A:AL,25,FALSE)</f>
        <v>28</v>
      </c>
      <c r="AI173" s="1">
        <f>VLOOKUP(A173,'SegEnds_NonXtal_Prot#'!A:AL,28,FALSE)-VLOOKUP(A173,'SegEnds_NonXtal_Prot#'!A:AL,22,FALSE)</f>
        <v>53</v>
      </c>
      <c r="AJ173" s="1">
        <f>VLOOKUP(A173,'SegEnds_NonXtal_Prot#'!A:AL,31,FALSE)-VLOOKUP(A173,'SegEnds_NonXtal_Prot#'!A:AL,28,FALSE)</f>
        <v>55</v>
      </c>
      <c r="AK173" s="1">
        <f>VLOOKUP(A173,'SegEnds_NonXtal_Prot#'!A:AL,34,FALSE)-VLOOKUP(A173,'SegEnds_NonXtal_Prot#'!A:AL,31,FALSE)</f>
        <v>39</v>
      </c>
      <c r="AL173" s="1">
        <f>VLOOKUP(A173,'SegEnds_NonXtal_Prot#'!A:AL,37,FALSE)-VLOOKUP(A173,'SegEnds_NonXtal_Prot#'!A:AL,34,FALSE)</f>
        <v>10</v>
      </c>
      <c r="AM173" s="1" t="str">
        <f>IF(ISERROR(MATCH(A173,'SegEnds_Xtal_Prot#'!B:B, 0)), "NoXtal", "Xtal")</f>
        <v>Xtal</v>
      </c>
    </row>
    <row r="174" spans="1:39" x14ac:dyDescent="0.2">
      <c r="A174" s="1" t="s">
        <v>314</v>
      </c>
      <c r="B174" s="1" t="str">
        <f>VLOOKUP(A174,Xtal_Templ!A:B,2,FALSE)</f>
        <v>nk1r_human</v>
      </c>
      <c r="C174" s="5">
        <f>VLOOKUP($B174&amp;"__wt",'SegEnds_Xtal_BW#'!$A:$Z,3,FALSE)</f>
        <v>28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 t="str">
        <f>VLOOKUP($B174&amp;"__wt",'SegEnds_Xtal_BW#'!$A:$Z,13,FALSE)</f>
        <v>-</v>
      </c>
      <c r="N174" s="12">
        <v>56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30</v>
      </c>
      <c r="T174" s="1">
        <f t="array" ref="T174">INDEX(ICL3_classA!$G$2:$G$41,MATCH(MIN(ABS(AJ174-ICL3_classA!$F$2:$F$41)),ABS(AJ174-ICL3_classA!$F$2:$F$41),0))</f>
        <v>73</v>
      </c>
      <c r="U174" s="1">
        <f t="array" ref="U174">INDEX(ICL3_classA!$H$2:$H$41,MATCH(MIN(ABS(AJ174-ICL3_classA!$F$2:$F$41)),ABS(AJ174-ICL3_classA!$F$2:$F$41),0))</f>
        <v>22</v>
      </c>
      <c r="V174" s="1">
        <v>61</v>
      </c>
      <c r="W174" s="128">
        <f>VLOOKUP($B174&amp;"__wt",'SegEnds_Xtal_BW#'!$A:$Z,23,FALSE)</f>
        <v>30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 t="e">
        <f>VLOOKUP(A174,'SegEnds_NonXtal_Prot#'!A:AL,22,FALSE)-VLOOKUP(A174,'SegEnds_NonXtal_Prot#'!A:AL,19,FALSE)</f>
        <v>#VALUE!</v>
      </c>
      <c r="AG174" s="1" t="e">
        <f>VLOOKUP(#REF!,'SegEnds_NonXtal_Prot#'!#REF!,28,FALSE)-VLOOKUP(#REF!,'SegEnds_NonXtal_Prot#'!#REF!,25,FALSE)</f>
        <v>#REF!</v>
      </c>
      <c r="AH174" s="1">
        <f>VLOOKUP(A174,'SegEnds_NonXtal_Prot#'!A:AL,28,FALSE)-VLOOKUP(A174,'SegEnds_NonXtal_Prot#'!A:AL,25,FALSE)</f>
        <v>28</v>
      </c>
      <c r="AI174" s="1">
        <f>VLOOKUP(A174,'SegEnds_NonXtal_Prot#'!A:AL,28,FALSE)-VLOOKUP(A174,'SegEnds_NonXtal_Prot#'!A:AL,22,FALSE)</f>
        <v>53</v>
      </c>
      <c r="AJ174" s="1">
        <f>VLOOKUP(A174,'SegEnds_NonXtal_Prot#'!A:AL,31,FALSE)-VLOOKUP(A174,'SegEnds_NonXtal_Prot#'!A:AL,28,FALSE)</f>
        <v>56</v>
      </c>
      <c r="AK174" s="1">
        <f>VLOOKUP(A174,'SegEnds_NonXtal_Prot#'!A:AL,34,FALSE)-VLOOKUP(A174,'SegEnds_NonXtal_Prot#'!A:AL,31,FALSE)</f>
        <v>39</v>
      </c>
      <c r="AL174" s="1">
        <f>VLOOKUP(A174,'SegEnds_NonXtal_Prot#'!A:AL,37,FALSE)-VLOOKUP(A174,'SegEnds_NonXtal_Prot#'!A:AL,34,FALSE)</f>
        <v>10</v>
      </c>
      <c r="AM174" s="1" t="str">
        <f>IF(ISERROR(MATCH(A174,'SegEnds_Xtal_Prot#'!B:B, 0)), "NoXtal", "Xtal")</f>
        <v>NoXtal</v>
      </c>
    </row>
    <row r="175" spans="1:39" x14ac:dyDescent="0.2">
      <c r="A175" s="1" t="s">
        <v>315</v>
      </c>
      <c r="B175" s="1" t="str">
        <f>VLOOKUP(A175,Xtal_Templ!A:B,2,FALSE)</f>
        <v>nk1r_human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 t="str">
        <f>VLOOKUP($B175&amp;"__wt",'SegEnds_Xtal_BW#'!$A:$Z,13,FALSE)</f>
        <v>-</v>
      </c>
      <c r="N175" s="12">
        <v>56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INDEX(ICL3_classA!$G$2:$G$41,MATCH(MIN(ABS(AJ175-ICL3_classA!$F$2:$F$41)),ABS(AJ175-ICL3_classA!$F$2:$F$41),0))</f>
        <v>73</v>
      </c>
      <c r="U175" s="1">
        <f t="array" ref="U175">INDEX(ICL3_classA!$H$2:$H$41,MATCH(MIN(ABS(AJ175-ICL3_classA!$F$2:$F$41)),ABS(AJ175-ICL3_classA!$F$2:$F$41),0))</f>
        <v>22</v>
      </c>
      <c r="V175" s="1">
        <v>61</v>
      </c>
      <c r="W175" s="128">
        <f>VLOOKUP($B175&amp;"__wt",'SegEnds_Xtal_BW#'!$A:$Z,23,FALSE)</f>
        <v>30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 t="e">
        <f>VLOOKUP(A175,'SegEnds_NonXtal_Prot#'!A:AL,22,FALSE)-VLOOKUP(A175,'SegEnds_NonXtal_Prot#'!A:AL,19,FALSE)</f>
        <v>#VALUE!</v>
      </c>
      <c r="AG175" s="1" t="e">
        <f>VLOOKUP(#REF!,'SegEnds_NonXtal_Prot#'!#REF!,28,FALSE)-VLOOKUP(#REF!,'SegEnds_NonXtal_Prot#'!#REF!,25,FALSE)</f>
        <v>#REF!</v>
      </c>
      <c r="AH175" s="1">
        <f>VLOOKUP(A175,'SegEnds_NonXtal_Prot#'!A:AL,28,FALSE)-VLOOKUP(A175,'SegEnds_NonXtal_Prot#'!A:AL,25,FALSE)</f>
        <v>26</v>
      </c>
      <c r="AI175" s="1">
        <f>VLOOKUP(A175,'SegEnds_NonXtal_Prot#'!A:AL,28,FALSE)-VLOOKUP(A175,'SegEnds_NonXtal_Prot#'!A:AL,22,FALSE)</f>
        <v>51</v>
      </c>
      <c r="AJ175" s="1">
        <f>VLOOKUP(A175,'SegEnds_NonXtal_Prot#'!A:AL,31,FALSE)-VLOOKUP(A175,'SegEnds_NonXtal_Prot#'!A:AL,28,FALSE)</f>
        <v>55</v>
      </c>
      <c r="AK175" s="1">
        <f>VLOOKUP(A175,'SegEnds_NonXtal_Prot#'!A:AL,34,FALSE)-VLOOKUP(A175,'SegEnds_NonXtal_Prot#'!A:AL,31,FALSE)</f>
        <v>39</v>
      </c>
      <c r="AL175" s="1">
        <f>VLOOKUP(A175,'SegEnds_NonXtal_Prot#'!A:AL,37,FALSE)-VLOOKUP(A175,'SegEnds_NonXtal_Prot#'!A:AL,34,FALSE)</f>
        <v>10</v>
      </c>
      <c r="AM175" s="1" t="str">
        <f>IF(ISERROR(MATCH(A175,'SegEnds_Xtal_Prot#'!B:B, 0)), "NoXtal", "Xtal")</f>
        <v>NoXtal</v>
      </c>
    </row>
    <row r="176" spans="1:39" x14ac:dyDescent="0.2">
      <c r="A176" s="1" t="s">
        <v>324</v>
      </c>
      <c r="B176" s="1" t="str">
        <f>VLOOKUP(A176,Xtal_Templ!A:B,2,FALSE)</f>
        <v>npy1r_human</v>
      </c>
      <c r="C176" s="5">
        <f>VLOOKUP($B176&amp;"__wt",'SegEnds_Xtal_BW#'!$A:$Z,3,FALSE)</f>
        <v>28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68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 t="str">
        <f>VLOOKUP($B176&amp;"__wt",'SegEnds_Xtal_BW#'!$A:$Z,13,FALSE)</f>
        <v>-</v>
      </c>
      <c r="N176" s="108" t="s">
        <v>23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INDEX(ICL3_classA!$G$2:$G$41,MATCH(MIN(ABS(AJ176-ICL3_classA!$F$2:$F$41)),ABS(AJ176-ICL3_classA!$F$2:$F$41),0))</f>
        <v>73</v>
      </c>
      <c r="U176" s="1">
        <f t="array" ref="U176">INDEX(ICL3_classA!$H$2:$H$41,MATCH(MIN(ABS(AJ176-ICL3_classA!$F$2:$F$41)),ABS(AJ176-ICL3_classA!$F$2:$F$41),0))</f>
        <v>22</v>
      </c>
      <c r="V176" s="1">
        <v>61</v>
      </c>
      <c r="W176" s="128">
        <f>VLOOKUP($B176&amp;"__wt",'SegEnds_Xtal_BW#'!$A:$Z,23,FALSE)</f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 t="e">
        <f>VLOOKUP(A176,'SegEnds_NonXtal_Prot#'!A:AL,22,FALSE)-VLOOKUP(A176,'SegEnds_NonXtal_Prot#'!A:AL,19,FALSE)</f>
        <v>#VALUE!</v>
      </c>
      <c r="AG176" s="1" t="e">
        <f>VLOOKUP(#REF!,'SegEnds_NonXtal_Prot#'!#REF!,28,FALSE)-VLOOKUP(#REF!,'SegEnds_NonXtal_Prot#'!#REF!,25,FALSE)</f>
        <v>#REF!</v>
      </c>
      <c r="AH176" s="1">
        <f>VLOOKUP(A176,'SegEnds_NonXtal_Prot#'!A:AL,28,FALSE)-VLOOKUP(A176,'SegEnds_NonXtal_Prot#'!A:AL,25,FALSE)</f>
        <v>25</v>
      </c>
      <c r="AI176" s="1">
        <f>VLOOKUP(A176,'SegEnds_NonXtal_Prot#'!A:AL,28,FALSE)-VLOOKUP(A176,'SegEnds_NonXtal_Prot#'!A:AL,22,FALSE)</f>
        <v>60</v>
      </c>
      <c r="AJ176" s="1">
        <f>VLOOKUP(A176,'SegEnds_NonXtal_Prot#'!A:AL,31,FALSE)-VLOOKUP(A176,'SegEnds_NonXtal_Prot#'!A:AL,28,FALSE)</f>
        <v>55</v>
      </c>
      <c r="AK176" s="1">
        <f>VLOOKUP(A176,'SegEnds_NonXtal_Prot#'!A:AL,34,FALSE)-VLOOKUP(A176,'SegEnds_NonXtal_Prot#'!A:AL,31,FALSE)</f>
        <v>39</v>
      </c>
      <c r="AL176" s="1">
        <f>VLOOKUP(A176,'SegEnds_NonXtal_Prot#'!A:AL,37,FALSE)-VLOOKUP(A176,'SegEnds_NonXtal_Prot#'!A:AL,34,FALSE)</f>
        <v>10</v>
      </c>
      <c r="AM176" s="1" t="str">
        <f>IF(ISERROR(MATCH(A176,'SegEnds_Xtal_Prot#'!B:B, 0)), "NoXtal", "Xtal")</f>
        <v>Xtal</v>
      </c>
    </row>
    <row r="177" spans="1:39" x14ac:dyDescent="0.2">
      <c r="A177" s="1" t="s">
        <v>325</v>
      </c>
      <c r="B177" s="1" t="str">
        <f>VLOOKUP(A177,Xtal_Templ!A:B,2,FALSE)</f>
        <v>ox1r_human</v>
      </c>
      <c r="C177" s="5">
        <f>VLOOKUP($B177&amp;"__wt",'SegEnds_Xtal_BW#'!$A:$Z,3,FALSE)</f>
        <v>32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68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INDEX(ICL3_classA!$G$2:$G$41,MATCH(MIN(ABS(AJ177-ICL3_classA!$F$2:$F$41)),ABS(AJ177-ICL3_classA!$F$2:$F$41),0))</f>
        <v>72</v>
      </c>
      <c r="U177" s="1">
        <f t="array" ref="U177">INDEX(ICL3_classA!$H$2:$H$41,MATCH(MIN(ABS(AJ177-ICL3_classA!$F$2:$F$41)),ABS(AJ177-ICL3_classA!$F$2:$F$41),0))</f>
        <v>23</v>
      </c>
      <c r="V177" s="1">
        <v>61</v>
      </c>
      <c r="W177" s="128">
        <f>VLOOKUP($B177&amp;"__wt",'SegEnds_Xtal_BW#'!$A:$Z,23,FALSE)</f>
        <v>27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63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 t="e">
        <f>VLOOKUP(A177,'SegEnds_NonXtal_Prot#'!A:AL,22,FALSE)-VLOOKUP(A177,'SegEnds_NonXtal_Prot#'!A:AL,19,FALSE)</f>
        <v>#VALUE!</v>
      </c>
      <c r="AG177" s="1" t="e">
        <f>VLOOKUP(#REF!,'SegEnds_NonXtal_Prot#'!#REF!,28,FALSE)-VLOOKUP(#REF!,'SegEnds_NonXtal_Prot#'!#REF!,25,FALSE)</f>
        <v>#REF!</v>
      </c>
      <c r="AH177" s="1">
        <f>VLOOKUP(A177,'SegEnds_NonXtal_Prot#'!A:AL,28,FALSE)-VLOOKUP(A177,'SegEnds_NonXtal_Prot#'!A:AL,25,FALSE)</f>
        <v>28</v>
      </c>
      <c r="AI177" s="1">
        <f>VLOOKUP(A177,'SegEnds_NonXtal_Prot#'!A:AL,28,FALSE)-VLOOKUP(A177,'SegEnds_NonXtal_Prot#'!A:AL,22,FALSE)</f>
        <v>58</v>
      </c>
      <c r="AJ177" s="1">
        <f>VLOOKUP(A177,'SegEnds_NonXtal_Prot#'!A:AL,31,FALSE)-VLOOKUP(A177,'SegEnds_NonXtal_Prot#'!A:AL,28,FALSE)</f>
        <v>52</v>
      </c>
      <c r="AK177" s="1">
        <f>VLOOKUP(A177,'SegEnds_NonXtal_Prot#'!A:AL,34,FALSE)-VLOOKUP(A177,'SegEnds_NonXtal_Prot#'!A:AL,31,FALSE)</f>
        <v>39</v>
      </c>
      <c r="AL177" s="1">
        <f>VLOOKUP(A177,'SegEnds_NonXtal_Prot#'!A:AL,37,FALSE)-VLOOKUP(A177,'SegEnds_NonXtal_Prot#'!A:AL,34,FALSE)</f>
        <v>10</v>
      </c>
      <c r="AM177" s="1" t="str">
        <f>IF(ISERROR(MATCH(A177,'SegEnds_Xtal_Prot#'!B:B, 0)), "NoXtal", "Xtal")</f>
        <v>NoXtal</v>
      </c>
    </row>
    <row r="178" spans="1:39" x14ac:dyDescent="0.2">
      <c r="A178" s="1" t="s">
        <v>326</v>
      </c>
      <c r="B178" s="1" t="str">
        <f>VLOOKUP(A178,Xtal_Templ!A:B,2,FALSE)</f>
        <v>npy1r_human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68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 t="str">
        <f>VLOOKUP($B178&amp;"__wt",'SegEnds_Xtal_BW#'!$A:$Z,13,FALSE)</f>
        <v>-</v>
      </c>
      <c r="N178" s="108" t="s">
        <v>23</v>
      </c>
      <c r="O178" s="87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INDEX(ICL3_classA!$G$2:$G$41,MATCH(MIN(ABS(AJ178-ICL3_classA!$F$2:$F$41)),ABS(AJ178-ICL3_classA!$F$2:$F$41),0))</f>
        <v>72</v>
      </c>
      <c r="U178" s="1">
        <f t="array" ref="U178">INDEX(ICL3_classA!$H$2:$H$41,MATCH(MIN(ABS(AJ178-ICL3_classA!$F$2:$F$41)),ABS(AJ178-ICL3_classA!$F$2:$F$41),0))</f>
        <v>24</v>
      </c>
      <c r="V178" s="1">
        <v>61</v>
      </c>
      <c r="W178" s="128">
        <f>VLOOKUP($B178&amp;"__wt",'SegEnds_Xtal_BW#'!$A:$Z,23,FALSE)</f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58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 t="e">
        <f>VLOOKUP(A178,'SegEnds_NonXtal_Prot#'!A:AL,22,FALSE)-VLOOKUP(A178,'SegEnds_NonXtal_Prot#'!A:AL,19,FALSE)</f>
        <v>#VALUE!</v>
      </c>
      <c r="AG178" s="1" t="e">
        <f>VLOOKUP(#REF!,'SegEnds_NonXtal_Prot#'!#REF!,28,FALSE)-VLOOKUP(#REF!,'SegEnds_NonXtal_Prot#'!#REF!,25,FALSE)</f>
        <v>#REF!</v>
      </c>
      <c r="AH178" s="1">
        <f>VLOOKUP(A178,'SegEnds_NonXtal_Prot#'!A:AL,28,FALSE)-VLOOKUP(A178,'SegEnds_NonXtal_Prot#'!A:AL,25,FALSE)</f>
        <v>25</v>
      </c>
      <c r="AI178" s="1">
        <f>VLOOKUP(A178,'SegEnds_NonXtal_Prot#'!A:AL,28,FALSE)-VLOOKUP(A178,'SegEnds_NonXtal_Prot#'!A:AL,22,FALSE)</f>
        <v>62</v>
      </c>
      <c r="AJ178" s="1">
        <f>VLOOKUP(A178,'SegEnds_NonXtal_Prot#'!A:AL,31,FALSE)-VLOOKUP(A178,'SegEnds_NonXtal_Prot#'!A:AL,28,FALSE)</f>
        <v>54</v>
      </c>
      <c r="AK178" s="1">
        <f>VLOOKUP(A178,'SegEnds_NonXtal_Prot#'!A:AL,34,FALSE)-VLOOKUP(A178,'SegEnds_NonXtal_Prot#'!A:AL,31,FALSE)</f>
        <v>39</v>
      </c>
      <c r="AL178" s="1">
        <f>VLOOKUP(A178,'SegEnds_NonXtal_Prot#'!A:AL,37,FALSE)-VLOOKUP(A178,'SegEnds_NonXtal_Prot#'!A:AL,34,FALSE)</f>
        <v>10</v>
      </c>
      <c r="AM178" s="1" t="str">
        <f>IF(ISERROR(MATCH(A178,'SegEnds_Xtal_Prot#'!B:B, 0)), "NoXtal", "Xtal")</f>
        <v>NoXtal</v>
      </c>
    </row>
    <row r="179" spans="1:39" x14ac:dyDescent="0.2">
      <c r="A179" s="1" t="s">
        <v>327</v>
      </c>
      <c r="B179" s="1" t="str">
        <f>VLOOKUP(A179,Xtal_Templ!A:B,2,FALSE)</f>
        <v>npy1r_human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68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 t="str">
        <f>VLOOKUP($B179&amp;"__wt",'SegEnds_Xtal_BW#'!$A:$Z,13,FALSE)</f>
        <v>-</v>
      </c>
      <c r="N179" s="108" t="s">
        <v>23</v>
      </c>
      <c r="O179" s="87">
        <f>VLOOKUP($B179&amp;"__wt",'SegEnds_Xtal_BW#'!$A:$Z,15,FALSE)</f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31</v>
      </c>
      <c r="T179" s="1">
        <f t="array" ref="T179">INDEX(ICL3_classA!$G$2:$G$41,MATCH(MIN(ABS(AJ179-ICL3_classA!$F$2:$F$41)),ABS(AJ179-ICL3_classA!$F$2:$F$41),0))</f>
        <v>76</v>
      </c>
      <c r="U179" s="1">
        <f t="array" ref="U179">INDEX(ICL3_classA!$H$2:$H$41,MATCH(MIN(ABS(AJ179-ICL3_classA!$F$2:$F$41)),ABS(AJ179-ICL3_classA!$F$2:$F$41),0))</f>
        <v>24</v>
      </c>
      <c r="V179" s="1">
        <v>61</v>
      </c>
      <c r="W179" s="128">
        <f>VLOOKUP($B179&amp;"__wt",'SegEnds_Xtal_BW#'!$A:$Z,23,FALSE)</f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58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 t="e">
        <f>VLOOKUP(A179,'SegEnds_NonXtal_Prot#'!A:AL,22,FALSE)-VLOOKUP(A179,'SegEnds_NonXtal_Prot#'!A:AL,19,FALSE)</f>
        <v>#VALUE!</v>
      </c>
      <c r="AG179" s="1" t="e">
        <f>VLOOKUP(#REF!,'SegEnds_NonXtal_Prot#'!#REF!,28,FALSE)-VLOOKUP(#REF!,'SegEnds_NonXtal_Prot#'!#REF!,25,FALSE)</f>
        <v>#REF!</v>
      </c>
      <c r="AH179" s="1">
        <f>VLOOKUP(A179,'SegEnds_NonXtal_Prot#'!A:AL,28,FALSE)-VLOOKUP(A179,'SegEnds_NonXtal_Prot#'!A:AL,25,FALSE)</f>
        <v>25</v>
      </c>
      <c r="AI179" s="1">
        <f>VLOOKUP(A179,'SegEnds_NonXtal_Prot#'!A:AL,28,FALSE)-VLOOKUP(A179,'SegEnds_NonXtal_Prot#'!A:AL,22,FALSE)</f>
        <v>59</v>
      </c>
      <c r="AJ179" s="1">
        <f>VLOOKUP(A179,'SegEnds_NonXtal_Prot#'!A:AL,31,FALSE)-VLOOKUP(A179,'SegEnds_NonXtal_Prot#'!A:AL,28,FALSE)</f>
        <v>160</v>
      </c>
      <c r="AK179" s="1">
        <f>VLOOKUP(A179,'SegEnds_NonXtal_Prot#'!A:AL,34,FALSE)-VLOOKUP(A179,'SegEnds_NonXtal_Prot#'!A:AL,31,FALSE)</f>
        <v>39</v>
      </c>
      <c r="AL179" s="1">
        <f>VLOOKUP(A179,'SegEnds_NonXtal_Prot#'!A:AL,37,FALSE)-VLOOKUP(A179,'SegEnds_NonXtal_Prot#'!A:AL,34,FALSE)</f>
        <v>10</v>
      </c>
      <c r="AM179" s="1" t="str">
        <f>IF(ISERROR(MATCH(A179,'SegEnds_Xtal_Prot#'!B:B, 0)), "NoXtal", "Xtal")</f>
        <v>NoXtal</v>
      </c>
    </row>
    <row r="180" spans="1:39" x14ac:dyDescent="0.2">
      <c r="A180" s="1" t="s">
        <v>334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08"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f>VLOOKUP($B180&amp;"__wt",'SegEnds_Xtal_BW#'!$A:$Z,11,FALSE)</f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f>VLOOKUP($B180&amp;"__wt",'SegEnds_Xtal_BW#'!$A:$Z,14,FALSE)</f>
        <v>57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30</v>
      </c>
      <c r="T180" s="1">
        <f t="array" ref="T180">INDEX(ICL3_classA!$G$2:$G$41,MATCH(MIN(ABS(AJ180-ICL3_classA!$F$2:$F$41)),ABS(AJ180-ICL3_classA!$F$2:$F$41),0))</f>
        <v>68</v>
      </c>
      <c r="U180" s="1">
        <f t="array" ref="U180">INDEX(ICL3_classA!$H$2:$H$41,MATCH(MIN(ABS(AJ180-ICL3_classA!$F$2:$F$41)),ABS(AJ180-ICL3_classA!$F$2:$F$41),0))</f>
        <v>23</v>
      </c>
      <c r="V180" s="1">
        <v>61</v>
      </c>
      <c r="W180" s="128">
        <f>VLOOKUP($B180&amp;"__wt",'SegEnds_Xtal_BW#'!$A:$Z,23,FALSE)</f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19</v>
      </c>
      <c r="AE180" s="1">
        <f>VLOOKUP(A180,'SegEnds_NonXtal_Prot#'!A:AL,16,FALSE)-VLOOKUP(A180,'SegEnds_NonXtal_Prot#'!A:AL,10,FALSE)</f>
        <v>51</v>
      </c>
      <c r="AF180" s="1">
        <f>VLOOKUP(A180,'SegEnds_NonXtal_Prot#'!A:AL,22,FALSE)-VLOOKUP(A180,'SegEnds_NonXtal_Prot#'!A:AL,19,FALSE)</f>
        <v>20</v>
      </c>
      <c r="AG180" s="1" t="e">
        <f>VLOOKUP(#REF!,'SegEnds_NonXtal_Prot#'!#REF!,28,FALSE)-VLOOKUP(#REF!,'SegEnds_NonXtal_Prot#'!#REF!,25,FALSE)</f>
        <v>#REF!</v>
      </c>
      <c r="AH180" s="1">
        <f>VLOOKUP(A180,'SegEnds_NonXtal_Prot#'!A:AL,28,FALSE)-VLOOKUP(A180,'SegEnds_NonXtal_Prot#'!A:AL,25,FALSE)</f>
        <v>27</v>
      </c>
      <c r="AI180" s="1">
        <f>VLOOKUP(A180,'SegEnds_NonXtal_Prot#'!A:AL,28,FALSE)-VLOOKUP(A180,'SegEnds_NonXtal_Prot#'!A:AL,22,FALSE)</f>
        <v>52</v>
      </c>
      <c r="AJ180" s="1">
        <f>VLOOKUP(A180,'SegEnds_NonXtal_Prot#'!A:AL,31,FALSE)-VLOOKUP(A180,'SegEnds_NonXtal_Prot#'!A:AL,28,FALSE)</f>
        <v>51</v>
      </c>
      <c r="AK180" s="1">
        <f>VLOOKUP(A180,'SegEnds_NonXtal_Prot#'!A:AL,34,FALSE)-VLOOKUP(A180,'SegEnds_NonXtal_Prot#'!A:AL,31,FALSE)</f>
        <v>39</v>
      </c>
      <c r="AL180" s="1">
        <f>VLOOKUP(A180,'SegEnds_NonXtal_Prot#'!A:AL,37,FALSE)-VLOOKUP(A180,'SegEnds_NonXtal_Prot#'!A:AL,34,FALSE)</f>
        <v>10</v>
      </c>
      <c r="AM180" s="1" t="str">
        <f>IF(ISERROR(MATCH(A180,'SegEnds_Xtal_Prot#'!B:B, 0)), "NoXtal", "Xtal")</f>
        <v>Xtal</v>
      </c>
    </row>
    <row r="181" spans="1:39" x14ac:dyDescent="0.2">
      <c r="A181" s="1" t="s">
        <v>909</v>
      </c>
      <c r="B181" s="1" t="str">
        <f>VLOOKUP(A181,Xtal_Templ!A:B,2,FALSE)</f>
        <v>oprd_mouse</v>
      </c>
      <c r="C181" s="5">
        <f>VLOOKUP($B181&amp;"__wt",'SegEnds_Xtal_BW#'!$A:$Z,3,FALSE)</f>
        <v>24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08"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f>VLOOKUP($B181&amp;"__wt",'SegEnds_Xtal_BW#'!$A:$Z,11,FALSE)</f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f>VLOOKUP($B181&amp;"__wt",'SegEnds_Xtal_BW#'!$A:$Z,14,FALSE)</f>
        <v>57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30</v>
      </c>
      <c r="T181" s="1">
        <f t="array" ref="T181">INDEX(ICL3_classA!$G$2:$G$41,MATCH(MIN(ABS(AJ181-ICL3_classA!$F$2:$F$41)),ABS(AJ181-ICL3_classA!$F$2:$F$41),0))</f>
        <v>68</v>
      </c>
      <c r="U181" s="1">
        <f t="array" ref="U181">INDEX(ICL3_classA!$H$2:$H$41,MATCH(MIN(ABS(AJ181-ICL3_classA!$F$2:$F$41)),ABS(AJ181-ICL3_classA!$F$2:$F$41),0))</f>
        <v>23</v>
      </c>
      <c r="V181" s="1">
        <v>61</v>
      </c>
      <c r="W181" s="128">
        <f>VLOOKUP($B181&amp;"__wt",'SegEnds_Xtal_BW#'!$A:$Z,23,FALSE)</f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60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19</v>
      </c>
      <c r="AE181" s="1">
        <f>VLOOKUP(A181,'SegEnds_NonXtal_Prot#'!A:AL,16,FALSE)-VLOOKUP(A181,'SegEnds_NonXtal_Prot#'!A:AL,10,FALSE)</f>
        <v>51</v>
      </c>
      <c r="AF181" s="1">
        <f>VLOOKUP(A181,'SegEnds_NonXtal_Prot#'!A:AL,22,FALSE)-VLOOKUP(A181,'SegEnds_NonXtal_Prot#'!A:AL,19,FALSE)</f>
        <v>20</v>
      </c>
      <c r="AG181" s="1" t="e">
        <f>VLOOKUP(#REF!,'SegEnds_NonXtal_Prot#'!#REF!,28,FALSE)-VLOOKUP(#REF!,'SegEnds_NonXtal_Prot#'!#REF!,25,FALSE)</f>
        <v>#REF!</v>
      </c>
      <c r="AH181" s="1">
        <f>VLOOKUP(A181,'SegEnds_NonXtal_Prot#'!A:AL,28,FALSE)-VLOOKUP(A181,'SegEnds_NonXtal_Prot#'!A:AL,25,FALSE)</f>
        <v>27</v>
      </c>
      <c r="AI181" s="1">
        <f>VLOOKUP(A181,'SegEnds_NonXtal_Prot#'!A:AL,28,FALSE)-VLOOKUP(A181,'SegEnds_NonXtal_Prot#'!A:AL,22,FALSE)</f>
        <v>52</v>
      </c>
      <c r="AJ181" s="1">
        <f>VLOOKUP(A181,'SegEnds_NonXtal_Prot#'!A:AL,31,FALSE)-VLOOKUP(A181,'SegEnds_NonXtal_Prot#'!A:AL,28,FALSE)</f>
        <v>51</v>
      </c>
      <c r="AK181" s="1">
        <f>VLOOKUP(A181,'SegEnds_NonXtal_Prot#'!A:AL,34,FALSE)-VLOOKUP(A181,'SegEnds_NonXtal_Prot#'!A:AL,31,FALSE)</f>
        <v>39</v>
      </c>
      <c r="AL181" s="1">
        <f>VLOOKUP(A181,'SegEnds_NonXtal_Prot#'!A:AL,37,FALSE)-VLOOKUP(A181,'SegEnds_NonXtal_Prot#'!A:AL,34,FALSE)</f>
        <v>10</v>
      </c>
      <c r="AM181" s="1" t="str">
        <f>IF(ISERROR(MATCH(A181,'SegEnds_Xtal_Prot#'!B:B, 0)), "NoXtal", "Xtal")</f>
        <v>Xtal</v>
      </c>
    </row>
    <row r="182" spans="1:39" x14ac:dyDescent="0.2">
      <c r="A182" s="1" t="s">
        <v>355</v>
      </c>
      <c r="B182" s="1" t="str">
        <f>VLOOKUP(A182,Xtal_Templ!A:B,2,FALSE)</f>
        <v>par2_human</v>
      </c>
      <c r="C182" s="5">
        <f>VLOOKUP($B182&amp;"__wt",'SegEnds_Xtal_BW#'!$A:$Z,3,FALSE)</f>
        <v>28</v>
      </c>
      <c r="D182" s="1">
        <f>VLOOKUP($B182&amp;"__wt",'SegEnds_Xtal_BW#'!$A:$Z,4,FALSE)</f>
        <v>60</v>
      </c>
      <c r="E182" s="1" t="str">
        <f>VLOOKUP($B182&amp;"__wt",'SegEnds_Xtal_BW#'!$A:$Z,5,FALSE)</f>
        <v>-</v>
      </c>
      <c r="F182" s="1" t="str">
        <f>VLOOKUP($B182&amp;"__wt",'SegEnds_Xtal_BW#'!$A:$Z,6,FALSE)</f>
        <v>-</v>
      </c>
      <c r="G182" s="1">
        <v>37</v>
      </c>
      <c r="H182" s="12">
        <f>VLOOKUP($B182&amp;"__wt",'SegEnds_Xtal_BW#'!$A:$Z,8,FALSE)</f>
        <v>66</v>
      </c>
      <c r="I182" s="1">
        <f>VLOOKUP($B182&amp;"__wt",'SegEnds_Xtal_BW#'!$A:$Z,9,FALSE)</f>
        <v>47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56</v>
      </c>
      <c r="O182" s="87">
        <f>VLOOKUP($B182&amp;"__wt",'SegEnds_Xtal_BW#'!$A:$Z,15,FALSE)</f>
        <v>38</v>
      </c>
      <c r="P182" s="1">
        <f>VLOOKUP($B182&amp;"__wt",'SegEnds_Xtal_BW#'!$A:$Z,16,FALSE)</f>
        <v>62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INDEX(ICL3_classA!$G$2:$G$41,MATCH(MIN(ABS(AJ182-ICL3_classA!$F$2:$F$41)),ABS(AJ182-ICL3_classA!$F$2:$F$41),0))</f>
        <v>68</v>
      </c>
      <c r="U182" s="1">
        <f t="array" ref="U182">INDEX(ICL3_classA!$H$2:$H$41,MATCH(MIN(ABS(AJ182-ICL3_classA!$F$2:$F$41)),ABS(AJ182-ICL3_classA!$F$2:$F$41),0))</f>
        <v>24</v>
      </c>
      <c r="V182" s="1">
        <v>62</v>
      </c>
      <c r="W182" s="128">
        <f>VLOOKUP($B182&amp;"__wt",'SegEnds_Xtal_BW#'!$A:$Z,23,FALSE)</f>
        <v>31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61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 t="e">
        <f>VLOOKUP(A182,'SegEnds_NonXtal_Prot#'!A:AL,10,FALSE)-VLOOKUP(A182,'SegEnds_NonXtal_Prot#'!A:AL,7,FALSE)</f>
        <v>#VALUE!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19</v>
      </c>
      <c r="AG182" s="1" t="e">
        <f>VLOOKUP(#REF!,'SegEnds_NonXtal_Prot#'!#REF!,28,FALSE)-VLOOKUP(#REF!,'SegEnds_NonXtal_Prot#'!#REF!,25,FALSE)</f>
        <v>#REF!</v>
      </c>
      <c r="AH182" s="1">
        <f>VLOOKUP(A182,'SegEnds_NonXtal_Prot#'!A:AL,28,FALSE)-VLOOKUP(A182,'SegEnds_NonXtal_Prot#'!A:AL,25,FALSE)</f>
        <v>28</v>
      </c>
      <c r="AI182" s="1">
        <f>VLOOKUP(A182,'SegEnds_NonXtal_Prot#'!A:AL,28,FALSE)-VLOOKUP(A182,'SegEnds_NonXtal_Prot#'!A:AL,22,FALSE)</f>
        <v>55</v>
      </c>
      <c r="AJ182" s="1">
        <f>VLOOKUP(A182,'SegEnds_NonXtal_Prot#'!A:AL,31,FALSE)-VLOOKUP(A182,'SegEnds_NonXtal_Prot#'!A:AL,28,FALSE)</f>
        <v>48</v>
      </c>
      <c r="AK182" s="1">
        <f>VLOOKUP(A182,'SegEnds_NonXtal_Prot#'!A:AL,34,FALSE)-VLOOKUP(A182,'SegEnds_NonXtal_Prot#'!A:AL,31,FALSE)</f>
        <v>39</v>
      </c>
      <c r="AL182" s="1">
        <f>VLOOKUP(A182,'SegEnds_NonXtal_Prot#'!A:AL,37,FALSE)-VLOOKUP(A182,'SegEnds_NonXtal_Prot#'!A:AL,34,FALSE)</f>
        <v>10</v>
      </c>
      <c r="AM182" s="1" t="str">
        <f>IF(ISERROR(MATCH(A182,'SegEnds_Xtal_Prot#'!B:B, 0)), "NoXtal", "Xtal")</f>
        <v>Xtal</v>
      </c>
    </row>
    <row r="183" spans="1:39" x14ac:dyDescent="0.2">
      <c r="A183" s="1" t="s">
        <v>356</v>
      </c>
      <c r="B183" s="1" t="str">
        <f>VLOOKUP(A183,Xtal_Templ!A:B,2,FALSE)</f>
        <v>par2_human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66</v>
      </c>
      <c r="I183" s="1">
        <f>VLOOKUP($B183&amp;"__wt",'SegEnds_Xtal_BW#'!$A:$Z,9,FALSE)</f>
        <v>47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v>35</v>
      </c>
      <c r="T183" s="1">
        <f t="array" ref="T183">INDEX(ICL3_classA!$G$2:$G$41,MATCH(MIN(ABS(AJ183-ICL3_classA!$F$2:$F$41)),ABS(AJ183-ICL3_classA!$F$2:$F$41),0))</f>
        <v>68</v>
      </c>
      <c r="U183" s="1">
        <f t="array" ref="U183">INDEX(ICL3_classA!$H$2:$H$41,MATCH(MIN(ABS(AJ183-ICL3_classA!$F$2:$F$41)),ABS(AJ183-ICL3_classA!$F$2:$F$41),0))</f>
        <v>30</v>
      </c>
      <c r="V183" s="1">
        <v>62</v>
      </c>
      <c r="W183" s="128">
        <f>VLOOKUP($B183&amp;"__wt",'SegEnds_Xtal_BW#'!$A:$Z,23,FALSE)</f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61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VLOOKUP(#REF!,'SegEnds_NonXtal_Prot#'!#REF!,28,FALSE)-VLOOKUP(#REF!,'SegEnds_NonXtal_Prot#'!#REF!,25,FALSE)</f>
        <v>#REF!</v>
      </c>
      <c r="AH183" s="1">
        <f>VLOOKUP(A183,'SegEnds_NonXtal_Prot#'!A:AL,28,FALSE)-VLOOKUP(A183,'SegEnds_NonXtal_Prot#'!A:AL,25,FALSE)</f>
        <v>22</v>
      </c>
      <c r="AI183" s="1">
        <f>VLOOKUP(A183,'SegEnds_NonXtal_Prot#'!A:AL,28,FALSE)-VLOOKUP(A183,'SegEnds_NonXtal_Prot#'!A:AL,22,FALSE)</f>
        <v>56</v>
      </c>
      <c r="AJ183" s="1">
        <f>VLOOKUP(A183,'SegEnds_NonXtal_Prot#'!A:AL,31,FALSE)-VLOOKUP(A183,'SegEnds_NonXtal_Prot#'!A:AL,28,FALSE)</f>
        <v>42</v>
      </c>
      <c r="AK183" s="1">
        <f>VLOOKUP(A183,'SegEnds_NonXtal_Prot#'!A:AL,34,FALSE)-VLOOKUP(A183,'SegEnds_NonXtal_Prot#'!A:AL,31,FALSE)</f>
        <v>39</v>
      </c>
      <c r="AL183" s="1" t="e">
        <f>VLOOKUP(A183,'SegEnds_NonXtal_Prot#'!A:AL,37,FALSE)-VLOOKUP(A183,'SegEnds_NonXtal_Prot#'!A:AL,34,FALSE)</f>
        <v>#VALUE!</v>
      </c>
      <c r="AM183" s="1" t="str">
        <f>IF(ISERROR(MATCH(A183,'SegEnds_Xtal_Prot#'!B:B, 0)), "NoXtal", "Xtal")</f>
        <v>NoXtal</v>
      </c>
    </row>
    <row r="184" spans="1:39" x14ac:dyDescent="0.2">
      <c r="A184" s="1" t="s">
        <v>357</v>
      </c>
      <c r="B184" s="1" t="str">
        <f>VLOOKUP(A184,Xtal_Templ!A:B,2,FALSE)</f>
        <v>par2_human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f>VLOOKUP($B184&amp;"__wt",'SegEnds_Xtal_BW#'!$A:$Z,8,FALSE)</f>
        <v>66</v>
      </c>
      <c r="I184" s="1">
        <f>VLOOKUP($B184&amp;"__wt",'SegEnds_Xtal_BW#'!$A:$Z,9,FALSE)</f>
        <v>47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62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31</v>
      </c>
      <c r="T184" s="1">
        <f t="array" ref="T184">INDEX(ICL3_classA!$G$2:$G$41,MATCH(MIN(ABS(AJ184-ICL3_classA!$F$2:$F$41)),ABS(AJ184-ICL3_classA!$F$2:$F$41),0))</f>
        <v>68</v>
      </c>
      <c r="U184" s="1">
        <f t="array" ref="U184">INDEX(ICL3_classA!$H$2:$H$41,MATCH(MIN(ABS(AJ184-ICL3_classA!$F$2:$F$41)),ABS(AJ184-ICL3_classA!$F$2:$F$41),0))</f>
        <v>30</v>
      </c>
      <c r="V184" s="1">
        <v>62</v>
      </c>
      <c r="W184" s="128">
        <f>VLOOKUP($B184&amp;"__wt",'SegEnds_Xtal_BW#'!$A:$Z,23,FALSE)</f>
        <v>31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61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27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 t="e">
        <f>VLOOKUP(#REF!,'SegEnds_NonXtal_Prot#'!#REF!,28,FALSE)-VLOOKUP(#REF!,'SegEnds_NonXtal_Prot#'!#REF!,25,FALSE)</f>
        <v>#REF!</v>
      </c>
      <c r="AH184" s="1">
        <f>VLOOKUP(A184,'SegEnds_NonXtal_Prot#'!A:AL,28,FALSE)-VLOOKUP(A184,'SegEnds_NonXtal_Prot#'!A:AL,25,FALSE)</f>
        <v>28</v>
      </c>
      <c r="AI184" s="1">
        <f>VLOOKUP(A184,'SegEnds_NonXtal_Prot#'!A:AL,28,FALSE)-VLOOKUP(A184,'SegEnds_NonXtal_Prot#'!A:AL,22,FALSE)</f>
        <v>55</v>
      </c>
      <c r="AJ184" s="1">
        <f>VLOOKUP(A184,'SegEnds_NonXtal_Prot#'!A:AL,31,FALSE)-VLOOKUP(A184,'SegEnds_NonXtal_Prot#'!A:AL,28,FALSE)</f>
        <v>42</v>
      </c>
      <c r="AK184" s="1">
        <f>VLOOKUP(A184,'SegEnds_NonXtal_Prot#'!A:AL,34,FALSE)-VLOOKUP(A184,'SegEnds_NonXtal_Prot#'!A:AL,31,FALSE)</f>
        <v>39</v>
      </c>
      <c r="AL184" s="1">
        <f>VLOOKUP(A184,'SegEnds_NonXtal_Prot#'!A:AL,37,FALSE)-VLOOKUP(A184,'SegEnds_NonXtal_Prot#'!A:AL,34,FALSE)</f>
        <v>10</v>
      </c>
      <c r="AM184" s="1" t="str">
        <f>IF(ISERROR(MATCH(A184,'SegEnds_Xtal_Prot#'!B:B, 0)), "NoXtal", "Xtal")</f>
        <v>NoXtal</v>
      </c>
    </row>
    <row r="185" spans="1:39" x14ac:dyDescent="0.2">
      <c r="A185" s="1" t="s">
        <v>363</v>
      </c>
      <c r="B185" s="1" t="str">
        <f>VLOOKUP(A185,Xtal_Templ!A:B,2,FALSE)</f>
        <v>pe2r4_human</v>
      </c>
      <c r="C185" s="5">
        <f>VLOOKUP($B185&amp;"__wt",'SegEnds_Xtal_BW#'!$A:$Z,3,FALSE)</f>
        <v>33</v>
      </c>
      <c r="D185" s="1">
        <f>VLOOKUP($B185&amp;"__wt",'SegEnds_Xtal_BW#'!$A:$Z,4,FALSE)</f>
        <v>58</v>
      </c>
      <c r="E185" s="1" t="str">
        <f>VLOOKUP($B185&amp;"__wt",'SegEnds_Xtal_BW#'!$A:$Z,5,FALSE)</f>
        <v>-</v>
      </c>
      <c r="F185" s="1" t="str">
        <f>VLOOKUP($B185&amp;"__wt",'SegEnds_Xtal_BW#'!$A:$Z,6,FALSE)</f>
        <v>-</v>
      </c>
      <c r="G185" s="1">
        <v>37</v>
      </c>
      <c r="H185" s="12">
        <f>VLOOKUP($B185&amp;"__wt",'SegEnds_Xtal_BW#'!$A:$Z,8,FALSE)</f>
        <v>67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21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f>VLOOKUP($B185&amp;"__wt",'SegEnds_Xtal_BW#'!$A:$Z,14,FALSE)</f>
        <v>57</v>
      </c>
      <c r="O185" s="87">
        <v>38</v>
      </c>
      <c r="P185" s="1">
        <f>VLOOKUP($B185&amp;"__wt",'SegEnds_Xtal_BW#'!$A:$Z,16,FALSE)</f>
        <v>63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33</v>
      </c>
      <c r="T185" s="1">
        <f t="array" ref="T185">INDEX(ICL3_classA!$G$2:$G$41,MATCH(MIN(ABS(AJ185-ICL3_classA!$F$2:$F$41)),ABS(AJ185-ICL3_classA!$F$2:$F$41),0))</f>
        <v>76</v>
      </c>
      <c r="U185" s="1">
        <f t="array" ref="U185">INDEX(ICL3_classA!$H$2:$H$41,MATCH(MIN(ABS(AJ185-ICL3_classA!$F$2:$F$41)),ABS(AJ185-ICL3_classA!$F$2:$F$41),0))</f>
        <v>24</v>
      </c>
      <c r="V185" s="1">
        <v>61</v>
      </c>
      <c r="W185" s="128">
        <f>VLOOKUP($B185&amp;"__wt",'SegEnds_Xtal_BW#'!$A:$Z,23,FALSE)</f>
        <v>33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60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30</v>
      </c>
      <c r="AC185" s="1" t="e">
        <f>VLOOKUP(A185,'SegEnds_NonXtal_Prot#'!A:AL,10,FALSE)-VLOOKUP(A185,'SegEnds_NonXtal_Prot#'!A:AL,7,FALSE)</f>
        <v>#VALUE!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 t="e">
        <f>VLOOKUP(#REF!,'SegEnds_NonXtal_Prot#'!#REF!,28,FALSE)-VLOOKUP(#REF!,'SegEnds_NonXtal_Prot#'!#REF!,25,FALSE)</f>
        <v>#REF!</v>
      </c>
      <c r="AH185" s="1">
        <f>VLOOKUP(A185,'SegEnds_NonXtal_Prot#'!A:AL,28,FALSE)-VLOOKUP(A185,'SegEnds_NonXtal_Prot#'!A:AL,25,FALSE)</f>
        <v>25</v>
      </c>
      <c r="AI185" s="1">
        <f>VLOOKUP(A185,'SegEnds_NonXtal_Prot#'!A:AL,28,FALSE)-VLOOKUP(A185,'SegEnds_NonXtal_Prot#'!A:AL,22,FALSE)</f>
        <v>51</v>
      </c>
      <c r="AJ185" s="1">
        <f>VLOOKUP(A185,'SegEnds_NonXtal_Prot#'!A:AL,31,FALSE)-VLOOKUP(A185,'SegEnds_NonXtal_Prot#'!A:AL,28,FALSE)</f>
        <v>92</v>
      </c>
      <c r="AK185" s="1">
        <f>VLOOKUP(A185,'SegEnds_NonXtal_Prot#'!A:AL,34,FALSE)-VLOOKUP(A185,'SegEnds_NonXtal_Prot#'!A:AL,31,FALSE)</f>
        <v>39</v>
      </c>
      <c r="AL185" s="1">
        <f>VLOOKUP(A185,'SegEnds_NonXtal_Prot#'!A:AL,37,FALSE)-VLOOKUP(A185,'SegEnds_NonXtal_Prot#'!A:AL,34,FALSE)</f>
        <v>10</v>
      </c>
      <c r="AM185" s="1" t="str">
        <f>IF(ISERROR(MATCH(A185,'SegEnds_Xtal_Prot#'!B:B, 0)), "NoXtal", "Xtal")</f>
        <v>Xtal</v>
      </c>
    </row>
    <row r="186" spans="1:39" x14ac:dyDescent="0.2">
      <c r="A186" s="4" t="s">
        <v>368</v>
      </c>
      <c r="B186" s="4" t="str">
        <f>VLOOKUP(A186,Xtal_Templ!A:B,2,FALSE)</f>
        <v>ox2r_human</v>
      </c>
      <c r="C186" s="5">
        <f>VLOOKUP($B186&amp;"__wt",'SegEnds_Xtal_BW#'!$A:$Z,3,FALSE)</f>
        <v>31</v>
      </c>
      <c r="D186" s="4">
        <f>VLOOKUP($B186&amp;"__wt",'SegEnds_Xtal_BW#'!$A:$Z,4,FALSE)</f>
        <v>60</v>
      </c>
      <c r="E186" s="4">
        <f>VLOOKUP($B186&amp;"__wt",'SegEnds_Xtal_BW#'!$A:$Z,5,FALSE)</f>
        <v>48</v>
      </c>
      <c r="F186" s="4">
        <f>VLOOKUP($B186&amp;"__wt",'SegEnds_Xtal_BW#'!$A:$Z,6,FALSE)</f>
        <v>51</v>
      </c>
      <c r="G186" s="4">
        <v>37</v>
      </c>
      <c r="H186" s="11">
        <f>VLOOKUP($B186&amp;"__wt",'SegEnds_Xtal_BW#'!$A:$Z,8,FALSE)</f>
        <v>68</v>
      </c>
      <c r="I186" s="4">
        <f>VLOOKUP($B186&amp;"__wt",'SegEnds_Xtal_BW#'!$A:$Z,9,FALSE)</f>
        <v>49</v>
      </c>
      <c r="J186" s="4">
        <f>VLOOKUP($B186&amp;"__wt",'SegEnds_Xtal_BW#'!$A:$Z,10,FALSE)</f>
        <v>52</v>
      </c>
      <c r="K186" s="11">
        <v>18</v>
      </c>
      <c r="L186" s="4">
        <f>VLOOKUP($B186&amp;"__wt",'SegEnds_Xtal_BW#'!$A:$Z,12,FALSE)</f>
        <v>56</v>
      </c>
      <c r="M186" s="4">
        <f>VLOOKUP($B186&amp;"__wt",'SegEnds_Xtal_BW#'!$A:$Z,13,FALSE)</f>
        <v>50</v>
      </c>
      <c r="N186" s="11">
        <v>53</v>
      </c>
      <c r="O186" s="87">
        <f>VLOOKUP($B186&amp;"__wt",'SegEnds_Xtal_BW#'!$A:$Z,15,FALSE)</f>
        <v>38</v>
      </c>
      <c r="P186" s="4">
        <f>VLOOKUP($B186&amp;"__wt",'SegEnds_Xtal_BW#'!$A:$Z,16,FALSE)</f>
        <v>64</v>
      </c>
      <c r="Q186" s="4">
        <f>VLOOKUP($B186&amp;"__wt",'SegEnds_Xtal_BW#'!$A:$Z,17,FALSE)</f>
        <v>50</v>
      </c>
      <c r="R186" s="4">
        <f>VLOOKUP($B186&amp;"__wt",'SegEnds_Xtal_BW#'!$A:$Z,18,FALSE)</f>
        <v>52</v>
      </c>
      <c r="S186" s="4">
        <f>VLOOKUP($B186&amp;"__wt",'SegEnds_Xtal_BW#'!$A:$Z,19,FALSE)</f>
        <v>33</v>
      </c>
      <c r="T186" s="4">
        <f t="array" ref="T186">INDEX(ICL3_classA!$G$2:$G$41,MATCH(MIN(ABS(AJ186-ICL3_classA!$F$2:$F$41)),ABS(AJ186-ICL3_classA!$F$2:$F$41),0))</f>
        <v>73</v>
      </c>
      <c r="U186" s="4">
        <f t="array" ref="U186">INDEX(ICL3_classA!$H$2:$H$41,MATCH(MIN(ABS(AJ186-ICL3_classA!$F$2:$F$41)),ABS(AJ186-ICL3_classA!$F$2:$F$41),0))</f>
        <v>22</v>
      </c>
      <c r="V186" s="4">
        <v>61</v>
      </c>
      <c r="W186" s="128">
        <f>VLOOKUP($B186&amp;"__wt",'SegEnds_Xtal_BW#'!$A:$Z,23,FALSE)</f>
        <v>27</v>
      </c>
      <c r="X186" s="4">
        <f>VLOOKUP($B186&amp;"__wt",'SegEnds_Xtal_BW#'!$A:$Z,24,FALSE)</f>
        <v>56</v>
      </c>
      <c r="Y186" s="4">
        <f>VLOOKUP($B186&amp;"__wt",'SegEnds_Xtal_BW#'!$A:$Z,25,FALSE)</f>
        <v>47</v>
      </c>
      <c r="Z186" s="4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4">
        <f>VLOOKUP(A186,'SegEnds_NonXtal_Prot#'!A:AL,10,FALSE)-VLOOKUP(A186,'SegEnds_NonXtal_Prot#'!A:AL,7,FALSE)</f>
        <v>15</v>
      </c>
      <c r="AD186" s="4">
        <f>VLOOKUP(A186,'SegEnds_NonXtal_Prot#'!A:AL,13,FALSE)-VLOOKUP(A186,'SegEnds_NonXtal_Prot#'!A:AL,10,FALSE)</f>
        <v>21</v>
      </c>
      <c r="AE186" s="4">
        <f>VLOOKUP(A186,'SegEnds_NonXtal_Prot#'!A:AL,16,FALSE)-VLOOKUP(A186,'SegEnds_NonXtal_Prot#'!A:AL,10,FALSE)</f>
        <v>53</v>
      </c>
      <c r="AF186" s="1">
        <f>VLOOKUP(A186,'SegEnds_NonXtal_Prot#'!A:AL,22,FALSE)-VLOOKUP(A186,'SegEnds_NonXtal_Prot#'!A:AL,19,FALSE)</f>
        <v>18</v>
      </c>
      <c r="AG186" s="4" t="e">
        <f>VLOOKUP(#REF!,'SegEnds_NonXtal_Prot#'!#REF!,28,FALSE)-VLOOKUP(#REF!,'SegEnds_NonXtal_Prot#'!#REF!,25,FALSE)</f>
        <v>#REF!</v>
      </c>
      <c r="AH186" s="4">
        <f>VLOOKUP(A186,'SegEnds_NonXtal_Prot#'!A:AL,28,FALSE)-VLOOKUP(A186,'SegEnds_NonXtal_Prot#'!A:AL,25,FALSE)</f>
        <v>26</v>
      </c>
      <c r="AI186" s="1">
        <f>VLOOKUP(A186,'SegEnds_NonXtal_Prot#'!A:AL,28,FALSE)-VLOOKUP(A186,'SegEnds_NonXtal_Prot#'!A:AL,22,FALSE)</f>
        <v>53</v>
      </c>
      <c r="AJ186" s="4">
        <f>VLOOKUP(A186,'SegEnds_NonXtal_Prot#'!A:AL,31,FALSE)-VLOOKUP(A186,'SegEnds_NonXtal_Prot#'!A:AL,28,FALSE)</f>
        <v>56</v>
      </c>
      <c r="AK186" s="4">
        <f>VLOOKUP(A186,'SegEnds_NonXtal_Prot#'!A:AL,34,FALSE)-VLOOKUP(A186,'SegEnds_NonXtal_Prot#'!A:AL,31,FALSE)</f>
        <v>39</v>
      </c>
      <c r="AL186" s="1">
        <f>VLOOKUP(A186,'SegEnds_NonXtal_Prot#'!A:AL,37,FALSE)-VLOOKUP(A186,'SegEnds_NonXtal_Prot#'!A:AL,34,FALSE)</f>
        <v>10</v>
      </c>
      <c r="AM186" s="1" t="str">
        <f>IF(ISERROR(MATCH(A186,'SegEnds_Xtal_Prot#'!B:B, 0)), "NoXtal", "Xtal")</f>
        <v>NoXtal</v>
      </c>
    </row>
    <row r="187" spans="1:39" x14ac:dyDescent="0.2">
      <c r="A187" s="1" t="s">
        <v>395</v>
      </c>
      <c r="B187" s="1" t="str">
        <f>VLOOKUP(A187,Xtal_Templ!A:B,2,FALSE)</f>
        <v>ccr5_human</v>
      </c>
      <c r="C187" s="5">
        <f>VLOOKUP($B187&amp;"__wt",'SegEnds_Xtal_BW#'!$A:$Z,3,FALSE)</f>
        <v>24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21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08">
        <v>56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30</v>
      </c>
      <c r="T187" s="1">
        <f t="array" ref="T187">INDEX(ICL3_classA!$G$2:$G$41,MATCH(MIN(ABS(AJ187-ICL3_classA!$F$2:$F$41)),ABS(AJ187-ICL3_classA!$F$2:$F$41),0))</f>
        <v>72</v>
      </c>
      <c r="U187" s="1">
        <f t="array" ref="U187">INDEX(ICL3_classA!$H$2:$H$41,MATCH(MIN(ABS(AJ187-ICL3_classA!$F$2:$F$41)),ABS(AJ187-ICL3_classA!$F$2:$F$41),0))</f>
        <v>29</v>
      </c>
      <c r="V187" s="1">
        <v>61</v>
      </c>
      <c r="W187" s="128">
        <f>VLOOKUP($B187&amp;"__wt",'SegEnds_Xtal_BW#'!$A:$Z,23,FALSE)</f>
        <v>24</v>
      </c>
      <c r="X187" s="108">
        <v>56</v>
      </c>
      <c r="Y187" s="1">
        <f>VLOOKUP($B187&amp;"__wt",'SegEnds_Xtal_BW#'!$A:$Z,25,FALSE)</f>
        <v>47</v>
      </c>
      <c r="Z187" s="1">
        <f>VLOOKUP($B187&amp;"__wt",'SegEnds_Xtal_BW#'!$A:$Z,26,FALSE)</f>
        <v>59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19</v>
      </c>
      <c r="AE187" s="1">
        <f>VLOOKUP(A187,'SegEnds_NonXtal_Prot#'!A:AL,16,FALSE)-VLOOKUP(A187,'SegEnds_NonXtal_Prot#'!A:AL,10,FALSE)</f>
        <v>51</v>
      </c>
      <c r="AF187" s="1">
        <f>VLOOKUP(A187,'SegEnds_NonXtal_Prot#'!A:AL,22,FALSE)-VLOOKUP(A187,'SegEnds_NonXtal_Prot#'!A:AL,19,FALSE)</f>
        <v>19</v>
      </c>
      <c r="AG187" s="1" t="e">
        <f>VLOOKUP(#REF!,'SegEnds_NonXtal_Prot#'!#REF!,28,FALSE)-VLOOKUP(#REF!,'SegEnds_NonXtal_Prot#'!#REF!,25,FALSE)</f>
        <v>#REF!</v>
      </c>
      <c r="AH187" s="1">
        <f>VLOOKUP(A187,'SegEnds_NonXtal_Prot#'!A:AL,28,FALSE)-VLOOKUP(A187,'SegEnds_NonXtal_Prot#'!A:AL,25,FALSE)</f>
        <v>24</v>
      </c>
      <c r="AI187" s="1">
        <f>VLOOKUP(A187,'SegEnds_NonXtal_Prot#'!A:AL,28,FALSE)-VLOOKUP(A187,'SegEnds_NonXtal_Prot#'!A:AL,22,FALSE)</f>
        <v>49</v>
      </c>
      <c r="AJ187" s="1">
        <f>VLOOKUP(A187,'SegEnds_NonXtal_Prot#'!A:AL,31,FALSE)-VLOOKUP(A187,'SegEnds_NonXtal_Prot#'!A:AL,28,FALSE)</f>
        <v>50</v>
      </c>
      <c r="AK187" s="1">
        <f>VLOOKUP(A187,'SegEnds_NonXtal_Prot#'!A:AL,34,FALSE)-VLOOKUP(A187,'SegEnds_NonXtal_Prot#'!A:AL,31,FALSE)</f>
        <v>39</v>
      </c>
      <c r="AL187" s="1">
        <f>VLOOKUP(A187,'SegEnds_NonXtal_Prot#'!A:AL,37,FALSE)-VLOOKUP(A187,'SegEnds_NonXtal_Prot#'!A:AL,34,FALSE)</f>
        <v>10</v>
      </c>
      <c r="AM187" s="1" t="str">
        <f>IF(ISERROR(MATCH(A187,'SegEnds_Xtal_Prot#'!B:B, 0)), "NoXtal", "Xtal")</f>
        <v>NoXtal</v>
      </c>
    </row>
    <row r="188" spans="1:39" x14ac:dyDescent="0.2">
      <c r="A188" s="1" t="s">
        <v>396</v>
      </c>
      <c r="B188" s="1" t="str">
        <f>VLOOKUP(A188,Xtal_Templ!A:B,2,FALSE)</f>
        <v>oxyr_human</v>
      </c>
      <c r="C188" s="5">
        <f>VLOOKUP($B188&amp;"__wt",'SegEnds_Xtal_BW#'!$A:$Z,3,FALSE)</f>
        <v>28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08"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 t="str">
        <f>VLOOKUP($B188&amp;"__wt",'SegEnds_Xtal_BW#'!$A:$Z,13,FALSE)</f>
        <v>-</v>
      </c>
      <c r="N188" s="108">
        <v>56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33</v>
      </c>
      <c r="T188" s="1">
        <f t="array" ref="T188">INDEX(ICL3_classA!$G$2:$G$41,MATCH(MIN(ABS(AJ188-ICL3_classA!$F$2:$F$41)),ABS(AJ188-ICL3_classA!$F$2:$F$41),0))</f>
        <v>76</v>
      </c>
      <c r="U188" s="1">
        <f t="array" ref="U188">INDEX(ICL3_classA!$H$2:$H$41,MATCH(MIN(ABS(AJ188-ICL3_classA!$F$2:$F$41)),ABS(AJ188-ICL3_classA!$F$2:$F$41),0))</f>
        <v>24</v>
      </c>
      <c r="V188" s="1">
        <v>61</v>
      </c>
      <c r="W188" s="128">
        <f>VLOOKUP($B188&amp;"__wt",'SegEnds_Xtal_BW#'!$A:$Z,23,FALSE)</f>
        <v>30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63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18</v>
      </c>
      <c r="AE188" s="1">
        <f>VLOOKUP(A188,'SegEnds_NonXtal_Prot#'!A:AL,16,FALSE)-VLOOKUP(A188,'SegEnds_NonXtal_Prot#'!A:AL,10,FALSE)</f>
        <v>52</v>
      </c>
      <c r="AF188" s="1">
        <f>VLOOKUP(A188,'SegEnds_NonXtal_Prot#'!A:AL,22,FALSE)-VLOOKUP(A188,'SegEnds_NonXtal_Prot#'!A:AL,19,FALSE)</f>
        <v>19</v>
      </c>
      <c r="AG188" s="1" t="e">
        <f>VLOOKUP(#REF!,'SegEnds_NonXtal_Prot#'!#REF!,28,FALSE)-VLOOKUP(#REF!,'SegEnds_NonXtal_Prot#'!#REF!,25,FALSE)</f>
        <v>#REF!</v>
      </c>
      <c r="AH188" s="1">
        <f>VLOOKUP(A188,'SegEnds_NonXtal_Prot#'!A:AL,28,FALSE)-VLOOKUP(A188,'SegEnds_NonXtal_Prot#'!A:AL,25,FALSE)</f>
        <v>25</v>
      </c>
      <c r="AI188" s="1">
        <f>VLOOKUP(A188,'SegEnds_NonXtal_Prot#'!A:AL,28,FALSE)-VLOOKUP(A188,'SegEnds_NonXtal_Prot#'!A:AL,22,FALSE)</f>
        <v>53</v>
      </c>
      <c r="AJ188" s="1">
        <f>VLOOKUP(A188,'SegEnds_NonXtal_Prot#'!A:AL,31,FALSE)-VLOOKUP(A188,'SegEnds_NonXtal_Prot#'!A:AL,28,FALSE)</f>
        <v>78</v>
      </c>
      <c r="AK188" s="1">
        <f>VLOOKUP(A188,'SegEnds_NonXtal_Prot#'!A:AL,34,FALSE)-VLOOKUP(A188,'SegEnds_NonXtal_Prot#'!A:AL,31,FALSE)</f>
        <v>39</v>
      </c>
      <c r="AL188" s="1">
        <f>VLOOKUP(A188,'SegEnds_NonXtal_Prot#'!A:AL,37,FALSE)-VLOOKUP(A188,'SegEnds_NonXtal_Prot#'!A:AL,34,FALSE)</f>
        <v>10</v>
      </c>
      <c r="AM188" s="1" t="str">
        <f>IF(ISERROR(MATCH(A188,'SegEnds_Xtal_Prot#'!B:B, 0)), "NoXtal", "Xtal")</f>
        <v>NoXtal</v>
      </c>
    </row>
    <row r="189" spans="1:39" x14ac:dyDescent="0.2">
      <c r="A189" s="1" t="s">
        <v>397</v>
      </c>
      <c r="B189" s="1" t="str">
        <f>VLOOKUP(A189,Xtal_Templ!A:B,2,FALSE)</f>
        <v>oxyr_human</v>
      </c>
      <c r="C189" s="5">
        <f>VLOOKUP($B189&amp;"__wt",'SegEnds_Xtal_BW#'!$A:$Z,3,FALSE)</f>
        <v>28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08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 t="str">
        <f>VLOOKUP($B189&amp;"__wt",'SegEnds_Xtal_BW#'!$A:$Z,13,FALSE)</f>
        <v>-</v>
      </c>
      <c r="N189" s="108">
        <v>56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33</v>
      </c>
      <c r="T189" s="1">
        <f t="array" ref="T189">INDEX(ICL3_classA!$G$2:$G$41,MATCH(MIN(ABS(AJ189-ICL3_classA!$F$2:$F$41)),ABS(AJ189-ICL3_classA!$F$2:$F$41),0))</f>
        <v>76</v>
      </c>
      <c r="U189" s="1">
        <f t="array" ref="U189">INDEX(ICL3_classA!$H$2:$H$41,MATCH(MIN(ABS(AJ189-ICL3_classA!$F$2:$F$41)),ABS(AJ189-ICL3_classA!$F$2:$F$41),0))</f>
        <v>24</v>
      </c>
      <c r="V189" s="1">
        <v>61</v>
      </c>
      <c r="W189" s="128">
        <f>VLOOKUP($B189&amp;"__wt",'SegEnds_Xtal_BW#'!$A:$Z,23,FALSE)</f>
        <v>30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63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18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19</v>
      </c>
      <c r="AG189" s="1" t="e">
        <f>VLOOKUP(#REF!,'SegEnds_NonXtal_Prot#'!#REF!,28,FALSE)-VLOOKUP(#REF!,'SegEnds_NonXtal_Prot#'!#REF!,25,FALSE)</f>
        <v>#REF!</v>
      </c>
      <c r="AH189" s="1">
        <f>VLOOKUP(A189,'SegEnds_NonXtal_Prot#'!A:AL,28,FALSE)-VLOOKUP(A189,'SegEnds_NonXtal_Prot#'!A:AL,25,FALSE)</f>
        <v>25</v>
      </c>
      <c r="AI189" s="1">
        <f>VLOOKUP(A189,'SegEnds_NonXtal_Prot#'!A:AL,28,FALSE)-VLOOKUP(A189,'SegEnds_NonXtal_Prot#'!A:AL,22,FALSE)</f>
        <v>53</v>
      </c>
      <c r="AJ189" s="1">
        <f>VLOOKUP(A189,'SegEnds_NonXtal_Prot#'!A:AL,31,FALSE)-VLOOKUP(A189,'SegEnds_NonXtal_Prot#'!A:AL,28,FALSE)</f>
        <v>85</v>
      </c>
      <c r="AK189" s="1">
        <f>VLOOKUP(A189,'SegEnds_NonXtal_Prot#'!A:AL,34,FALSE)-VLOOKUP(A189,'SegEnds_NonXtal_Prot#'!A:AL,31,FALSE)</f>
        <v>39</v>
      </c>
      <c r="AL189" s="1">
        <f>VLOOKUP(A189,'SegEnds_NonXtal_Prot#'!A:AL,37,FALSE)-VLOOKUP(A189,'SegEnds_NonXtal_Prot#'!A:AL,34,FALSE)</f>
        <v>10</v>
      </c>
      <c r="AM189" s="1" t="str">
        <f>IF(ISERROR(MATCH(A189,'SegEnds_Xtal_Prot#'!B:B, 0)), "NoXtal", "Xtal")</f>
        <v>NoXtal</v>
      </c>
    </row>
    <row r="190" spans="1:39" x14ac:dyDescent="0.2">
      <c r="A190" s="1" t="s">
        <v>164</v>
      </c>
      <c r="B190" s="1" t="str">
        <f>VLOOKUP(A190,Xtal_Templ!A:B,2,FALSE)</f>
        <v>c5ar1_human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 t="str">
        <f>VLOOKUP($B190&amp;"__wt",'SegEnds_Xtal_BW#'!$A:$Z,5,FALSE)</f>
        <v>-</v>
      </c>
      <c r="F190" s="1" t="str">
        <f>VLOOKUP($B190&amp;"__wt",'SegEnds_Xtal_BW#'!$A:$Z,6,FALSE)</f>
        <v>-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31</v>
      </c>
      <c r="T190" s="1">
        <f t="array" ref="T190">INDEX(ICL3_classA!$G$2:$G$41,MATCH(MIN(ABS(AJ190-ICL3_classA!$F$2:$F$41)),ABS(AJ190-ICL3_classA!$F$2:$F$41),0))</f>
        <v>68</v>
      </c>
      <c r="U190" s="108">
        <v>31</v>
      </c>
      <c r="V190" s="1">
        <v>61</v>
      </c>
      <c r="W190" s="108">
        <v>25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56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27</v>
      </c>
      <c r="AC190" s="1" t="e">
        <f>VLOOKUP(A190,'SegEnds_NonXtal_Prot#'!A:AL,10,FALSE)-VLOOKUP(A190,'SegEnds_NonXtal_Prot#'!A:AL,7,FALSE)</f>
        <v>#VALUE!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>
        <f>VLOOKUP(A190,'SegEnds_NonXtal_Prot#'!A:AL,22,FALSE)-VLOOKUP(A190,'SegEnds_NonXtal_Prot#'!A:AL,19,FALSE)</f>
        <v>20</v>
      </c>
      <c r="AG190" s="1" t="e">
        <f>VLOOKUP(#REF!,'SegEnds_NonXtal_Prot#'!#REF!,28,FALSE)-VLOOKUP(#REF!,'SegEnds_NonXtal_Prot#'!#REF!,25,FALSE)</f>
        <v>#REF!</v>
      </c>
      <c r="AH190" s="1">
        <f>VLOOKUP(A190,'SegEnds_NonXtal_Prot#'!A:AL,28,FALSE)-VLOOKUP(A190,'SegEnds_NonXtal_Prot#'!A:AL,25,FALSE)</f>
        <v>176</v>
      </c>
      <c r="AI190" s="1">
        <f>VLOOKUP(A190,'SegEnds_NonXtal_Prot#'!A:AL,28,FALSE)-VLOOKUP(A190,'SegEnds_NonXtal_Prot#'!A:AL,22,FALSE)</f>
        <v>201</v>
      </c>
      <c r="AJ190" s="1">
        <f>VLOOKUP(A190,'SegEnds_NonXtal_Prot#'!A:AL,31,FALSE)-VLOOKUP(A190,'SegEnds_NonXtal_Prot#'!A:AL,28,FALSE)</f>
        <v>44</v>
      </c>
      <c r="AK190" s="1">
        <f>VLOOKUP(A190,'SegEnds_NonXtal_Prot#'!A:AL,34,FALSE)-VLOOKUP(A190,'SegEnds_NonXtal_Prot#'!A:AL,31,FALSE)</f>
        <v>40</v>
      </c>
      <c r="AL190" s="1">
        <f>VLOOKUP(A190,'SegEnds_NonXtal_Prot#'!A:AL,37,FALSE)-VLOOKUP(A190,'SegEnds_NonXtal_Prot#'!A:AL,34,FALSE)</f>
        <v>10</v>
      </c>
      <c r="AM190" s="1" t="str">
        <f>IF(ISERROR(MATCH(A190,'SegEnds_Xtal_Prot#'!B:B, 0)), "NoXtal", "Xtal")</f>
        <v>NoXtal</v>
      </c>
    </row>
    <row r="191" spans="1:39" x14ac:dyDescent="0.2">
      <c r="A191" s="1" t="s">
        <v>165</v>
      </c>
      <c r="B191" s="1" t="str">
        <f>VLOOKUP(A191,Xtal_Templ!A:B,2,FALSE)</f>
        <v>c5ar1_human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 t="str">
        <f>VLOOKUP($B191&amp;"__wt",'SegEnds_Xtal_BW#'!$A:$Z,5,FALSE)</f>
        <v>-</v>
      </c>
      <c r="F191" s="1" t="str">
        <f>VLOOKUP($B191&amp;"__wt",'SegEnds_Xtal_BW#'!$A:$Z,6,FALSE)</f>
        <v>-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31</v>
      </c>
      <c r="T191" s="1">
        <f t="array" ref="T191">INDEX(ICL3_classA!$G$2:$G$41,MATCH(MIN(ABS(AJ191-ICL3_classA!$F$2:$F$41)),ABS(AJ191-ICL3_classA!$F$2:$F$41),0))</f>
        <v>68</v>
      </c>
      <c r="U191" s="108">
        <v>31</v>
      </c>
      <c r="V191" s="1">
        <v>61</v>
      </c>
      <c r="W191" s="108">
        <v>25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56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27</v>
      </c>
      <c r="AC191" s="1" t="e">
        <f>VLOOKUP(A191,'SegEnds_NonXtal_Prot#'!A:AL,10,FALSE)-VLOOKUP(A191,'SegEnds_NonXtal_Prot#'!A:AL,7,FALSE)</f>
        <v>#VALUE!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 t="e">
        <f>VLOOKUP(#REF!,'SegEnds_NonXtal_Prot#'!#REF!,28,FALSE)-VLOOKUP(#REF!,'SegEnds_NonXtal_Prot#'!#REF!,25,FALSE)</f>
        <v>#REF!</v>
      </c>
      <c r="AH191" s="1">
        <f>VLOOKUP(A191,'SegEnds_NonXtal_Prot#'!A:AL,28,FALSE)-VLOOKUP(A191,'SegEnds_NonXtal_Prot#'!A:AL,25,FALSE)</f>
        <v>26</v>
      </c>
      <c r="AI191" s="1">
        <f>VLOOKUP(A191,'SegEnds_NonXtal_Prot#'!A:AL,28,FALSE)-VLOOKUP(A191,'SegEnds_NonXtal_Prot#'!A:AL,22,FALSE)</f>
        <v>53</v>
      </c>
      <c r="AJ191" s="1">
        <f>VLOOKUP(A191,'SegEnds_NonXtal_Prot#'!A:AL,31,FALSE)-VLOOKUP(A191,'SegEnds_NonXtal_Prot#'!A:AL,28,FALSE)</f>
        <v>43</v>
      </c>
      <c r="AK191" s="1">
        <f>VLOOKUP(A191,'SegEnds_NonXtal_Prot#'!A:AL,34,FALSE)-VLOOKUP(A191,'SegEnds_NonXtal_Prot#'!A:AL,31,FALSE)</f>
        <v>40</v>
      </c>
      <c r="AL191" s="1">
        <f>VLOOKUP(A191,'SegEnds_NonXtal_Prot#'!A:AL,37,FALSE)-VLOOKUP(A191,'SegEnds_NonXtal_Prot#'!A:AL,34,FALSE)</f>
        <v>10</v>
      </c>
      <c r="AM191" s="1" t="str">
        <f>IF(ISERROR(MATCH(A191,'SegEnds_Xtal_Prot#'!B:B, 0)), "NoXtal", "Xtal")</f>
        <v>Xtal</v>
      </c>
    </row>
    <row r="192" spans="1:39" x14ac:dyDescent="0.2">
      <c r="A192" s="1" t="s">
        <v>166</v>
      </c>
      <c r="B192" s="1" t="str">
        <f>VLOOKUP(A192,Xtal_Templ!A:B,2,FALSE)</f>
        <v>c5ar1_human</v>
      </c>
      <c r="C192" s="5">
        <f>VLOOKUP($B192&amp;"__wt",'SegEnds_Xtal_BW#'!$A:$Z,3,FALSE)</f>
        <v>29</v>
      </c>
      <c r="D192" s="1">
        <f>VLOOKUP($B192&amp;"__wt",'SegEnds_Xtal_BW#'!$A:$Z,4,FALSE)</f>
        <v>60</v>
      </c>
      <c r="E192" s="1" t="str">
        <f>VLOOKUP($B192&amp;"__wt",'SegEnds_Xtal_BW#'!$A:$Z,5,FALSE)</f>
        <v>-</v>
      </c>
      <c r="F192" s="1" t="str">
        <f>VLOOKUP($B192&amp;"__wt",'SegEnds_Xtal_BW#'!$A:$Z,6,FALSE)</f>
        <v>-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31</v>
      </c>
      <c r="T192" s="1">
        <f t="array" ref="T192">INDEX(ICL3_classA!$G$2:$G$41,MATCH(MIN(ABS(AJ192-ICL3_classA!$F$2:$F$41)),ABS(AJ192-ICL3_classA!$F$2:$F$41),0))</f>
        <v>64</v>
      </c>
      <c r="U192" s="108">
        <v>31</v>
      </c>
      <c r="V192" s="1">
        <v>61</v>
      </c>
      <c r="W192" s="108">
        <v>25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56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27</v>
      </c>
      <c r="AC192" s="1" t="e">
        <f>VLOOKUP(A192,'SegEnds_NonXtal_Prot#'!A:AL,10,FALSE)-VLOOKUP(A192,'SegEnds_NonXtal_Prot#'!A:AL,7,FALSE)</f>
        <v>#VALUE!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20</v>
      </c>
      <c r="AG192" s="1" t="e">
        <f>VLOOKUP(#REF!,'SegEnds_NonXtal_Prot#'!#REF!,28,FALSE)-VLOOKUP(#REF!,'SegEnds_NonXtal_Prot#'!#REF!,25,FALSE)</f>
        <v>#REF!</v>
      </c>
      <c r="AH192" s="1">
        <f>VLOOKUP(A192,'SegEnds_NonXtal_Prot#'!A:AL,28,FALSE)-VLOOKUP(A192,'SegEnds_NonXtal_Prot#'!A:AL,25,FALSE)</f>
        <v>26</v>
      </c>
      <c r="AI192" s="1">
        <f>VLOOKUP(A192,'SegEnds_NonXtal_Prot#'!A:AL,28,FALSE)-VLOOKUP(A192,'SegEnds_NonXtal_Prot#'!A:AL,22,FALSE)</f>
        <v>53</v>
      </c>
      <c r="AJ192" s="1">
        <f>VLOOKUP(A192,'SegEnds_NonXtal_Prot#'!A:AL,31,FALSE)-VLOOKUP(A192,'SegEnds_NonXtal_Prot#'!A:AL,28,FALSE)</f>
        <v>36</v>
      </c>
      <c r="AK192" s="1">
        <f>VLOOKUP(A192,'SegEnds_NonXtal_Prot#'!A:AL,34,FALSE)-VLOOKUP(A192,'SegEnds_NonXtal_Prot#'!A:AL,31,FALSE)</f>
        <v>40</v>
      </c>
      <c r="AL192" s="1">
        <f>VLOOKUP(A192,'SegEnds_NonXtal_Prot#'!A:AL,37,FALSE)-VLOOKUP(A192,'SegEnds_NonXtal_Prot#'!A:AL,34,FALSE)</f>
        <v>10</v>
      </c>
      <c r="AM192" s="1" t="str">
        <f>IF(ISERROR(MATCH(A192,'SegEnds_Xtal_Prot#'!B:B, 0)), "NoXtal", "Xtal")</f>
        <v>NoXtal</v>
      </c>
    </row>
    <row r="193" spans="1:39" x14ac:dyDescent="0.2">
      <c r="A193" s="1" t="s">
        <v>180</v>
      </c>
      <c r="B193" s="1" t="str">
        <f>VLOOKUP(A193,Xtal_Templ!A:B,2,FALSE)</f>
        <v>cltr2_human</v>
      </c>
      <c r="C193" s="5">
        <f>VLOOKUP($B193&amp;"__wt",'SegEnds_Xtal_BW#'!$A:$Z,3,FALSE)</f>
        <v>25</v>
      </c>
      <c r="D193" s="1">
        <f>VLOOKUP($B193&amp;"__wt",'SegEnds_Xtal_BW#'!$A:$Z,4,FALSE)</f>
        <v>60</v>
      </c>
      <c r="E193" s="1" t="str">
        <f>VLOOKUP($B193&amp;"__wt",'SegEnds_Xtal_BW#'!$A:$Z,5,FALSE)</f>
        <v>-</v>
      </c>
      <c r="F193" s="1" t="str">
        <f>VLOOKUP($B193&amp;"__wt",'SegEnds_Xtal_BW#'!$A:$Z,6,FALSE)</f>
        <v>-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f>VLOOKUP($B193&amp;"__wt",'SegEnds_Xtal_BW#'!$A:$Z,15,FALSE)</f>
        <v>38</v>
      </c>
      <c r="P193" s="1">
        <f>VLOOKUP($B193&amp;"__wt",'SegEnds_Xtal_BW#'!$A:$Z,16,FALSE)</f>
        <v>63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INDEX(ICL3_classA!$G$2:$G$41,MATCH(MIN(ABS(AJ193-ICL3_classA!$F$2:$F$41)),ABS(AJ193-ICL3_classA!$F$2:$F$41),0))</f>
        <v>68</v>
      </c>
      <c r="U193" s="1">
        <f t="array" ref="U193">INDEX(ICL3_classA!$H$2:$H$41,MATCH(MIN(ABS(AJ193-ICL3_classA!$F$2:$F$41)),ABS(AJ193-ICL3_classA!$F$2:$F$41),0))</f>
        <v>24</v>
      </c>
      <c r="V193" s="1">
        <f>VLOOKUP($B193&amp;"__wt",'SegEnds_Xtal_BW#'!$A:$Z,22,FALSE)</f>
        <v>62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 t="e">
        <f>VLOOKUP(A193,'SegEnds_NonXtal_Prot#'!A:AL,10,FALSE)-VLOOKUP(A193,'SegEnds_NonXtal_Prot#'!A:AL,7,FALSE)</f>
        <v>#VALUE!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 t="e">
        <f>VLOOKUP(#REF!,'SegEnds_NonXtal_Prot#'!#REF!,28,FALSE)-VLOOKUP(#REF!,'SegEnds_NonXtal_Prot#'!#REF!,25,FALSE)</f>
        <v>#REF!</v>
      </c>
      <c r="AH193" s="1">
        <f>VLOOKUP(A193,'SegEnds_NonXtal_Prot#'!A:AL,28,FALSE)-VLOOKUP(A193,'SegEnds_NonXtal_Prot#'!A:AL,25,FALSE)</f>
        <v>26</v>
      </c>
      <c r="AI193" s="1">
        <f>VLOOKUP(A193,'SegEnds_NonXtal_Prot#'!A:AL,28,FALSE)-VLOOKUP(A193,'SegEnds_NonXtal_Prot#'!A:AL,22,FALSE)</f>
        <v>50</v>
      </c>
      <c r="AJ193" s="1">
        <f>VLOOKUP(A193,'SegEnds_NonXtal_Prot#'!A:AL,31,FALSE)-VLOOKUP(A193,'SegEnds_NonXtal_Prot#'!A:AL,28,FALSE)</f>
        <v>49</v>
      </c>
      <c r="AK193" s="1">
        <f>VLOOKUP(A193,'SegEnds_NonXtal_Prot#'!A:AL,34,FALSE)-VLOOKUP(A193,'SegEnds_NonXtal_Prot#'!A:AL,31,FALSE)</f>
        <v>40</v>
      </c>
      <c r="AL193" s="1">
        <f>VLOOKUP(A193,'SegEnds_NonXtal_Prot#'!A:AL,37,FALSE)-VLOOKUP(A193,'SegEnds_NonXtal_Prot#'!A:AL,34,FALSE)</f>
        <v>10</v>
      </c>
      <c r="AM193" s="1" t="str">
        <f>IF(ISERROR(MATCH(A193,'SegEnds_Xtal_Prot#'!B:B, 0)), "NoXtal", "Xtal")</f>
        <v>Xtal</v>
      </c>
    </row>
    <row r="194" spans="1:39" x14ac:dyDescent="0.2">
      <c r="A194" s="1" t="s">
        <v>216</v>
      </c>
      <c r="B194" s="1" t="str">
        <f>VLOOKUP(A194,Xtal_Templ!A:B,2,FALSE)</f>
        <v>ccr7_human</v>
      </c>
      <c r="C194" s="5">
        <f>VLOOKUP($B194&amp;"__wt",'SegEnds_Xtal_BW#'!$A:$Z,3,FALSE)</f>
        <v>29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21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33</v>
      </c>
      <c r="T194" s="1">
        <f t="array" ref="T194">INDEX(ICL3_classA!$G$2:$G$41,MATCH(MIN(ABS(AJ194-ICL3_classA!$F$2:$F$41)),ABS(AJ194-ICL3_classA!$F$2:$F$41),0))</f>
        <v>68</v>
      </c>
      <c r="U194" s="1">
        <f t="array" ref="U194">INDEX(ICL3_classA!$H$2:$H$41,MATCH(MIN(ABS(AJ194-ICL3_classA!$F$2:$F$41)),ABS(AJ194-ICL3_classA!$F$2:$F$41),0))</f>
        <v>28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19</v>
      </c>
      <c r="AE194" s="1">
        <f>VLOOKUP(A194,'SegEnds_NonXtal_Prot#'!A:AL,16,FALSE)-VLOOKUP(A194,'SegEnds_NonXtal_Prot#'!A:AL,10,FALSE)</f>
        <v>51</v>
      </c>
      <c r="AF194" s="1">
        <f>VLOOKUP(A194,'SegEnds_NonXtal_Prot#'!A:AL,22,FALSE)-VLOOKUP(A194,'SegEnds_NonXtal_Prot#'!A:AL,19,FALSE)</f>
        <v>20</v>
      </c>
      <c r="AG194" s="1" t="e">
        <f>VLOOKUP(#REF!,'SegEnds_NonXtal_Prot#'!#REF!,28,FALSE)-VLOOKUP(#REF!,'SegEnds_NonXtal_Prot#'!#REF!,25,FALSE)</f>
        <v>#REF!</v>
      </c>
      <c r="AH194" s="1">
        <f>VLOOKUP(A194,'SegEnds_NonXtal_Prot#'!A:AL,28,FALSE)-VLOOKUP(A194,'SegEnds_NonXtal_Prot#'!A:AL,25,FALSE)</f>
        <v>30</v>
      </c>
      <c r="AI194" s="1">
        <f>VLOOKUP(A194,'SegEnds_NonXtal_Prot#'!A:AL,28,FALSE)-VLOOKUP(A194,'SegEnds_NonXtal_Prot#'!A:AL,22,FALSE)</f>
        <v>56</v>
      </c>
      <c r="AJ194" s="1">
        <f>VLOOKUP(A194,'SegEnds_NonXtal_Prot#'!A:AL,31,FALSE)-VLOOKUP(A194,'SegEnds_NonXtal_Prot#'!A:AL,28,FALSE)</f>
        <v>44</v>
      </c>
      <c r="AK194" s="1">
        <f>VLOOKUP(A194,'SegEnds_NonXtal_Prot#'!A:AL,34,FALSE)-VLOOKUP(A194,'SegEnds_NonXtal_Prot#'!A:AL,31,FALSE)</f>
        <v>40</v>
      </c>
      <c r="AL194" s="1">
        <f>VLOOKUP(A194,'SegEnds_NonXtal_Prot#'!A:AL,37,FALSE)-VLOOKUP(A194,'SegEnds_NonXtal_Prot#'!A:AL,34,FALSE)</f>
        <v>11</v>
      </c>
      <c r="AM194" s="1" t="str">
        <f>IF(ISERROR(MATCH(A194,'SegEnds_Xtal_Prot#'!B:B, 0)), "NoXtal", "Xtal")</f>
        <v>NoXtal</v>
      </c>
    </row>
    <row r="195" spans="1:39" x14ac:dyDescent="0.2">
      <c r="A195" s="1" t="s">
        <v>223</v>
      </c>
      <c r="B195" s="1" t="str">
        <f>VLOOKUP(A195,Xtal_Templ!A:B,2,FALSE)</f>
        <v>fpr2_human</v>
      </c>
      <c r="C195" s="5">
        <f>VLOOKUP($B195&amp;"__wt",'SegEnds_Xtal_BW#'!$A:$Z,3,FALSE)</f>
        <v>25</v>
      </c>
      <c r="D195" s="1">
        <f>VLOOKUP($B195&amp;"__wt",'SegEnds_Xtal_BW#'!$A:$Z,4,FALSE)</f>
        <v>61</v>
      </c>
      <c r="E195" s="1" t="str">
        <f>VLOOKUP($B195&amp;"__wt",'SegEnds_Xtal_BW#'!$A:$Z,5,FALSE)</f>
        <v>-</v>
      </c>
      <c r="F195" s="1" t="str">
        <f>VLOOKUP($B195&amp;"__wt",'SegEnds_Xtal_BW#'!$A:$Z,6,FALSE)</f>
        <v>-</v>
      </c>
      <c r="G195" s="1">
        <v>37</v>
      </c>
      <c r="H195" s="12"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v>35</v>
      </c>
      <c r="T195" s="1">
        <f t="array" ref="T195">INDEX(ICL3_classA!$G$2:$G$41,MATCH(MIN(ABS(AJ195-ICL3_classA!$F$2:$F$41)),ABS(AJ195-ICL3_classA!$F$2:$F$41),0))</f>
        <v>68</v>
      </c>
      <c r="U195" s="1">
        <f t="array" ref="U195">INDEX(ICL3_classA!$H$2:$H$41,MATCH(MIN(ABS(AJ195-ICL3_classA!$F$2:$F$41)),ABS(AJ195-ICL3_classA!$F$2:$F$41),0))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30</v>
      </c>
      <c r="AC195" s="1" t="e">
        <f>VLOOKUP(A195,'SegEnds_NonXtal_Prot#'!A:AL,10,FALSE)-VLOOKUP(A195,'SegEnds_NonXtal_Prot#'!A:AL,7,FALSE)</f>
        <v>#VALUE!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 t="e">
        <f>VLOOKUP(#REF!,'SegEnds_NonXtal_Prot#'!#REF!,28,FALSE)-VLOOKUP(#REF!,'SegEnds_NonXtal_Prot#'!#REF!,25,FALSE)</f>
        <v>#REF!</v>
      </c>
      <c r="AH195" s="1">
        <f>VLOOKUP(A195,'SegEnds_NonXtal_Prot#'!A:AL,28,FALSE)-VLOOKUP(A195,'SegEnds_NonXtal_Prot#'!A:AL,25,FALSE)</f>
        <v>22</v>
      </c>
      <c r="AI195" s="1">
        <f>VLOOKUP(A195,'SegEnds_NonXtal_Prot#'!A:AL,28,FALSE)-VLOOKUP(A195,'SegEnds_NonXtal_Prot#'!A:AL,22,FALSE)</f>
        <v>48</v>
      </c>
      <c r="AJ195" s="1">
        <f>VLOOKUP(A195,'SegEnds_NonXtal_Prot#'!A:AL,31,FALSE)-VLOOKUP(A195,'SegEnds_NonXtal_Prot#'!A:AL,28,FALSE)</f>
        <v>48</v>
      </c>
      <c r="AK195" s="1">
        <f>VLOOKUP(A195,'SegEnds_NonXtal_Prot#'!A:AL,34,FALSE)-VLOOKUP(A195,'SegEnds_NonXtal_Prot#'!A:AL,31,FALSE)</f>
        <v>40</v>
      </c>
      <c r="AL195" s="1">
        <f>VLOOKUP(A195,'SegEnds_NonXtal_Prot#'!A:AL,37,FALSE)-VLOOKUP(A195,'SegEnds_NonXtal_Prot#'!A:AL,34,FALSE)</f>
        <v>10</v>
      </c>
      <c r="AM195" s="1" t="str">
        <f>IF(ISERROR(MATCH(A195,'SegEnds_Xtal_Prot#'!B:B, 0)), "NoXtal", "Xtal")</f>
        <v>NoXtal</v>
      </c>
    </row>
    <row r="196" spans="1:39" x14ac:dyDescent="0.2">
      <c r="A196" s="1" t="s">
        <v>236</v>
      </c>
      <c r="B196" s="1" t="str">
        <f>VLOOKUP(A196,Xtal_Templ!A:B,2,FALSE)</f>
        <v>fpr2_human</v>
      </c>
      <c r="C196" s="5">
        <f>VLOOKUP($B196&amp;"__wt",'SegEnds_Xtal_BW#'!$A:$Z,3,FALSE)</f>
        <v>25</v>
      </c>
      <c r="D196" s="1">
        <f>VLOOKUP($B196&amp;"__wt",'SegEnds_Xtal_BW#'!$A:$Z,4,FALSE)</f>
        <v>61</v>
      </c>
      <c r="E196" s="1" t="str">
        <f>VLOOKUP($B196&amp;"__wt",'SegEnds_Xtal_BW#'!$A:$Z,5,FALSE)</f>
        <v>-</v>
      </c>
      <c r="F196" s="1" t="str">
        <f>VLOOKUP($B196&amp;"__wt",'SegEnds_Xtal_BW#'!$A:$Z,6,FALSE)</f>
        <v>-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23</v>
      </c>
      <c r="T196" s="1">
        <f t="array" ref="T196">INDEX(ICL3_classA!$G$2:$G$41,MATCH(MIN(ABS(AJ196-ICL3_classA!$F$2:$F$41)),ABS(AJ196-ICL3_classA!$F$2:$F$41),0))</f>
        <v>68</v>
      </c>
      <c r="U196" s="1">
        <f t="array" ref="U196">INDEX(ICL3_classA!$H$2:$H$41,MATCH(MIN(ABS(AJ196-ICL3_classA!$F$2:$F$41)),ABS(AJ196-ICL3_classA!$F$2:$F$41),0))</f>
        <v>30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27</v>
      </c>
      <c r="AC196" s="1" t="e">
        <f>VLOOKUP(A196,'SegEnds_NonXtal_Prot#'!A:AL,10,FALSE)-VLOOKUP(A196,'SegEnds_NonXtal_Prot#'!A:AL,7,FALSE)</f>
        <v>#VALUE!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 t="e">
        <f>VLOOKUP(#REF!,'SegEnds_NonXtal_Prot#'!#REF!,28,FALSE)-VLOOKUP(#REF!,'SegEnds_NonXtal_Prot#'!#REF!,25,FALSE)</f>
        <v>#REF!</v>
      </c>
      <c r="AH196" s="1">
        <f>VLOOKUP(A196,'SegEnds_NonXtal_Prot#'!A:AL,28,FALSE)-VLOOKUP(A196,'SegEnds_NonXtal_Prot#'!A:AL,25,FALSE)</f>
        <v>31</v>
      </c>
      <c r="AI196" s="1">
        <f>VLOOKUP(A196,'SegEnds_NonXtal_Prot#'!A:AL,28,FALSE)-VLOOKUP(A196,'SegEnds_NonXtal_Prot#'!A:AL,22,FALSE)</f>
        <v>56</v>
      </c>
      <c r="AJ196" s="1">
        <f>VLOOKUP(A196,'SegEnds_NonXtal_Prot#'!A:AL,31,FALSE)-VLOOKUP(A196,'SegEnds_NonXtal_Prot#'!A:AL,28,FALSE)</f>
        <v>43</v>
      </c>
      <c r="AK196" s="1">
        <f>VLOOKUP(A196,'SegEnds_NonXtal_Prot#'!A:AL,34,FALSE)-VLOOKUP(A196,'SegEnds_NonXtal_Prot#'!A:AL,31,FALSE)</f>
        <v>40</v>
      </c>
      <c r="AL196" s="1">
        <f>VLOOKUP(A196,'SegEnds_NonXtal_Prot#'!A:AL,37,FALSE)-VLOOKUP(A196,'SegEnds_NonXtal_Prot#'!A:AL,34,FALSE)</f>
        <v>10</v>
      </c>
      <c r="AM196" s="1" t="str">
        <f>IF(ISERROR(MATCH(A196,'SegEnds_Xtal_Prot#'!B:B, 0)), "NoXtal", "Xtal")</f>
        <v>NoXtal</v>
      </c>
    </row>
    <row r="197" spans="1:39" x14ac:dyDescent="0.2">
      <c r="A197" s="1" t="s">
        <v>273</v>
      </c>
      <c r="B197" s="1" t="str">
        <f>VLOOKUP(A197,Xtal_Templ!A:B,2,FALSE)</f>
        <v>ednrb_human</v>
      </c>
      <c r="C197" s="5">
        <f>VLOOKUP($B197&amp;"__wt",'SegEnds_Xtal_BW#'!$A:$Z,3,FALSE)</f>
        <v>22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52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7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28</v>
      </c>
      <c r="T197" s="1">
        <f t="array" ref="T197">INDEX(ICL3_classA!$G$2:$G$41,MATCH(MIN(ABS(AJ197-ICL3_classA!$F$2:$F$41)),ABS(AJ197-ICL3_classA!$F$2:$F$41),0))</f>
        <v>73</v>
      </c>
      <c r="U197" s="1">
        <f t="array" ref="U197">INDEX(ICL3_classA!$H$2:$H$41,MATCH(MIN(ABS(AJ197-ICL3_classA!$F$2:$F$41)),ABS(AJ197-ICL3_classA!$F$2:$F$41),0))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60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20</v>
      </c>
      <c r="AG197" s="1" t="e">
        <f>VLOOKUP(#REF!,'SegEnds_NonXtal_Prot#'!#REF!,28,FALSE)-VLOOKUP(#REF!,'SegEnds_NonXtal_Prot#'!#REF!,25,FALSE)</f>
        <v>#REF!</v>
      </c>
      <c r="AH197" s="1">
        <f>VLOOKUP(A197,'SegEnds_NonXtal_Prot#'!A:AL,28,FALSE)-VLOOKUP(A197,'SegEnds_NonXtal_Prot#'!A:AL,25,FALSE)</f>
        <v>26</v>
      </c>
      <c r="AI197" s="1">
        <f>VLOOKUP(A197,'SegEnds_NonXtal_Prot#'!A:AL,28,FALSE)-VLOOKUP(A197,'SegEnds_NonXtal_Prot#'!A:AL,22,FALSE)</f>
        <v>57</v>
      </c>
      <c r="AJ197" s="1">
        <f>VLOOKUP(A197,'SegEnds_NonXtal_Prot#'!A:AL,31,FALSE)-VLOOKUP(A197,'SegEnds_NonXtal_Prot#'!A:AL,28,FALSE)</f>
        <v>57</v>
      </c>
      <c r="AK197" s="1">
        <f>VLOOKUP(A197,'SegEnds_NonXtal_Prot#'!A:AL,34,FALSE)-VLOOKUP(A197,'SegEnds_NonXtal_Prot#'!A:AL,31,FALSE)</f>
        <v>40</v>
      </c>
      <c r="AL197" s="1">
        <f>VLOOKUP(A197,'SegEnds_NonXtal_Prot#'!A:AL,37,FALSE)-VLOOKUP(A197,'SegEnds_NonXtal_Prot#'!A:AL,34,FALSE)</f>
        <v>10</v>
      </c>
      <c r="AM197" s="1" t="str">
        <f>IF(ISERROR(MATCH(A197,'SegEnds_Xtal_Prot#'!B:B, 0)), "NoXtal", "Xtal")</f>
        <v>NoXtal</v>
      </c>
    </row>
    <row r="198" spans="1:39" x14ac:dyDescent="0.2">
      <c r="A198" s="1" t="s">
        <v>274</v>
      </c>
      <c r="B198" s="1" t="str">
        <f>VLOOKUP(A198,Xtal_Templ!A:B,2,FALSE)</f>
        <v>p2ry1_human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f>VLOOKUP($B198&amp;"__wt",'SegEnds_Xtal_BW#'!$A:$Z,8,FALSE)</f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INDEX(ICL3_classA!$G$2:$G$41,MATCH(MIN(ABS(AJ198-ICL3_classA!$F$2:$F$41)),ABS(AJ198-ICL3_classA!$F$2:$F$41),0))</f>
        <v>67</v>
      </c>
      <c r="U198" s="1">
        <f t="array" ref="U198">INDEX(ICL3_classA!$H$2:$H$41,MATCH(MIN(ABS(AJ198-ICL3_classA!$F$2:$F$41)),ABS(AJ198-ICL3_classA!$F$2:$F$41),0))</f>
        <v>26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 t="e">
        <f>VLOOKUP(A198,'SegEnds_NonXtal_Prot#'!A:AL,10,FALSE)-VLOOKUP(A198,'SegEnds_NonXtal_Prot#'!A:AL,7,FALSE)</f>
        <v>#VALUE!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>
        <f>VLOOKUP(A198,'SegEnds_NonXtal_Prot#'!A:AL,22,FALSE)-VLOOKUP(A198,'SegEnds_NonXtal_Prot#'!A:AL,19,FALSE)</f>
        <v>20</v>
      </c>
      <c r="AG198" s="1" t="e">
        <f>VLOOKUP(#REF!,'SegEnds_NonXtal_Prot#'!#REF!,28,FALSE)-VLOOKUP(#REF!,'SegEnds_NonXtal_Prot#'!#REF!,25,FALSE)</f>
        <v>#REF!</v>
      </c>
      <c r="AH198" s="1">
        <f>VLOOKUP(A198,'SegEnds_NonXtal_Prot#'!A:AL,28,FALSE)-VLOOKUP(A198,'SegEnds_NonXtal_Prot#'!A:AL,25,FALSE)</f>
        <v>23</v>
      </c>
      <c r="AI198" s="1">
        <f>VLOOKUP(A198,'SegEnds_NonXtal_Prot#'!A:AL,28,FALSE)-VLOOKUP(A198,'SegEnds_NonXtal_Prot#'!A:AL,22,FALSE)</f>
        <v>48</v>
      </c>
      <c r="AJ198" s="1">
        <f>VLOOKUP(A198,'SegEnds_NonXtal_Prot#'!A:AL,31,FALSE)-VLOOKUP(A198,'SegEnds_NonXtal_Prot#'!A:AL,28,FALSE)</f>
        <v>47</v>
      </c>
      <c r="AK198" s="1">
        <f>VLOOKUP(A198,'SegEnds_NonXtal_Prot#'!A:AL,34,FALSE)-VLOOKUP(A198,'SegEnds_NonXtal_Prot#'!A:AL,31,FALSE)</f>
        <v>40</v>
      </c>
      <c r="AL198" s="1">
        <f>VLOOKUP(A198,'SegEnds_NonXtal_Prot#'!A:AL,37,FALSE)-VLOOKUP(A198,'SegEnds_NonXtal_Prot#'!A:AL,34,FALSE)</f>
        <v>10</v>
      </c>
      <c r="AM198" s="1" t="str">
        <f>IF(ISERROR(MATCH(A198,'SegEnds_Xtal_Prot#'!B:B, 0)), "NoXtal", "Xtal")</f>
        <v>NoXtal</v>
      </c>
    </row>
    <row r="199" spans="1:39" x14ac:dyDescent="0.2">
      <c r="A199" s="1" t="s">
        <v>316</v>
      </c>
      <c r="B199" s="1" t="str">
        <f>VLOOKUP(A199,Xtal_Templ!A:B,2,FALSE)</f>
        <v>ednrb_human</v>
      </c>
      <c r="C199" s="5">
        <f>VLOOKUP($B199&amp;"__wt",'SegEnds_Xtal_BW#'!$A:$Z,3,FALSE)</f>
        <v>22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52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28</v>
      </c>
      <c r="T199" s="1">
        <f t="array" ref="T199">INDEX(ICL3_classA!$G$2:$G$41,MATCH(MIN(ABS(AJ199-ICL3_classA!$F$2:$F$41)),ABS(AJ199-ICL3_classA!$F$2:$F$41),0))</f>
        <v>73</v>
      </c>
      <c r="U199" s="1">
        <f t="array" ref="U199">INDEX(ICL3_classA!$H$2:$H$41,MATCH(MIN(ABS(AJ199-ICL3_classA!$F$2:$F$41)),ABS(AJ199-ICL3_classA!$F$2:$F$41),0))</f>
        <v>22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60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 t="e">
        <f>VLOOKUP(#REF!,'SegEnds_NonXtal_Prot#'!#REF!,28,FALSE)-VLOOKUP(#REF!,'SegEnds_NonXtal_Prot#'!#REF!,25,FALSE)</f>
        <v>#REF!</v>
      </c>
      <c r="AH199" s="1">
        <f>VLOOKUP(A199,'SegEnds_NonXtal_Prot#'!A:AL,28,FALSE)-VLOOKUP(A199,'SegEnds_NonXtal_Prot#'!A:AL,25,FALSE)</f>
        <v>26</v>
      </c>
      <c r="AI199" s="1">
        <f>VLOOKUP(A199,'SegEnds_NonXtal_Prot#'!A:AL,28,FALSE)-VLOOKUP(A199,'SegEnds_NonXtal_Prot#'!A:AL,22,FALSE)</f>
        <v>56</v>
      </c>
      <c r="AJ199" s="1">
        <f>VLOOKUP(A199,'SegEnds_NonXtal_Prot#'!A:AL,31,FALSE)-VLOOKUP(A199,'SegEnds_NonXtal_Prot#'!A:AL,28,FALSE)</f>
        <v>57</v>
      </c>
      <c r="AK199" s="1">
        <f>VLOOKUP(A199,'SegEnds_NonXtal_Prot#'!A:AL,34,FALSE)-VLOOKUP(A199,'SegEnds_NonXtal_Prot#'!A:AL,31,FALSE)</f>
        <v>40</v>
      </c>
      <c r="AL199" s="1">
        <f>VLOOKUP(A199,'SegEnds_NonXtal_Prot#'!A:AL,37,FALSE)-VLOOKUP(A199,'SegEnds_NonXtal_Prot#'!A:AL,34,FALSE)</f>
        <v>10</v>
      </c>
      <c r="AM199" s="1" t="str">
        <f>IF(ISERROR(MATCH(A199,'SegEnds_Xtal_Prot#'!B:B, 0)), "NoXtal", "Xtal")</f>
        <v>NoXtal</v>
      </c>
    </row>
    <row r="200" spans="1:39" x14ac:dyDescent="0.2">
      <c r="A200" s="1" t="s">
        <v>330</v>
      </c>
      <c r="B200" s="1" t="str">
        <f>VLOOKUP(A200,Xtal_Templ!A:B,2,FALSE)</f>
        <v>ptafr_human</v>
      </c>
      <c r="C200" s="5">
        <f>VLOOKUP($B200&amp;"__wt",'SegEnds_Xtal_BW#'!$A:$Z,3,FALSE)</f>
        <v>27</v>
      </c>
      <c r="D200" s="108">
        <v>60</v>
      </c>
      <c r="E200" s="108">
        <v>48</v>
      </c>
      <c r="F200" s="108"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7">
        <f>VLOOKUP($B200&amp;"__wt",'SegEnds_Xtal_BW#'!$A:$Z,15,FALSE)</f>
        <v>38</v>
      </c>
      <c r="P200" s="1">
        <f>VLOOKUP($B200&amp;"__wt",'SegEnds_Xtal_BW#'!$A:$Z,16,FALSE)</f>
        <v>63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33</v>
      </c>
      <c r="T200" s="1">
        <f t="array" ref="T200">INDEX(ICL3_classA!$G$2:$G$41,MATCH(MIN(ABS(AJ200-ICL3_classA!$F$2:$F$41)),ABS(AJ200-ICL3_classA!$F$2:$F$41),0))</f>
        <v>67</v>
      </c>
      <c r="U200" s="1">
        <f t="array" ref="U200">INDEX(ICL3_classA!$H$2:$H$41,MATCH(MIN(ABS(AJ200-ICL3_classA!$F$2:$F$41)),ABS(AJ200-ICL3_classA!$F$2:$F$41),0))</f>
        <v>26</v>
      </c>
      <c r="V200" s="1">
        <v>61</v>
      </c>
      <c r="W200" s="1">
        <v>28</v>
      </c>
      <c r="X200" s="1">
        <f>VLOOKUP($B200&amp;"__wt",'SegEnds_Xtal_BW#'!$A:$Z,24,FALSE)</f>
        <v>59</v>
      </c>
      <c r="Y200" s="1">
        <f>VLOOKUP($B200&amp;"__wt",'SegEnds_Xtal_BW#'!$A:$Z,25,FALSE)</f>
        <v>50</v>
      </c>
      <c r="Z200" s="1">
        <f>VLOOKUP($B200&amp;"__wt",'SegEnds_Xtal_BW#'!$A:$Z,26,FALSE)</f>
        <v>63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 t="e">
        <f>VLOOKUP(#REF!,'SegEnds_NonXtal_Prot#'!#REF!,28,FALSE)-VLOOKUP(#REF!,'SegEnds_NonXtal_Prot#'!#REF!,25,FALSE)</f>
        <v>#REF!</v>
      </c>
      <c r="AH200" s="1">
        <f>VLOOKUP(A200,'SegEnds_NonXtal_Prot#'!A:AL,28,FALSE)-VLOOKUP(A200,'SegEnds_NonXtal_Prot#'!A:AL,25,FALSE)</f>
        <v>25</v>
      </c>
      <c r="AI200" s="1">
        <f>VLOOKUP(A200,'SegEnds_NonXtal_Prot#'!A:AL,28,FALSE)-VLOOKUP(A200,'SegEnds_NonXtal_Prot#'!A:AL,22,FALSE)</f>
        <v>51</v>
      </c>
      <c r="AJ200" s="1">
        <f>VLOOKUP(A200,'SegEnds_NonXtal_Prot#'!A:AL,31,FALSE)-VLOOKUP(A200,'SegEnds_NonXtal_Prot#'!A:AL,28,FALSE)</f>
        <v>46</v>
      </c>
      <c r="AK200" s="1">
        <f>VLOOKUP(A200,'SegEnds_NonXtal_Prot#'!A:AL,34,FALSE)-VLOOKUP(A200,'SegEnds_NonXtal_Prot#'!A:AL,31,FALSE)</f>
        <v>40</v>
      </c>
      <c r="AL200" s="1">
        <f>VLOOKUP(A200,'SegEnds_NonXtal_Prot#'!A:AL,37,FALSE)-VLOOKUP(A200,'SegEnds_NonXtal_Prot#'!A:AL,34,FALSE)</f>
        <v>10</v>
      </c>
      <c r="AM200" s="1" t="str">
        <f>IF(ISERROR(MATCH(A200,'SegEnds_Xtal_Prot#'!B:B, 0)), "NoXtal", "Xtal")</f>
        <v>NoXtal</v>
      </c>
    </row>
    <row r="201" spans="1:39" x14ac:dyDescent="0.2">
      <c r="A201" s="1" t="s">
        <v>354</v>
      </c>
      <c r="B201" s="1" t="str">
        <f>VLOOKUP(A201,Xtal_Templ!A:B,2,FALSE)</f>
        <v>par1_human</v>
      </c>
      <c r="C201" s="5">
        <f>VLOOKUP($B201&amp;"__wt",'SegEnds_Xtal_BW#'!$A:$Z,3,FALSE)</f>
        <v>29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7">
        <f>VLOOKUP($B201&amp;"__wt",'SegEnds_Xtal_BW#'!$A:$Z,15,FALSE)</f>
        <v>38</v>
      </c>
      <c r="P201" s="1">
        <f>VLOOKUP($B201&amp;"__wt",'SegEnds_Xtal_BW#'!$A:$Z,16,FALSE)</f>
        <v>63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INDEX(ICL3_classA!$G$2:$G$41,MATCH(MIN(ABS(AJ201-ICL3_classA!$F$2:$F$41)),ABS(AJ201-ICL3_classA!$F$2:$F$41),0))</f>
        <v>67</v>
      </c>
      <c r="U201" s="1">
        <f t="array" ref="U201">INDEX(ICL3_classA!$H$2:$H$41,MATCH(MIN(ABS(AJ201-ICL3_classA!$F$2:$F$41)),ABS(AJ201-ICL3_classA!$F$2:$F$41),0))</f>
        <v>26</v>
      </c>
      <c r="V201" s="1">
        <v>62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61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 t="e">
        <f>VLOOKUP(#REF!,'SegEnds_NonXtal_Prot#'!#REF!,28,FALSE)-VLOOKUP(#REF!,'SegEnds_NonXtal_Prot#'!#REF!,25,FALSE)</f>
        <v>#REF!</v>
      </c>
      <c r="AH201" s="1">
        <f>VLOOKUP(A201,'SegEnds_NonXtal_Prot#'!A:AL,28,FALSE)-VLOOKUP(A201,'SegEnds_NonXtal_Prot#'!A:AL,25,FALSE)</f>
        <v>28</v>
      </c>
      <c r="AI201" s="1">
        <f>VLOOKUP(A201,'SegEnds_NonXtal_Prot#'!A:AL,28,FALSE)-VLOOKUP(A201,'SegEnds_NonXtal_Prot#'!A:AL,22,FALSE)</f>
        <v>55</v>
      </c>
      <c r="AJ201" s="1">
        <f>VLOOKUP(A201,'SegEnds_NonXtal_Prot#'!A:AL,31,FALSE)-VLOOKUP(A201,'SegEnds_NonXtal_Prot#'!A:AL,28,FALSE)</f>
        <v>46</v>
      </c>
      <c r="AK201" s="1">
        <f>VLOOKUP(A201,'SegEnds_NonXtal_Prot#'!A:AL,34,FALSE)-VLOOKUP(A201,'SegEnds_NonXtal_Prot#'!A:AL,31,FALSE)</f>
        <v>40</v>
      </c>
      <c r="AL201" s="1">
        <f>VLOOKUP(A201,'SegEnds_NonXtal_Prot#'!A:AL,37,FALSE)-VLOOKUP(A201,'SegEnds_NonXtal_Prot#'!A:AL,34,FALSE)</f>
        <v>10</v>
      </c>
      <c r="AM201" s="1" t="str">
        <f>IF(ISERROR(MATCH(A201,'SegEnds_Xtal_Prot#'!B:B, 0)), "NoXtal", "Xtal")</f>
        <v>Xtal</v>
      </c>
    </row>
    <row r="202" spans="1:39" x14ac:dyDescent="0.2">
      <c r="A202" s="1" t="s">
        <v>358</v>
      </c>
      <c r="B202" s="1" t="str">
        <f>VLOOKUP(A202,Xtal_Templ!A:B,2,FALSE)</f>
        <v>pe2r4_human</v>
      </c>
      <c r="C202" s="5">
        <f>VLOOKUP($B202&amp;"__wt",'SegEnds_Xtal_BW#'!$A:$Z,3,FALSE)</f>
        <v>33</v>
      </c>
      <c r="D202" s="1">
        <f>VLOOKUP($B202&amp;"__wt",'SegEnds_Xtal_BW#'!$A:$Z,4,FALSE)</f>
        <v>58</v>
      </c>
      <c r="E202" s="1" t="str">
        <f>VLOOKUP($B202&amp;"__wt",'SegEnds_Xtal_BW#'!$A:$Z,5,FALSE)</f>
        <v>-</v>
      </c>
      <c r="F202" s="1" t="str">
        <f>VLOOKUP($B202&amp;"__wt",'SegEnds_Xtal_BW#'!$A:$Z,6,FALSE)</f>
        <v>-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f>VLOOKUP($B202&amp;"__wt",'SegEnds_Xtal_BW#'!$A:$Z,15,FALSE)</f>
        <v>38</v>
      </c>
      <c r="P202" s="1">
        <f>VLOOKUP($B202&amp;"__wt",'SegEnds_Xtal_BW#'!$A:$Z,16,FALSE)</f>
        <v>63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33</v>
      </c>
      <c r="T202" s="1">
        <f t="array" ref="T202">INDEX(ICL3_classA!$G$2:$G$41,MATCH(MIN(ABS(AJ202-ICL3_classA!$F$2:$F$41)),ABS(AJ202-ICL3_classA!$F$2:$F$41),0))</f>
        <v>81</v>
      </c>
      <c r="U202" s="1">
        <f t="array" ref="U202">INDEX(ICL3_classA!$H$2:$H$41,MATCH(MIN(ABS(AJ202-ICL3_classA!$F$2:$F$41)),ABS(AJ202-ICL3_classA!$F$2:$F$41),0))</f>
        <v>23</v>
      </c>
      <c r="V202" s="1">
        <v>61</v>
      </c>
      <c r="W202" s="1">
        <v>28</v>
      </c>
      <c r="X202" s="123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38</v>
      </c>
      <c r="AC202" s="1" t="e">
        <f>VLOOKUP(A202,'SegEnds_NonXtal_Prot#'!A:AL,10,FALSE)-VLOOKUP(A202,'SegEnds_NonXtal_Prot#'!A:AL,7,FALSE)</f>
        <v>#VALUE!</v>
      </c>
      <c r="AD202" s="1" t="e">
        <f>VLOOKUP(A202,'SegEnds_NonXtal_Prot#'!A:AL,13,FALSE)-VLOOKUP(A202,'SegEnds_NonXtal_Prot#'!A:AL,10,FALSE)</f>
        <v>#VALUE!</v>
      </c>
      <c r="AE202" s="1">
        <f>VLOOKUP(A202,'SegEnds_NonXtal_Prot#'!A:AL,16,FALSE)-VLOOKUP(A202,'SegEnds_NonXtal_Prot#'!A:AL,10,FALSE)</f>
        <v>58</v>
      </c>
      <c r="AF202" s="1">
        <f>VLOOKUP(A202,'SegEnds_NonXtal_Prot#'!A:AL,22,FALSE)-VLOOKUP(A202,'SegEnds_NonXtal_Prot#'!A:AL,19,FALSE)</f>
        <v>20</v>
      </c>
      <c r="AG202" s="1" t="e">
        <f>VLOOKUP(#REF!,'SegEnds_NonXtal_Prot#'!#REF!,28,FALSE)-VLOOKUP(#REF!,'SegEnds_NonXtal_Prot#'!#REF!,25,FALSE)</f>
        <v>#REF!</v>
      </c>
      <c r="AH202" s="1">
        <f>VLOOKUP(A202,'SegEnds_NonXtal_Prot#'!A:AL,28,FALSE)-VLOOKUP(A202,'SegEnds_NonXtal_Prot#'!A:AL,25,FALSE)</f>
        <v>29</v>
      </c>
      <c r="AI202" s="1">
        <f>VLOOKUP(A202,'SegEnds_NonXtal_Prot#'!A:AL,28,FALSE)-VLOOKUP(A202,'SegEnds_NonXtal_Prot#'!A:AL,22,FALSE)</f>
        <v>55</v>
      </c>
      <c r="AJ202" s="1">
        <f>VLOOKUP(A202,'SegEnds_NonXtal_Prot#'!A:AL,31,FALSE)-VLOOKUP(A202,'SegEnds_NonXtal_Prot#'!A:AL,28,FALSE)</f>
        <v>68</v>
      </c>
      <c r="AK202" s="1">
        <f>VLOOKUP(A202,'SegEnds_NonXtal_Prot#'!A:AL,34,FALSE)-VLOOKUP(A202,'SegEnds_NonXtal_Prot#'!A:AL,31,FALSE)</f>
        <v>40</v>
      </c>
      <c r="AL202" s="1">
        <f>VLOOKUP(A202,'SegEnds_NonXtal_Prot#'!A:AL,37,FALSE)-VLOOKUP(A202,'SegEnds_NonXtal_Prot#'!A:AL,34,FALSE)</f>
        <v>10</v>
      </c>
      <c r="AM202" s="1" t="str">
        <f>IF(ISERROR(MATCH(A202,'SegEnds_Xtal_Prot#'!B:B, 0)), "NoXtal", "Xtal")</f>
        <v>NoXtal</v>
      </c>
    </row>
    <row r="203" spans="1:39" x14ac:dyDescent="0.2">
      <c r="A203" s="1" t="s">
        <v>359</v>
      </c>
      <c r="B203" s="1" t="str">
        <f>VLOOKUP(A203,Xtal_Templ!A:B,2,FALSE)</f>
        <v>pd2r2_human</v>
      </c>
      <c r="C203" s="5">
        <f>VLOOKUP($B203&amp;"__wt",'SegEnds_Xtal_BW#'!$A:$Z,3,FALSE)</f>
        <v>32</v>
      </c>
      <c r="D203" s="1">
        <f>VLOOKUP($B203&amp;"__wt",'SegEnds_Xtal_BW#'!$A:$Z,4,FALSE)</f>
        <v>60</v>
      </c>
      <c r="E203" s="1" t="str">
        <f>VLOOKUP($B203&amp;"__wt",'SegEnds_Xtal_BW#'!$A:$Z,5,FALSE)</f>
        <v>-</v>
      </c>
      <c r="F203" s="1" t="str">
        <f>VLOOKUP($B203&amp;"__wt",'SegEnds_Xtal_BW#'!$A:$Z,6,FALSE)</f>
        <v>-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26</v>
      </c>
      <c r="T203" s="1">
        <f t="array" ref="T203">INDEX(ICL3_classA!$G$2:$G$41,MATCH(MIN(ABS(AJ203-ICL3_classA!$F$2:$F$41)),ABS(AJ203-ICL3_classA!$F$2:$F$41),0))</f>
        <v>68</v>
      </c>
      <c r="U203" s="1">
        <f t="array" ref="U203">INDEX(ICL3_classA!$H$2:$H$41,MATCH(MIN(ABS(AJ203-ICL3_classA!$F$2:$F$41)),ABS(AJ203-ICL3_classA!$F$2:$F$41),0))</f>
        <v>30</v>
      </c>
      <c r="V203" s="1">
        <v>61</v>
      </c>
      <c r="W203" s="108">
        <v>27</v>
      </c>
      <c r="X203" s="123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64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27</v>
      </c>
      <c r="AC203" s="1" t="e">
        <f>VLOOKUP(A203,'SegEnds_NonXtal_Prot#'!A:AL,10,FALSE)-VLOOKUP(A203,'SegEnds_NonXtal_Prot#'!A:AL,7,FALSE)</f>
        <v>#VALUE!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20</v>
      </c>
      <c r="AG203" s="1" t="e">
        <f>VLOOKUP(#REF!,'SegEnds_NonXtal_Prot#'!#REF!,28,FALSE)-VLOOKUP(#REF!,'SegEnds_NonXtal_Prot#'!#REF!,25,FALSE)</f>
        <v>#REF!</v>
      </c>
      <c r="AH203" s="1">
        <f>VLOOKUP(A203,'SegEnds_NonXtal_Prot#'!A:AL,28,FALSE)-VLOOKUP(A203,'SegEnds_NonXtal_Prot#'!A:AL,25,FALSE)</f>
        <v>36</v>
      </c>
      <c r="AI203" s="1">
        <f>VLOOKUP(A203,'SegEnds_NonXtal_Prot#'!A:AL,28,FALSE)-VLOOKUP(A203,'SegEnds_NonXtal_Prot#'!A:AL,22,FALSE)</f>
        <v>62</v>
      </c>
      <c r="AJ203" s="1">
        <f>VLOOKUP(A203,'SegEnds_NonXtal_Prot#'!A:AL,31,FALSE)-VLOOKUP(A203,'SegEnds_NonXtal_Prot#'!A:AL,28,FALSE)</f>
        <v>43</v>
      </c>
      <c r="AK203" s="1">
        <f>VLOOKUP(A203,'SegEnds_NonXtal_Prot#'!A:AL,34,FALSE)-VLOOKUP(A203,'SegEnds_NonXtal_Prot#'!A:AL,31,FALSE)</f>
        <v>40</v>
      </c>
      <c r="AL203" s="1">
        <f>VLOOKUP(A203,'SegEnds_NonXtal_Prot#'!A:AL,37,FALSE)-VLOOKUP(A203,'SegEnds_NonXtal_Prot#'!A:AL,34,FALSE)</f>
        <v>10</v>
      </c>
      <c r="AM203" s="1" t="str">
        <f>IF(ISERROR(MATCH(A203,'SegEnds_Xtal_Prot#'!B:B, 0)), "NoXtal", "Xtal")</f>
        <v>Xtal</v>
      </c>
    </row>
    <row r="204" spans="1:39" x14ac:dyDescent="0.2">
      <c r="A204" s="1" t="s">
        <v>366</v>
      </c>
      <c r="B204" s="1" t="str">
        <f>VLOOKUP(A204,Xtal_Templ!A:B,2,FALSE)</f>
        <v>npy1r_human</v>
      </c>
      <c r="C204" s="5">
        <f>VLOOKUP($B204&amp;"__wt",'SegEnds_Xtal_BW#'!$A:$Z,3,FALSE)</f>
        <v>28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68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 t="str">
        <f>VLOOKUP($B204&amp;"__wt",'SegEnds_Xtal_BW#'!$A:$Z,13,FALSE)</f>
        <v>-</v>
      </c>
      <c r="N204" s="108" t="s">
        <v>23</v>
      </c>
      <c r="O204" s="87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31</v>
      </c>
      <c r="T204" s="1">
        <f t="array" ref="T204">INDEX(ICL3_classA!$G$2:$G$41,MATCH(MIN(ABS(AJ204-ICL3_classA!$F$2:$F$41)),ABS(AJ204-ICL3_classA!$F$2:$F$41),0))</f>
        <v>73</v>
      </c>
      <c r="U204" s="1">
        <f t="array" ref="U204">INDEX(ICL3_classA!$H$2:$H$41,MATCH(MIN(ABS(AJ204-ICL3_classA!$F$2:$F$41)),ABS(AJ204-ICL3_classA!$F$2:$F$41),0))</f>
        <v>22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>
        <f>VLOOKUP(A204,'SegEnds_NonXtal_Prot#'!A:AL,13,FALSE)-VLOOKUP(A204,'SegEnds_NonXtal_Prot#'!A:AL,10,FALSE)</f>
        <v>22</v>
      </c>
      <c r="AE204" s="1">
        <f>VLOOKUP(A204,'SegEnds_NonXtal_Prot#'!A:AL,16,FALSE)-VLOOKUP(A204,'SegEnds_NonXtal_Prot#'!A:AL,10,FALSE)</f>
        <v>54</v>
      </c>
      <c r="AF204" s="1" t="e">
        <f>VLOOKUP(A204,'SegEnds_NonXtal_Prot#'!A:AL,22,FALSE)-VLOOKUP(A204,'SegEnds_NonXtal_Prot#'!A:AL,19,FALSE)</f>
        <v>#VALUE!</v>
      </c>
      <c r="AG204" s="1" t="e">
        <f>VLOOKUP(#REF!,'SegEnds_NonXtal_Prot#'!#REF!,28,FALSE)-VLOOKUP(#REF!,'SegEnds_NonXtal_Prot#'!#REF!,25,FALSE)</f>
        <v>#REF!</v>
      </c>
      <c r="AH204" s="1">
        <f>VLOOKUP(A204,'SegEnds_NonXtal_Prot#'!A:AL,28,FALSE)-VLOOKUP(A204,'SegEnds_NonXtal_Prot#'!A:AL,25,FALSE)</f>
        <v>27</v>
      </c>
      <c r="AI204" s="1">
        <f>VLOOKUP(A204,'SegEnds_NonXtal_Prot#'!A:AL,28,FALSE)-VLOOKUP(A204,'SegEnds_NonXtal_Prot#'!A:AL,22,FALSE)</f>
        <v>57</v>
      </c>
      <c r="AJ204" s="1">
        <f>VLOOKUP(A204,'SegEnds_NonXtal_Prot#'!A:AL,31,FALSE)-VLOOKUP(A204,'SegEnds_NonXtal_Prot#'!A:AL,28,FALSE)</f>
        <v>55</v>
      </c>
      <c r="AK204" s="1">
        <f>VLOOKUP(A204,'SegEnds_NonXtal_Prot#'!A:AL,34,FALSE)-VLOOKUP(A204,'SegEnds_NonXtal_Prot#'!A:AL,31,FALSE)</f>
        <v>40</v>
      </c>
      <c r="AL204" s="1">
        <f>VLOOKUP(A204,'SegEnds_NonXtal_Prot#'!A:AL,37,FALSE)-VLOOKUP(A204,'SegEnds_NonXtal_Prot#'!A:AL,34,FALSE)</f>
        <v>11</v>
      </c>
      <c r="AM204" s="1" t="str">
        <f>IF(ISERROR(MATCH(A204,'SegEnds_Xtal_Prot#'!B:B, 0)), "NoXtal", "Xtal")</f>
        <v>NoXtal</v>
      </c>
    </row>
    <row r="205" spans="1:39" x14ac:dyDescent="0.2">
      <c r="A205" s="1" t="s">
        <v>367</v>
      </c>
      <c r="B205" s="1" t="str">
        <f>VLOOKUP(A205,Xtal_Templ!A:B,2,FALSE)</f>
        <v>npy1r_human</v>
      </c>
      <c r="C205" s="5">
        <f>VLOOKUP($B205&amp;"__wt",'SegEnds_Xtal_BW#'!$A:$Z,3,FALSE)</f>
        <v>28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68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 t="str">
        <f>VLOOKUP($B205&amp;"__wt",'SegEnds_Xtal_BW#'!$A:$Z,13,FALSE)</f>
        <v>-</v>
      </c>
      <c r="N205" s="108" t="s">
        <v>23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31</v>
      </c>
      <c r="T205" s="1">
        <f t="array" ref="T205">INDEX(ICL3_classA!$G$2:$G$41,MATCH(MIN(ABS(AJ205-ICL3_classA!$F$2:$F$41)),ABS(AJ205-ICL3_classA!$F$2:$F$41),0))</f>
        <v>73</v>
      </c>
      <c r="U205" s="1">
        <f t="array" ref="U205">INDEX(ICL3_classA!$H$2:$H$41,MATCH(MIN(ABS(AJ205-ICL3_classA!$F$2:$F$41)),ABS(AJ205-ICL3_classA!$F$2:$F$41),0))</f>
        <v>22</v>
      </c>
      <c r="V205" s="1">
        <v>61</v>
      </c>
      <c r="W205" s="1">
        <v>28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22</v>
      </c>
      <c r="AE205" s="1">
        <f>VLOOKUP(A205,'SegEnds_NonXtal_Prot#'!A:AL,16,FALSE)-VLOOKUP(A205,'SegEnds_NonXtal_Prot#'!A:AL,10,FALSE)</f>
        <v>54</v>
      </c>
      <c r="AF205" s="1" t="e">
        <f>VLOOKUP(A205,'SegEnds_NonXtal_Prot#'!A:AL,22,FALSE)-VLOOKUP(A205,'SegEnds_NonXtal_Prot#'!A:AL,19,FALSE)</f>
        <v>#VALUE!</v>
      </c>
      <c r="AG205" s="1" t="e">
        <f>VLOOKUP(#REF!,'SegEnds_NonXtal_Prot#'!#REF!,28,FALSE)-VLOOKUP(#REF!,'SegEnds_NonXtal_Prot#'!#REF!,25,FALSE)</f>
        <v>#REF!</v>
      </c>
      <c r="AH205" s="1">
        <f>VLOOKUP(A205,'SegEnds_NonXtal_Prot#'!A:AL,28,FALSE)-VLOOKUP(A205,'SegEnds_NonXtal_Prot#'!A:AL,25,FALSE)</f>
        <v>27</v>
      </c>
      <c r="AI205" s="1">
        <f>VLOOKUP(A205,'SegEnds_NonXtal_Prot#'!A:AL,28,FALSE)-VLOOKUP(A205,'SegEnds_NonXtal_Prot#'!A:AL,22,FALSE)</f>
        <v>57</v>
      </c>
      <c r="AJ205" s="1">
        <f>VLOOKUP(A205,'SegEnds_NonXtal_Prot#'!A:AL,31,FALSE)-VLOOKUP(A205,'SegEnds_NonXtal_Prot#'!A:AL,28,FALSE)</f>
        <v>55</v>
      </c>
      <c r="AK205" s="1">
        <f>VLOOKUP(A205,'SegEnds_NonXtal_Prot#'!A:AL,34,FALSE)-VLOOKUP(A205,'SegEnds_NonXtal_Prot#'!A:AL,31,FALSE)</f>
        <v>40</v>
      </c>
      <c r="AL205" s="1">
        <f>VLOOKUP(A205,'SegEnds_NonXtal_Prot#'!A:AL,37,FALSE)-VLOOKUP(A205,'SegEnds_NonXtal_Prot#'!A:AL,34,FALSE)</f>
        <v>11</v>
      </c>
      <c r="AM205" s="1" t="str">
        <f>IF(ISERROR(MATCH(A205,'SegEnds_Xtal_Prot#'!B:B, 0)), "NoXtal", "Xtal")</f>
        <v>NoXtal</v>
      </c>
    </row>
    <row r="206" spans="1:39" x14ac:dyDescent="0.2">
      <c r="A206" s="1" t="s">
        <v>163</v>
      </c>
      <c r="B206" s="1" t="str">
        <f>VLOOKUP(A206,Xtal_Templ!A:B,2,FALSE)</f>
        <v>ednrb_human</v>
      </c>
      <c r="C206" s="5">
        <f>VLOOKUP($B206&amp;"__wt",'SegEnds_Xtal_BW#'!$A:$Z,3,FALSE)</f>
        <v>22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52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28</v>
      </c>
      <c r="T206" s="1">
        <f t="array" ref="T206">INDEX(ICL3_classA!$G$2:$G$41,MATCH(MIN(ABS(AJ206-ICL3_classA!$F$2:$F$41)),ABS(AJ206-ICL3_classA!$F$2:$F$41),0))</f>
        <v>73</v>
      </c>
      <c r="U206" s="1">
        <f t="array" ref="U206">INDEX(ICL3_classA!$H$2:$H$41,MATCH(MIN(ABS(AJ206-ICL3_classA!$F$2:$F$41)),ABS(AJ206-ICL3_classA!$F$2:$F$41),0))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60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 t="e">
        <f>VLOOKUP(#REF!,'SegEnds_NonXtal_Prot#'!#REF!,28,FALSE)-VLOOKUP(#REF!,'SegEnds_NonXtal_Prot#'!#REF!,25,FALSE)</f>
        <v>#REF!</v>
      </c>
      <c r="AH206" s="1">
        <f>VLOOKUP(A206,'SegEnds_NonXtal_Prot#'!A:AL,28,FALSE)-VLOOKUP(A206,'SegEnds_NonXtal_Prot#'!A:AL,25,FALSE)</f>
        <v>26</v>
      </c>
      <c r="AI206" s="1">
        <f>VLOOKUP(A206,'SegEnds_NonXtal_Prot#'!A:AL,28,FALSE)-VLOOKUP(A206,'SegEnds_NonXtal_Prot#'!A:AL,22,FALSE)</f>
        <v>57</v>
      </c>
      <c r="AJ206" s="1">
        <f>VLOOKUP(A206,'SegEnds_NonXtal_Prot#'!A:AL,31,FALSE)-VLOOKUP(A206,'SegEnds_NonXtal_Prot#'!A:AL,28,FALSE)</f>
        <v>57</v>
      </c>
      <c r="AK206" s="1">
        <f>VLOOKUP(A206,'SegEnds_NonXtal_Prot#'!A:AL,34,FALSE)-VLOOKUP(A206,'SegEnds_NonXtal_Prot#'!A:AL,31,FALSE)</f>
        <v>41</v>
      </c>
      <c r="AL206" s="1">
        <f>VLOOKUP(A206,'SegEnds_NonXtal_Prot#'!A:AL,37,FALSE)-VLOOKUP(A206,'SegEnds_NonXtal_Prot#'!A:AL,34,FALSE)</f>
        <v>10</v>
      </c>
      <c r="AM206" s="1" t="str">
        <f>IF(ISERROR(MATCH(A206,'SegEnds_Xtal_Prot#'!B:B, 0)), "NoXtal", "Xtal")</f>
        <v>NoXtal</v>
      </c>
    </row>
    <row r="207" spans="1:39" x14ac:dyDescent="0.2">
      <c r="A207" s="1" t="s">
        <v>190</v>
      </c>
      <c r="B207" s="1" t="str">
        <f>VLOOKUP(A207,Xtal_Templ!A:B,2,FALSE)</f>
        <v>adrb2_human</v>
      </c>
      <c r="C207" s="5">
        <f>VLOOKUP($B207&amp;"__wt",'SegEnds_Xtal_BW#'!$A:$Z,3,FALSE)</f>
        <v>25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v>66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21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7"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v>35</v>
      </c>
      <c r="T207" s="1">
        <f t="array" ref="T207">INDEX(ICL3_classA!$G$2:$G$41,MATCH(MIN(ABS(AJ207-ICL3_classA!$F$2:$F$41)),ABS(AJ207-ICL3_classA!$F$2:$F$41),0))</f>
        <v>76</v>
      </c>
      <c r="U207" s="1">
        <f t="array" ref="U207">INDEX(ICL3_classA!$H$2:$H$41,MATCH(MIN(ABS(AJ207-ICL3_classA!$F$2:$F$41)),ABS(AJ207-ICL3_classA!$F$2:$F$41),0))</f>
        <v>24</v>
      </c>
      <c r="V207" s="1">
        <v>61</v>
      </c>
      <c r="W207" s="1">
        <v>28</v>
      </c>
      <c r="X207" s="1">
        <f>VLOOKUP($B207&amp;"__wt",'SegEnds_Xtal_BW#'!$A:$Z,24,FALSE)</f>
        <v>55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29</v>
      </c>
      <c r="AC207" s="1">
        <f>VLOOKUP(A207,'SegEnds_NonXtal_Prot#'!A:AL,10,FALSE)-VLOOKUP(A207,'SegEnds_NonXtal_Prot#'!A:AL,7,FALSE)</f>
        <v>16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51</v>
      </c>
      <c r="AF207" s="1">
        <f>VLOOKUP(A207,'SegEnds_NonXtal_Prot#'!A:AL,22,FALSE)-VLOOKUP(A207,'SegEnds_NonXtal_Prot#'!A:AL,19,FALSE)</f>
        <v>20</v>
      </c>
      <c r="AG207" s="1" t="e">
        <f>VLOOKUP(#REF!,'SegEnds_NonXtal_Prot#'!#REF!,28,FALSE)-VLOOKUP(#REF!,'SegEnds_NonXtal_Prot#'!#REF!,25,FALSE)</f>
        <v>#REF!</v>
      </c>
      <c r="AH207" s="1">
        <f>VLOOKUP(A207,'SegEnds_NonXtal_Prot#'!A:AL,28,FALSE)-VLOOKUP(A207,'SegEnds_NonXtal_Prot#'!A:AL,25,FALSE)</f>
        <v>20</v>
      </c>
      <c r="AI207" s="1">
        <f>VLOOKUP(A207,'SegEnds_NonXtal_Prot#'!A:AL,28,FALSE)-VLOOKUP(A207,'SegEnds_NonXtal_Prot#'!A:AL,22,FALSE)</f>
        <v>58</v>
      </c>
      <c r="AJ207" s="1">
        <f>VLOOKUP(A207,'SegEnds_NonXtal_Prot#'!A:AL,31,FALSE)-VLOOKUP(A207,'SegEnds_NonXtal_Prot#'!A:AL,28,FALSE)</f>
        <v>81</v>
      </c>
      <c r="AK207" s="1">
        <f>VLOOKUP(A207,'SegEnds_NonXtal_Prot#'!A:AL,34,FALSE)-VLOOKUP(A207,'SegEnds_NonXtal_Prot#'!A:AL,31,FALSE)</f>
        <v>41</v>
      </c>
      <c r="AL207" s="1">
        <f>VLOOKUP(A207,'SegEnds_NonXtal_Prot#'!A:AL,37,FALSE)-VLOOKUP(A207,'SegEnds_NonXtal_Prot#'!A:AL,34,FALSE)</f>
        <v>10</v>
      </c>
      <c r="AM207" s="1" t="str">
        <f>IF(ISERROR(MATCH(A207,'SegEnds_Xtal_Prot#'!B:B, 0)), "NoXtal", "Xtal")</f>
        <v>NoXtal</v>
      </c>
    </row>
    <row r="208" spans="1:39" x14ac:dyDescent="0.2">
      <c r="A208" s="1" t="s">
        <v>253</v>
      </c>
      <c r="B208" s="1" t="str">
        <f>VLOOKUP(A208,Xtal_Templ!A:B,2,FALSE)</f>
        <v>ccr6_human</v>
      </c>
      <c r="C208" s="5">
        <f>VLOOKUP($B208&amp;"__wt",'SegEnds_Xtal_BW#'!$A:$Z,3,FALSE)</f>
        <v>25</v>
      </c>
      <c r="D208" s="108"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24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57</v>
      </c>
      <c r="O208" s="87"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v>35</v>
      </c>
      <c r="T208" s="1">
        <f t="array" ref="T208">INDEX(ICL3_classA!$G$2:$G$41,MATCH(MIN(ABS(AJ208-ICL3_classA!$F$2:$F$41)),ABS(AJ208-ICL3_classA!$F$2:$F$41),0))</f>
        <v>68</v>
      </c>
      <c r="U208" s="1">
        <f t="array" ref="U208">INDEX(ICL3_classA!$H$2:$H$41,MATCH(MIN(ABS(AJ208-ICL3_classA!$F$2:$F$41)),ABS(AJ208-ICL3_classA!$F$2:$F$41),0))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62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 t="e">
        <f>VLOOKUP(A208,'SegEnds_NonXtal_Prot#'!A:AL,13,FALSE)-VLOOKUP(A208,'SegEnds_NonXtal_Prot#'!A:AL,10,FALSE)</f>
        <v>#VALUE!</v>
      </c>
      <c r="AE208" s="1">
        <f>VLOOKUP(A208,'SegEnds_NonXtal_Prot#'!A:AL,16,FALSE)-VLOOKUP(A208,'SegEnds_NonXtal_Prot#'!A:AL,10,FALSE)</f>
        <v>48</v>
      </c>
      <c r="AF208" s="1">
        <f>VLOOKUP(A208,'SegEnds_NonXtal_Prot#'!A:AL,22,FALSE)-VLOOKUP(A208,'SegEnds_NonXtal_Prot#'!A:AL,19,FALSE)</f>
        <v>20</v>
      </c>
      <c r="AG208" s="1" t="e">
        <f>VLOOKUP(#REF!,'SegEnds_NonXtal_Prot#'!#REF!,28,FALSE)-VLOOKUP(#REF!,'SegEnds_NonXtal_Prot#'!#REF!,25,FALSE)</f>
        <v>#REF!</v>
      </c>
      <c r="AH208" s="1">
        <f>VLOOKUP(A208,'SegEnds_NonXtal_Prot#'!A:AL,28,FALSE)-VLOOKUP(A208,'SegEnds_NonXtal_Prot#'!A:AL,25,FALSE)</f>
        <v>21</v>
      </c>
      <c r="AI208" s="1">
        <f>VLOOKUP(A208,'SegEnds_NonXtal_Prot#'!A:AL,28,FALSE)-VLOOKUP(A208,'SegEnds_NonXtal_Prot#'!A:AL,22,FALSE)</f>
        <v>42</v>
      </c>
      <c r="AJ208" s="1">
        <f>VLOOKUP(A208,'SegEnds_NonXtal_Prot#'!A:AL,31,FALSE)-VLOOKUP(A208,'SegEnds_NonXtal_Prot#'!A:AL,28,FALSE)</f>
        <v>49</v>
      </c>
      <c r="AK208" s="1">
        <f>VLOOKUP(A208,'SegEnds_NonXtal_Prot#'!A:AL,34,FALSE)-VLOOKUP(A208,'SegEnds_NonXtal_Prot#'!A:AL,31,FALSE)</f>
        <v>41</v>
      </c>
      <c r="AL208" s="1">
        <f>VLOOKUP(A208,'SegEnds_NonXtal_Prot#'!A:AL,37,FALSE)-VLOOKUP(A208,'SegEnds_NonXtal_Prot#'!A:AL,34,FALSE)</f>
        <v>10</v>
      </c>
      <c r="AM208" s="1" t="str">
        <f>IF(ISERROR(MATCH(A208,'SegEnds_Xtal_Prot#'!B:B, 0)), "NoXtal", "Xtal")</f>
        <v>NoXtal</v>
      </c>
    </row>
    <row r="209" spans="1:39" x14ac:dyDescent="0.2">
      <c r="A209" s="4" t="s">
        <v>317</v>
      </c>
      <c r="B209" s="4" t="str">
        <f>VLOOKUP(A209,Xtal_Templ!A:B,2,FALSE)</f>
        <v>ghsr_human</v>
      </c>
      <c r="C209" s="5">
        <f>VLOOKUP($B209&amp;"__wt",'SegEnds_Xtal_BW#'!$A:$Z,3,FALSE)</f>
        <v>28</v>
      </c>
      <c r="D209" s="4">
        <f>VLOOKUP($B209&amp;"__wt",'SegEnds_Xtal_BW#'!$A:$Z,4,FALSE)</f>
        <v>60</v>
      </c>
      <c r="E209" s="4">
        <f>VLOOKUP($B209&amp;"__wt",'SegEnds_Xtal_BW#'!$A:$Z,5,FALSE)</f>
        <v>48</v>
      </c>
      <c r="F209" s="4">
        <f>VLOOKUP($B209&amp;"__wt",'SegEnds_Xtal_BW#'!$A:$Z,6,FALSE)</f>
        <v>51</v>
      </c>
      <c r="G209" s="4">
        <v>37</v>
      </c>
      <c r="H209" s="11">
        <v>66</v>
      </c>
      <c r="I209" s="4">
        <f>VLOOKUP($B209&amp;"__wt",'SegEnds_Xtal_BW#'!$A:$Z,9,FALSE)</f>
        <v>49</v>
      </c>
      <c r="J209" s="4">
        <f>VLOOKUP($B209&amp;"__wt",'SegEnds_Xtal_BW#'!$A:$Z,10,FALSE)</f>
        <v>52</v>
      </c>
      <c r="K209" s="11">
        <v>18</v>
      </c>
      <c r="L209" s="4">
        <f>VLOOKUP($B209&amp;"__wt",'SegEnds_Xtal_BW#'!$A:$Z,12,FALSE)</f>
        <v>56</v>
      </c>
      <c r="M209" s="4">
        <f>VLOOKUP($B209&amp;"__wt",'SegEnds_Xtal_BW#'!$A:$Z,13,FALSE)</f>
        <v>50</v>
      </c>
      <c r="N209" s="11">
        <v>57</v>
      </c>
      <c r="O209" s="87">
        <f>VLOOKUP($B209&amp;"__wt",'SegEnds_Xtal_BW#'!$A:$Z,15,FALSE)</f>
        <v>38</v>
      </c>
      <c r="P209" s="4">
        <f>VLOOKUP($B209&amp;"__wt",'SegEnds_Xtal_BW#'!$A:$Z,16,FALSE)</f>
        <v>64</v>
      </c>
      <c r="Q209" s="4">
        <f>VLOOKUP($B209&amp;"__wt",'SegEnds_Xtal_BW#'!$A:$Z,17,FALSE)</f>
        <v>50</v>
      </c>
      <c r="R209" s="4">
        <f>VLOOKUP($B209&amp;"__wt",'SegEnds_Xtal_BW#'!$A:$Z,18,FALSE)</f>
        <v>52</v>
      </c>
      <c r="S209" s="4">
        <f>VLOOKUP($B209&amp;"__wt",'SegEnds_Xtal_BW#'!$A:$Z,19,FALSE)</f>
        <v>34</v>
      </c>
      <c r="T209" s="4">
        <f t="array" ref="T209">INDEX(ICL3_classA!$G$2:$G$41,MATCH(MIN(ABS(AJ209-ICL3_classA!$F$2:$F$41)),ABS(AJ209-ICL3_classA!$F$2:$F$41),0))</f>
        <v>76</v>
      </c>
      <c r="U209" s="4">
        <f t="array" ref="U209">INDEX(ICL3_classA!$H$2:$H$41,MATCH(MIN(ABS(AJ209-ICL3_classA!$F$2:$F$41)),ABS(AJ209-ICL3_classA!$F$2:$F$41),0))</f>
        <v>24</v>
      </c>
      <c r="V209" s="4">
        <v>61</v>
      </c>
      <c r="W209" s="4">
        <v>28</v>
      </c>
      <c r="X209" s="4">
        <f>VLOOKUP($B209&amp;"__wt",'SegEnds_Xtal_BW#'!$A:$Z,24,FALSE)</f>
        <v>56</v>
      </c>
      <c r="Y209" s="4">
        <f>VLOOKUP($B209&amp;"__wt",'SegEnds_Xtal_BW#'!$A:$Z,25,FALSE)</f>
        <v>47</v>
      </c>
      <c r="Z209" s="4">
        <f>VLOOKUP($B209&amp;"__wt",'SegEnds_Xtal_BW#'!$A:$Z,26,FALSE)</f>
        <v>62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4">
        <f>VLOOKUP(A209,'SegEnds_NonXtal_Prot#'!A:AL,10,FALSE)-VLOOKUP(A209,'SegEnds_NonXtal_Prot#'!A:AL,7,FALSE)</f>
        <v>15</v>
      </c>
      <c r="AD209" s="4">
        <f>VLOOKUP(A209,'SegEnds_NonXtal_Prot#'!A:AL,13,FALSE)-VLOOKUP(A209,'SegEnds_NonXtal_Prot#'!A:AL,10,FALSE)</f>
        <v>19</v>
      </c>
      <c r="AE209" s="4">
        <f>VLOOKUP(A209,'SegEnds_NonXtal_Prot#'!A:AL,16,FALSE)-VLOOKUP(A209,'SegEnds_NonXtal_Prot#'!A:AL,10,FALSE)</f>
        <v>53</v>
      </c>
      <c r="AF209" s="1">
        <f>VLOOKUP(A209,'SegEnds_NonXtal_Prot#'!A:AL,22,FALSE)-VLOOKUP(A209,'SegEnds_NonXtal_Prot#'!A:AL,19,FALSE)</f>
        <v>20</v>
      </c>
      <c r="AG209" s="4" t="e">
        <f>VLOOKUP(#REF!,'SegEnds_NonXtal_Prot#'!#REF!,28,FALSE)-VLOOKUP(#REF!,'SegEnds_NonXtal_Prot#'!#REF!,25,FALSE)</f>
        <v>#REF!</v>
      </c>
      <c r="AH209" s="4">
        <f>VLOOKUP(A209,'SegEnds_NonXtal_Prot#'!A:AL,28,FALSE)-VLOOKUP(A209,'SegEnds_NonXtal_Prot#'!A:AL,25,FALSE)</f>
        <v>24</v>
      </c>
      <c r="AI209" s="1">
        <f>VLOOKUP(A209,'SegEnds_NonXtal_Prot#'!A:AL,28,FALSE)-VLOOKUP(A209,'SegEnds_NonXtal_Prot#'!A:AL,22,FALSE)</f>
        <v>57</v>
      </c>
      <c r="AJ209" s="4">
        <f>VLOOKUP(A209,'SegEnds_NonXtal_Prot#'!A:AL,31,FALSE)-VLOOKUP(A209,'SegEnds_NonXtal_Prot#'!A:AL,28,FALSE)</f>
        <v>69</v>
      </c>
      <c r="AK209" s="4">
        <f>VLOOKUP(A209,'SegEnds_NonXtal_Prot#'!A:AL,34,FALSE)-VLOOKUP(A209,'SegEnds_NonXtal_Prot#'!A:AL,31,FALSE)</f>
        <v>41</v>
      </c>
      <c r="AL209" s="1">
        <f>VLOOKUP(A209,'SegEnds_NonXtal_Prot#'!A:AL,37,FALSE)-VLOOKUP(A209,'SegEnds_NonXtal_Prot#'!A:AL,34,FALSE)</f>
        <v>10</v>
      </c>
      <c r="AM209" s="1" t="str">
        <f>IF(ISERROR(MATCH(A209,'SegEnds_Xtal_Prot#'!B:B, 0)), "NoXtal", "Xtal")</f>
        <v>NoXtal</v>
      </c>
    </row>
    <row r="210" spans="1:39" x14ac:dyDescent="0.2">
      <c r="A210" s="1" t="s">
        <v>318</v>
      </c>
      <c r="B210" s="1" t="str">
        <f>VLOOKUP(A210,Xtal_Templ!A:B,2,FALSE)</f>
        <v>ghsr_human</v>
      </c>
      <c r="C210" s="5">
        <f>VLOOKUP($B210&amp;"__wt",'SegEnds_Xtal_BW#'!$A:$Z,3,FALSE)</f>
        <v>28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INDEX(ICL3_classA!$G$2:$G$41,MATCH(MIN(ABS(AJ210-ICL3_classA!$F$2:$F$41)),ABS(AJ210-ICL3_classA!$F$2:$F$41),0))</f>
        <v>73</v>
      </c>
      <c r="U210" s="1">
        <f t="array" ref="U210">INDEX(ICL3_classA!$H$2:$H$41,MATCH(MIN(ABS(AJ210-ICL3_classA!$F$2:$F$41)),ABS(AJ210-ICL3_classA!$F$2:$F$41),0))</f>
        <v>22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62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>
        <f>VLOOKUP(A210,'SegEnds_NonXtal_Prot#'!A:AL,13,FALSE)-VLOOKUP(A210,'SegEnds_NonXtal_Prot#'!A:AL,10,FALSE)</f>
        <v>19</v>
      </c>
      <c r="AE210" s="1">
        <f>VLOOKUP(A210,'SegEnds_NonXtal_Prot#'!A:AL,16,FALSE)-VLOOKUP(A210,'SegEnds_NonXtal_Prot#'!A:AL,10,FALSE)</f>
        <v>53</v>
      </c>
      <c r="AF210" s="1">
        <f>VLOOKUP(A210,'SegEnds_NonXtal_Prot#'!A:AL,22,FALSE)-VLOOKUP(A210,'SegEnds_NonXtal_Prot#'!A:AL,19,FALSE)</f>
        <v>20</v>
      </c>
      <c r="AG210" s="1" t="e">
        <f>VLOOKUP(#REF!,'SegEnds_NonXtal_Prot#'!#REF!,28,FALSE)-VLOOKUP(#REF!,'SegEnds_NonXtal_Prot#'!#REF!,25,FALSE)</f>
        <v>#REF!</v>
      </c>
      <c r="AH210" s="1">
        <f>VLOOKUP(A210,'SegEnds_NonXtal_Prot#'!A:AL,28,FALSE)-VLOOKUP(A210,'SegEnds_NonXtal_Prot#'!A:AL,25,FALSE)</f>
        <v>24</v>
      </c>
      <c r="AI210" s="1">
        <f>VLOOKUP(A210,'SegEnds_NonXtal_Prot#'!A:AL,28,FALSE)-VLOOKUP(A210,'SegEnds_NonXtal_Prot#'!A:AL,22,FALSE)</f>
        <v>57</v>
      </c>
      <c r="AJ210" s="1">
        <f>VLOOKUP(A210,'SegEnds_NonXtal_Prot#'!A:AL,31,FALSE)-VLOOKUP(A210,'SegEnds_NonXtal_Prot#'!A:AL,28,FALSE)</f>
        <v>55</v>
      </c>
      <c r="AK210" s="1">
        <f>VLOOKUP(A210,'SegEnds_NonXtal_Prot#'!A:AL,34,FALSE)-VLOOKUP(A210,'SegEnds_NonXtal_Prot#'!A:AL,31,FALSE)</f>
        <v>41</v>
      </c>
      <c r="AL210" s="1">
        <f>VLOOKUP(A210,'SegEnds_NonXtal_Prot#'!A:AL,37,FALSE)-VLOOKUP(A210,'SegEnds_NonXtal_Prot#'!A:AL,34,FALSE)</f>
        <v>10</v>
      </c>
      <c r="AM210" s="1" t="str">
        <f>IF(ISERROR(MATCH(A210,'SegEnds_Xtal_Prot#'!B:B, 0)), "NoXtal", "Xtal")</f>
        <v>NoXtal</v>
      </c>
    </row>
    <row r="211" spans="1:39" x14ac:dyDescent="0.2">
      <c r="A211" s="1" t="s">
        <v>321</v>
      </c>
      <c r="B211" s="1" t="str">
        <f>VLOOKUP(A211,Xtal_Templ!A:B,2,FALSE)</f>
        <v>ox1r_human</v>
      </c>
      <c r="C211" s="5">
        <f>VLOOKUP($B211&amp;"__wt",'SegEnds_Xtal_BW#'!$A:$Z,3,FALSE)</f>
        <v>32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68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56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33</v>
      </c>
      <c r="T211" s="1">
        <f t="array" ref="T211">INDEX(ICL3_classA!$G$2:$G$41,MATCH(MIN(ABS(AJ211-ICL3_classA!$F$2:$F$41)),ABS(AJ211-ICL3_classA!$F$2:$F$41),0))</f>
        <v>73</v>
      </c>
      <c r="U211" s="1">
        <f t="array" ref="U211">INDEX(ICL3_classA!$H$2:$H$41,MATCH(MIN(ABS(AJ211-ICL3_classA!$F$2:$F$41)),ABS(AJ211-ICL3_classA!$F$2:$F$41),0))</f>
        <v>22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63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 t="e">
        <f>VLOOKUP(A211,'SegEnds_NonXtal_Prot#'!A:AL,22,FALSE)-VLOOKUP(A211,'SegEnds_NonXtal_Prot#'!A:AL,19,FALSE)</f>
        <v>#VALUE!</v>
      </c>
      <c r="AG211" s="1" t="e">
        <f>VLOOKUP(#REF!,'SegEnds_NonXtal_Prot#'!#REF!,28,FALSE)-VLOOKUP(#REF!,'SegEnds_NonXtal_Prot#'!#REF!,25,FALSE)</f>
        <v>#REF!</v>
      </c>
      <c r="AH211" s="1">
        <f>VLOOKUP(A211,'SegEnds_NonXtal_Prot#'!A:AL,28,FALSE)-VLOOKUP(A211,'SegEnds_NonXtal_Prot#'!A:AL,25,FALSE)</f>
        <v>25</v>
      </c>
      <c r="AI211" s="1">
        <f>VLOOKUP(A211,'SegEnds_NonXtal_Prot#'!A:AL,28,FALSE)-VLOOKUP(A211,'SegEnds_NonXtal_Prot#'!A:AL,22,FALSE)</f>
        <v>62</v>
      </c>
      <c r="AJ211" s="1">
        <f>VLOOKUP(A211,'SegEnds_NonXtal_Prot#'!A:AL,31,FALSE)-VLOOKUP(A211,'SegEnds_NonXtal_Prot#'!A:AL,28,FALSE)</f>
        <v>57</v>
      </c>
      <c r="AK211" s="1">
        <f>VLOOKUP(A211,'SegEnds_NonXtal_Prot#'!A:AL,34,FALSE)-VLOOKUP(A211,'SegEnds_NonXtal_Prot#'!A:AL,31,FALSE)</f>
        <v>41</v>
      </c>
      <c r="AL211" s="1">
        <f>VLOOKUP(A211,'SegEnds_NonXtal_Prot#'!A:AL,37,FALSE)-VLOOKUP(A211,'SegEnds_NonXtal_Prot#'!A:AL,34,FALSE)</f>
        <v>10</v>
      </c>
      <c r="AM211" s="1" t="str">
        <f>IF(ISERROR(MATCH(A211,'SegEnds_Xtal_Prot#'!B:B, 0)), "NoXtal", "Xtal")</f>
        <v>NoXtal</v>
      </c>
    </row>
    <row r="212" spans="1:39" x14ac:dyDescent="0.2">
      <c r="A212" s="1" t="s">
        <v>322</v>
      </c>
      <c r="B212" s="1" t="str">
        <f>VLOOKUP(A212,Xtal_Templ!A:B,2,FALSE)</f>
        <v>ox1r_human</v>
      </c>
      <c r="C212" s="5">
        <f>VLOOKUP($B212&amp;"__wt",'SegEnds_Xtal_BW#'!$A:$Z,3,FALSE)</f>
        <v>32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56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33</v>
      </c>
      <c r="T212" s="1">
        <f t="array" ref="T212">INDEX(ICL3_classA!$G$2:$G$41,MATCH(MIN(ABS(AJ212-ICL3_classA!$F$2:$F$41)),ABS(AJ212-ICL3_classA!$F$2:$F$41),0))</f>
        <v>73</v>
      </c>
      <c r="U212" s="1">
        <f t="array" ref="U212">INDEX(ICL3_classA!$H$2:$H$41,MATCH(MIN(ABS(AJ212-ICL3_classA!$F$2:$F$41)),ABS(AJ212-ICL3_classA!$F$2:$F$41),0))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63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 t="e">
        <f>VLOOKUP(A212,'SegEnds_NonXtal_Prot#'!A:AL,22,FALSE)-VLOOKUP(A212,'SegEnds_NonXtal_Prot#'!A:AL,19,FALSE)</f>
        <v>#VALUE!</v>
      </c>
      <c r="AG212" s="1" t="e">
        <f>VLOOKUP(#REF!,'SegEnds_NonXtal_Prot#'!#REF!,28,FALSE)-VLOOKUP(#REF!,'SegEnds_NonXtal_Prot#'!#REF!,25,FALSE)</f>
        <v>#REF!</v>
      </c>
      <c r="AH212" s="1">
        <f>VLOOKUP(A212,'SegEnds_NonXtal_Prot#'!A:AL,28,FALSE)-VLOOKUP(A212,'SegEnds_NonXtal_Prot#'!A:AL,25,FALSE)</f>
        <v>25</v>
      </c>
      <c r="AI212" s="1">
        <f>VLOOKUP(A212,'SegEnds_NonXtal_Prot#'!A:AL,28,FALSE)-VLOOKUP(A212,'SegEnds_NonXtal_Prot#'!A:AL,22,FALSE)</f>
        <v>63</v>
      </c>
      <c r="AJ212" s="1">
        <f>VLOOKUP(A212,'SegEnds_NonXtal_Prot#'!A:AL,31,FALSE)-VLOOKUP(A212,'SegEnds_NonXtal_Prot#'!A:AL,28,FALSE)</f>
        <v>58</v>
      </c>
      <c r="AK212" s="1">
        <f>VLOOKUP(A212,'SegEnds_NonXtal_Prot#'!A:AL,34,FALSE)-VLOOKUP(A212,'SegEnds_NonXtal_Prot#'!A:AL,31,FALSE)</f>
        <v>41</v>
      </c>
      <c r="AL212" s="1">
        <f>VLOOKUP(A212,'SegEnds_NonXtal_Prot#'!A:AL,37,FALSE)-VLOOKUP(A212,'SegEnds_NonXtal_Prot#'!A:AL,34,FALSE)</f>
        <v>10</v>
      </c>
      <c r="AM212" s="1" t="str">
        <f>IF(ISERROR(MATCH(A212,'SegEnds_Xtal_Prot#'!B:B, 0)), "NoXtal", "Xtal")</f>
        <v>NoXtal</v>
      </c>
    </row>
    <row r="213" spans="1:39" x14ac:dyDescent="0.2">
      <c r="A213" s="1" t="s">
        <v>371</v>
      </c>
      <c r="B213" s="1" t="str">
        <f>VLOOKUP(A213,Xtal_Templ!A:B,2,FALSE)</f>
        <v>ox2r_human</v>
      </c>
      <c r="C213" s="5">
        <f>VLOOKUP($B213&amp;"__wt",'SegEnds_Xtal_BW#'!$A:$Z,3,FALSE)</f>
        <v>31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68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33</v>
      </c>
      <c r="T213" s="1">
        <f t="array" ref="T213">INDEX(ICL3_classA!$G$2:$G$41,MATCH(MIN(ABS(AJ213-ICL3_classA!$F$2:$F$41)),ABS(AJ213-ICL3_classA!$F$2:$F$41),0))</f>
        <v>81</v>
      </c>
      <c r="U213" s="1">
        <f t="array" ref="U213">INDEX(ICL3_classA!$H$2:$H$41,MATCH(MIN(ABS(AJ213-ICL3_classA!$F$2:$F$41)),ABS(AJ213-ICL3_classA!$F$2:$F$41),0))</f>
        <v>23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63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20</v>
      </c>
      <c r="AG213" s="1" t="e">
        <f>VLOOKUP(#REF!,'SegEnds_NonXtal_Prot#'!#REF!,28,FALSE)-VLOOKUP(#REF!,'SegEnds_NonXtal_Prot#'!#REF!,25,FALSE)</f>
        <v>#REF!</v>
      </c>
      <c r="AH213" s="1">
        <f>VLOOKUP(A213,'SegEnds_NonXtal_Prot#'!A:AL,28,FALSE)-VLOOKUP(A213,'SegEnds_NonXtal_Prot#'!A:AL,25,FALSE)</f>
        <v>25</v>
      </c>
      <c r="AI213" s="1">
        <f>VLOOKUP(A213,'SegEnds_NonXtal_Prot#'!A:AL,28,FALSE)-VLOOKUP(A213,'SegEnds_NonXtal_Prot#'!A:AL,22,FALSE)</f>
        <v>56</v>
      </c>
      <c r="AJ213" s="1">
        <f>VLOOKUP(A213,'SegEnds_NonXtal_Prot#'!A:AL,31,FALSE)-VLOOKUP(A213,'SegEnds_NonXtal_Prot#'!A:AL,28,FALSE)</f>
        <v>62</v>
      </c>
      <c r="AK213" s="1">
        <f>VLOOKUP(A213,'SegEnds_NonXtal_Prot#'!A:AL,34,FALSE)-VLOOKUP(A213,'SegEnds_NonXtal_Prot#'!A:AL,31,FALSE)</f>
        <v>41</v>
      </c>
      <c r="AL213" s="1">
        <f>VLOOKUP(A213,'SegEnds_NonXtal_Prot#'!A:AL,37,FALSE)-VLOOKUP(A213,'SegEnds_NonXtal_Prot#'!A:AL,34,FALSE)</f>
        <v>10</v>
      </c>
      <c r="AM213" s="1" t="str">
        <f>IF(ISERROR(MATCH(A213,'SegEnds_Xtal_Prot#'!B:B, 0)), "NoXtal", "Xtal")</f>
        <v>NoXtal</v>
      </c>
    </row>
    <row r="214" spans="1:39" x14ac:dyDescent="0.2">
      <c r="A214" s="1" t="s">
        <v>200</v>
      </c>
      <c r="B214" s="1" t="str">
        <f>VLOOKUP(A214,Xtal_Templ!A:B,2,FALSE)</f>
        <v>fpr2_human</v>
      </c>
      <c r="C214" s="5">
        <f>VLOOKUP($B214&amp;"__wt",'SegEnds_Xtal_BW#'!$A:$Z,3,FALSE)</f>
        <v>25</v>
      </c>
      <c r="D214" s="1">
        <f>VLOOKUP($B214&amp;"__wt",'SegEnds_Xtal_BW#'!$A:$Z,4,FALSE)</f>
        <v>61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23</v>
      </c>
      <c r="T214" s="1">
        <f t="array" ref="T214">INDEX(ICL3_classA!$G$2:$G$41,MATCH(MIN(ABS(AJ214-ICL3_classA!$F$2:$F$41)),ABS(AJ214-ICL3_classA!$F$2:$F$41),0))</f>
        <v>68</v>
      </c>
      <c r="U214" s="1">
        <f t="array" ref="U214">INDEX(ICL3_classA!$H$2:$H$41,MATCH(MIN(ABS(AJ214-ICL3_classA!$F$2:$F$41)),ABS(AJ214-ICL3_classA!$F$2:$F$41),0))</f>
        <v>30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58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27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 t="e">
        <f>VLOOKUP(#REF!,'SegEnds_NonXtal_Prot#'!#REF!,28,FALSE)-VLOOKUP(#REF!,'SegEnds_NonXtal_Prot#'!#REF!,25,FALSE)</f>
        <v>#REF!</v>
      </c>
      <c r="AH214" s="1">
        <f>VLOOKUP(A214,'SegEnds_NonXtal_Prot#'!A:AL,28,FALSE)-VLOOKUP(A214,'SegEnds_NonXtal_Prot#'!A:AL,25,FALSE)</f>
        <v>37</v>
      </c>
      <c r="AI214" s="1">
        <f>VLOOKUP(A214,'SegEnds_NonXtal_Prot#'!A:AL,28,FALSE)-VLOOKUP(A214,'SegEnds_NonXtal_Prot#'!A:AL,22,FALSE)</f>
        <v>63</v>
      </c>
      <c r="AJ214" s="1">
        <f>VLOOKUP(A214,'SegEnds_NonXtal_Prot#'!A:AL,31,FALSE)-VLOOKUP(A214,'SegEnds_NonXtal_Prot#'!A:AL,28,FALSE)</f>
        <v>43</v>
      </c>
      <c r="AK214" s="1">
        <f>VLOOKUP(A214,'SegEnds_NonXtal_Prot#'!A:AL,34,FALSE)-VLOOKUP(A214,'SegEnds_NonXtal_Prot#'!A:AL,31,FALSE)</f>
        <v>42</v>
      </c>
      <c r="AL214" s="1">
        <f>VLOOKUP(A214,'SegEnds_NonXtal_Prot#'!A:AL,37,FALSE)-VLOOKUP(A214,'SegEnds_NonXtal_Prot#'!A:AL,34,FALSE)</f>
        <v>10</v>
      </c>
      <c r="AM214" s="1" t="str">
        <f>IF(ISERROR(MATCH(A214,'SegEnds_Xtal_Prot#'!B:B, 0)), "NoXtal", "Xtal")</f>
        <v>NoXtal</v>
      </c>
    </row>
    <row r="215" spans="1:39" x14ac:dyDescent="0.2">
      <c r="A215" s="1" t="s">
        <v>208</v>
      </c>
      <c r="B215" s="1" t="str">
        <f>VLOOKUP(A215,Xtal_Templ!A:B,2,FALSE)</f>
        <v>ghsr_human</v>
      </c>
      <c r="C215" s="5">
        <f>VLOOKUP($B215&amp;"__wt",'SegEnds_Xtal_BW#'!$A:$Z,3,FALSE)</f>
        <v>28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34</v>
      </c>
      <c r="T215" s="1">
        <f t="array" ref="T215">INDEX(ICL3_classA!$G$2:$G$41,MATCH(MIN(ABS(AJ215-ICL3_classA!$F$2:$F$41)),ABS(AJ215-ICL3_classA!$F$2:$F$41),0))</f>
        <v>72</v>
      </c>
      <c r="U215" s="1">
        <f t="array" ref="U215">INDEX(ICL3_classA!$H$2:$H$41,MATCH(MIN(ABS(AJ215-ICL3_classA!$F$2:$F$41)),ABS(AJ215-ICL3_classA!$F$2:$F$41),0))</f>
        <v>24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62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 t="e">
        <f>VLOOKUP(#REF!,'SegEnds_NonXtal_Prot#'!#REF!,28,FALSE)-VLOOKUP(#REF!,'SegEnds_NonXtal_Prot#'!#REF!,25,FALSE)</f>
        <v>#REF!</v>
      </c>
      <c r="AH215" s="1">
        <f>VLOOKUP(A215,'SegEnds_NonXtal_Prot#'!A:AL,28,FALSE)-VLOOKUP(A215,'SegEnds_NonXtal_Prot#'!A:AL,25,FALSE)</f>
        <v>26</v>
      </c>
      <c r="AI215" s="1">
        <f>VLOOKUP(A215,'SegEnds_NonXtal_Prot#'!A:AL,28,FALSE)-VLOOKUP(A215,'SegEnds_NonXtal_Prot#'!A:AL,22,FALSE)</f>
        <v>56</v>
      </c>
      <c r="AJ215" s="1">
        <f>VLOOKUP(A215,'SegEnds_NonXtal_Prot#'!A:AL,31,FALSE)-VLOOKUP(A215,'SegEnds_NonXtal_Prot#'!A:AL,28,FALSE)</f>
        <v>54</v>
      </c>
      <c r="AK215" s="1">
        <f>VLOOKUP(A215,'SegEnds_NonXtal_Prot#'!A:AL,34,FALSE)-VLOOKUP(A215,'SegEnds_NonXtal_Prot#'!A:AL,31,FALSE)</f>
        <v>42</v>
      </c>
      <c r="AL215" s="1">
        <f>VLOOKUP(A215,'SegEnds_NonXtal_Prot#'!A:AL,37,FALSE)-VLOOKUP(A215,'SegEnds_NonXtal_Prot#'!A:AL,34,FALSE)</f>
        <v>10</v>
      </c>
      <c r="AM215" s="1" t="str">
        <f>IF(ISERROR(MATCH(A215,'SegEnds_Xtal_Prot#'!B:B, 0)), "NoXtal", "Xtal")</f>
        <v>Xtal</v>
      </c>
    </row>
    <row r="216" spans="1:39" x14ac:dyDescent="0.2">
      <c r="A216" s="1" t="s">
        <v>249</v>
      </c>
      <c r="B216" s="1" t="str">
        <f>VLOOKUP(A216,Xtal_Templ!A:B,2,FALSE)</f>
        <v>mtr1a_human</v>
      </c>
      <c r="C216" s="5">
        <f>VLOOKUP($B216&amp;"__wt",'SegEnds_Xtal_BW#'!$A:$Z,3,FALSE)</f>
        <v>28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68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35</v>
      </c>
      <c r="T216" s="1">
        <f t="array" ref="T216">INDEX(ICL3_classA!$G$2:$G$41,MATCH(MIN(ABS(AJ216-ICL3_classA!$F$2:$F$41)),ABS(AJ216-ICL3_classA!$F$2:$F$41),0))</f>
        <v>68</v>
      </c>
      <c r="U216" s="1">
        <f t="array" ref="U216">INDEX(ICL3_classA!$H$2:$H$41,MATCH(MIN(ABS(AJ216-ICL3_classA!$F$2:$F$41)),ABS(AJ216-ICL3_classA!$F$2:$F$41),0))</f>
        <v>24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63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 t="e">
        <f>VLOOKUP(#REF!,'SegEnds_NonXtal_Prot#'!#REF!,28,FALSE)-VLOOKUP(#REF!,'SegEnds_NonXtal_Prot#'!#REF!,25,FALSE)</f>
        <v>#REF!</v>
      </c>
      <c r="AH216" s="1">
        <f>VLOOKUP(A216,'SegEnds_NonXtal_Prot#'!A:AL,28,FALSE)-VLOOKUP(A216,'SegEnds_NonXtal_Prot#'!A:AL,25,FALSE)</f>
        <v>27</v>
      </c>
      <c r="AI216" s="1">
        <f>VLOOKUP(A216,'SegEnds_NonXtal_Prot#'!A:AL,28,FALSE)-VLOOKUP(A216,'SegEnds_NonXtal_Prot#'!A:AL,22,FALSE)</f>
        <v>50</v>
      </c>
      <c r="AJ216" s="1">
        <f>VLOOKUP(A216,'SegEnds_NonXtal_Prot#'!A:AL,31,FALSE)-VLOOKUP(A216,'SegEnds_NonXtal_Prot#'!A:AL,28,FALSE)</f>
        <v>48</v>
      </c>
      <c r="AK216" s="1">
        <f>VLOOKUP(A216,'SegEnds_NonXtal_Prot#'!A:AL,34,FALSE)-VLOOKUP(A216,'SegEnds_NonXtal_Prot#'!A:AL,31,FALSE)</f>
        <v>42</v>
      </c>
      <c r="AL216" s="1">
        <f>VLOOKUP(A216,'SegEnds_NonXtal_Prot#'!A:AL,37,FALSE)-VLOOKUP(A216,'SegEnds_NonXtal_Prot#'!A:AL,34,FALSE)</f>
        <v>10</v>
      </c>
      <c r="AM216" s="1" t="str">
        <f>IF(ISERROR(MATCH(A216,'SegEnds_Xtal_Prot#'!B:B, 0)), "NoXtal", "Xtal")</f>
        <v>NoXtal</v>
      </c>
    </row>
    <row r="217" spans="1:39" x14ac:dyDescent="0.2">
      <c r="A217" s="1" t="s">
        <v>250</v>
      </c>
      <c r="B217" s="1" t="str">
        <f>VLOOKUP(A217,Xtal_Templ!A:B,2,FALSE)</f>
        <v>fpr2_human</v>
      </c>
      <c r="C217" s="5">
        <f>VLOOKUP($B217&amp;"__wt",'SegEnds_Xtal_BW#'!$A:$Z,3,FALSE)</f>
        <v>25</v>
      </c>
      <c r="D217" s="1">
        <f>VLOOKUP($B217&amp;"__wt",'SegEnds_Xtal_BW#'!$A:$Z,4,FALSE)</f>
        <v>61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21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23</v>
      </c>
      <c r="T217" s="1">
        <f t="array" ref="T217">INDEX(ICL3_classA!$G$2:$G$41,MATCH(MIN(ABS(AJ217-ICL3_classA!$F$2:$F$41)),ABS(AJ217-ICL3_classA!$F$2:$F$41),0))</f>
        <v>68</v>
      </c>
      <c r="U217" s="1">
        <f t="array" ref="U217">INDEX(ICL3_classA!$H$2:$H$41,MATCH(MIN(ABS(AJ217-ICL3_classA!$F$2:$F$41)),ABS(AJ217-ICL3_classA!$F$2:$F$41),0))</f>
        <v>30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27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19</v>
      </c>
      <c r="AE217" s="1">
        <f>VLOOKUP(A217,'SegEnds_NonXtal_Prot#'!A:AL,16,FALSE)-VLOOKUP(A217,'SegEnds_NonXtal_Prot#'!A:AL,10,FALSE)</f>
        <v>51</v>
      </c>
      <c r="AF217" s="1">
        <f>VLOOKUP(A217,'SegEnds_NonXtal_Prot#'!A:AL,22,FALSE)-VLOOKUP(A217,'SegEnds_NonXtal_Prot#'!A:AL,19,FALSE)</f>
        <v>20</v>
      </c>
      <c r="AG217" s="1" t="e">
        <f>VLOOKUP(#REF!,'SegEnds_NonXtal_Prot#'!#REF!,28,FALSE)-VLOOKUP(#REF!,'SegEnds_NonXtal_Prot#'!#REF!,25,FALSE)</f>
        <v>#REF!</v>
      </c>
      <c r="AH217" s="1">
        <f>VLOOKUP(A217,'SegEnds_NonXtal_Prot#'!A:AL,28,FALSE)-VLOOKUP(A217,'SegEnds_NonXtal_Prot#'!A:AL,25,FALSE)</f>
        <v>37</v>
      </c>
      <c r="AI217" s="1">
        <f>VLOOKUP(A217,'SegEnds_NonXtal_Prot#'!A:AL,28,FALSE)-VLOOKUP(A217,'SegEnds_NonXtal_Prot#'!A:AL,22,FALSE)</f>
        <v>62</v>
      </c>
      <c r="AJ217" s="1">
        <f>VLOOKUP(A217,'SegEnds_NonXtal_Prot#'!A:AL,31,FALSE)-VLOOKUP(A217,'SegEnds_NonXtal_Prot#'!A:AL,28,FALSE)</f>
        <v>43</v>
      </c>
      <c r="AK217" s="1">
        <f>VLOOKUP(A217,'SegEnds_NonXtal_Prot#'!A:AL,34,FALSE)-VLOOKUP(A217,'SegEnds_NonXtal_Prot#'!A:AL,31,FALSE)</f>
        <v>42</v>
      </c>
      <c r="AL217" s="1">
        <f>VLOOKUP(A217,'SegEnds_NonXtal_Prot#'!A:AL,37,FALSE)-VLOOKUP(A217,'SegEnds_NonXtal_Prot#'!A:AL,34,FALSE)</f>
        <v>10</v>
      </c>
      <c r="AM217" s="1" t="str">
        <f>IF(ISERROR(MATCH(A217,'SegEnds_Xtal_Prot#'!B:B, 0)), "NoXtal", "Xtal")</f>
        <v>NoXtal</v>
      </c>
    </row>
    <row r="218" spans="1:39" x14ac:dyDescent="0.2">
      <c r="A218" s="1" t="s">
        <v>267</v>
      </c>
      <c r="B218" s="1" t="str">
        <f>VLOOKUP(A218,Xtal_Templ!A:B,2,FALSE)</f>
        <v>oprd_human</v>
      </c>
      <c r="C218" s="5">
        <f>VLOOKUP($B218&amp;"__wt",'SegEnds_Xtal_BW#'!$A:$Z,3,FALSE)</f>
        <v>22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v>67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INDEX(ICL3_classA!$G$2:$G$41,MATCH(MIN(ABS(AJ218-ICL3_classA!$F$2:$F$41)),ABS(AJ218-ICL3_classA!$F$2:$F$41),0))</f>
        <v>68</v>
      </c>
      <c r="U218" s="1">
        <f t="array" ref="U218">INDEX(ICL3_classA!$H$2:$H$41,MATCH(MIN(ABS(AJ218-ICL3_classA!$F$2:$F$41)),ABS(AJ218-ICL3_classA!$F$2:$F$41),0))</f>
        <v>23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60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56</v>
      </c>
      <c r="AF218" s="1">
        <f>VLOOKUP(A218,'SegEnds_NonXtal_Prot#'!A:AL,22,FALSE)-VLOOKUP(A218,'SegEnds_NonXtal_Prot#'!A:AL,19,FALSE)</f>
        <v>20</v>
      </c>
      <c r="AG218" s="1" t="e">
        <f>VLOOKUP(#REF!,'SegEnds_NonXtal_Prot#'!#REF!,28,FALSE)-VLOOKUP(#REF!,'SegEnds_NonXtal_Prot#'!#REF!,25,FALSE)</f>
        <v>#REF!</v>
      </c>
      <c r="AH218" s="1" t="e">
        <f>VLOOKUP(A218,'SegEnds_NonXtal_Prot#'!A:AL,28,FALSE)-VLOOKUP(A218,'SegEnds_NonXtal_Prot#'!A:AL,25,FALSE)</f>
        <v>#VALUE!</v>
      </c>
      <c r="AI218" s="1">
        <f>VLOOKUP(A218,'SegEnds_NonXtal_Prot#'!A:AL,28,FALSE)-VLOOKUP(A218,'SegEnds_NonXtal_Prot#'!A:AL,22,FALSE)</f>
        <v>53</v>
      </c>
      <c r="AJ218" s="1">
        <f>VLOOKUP(A218,'SegEnds_NonXtal_Prot#'!A:AL,31,FALSE)-VLOOKUP(A218,'SegEnds_NonXtal_Prot#'!A:AL,28,FALSE)</f>
        <v>51</v>
      </c>
      <c r="AK218" s="1">
        <f>VLOOKUP(A218,'SegEnds_NonXtal_Prot#'!A:AL,34,FALSE)-VLOOKUP(A218,'SegEnds_NonXtal_Prot#'!A:AL,31,FALSE)</f>
        <v>42</v>
      </c>
      <c r="AL218" s="1">
        <f>VLOOKUP(A218,'SegEnds_NonXtal_Prot#'!A:AL,37,FALSE)-VLOOKUP(A218,'SegEnds_NonXtal_Prot#'!A:AL,34,FALSE)</f>
        <v>10</v>
      </c>
      <c r="AM218" s="1" t="str">
        <f>IF(ISERROR(MATCH(A218,'SegEnds_Xtal_Prot#'!B:B, 0)), "NoXtal", "Xtal")</f>
        <v>NoXtal</v>
      </c>
    </row>
    <row r="219" spans="1:39" x14ac:dyDescent="0.2">
      <c r="A219" s="1" t="s">
        <v>281</v>
      </c>
      <c r="B219" s="1" t="str">
        <f>VLOOKUP(A219,Xtal_Templ!A:B,2,FALSE)</f>
        <v>oprk_human</v>
      </c>
      <c r="C219" s="5">
        <f>VLOOKUP($B219&amp;"__wt",'SegEnds_Xtal_BW#'!$A:$Z,3,FALSE)</f>
        <v>30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INDEX(ICL3_classA!$G$2:$G$41,MATCH(MIN(ABS(AJ219-ICL3_classA!$F$2:$F$41)),ABS(AJ219-ICL3_classA!$F$2:$F$41),0))</f>
        <v>81</v>
      </c>
      <c r="U219" s="1">
        <f t="array" ref="U219">INDEX(ICL3_classA!$H$2:$H$41,MATCH(MIN(ABS(AJ219-ICL3_classA!$F$2:$F$41)),ABS(AJ219-ICL3_classA!$F$2:$F$41),0))</f>
        <v>23</v>
      </c>
      <c r="V219" s="1">
        <v>61</v>
      </c>
      <c r="W219" s="1">
        <v>28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 t="e">
        <f>VLOOKUP(#REF!,'SegEnds_NonXtal_Prot#'!#REF!,28,FALSE)-VLOOKUP(#REF!,'SegEnds_NonXtal_Prot#'!#REF!,25,FALSE)</f>
        <v>#REF!</v>
      </c>
      <c r="AH219" s="1">
        <f>VLOOKUP(A219,'SegEnds_NonXtal_Prot#'!A:AL,28,FALSE)-VLOOKUP(A219,'SegEnds_NonXtal_Prot#'!A:AL,25,FALSE)</f>
        <v>25</v>
      </c>
      <c r="AI219" s="1">
        <f>VLOOKUP(A219,'SegEnds_NonXtal_Prot#'!A:AL,28,FALSE)-VLOOKUP(A219,'SegEnds_NonXtal_Prot#'!A:AL,22,FALSE)</f>
        <v>49</v>
      </c>
      <c r="AJ219" s="1">
        <f>VLOOKUP(A219,'SegEnds_NonXtal_Prot#'!A:AL,31,FALSE)-VLOOKUP(A219,'SegEnds_NonXtal_Prot#'!A:AL,28,FALSE)</f>
        <v>62</v>
      </c>
      <c r="AK219" s="1">
        <f>VLOOKUP(A219,'SegEnds_NonXtal_Prot#'!A:AL,34,FALSE)-VLOOKUP(A219,'SegEnds_NonXtal_Prot#'!A:AL,31,FALSE)</f>
        <v>42</v>
      </c>
      <c r="AL219" s="1">
        <f>VLOOKUP(A219,'SegEnds_NonXtal_Prot#'!A:AL,37,FALSE)-VLOOKUP(A219,'SegEnds_NonXtal_Prot#'!A:AL,34,FALSE)</f>
        <v>10</v>
      </c>
      <c r="AM219" s="1" t="str">
        <f>IF(ISERROR(MATCH(A219,'SegEnds_Xtal_Prot#'!B:B, 0)), "NoXtal", "Xtal")</f>
        <v>NoXtal</v>
      </c>
    </row>
    <row r="220" spans="1:39" x14ac:dyDescent="0.2">
      <c r="A220" s="1" t="s">
        <v>1168</v>
      </c>
      <c r="B220" s="1" t="str">
        <f>VLOOKUP(A220,Xtal_Templ!A:B,2,FALSE)</f>
        <v>ox1r_human</v>
      </c>
      <c r="C220" s="5">
        <f>VLOOKUP($B220&amp;"__wt",'SegEnds_Xtal_BW#'!$A:$Z,3,FALSE)</f>
        <v>32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68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53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33</v>
      </c>
      <c r="T220" s="1">
        <f t="array" ref="T220">INDEX(ICL3_classA!$G$2:$G$41,MATCH(MIN(ABS(AJ220-ICL3_classA!$F$2:$F$41)),ABS(AJ220-ICL3_classA!$F$2:$F$41),0))</f>
        <v>76</v>
      </c>
      <c r="U220" s="1">
        <v>20</v>
      </c>
      <c r="V220" s="1">
        <v>61</v>
      </c>
      <c r="W220" s="1">
        <v>28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63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18</v>
      </c>
      <c r="AG220" s="1" t="e">
        <f>VLOOKUP(#REF!,'SegEnds_NonXtal_Prot#'!#REF!,28,FALSE)-VLOOKUP(#REF!,'SegEnds_NonXtal_Prot#'!#REF!,25,FALSE)</f>
        <v>#REF!</v>
      </c>
      <c r="AH220" s="1">
        <f>VLOOKUP(A220,'SegEnds_NonXtal_Prot#'!A:AL,28,FALSE)-VLOOKUP(A220,'SegEnds_NonXtal_Prot#'!A:AL,25,FALSE)</f>
        <v>25</v>
      </c>
      <c r="AI220" s="1">
        <f>VLOOKUP(A220,'SegEnds_NonXtal_Prot#'!A:AL,28,FALSE)-VLOOKUP(A220,'SegEnds_NonXtal_Prot#'!A:AL,22,FALSE)</f>
        <v>58</v>
      </c>
      <c r="AJ220" s="12">
        <f>VLOOKUP(A220,'SegEnds_NonXtal_Prot#'!A:AL,31,FALSE)-VLOOKUP(A220,'SegEnds_NonXtal_Prot#'!A:AL,28,FALSE)</f>
        <v>86</v>
      </c>
      <c r="AK220" s="1">
        <f>VLOOKUP(A220,'SegEnds_NonXtal_Prot#'!A:AL,34,FALSE)-VLOOKUP(A220,'SegEnds_NonXtal_Prot#'!A:AL,31,FALSE)</f>
        <v>42</v>
      </c>
      <c r="AL220" s="1">
        <f>VLOOKUP(A220,'SegEnds_NonXtal_Prot#'!A:AL,37,FALSE)-VLOOKUP(A220,'SegEnds_NonXtal_Prot#'!A:AL,34,FALSE)</f>
        <v>10</v>
      </c>
      <c r="AM220" s="12" t="str">
        <f>IF(ISERROR(MATCH(A220,'SegEnds_Xtal_Prot#'!B:B, 0)), "NoXtal", "Xtal")</f>
        <v>Xtal</v>
      </c>
    </row>
    <row r="221" spans="1:39" x14ac:dyDescent="0.2">
      <c r="A221" s="1" t="s">
        <v>1169</v>
      </c>
      <c r="B221" s="1" t="str">
        <f>VLOOKUP(A221,Xtal_Templ!A:B,2,FALSE)</f>
        <v>ox2r_human</v>
      </c>
      <c r="C221" s="5">
        <f>VLOOKUP($B221&amp;"__wt",'SegEnds_Xtal_BW#'!$A:$Z,3,FALSE)</f>
        <v>31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53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33</v>
      </c>
      <c r="T221" s="1">
        <f t="array" ref="T221">INDEX(ICL3_classA!$G$2:$G$41,MATCH(MIN(ABS(AJ221-ICL3_classA!$F$2:$F$41)),ABS(AJ221-ICL3_classA!$F$2:$F$41),0))</f>
        <v>76</v>
      </c>
      <c r="U221" s="1">
        <v>20</v>
      </c>
      <c r="V221" s="1">
        <v>61</v>
      </c>
      <c r="W221" s="108">
        <v>27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63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>
        <f>VLOOKUP(A221,'SegEnds_NonXtal_Prot#'!A:AL,10,FALSE)-VLOOKUP(A221,'SegEnds_NonXtal_Prot#'!A:AL,7,FALSE)</f>
        <v>15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18</v>
      </c>
      <c r="AG221" s="1" t="e">
        <f>VLOOKUP(#REF!,'SegEnds_NonXtal_Prot#'!#REF!,28,FALSE)-VLOOKUP(#REF!,'SegEnds_NonXtal_Prot#'!#REF!,25,FALSE)</f>
        <v>#REF!</v>
      </c>
      <c r="AH221" s="1">
        <f>VLOOKUP(A221,'SegEnds_NonXtal_Prot#'!A:AL,28,FALSE)-VLOOKUP(A221,'SegEnds_NonXtal_Prot#'!A:AL,25,FALSE)</f>
        <v>25</v>
      </c>
      <c r="AI221" s="1">
        <f>VLOOKUP(A221,'SegEnds_NonXtal_Prot#'!A:AL,28,FALSE)-VLOOKUP(A221,'SegEnds_NonXtal_Prot#'!A:AL,22,FALSE)</f>
        <v>58</v>
      </c>
      <c r="AJ221" s="12">
        <f>VLOOKUP(A221,'SegEnds_NonXtal_Prot#'!A:AL,31,FALSE)-VLOOKUP(A221,'SegEnds_NonXtal_Prot#'!A:AL,28,FALSE)</f>
        <v>84</v>
      </c>
      <c r="AK221" s="1">
        <f>VLOOKUP(A221,'SegEnds_NonXtal_Prot#'!A:AL,34,FALSE)-VLOOKUP(A221,'SegEnds_NonXtal_Prot#'!A:AL,31,FALSE)</f>
        <v>42</v>
      </c>
      <c r="AL221" s="1">
        <f>VLOOKUP(A221,'SegEnds_NonXtal_Prot#'!A:AL,37,FALSE)-VLOOKUP(A221,'SegEnds_NonXtal_Prot#'!A:AL,34,FALSE)</f>
        <v>10</v>
      </c>
      <c r="AM221" s="12" t="str">
        <f>IF(ISERROR(MATCH(A221,'SegEnds_Xtal_Prot#'!B:B, 0)), "NoXtal", "Xtal")</f>
        <v>Xtal</v>
      </c>
    </row>
    <row r="222" spans="1:39" x14ac:dyDescent="0.2">
      <c r="A222" s="1" t="s">
        <v>341</v>
      </c>
      <c r="B222" s="1" t="str">
        <f>VLOOKUP(A222,Xtal_Templ!A:B,2,FALSE)</f>
        <v>pd2r2_human</v>
      </c>
      <c r="C222" s="5">
        <f>VLOOKUP($B222&amp;"__wt",'SegEnds_Xtal_BW#'!$A:$Z,3,FALSE)</f>
        <v>32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26</v>
      </c>
      <c r="T222" s="1">
        <f t="array" ref="T222">INDEX(ICL3_classA!$G$2:$G$41,MATCH(MIN(ABS(AJ222-ICL3_classA!$F$2:$F$41)),ABS(AJ222-ICL3_classA!$F$2:$F$41),0))</f>
        <v>67</v>
      </c>
      <c r="U222" s="1">
        <f t="array" ref="U222">INDEX(ICL3_classA!$H$2:$H$41,MATCH(MIN(ABS(AJ222-ICL3_classA!$F$2:$F$41)),ABS(AJ222-ICL3_classA!$F$2:$F$41),0))</f>
        <v>26</v>
      </c>
      <c r="V222" s="1">
        <v>61</v>
      </c>
      <c r="W222" s="1">
        <v>28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64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 t="e">
        <f>VLOOKUP(#REF!,'SegEnds_NonXtal_Prot#'!#REF!,28,FALSE)-VLOOKUP(#REF!,'SegEnds_NonXtal_Prot#'!#REF!,25,FALSE)</f>
        <v>#REF!</v>
      </c>
      <c r="AH222" s="1">
        <f>VLOOKUP(A222,'SegEnds_NonXtal_Prot#'!A:AL,28,FALSE)-VLOOKUP(A222,'SegEnds_NonXtal_Prot#'!A:AL,25,FALSE)</f>
        <v>27</v>
      </c>
      <c r="AI222" s="1">
        <f>VLOOKUP(A222,'SegEnds_NonXtal_Prot#'!A:AL,28,FALSE)-VLOOKUP(A222,'SegEnds_NonXtal_Prot#'!A:AL,22,FALSE)</f>
        <v>47</v>
      </c>
      <c r="AJ222" s="1">
        <f>VLOOKUP(A222,'SegEnds_NonXtal_Prot#'!A:AL,31,FALSE)-VLOOKUP(A222,'SegEnds_NonXtal_Prot#'!A:AL,28,FALSE)</f>
        <v>46</v>
      </c>
      <c r="AK222" s="1">
        <f>VLOOKUP(A222,'SegEnds_NonXtal_Prot#'!A:AL,34,FALSE)-VLOOKUP(A222,'SegEnds_NonXtal_Prot#'!A:AL,31,FALSE)</f>
        <v>42</v>
      </c>
      <c r="AL222" s="1">
        <f>VLOOKUP(A222,'SegEnds_NonXtal_Prot#'!A:AL,37,FALSE)-VLOOKUP(A222,'SegEnds_NonXtal_Prot#'!A:AL,34,FALSE)</f>
        <v>10</v>
      </c>
      <c r="AM222" s="1" t="str">
        <f>IF(ISERROR(MATCH(A222,'SegEnds_Xtal_Prot#'!B:B, 0)), "NoXtal", "Xtal")</f>
        <v>NoXtal</v>
      </c>
    </row>
    <row r="223" spans="1:39" x14ac:dyDescent="0.2">
      <c r="A223" s="1" t="s">
        <v>160</v>
      </c>
      <c r="B223" s="1" t="str">
        <f>VLOOKUP(A223,Xtal_Templ!A:B,2,FALSE)</f>
        <v>apj_human</v>
      </c>
      <c r="C223" s="5">
        <f>VLOOKUP($B223&amp;"__wt",'SegEnds_Xtal_BW#'!$A:$Z,3,FALSE)</f>
        <v>33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52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30</v>
      </c>
      <c r="T223" s="1">
        <f t="array" ref="T223">INDEX(ICL3_classA!$G$2:$G$41,MATCH(MIN(ABS(AJ223-ICL3_classA!$F$2:$F$41)),ABS(AJ223-ICL3_classA!$F$2:$F$41),0))</f>
        <v>72</v>
      </c>
      <c r="U223" s="1">
        <f t="array" ref="U223">INDEX(ICL3_classA!$H$2:$H$41,MATCH(MIN(ABS(AJ223-ICL3_classA!$F$2:$F$41)),ABS(AJ223-ICL3_classA!$F$2:$F$41),0))</f>
        <v>29</v>
      </c>
      <c r="V223" s="108">
        <v>63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29</v>
      </c>
      <c r="AC223" s="1">
        <f>VLOOKUP(A223,'SegEnds_NonXtal_Prot#'!A:AL,10,FALSE)-VLOOKUP(A223,'SegEnds_NonXtal_Prot#'!A:AL,7,FALSE)</f>
        <v>16</v>
      </c>
      <c r="AD223" s="1">
        <f>VLOOKUP(A223,'SegEnds_NonXtal_Prot#'!A:AL,13,FALSE)-VLOOKUP(A223,'SegEnds_NonXtal_Prot#'!A:AL,10,FALSE)</f>
        <v>20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 t="e">
        <f>VLOOKUP(#REF!,'SegEnds_NonXtal_Prot#'!#REF!,28,FALSE)-VLOOKUP(#REF!,'SegEnds_NonXtal_Prot#'!#REF!,25,FALSE)</f>
        <v>#REF!</v>
      </c>
      <c r="AH223" s="1">
        <f>VLOOKUP(A223,'SegEnds_NonXtal_Prot#'!A:AL,28,FALSE)-VLOOKUP(A223,'SegEnds_NonXtal_Prot#'!A:AL,25,FALSE)</f>
        <v>32</v>
      </c>
      <c r="AI223" s="1">
        <f>VLOOKUP(A223,'SegEnds_NonXtal_Prot#'!A:AL,28,FALSE)-VLOOKUP(A223,'SegEnds_NonXtal_Prot#'!A:AL,22,FALSE)</f>
        <v>59</v>
      </c>
      <c r="AJ223" s="1">
        <f>VLOOKUP(A223,'SegEnds_NonXtal_Prot#'!A:AL,31,FALSE)-VLOOKUP(A223,'SegEnds_NonXtal_Prot#'!A:AL,28,FALSE)</f>
        <v>50</v>
      </c>
      <c r="AK223" s="1">
        <f>VLOOKUP(A223,'SegEnds_NonXtal_Prot#'!A:AL,34,FALSE)-VLOOKUP(A223,'SegEnds_NonXtal_Prot#'!A:AL,31,FALSE)</f>
        <v>43</v>
      </c>
      <c r="AL223" s="1">
        <f>VLOOKUP(A223,'SegEnds_NonXtal_Prot#'!A:AL,37,FALSE)-VLOOKUP(A223,'SegEnds_NonXtal_Prot#'!A:AL,34,FALSE)</f>
        <v>10</v>
      </c>
      <c r="AM223" s="1" t="str">
        <f>IF(ISERROR(MATCH(A223,'SegEnds_Xtal_Prot#'!B:B, 0)), "NoXtal", "Xtal")</f>
        <v>Xtal</v>
      </c>
    </row>
    <row r="224" spans="1:39" x14ac:dyDescent="0.2">
      <c r="A224" s="1" t="s">
        <v>201</v>
      </c>
      <c r="B224" s="1" t="str">
        <f>VLOOKUP(A224,Xtal_Templ!A:B,2,FALSE)</f>
        <v>fpr2_human</v>
      </c>
      <c r="C224" s="5">
        <f>VLOOKUP($B224&amp;"__wt",'SegEnds_Xtal_BW#'!$A:$Z,3,FALSE)</f>
        <v>25</v>
      </c>
      <c r="D224" s="1">
        <f>VLOOKUP($B224&amp;"__wt",'SegEnds_Xtal_BW#'!$A:$Z,4,FALSE)</f>
        <v>61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67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23</v>
      </c>
      <c r="T224" s="108">
        <v>69</v>
      </c>
      <c r="U224" s="108">
        <v>31</v>
      </c>
      <c r="V224" s="1">
        <v>61</v>
      </c>
      <c r="W224" s="108">
        <f>VLOOKUP($B224&amp;"__wt",'SegEnds_Xtal_BW#'!$A:$Z,23,FALSE)</f>
        <v>28</v>
      </c>
      <c r="X224" s="108"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27</v>
      </c>
      <c r="AC224" s="1" t="e">
        <f>VLOOKUP(A224,'SegEnds_NonXtal_Prot#'!A:AL,10,FALSE)-VLOOKUP(A224,'SegEnds_NonXtal_Prot#'!A:AL,7,FALSE)</f>
        <v>#VALUE!</v>
      </c>
      <c r="AD224" s="1">
        <f>VLOOKUP(A224,'SegEnds_NonXtal_Prot#'!A:AL,13,FALSE)-VLOOKUP(A224,'SegEnds_NonXtal_Prot#'!A:AL,10,FALSE)</f>
        <v>20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 t="e">
        <f>VLOOKUP(#REF!,'SegEnds_NonXtal_Prot#'!#REF!,28,FALSE)-VLOOKUP(#REF!,'SegEnds_NonXtal_Prot#'!#REF!,25,FALSE)</f>
        <v>#REF!</v>
      </c>
      <c r="AH224" s="1">
        <f>VLOOKUP(A224,'SegEnds_NonXtal_Prot#'!A:AL,28,FALSE)-VLOOKUP(A224,'SegEnds_NonXtal_Prot#'!A:AL,25,FALSE)</f>
        <v>37</v>
      </c>
      <c r="AI224" s="1">
        <f>VLOOKUP(A224,'SegEnds_NonXtal_Prot#'!A:AL,28,FALSE)-VLOOKUP(A224,'SegEnds_NonXtal_Prot#'!A:AL,22,FALSE)</f>
        <v>63</v>
      </c>
      <c r="AJ224" s="1">
        <f>VLOOKUP(A224,'SegEnds_NonXtal_Prot#'!A:AL,31,FALSE)-VLOOKUP(A224,'SegEnds_NonXtal_Prot#'!A:AL,28,FALSE)</f>
        <v>43</v>
      </c>
      <c r="AK224" s="1">
        <f>VLOOKUP(A224,'SegEnds_NonXtal_Prot#'!A:AL,34,FALSE)-VLOOKUP(A224,'SegEnds_NonXtal_Prot#'!A:AL,31,FALSE)</f>
        <v>43</v>
      </c>
      <c r="AL224" s="1">
        <f>VLOOKUP(A224,'SegEnds_NonXtal_Prot#'!A:AL,37,FALSE)-VLOOKUP(A224,'SegEnds_NonXtal_Prot#'!A:AL,34,FALSE)</f>
        <v>10</v>
      </c>
      <c r="AM224" s="1" t="str">
        <f>IF(ISERROR(MATCH(A224,'SegEnds_Xtal_Prot#'!B:B, 0)), "NoXtal", "Xtal")</f>
        <v>Xtal</v>
      </c>
    </row>
    <row r="225" spans="1:39" x14ac:dyDescent="0.2">
      <c r="A225" s="1" t="s">
        <v>202</v>
      </c>
      <c r="B225" s="1" t="str">
        <f>VLOOKUP(A225,Xtal_Templ!A:B,2,FALSE)</f>
        <v>fpr2_human</v>
      </c>
      <c r="C225" s="5">
        <f>VLOOKUP($B225&amp;"__wt",'SegEnds_Xtal_BW#'!$A:$Z,3,FALSE)</f>
        <v>25</v>
      </c>
      <c r="D225" s="1">
        <f>VLOOKUP($B225&amp;"__wt",'SegEnds_Xtal_BW#'!$A:$Z,4,FALSE)</f>
        <v>61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67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23</v>
      </c>
      <c r="T225" s="1">
        <f t="array" ref="T225">INDEX(ICL3_classA!$G$2:$G$41,MATCH(MIN(ABS(AJ225-ICL3_classA!$F$2:$F$41)),ABS(AJ225-ICL3_classA!$F$2:$F$41),0))</f>
        <v>68</v>
      </c>
      <c r="U225" s="1">
        <f t="array" ref="U225">INDEX(ICL3_classA!$H$2:$H$41,MATCH(MIN(ABS(AJ225-ICL3_classA!$F$2:$F$41)),ABS(AJ225-ICL3_classA!$F$2:$F$41),0))</f>
        <v>30</v>
      </c>
      <c r="V225" s="1">
        <v>61</v>
      </c>
      <c r="W225" s="1">
        <v>24</v>
      </c>
      <c r="X225" s="108"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27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20</v>
      </c>
      <c r="AE225" s="1">
        <f>VLOOKUP(A225,'SegEnds_NonXtal_Prot#'!A:AL,16,FALSE)-VLOOKUP(A225,'SegEnds_NonXtal_Prot#'!A:AL,10,FALSE)</f>
        <v>52</v>
      </c>
      <c r="AF225" s="1">
        <f>VLOOKUP(A225,'SegEnds_NonXtal_Prot#'!A:AL,22,FALSE)-VLOOKUP(A225,'SegEnds_NonXtal_Prot#'!A:AL,19,FALSE)</f>
        <v>20</v>
      </c>
      <c r="AG225" s="1" t="e">
        <f>VLOOKUP(#REF!,'SegEnds_NonXtal_Prot#'!#REF!,28,FALSE)-VLOOKUP(#REF!,'SegEnds_NonXtal_Prot#'!#REF!,25,FALSE)</f>
        <v>#REF!</v>
      </c>
      <c r="AH225" s="1">
        <f>VLOOKUP(A225,'SegEnds_NonXtal_Prot#'!A:AL,28,FALSE)-VLOOKUP(A225,'SegEnds_NonXtal_Prot#'!A:AL,25,FALSE)</f>
        <v>37</v>
      </c>
      <c r="AI225" s="1">
        <f>VLOOKUP(A225,'SegEnds_NonXtal_Prot#'!A:AL,28,FALSE)-VLOOKUP(A225,'SegEnds_NonXtal_Prot#'!A:AL,22,FALSE)</f>
        <v>63</v>
      </c>
      <c r="AJ225" s="1">
        <f>VLOOKUP(A225,'SegEnds_NonXtal_Prot#'!A:AL,31,FALSE)-VLOOKUP(A225,'SegEnds_NonXtal_Prot#'!A:AL,28,FALSE)</f>
        <v>43</v>
      </c>
      <c r="AK225" s="1">
        <f>VLOOKUP(A225,'SegEnds_NonXtal_Prot#'!A:AL,34,FALSE)-VLOOKUP(A225,'SegEnds_NonXtal_Prot#'!A:AL,31,FALSE)</f>
        <v>43</v>
      </c>
      <c r="AL225" s="1">
        <f>VLOOKUP(A225,'SegEnds_NonXtal_Prot#'!A:AL,37,FALSE)-VLOOKUP(A225,'SegEnds_NonXtal_Prot#'!A:AL,34,FALSE)</f>
        <v>10</v>
      </c>
      <c r="AM225" s="1" t="str">
        <f>IF(ISERROR(MATCH(A225,'SegEnds_Xtal_Prot#'!B:B, 0)), "NoXtal", "Xtal")</f>
        <v>NoXtal</v>
      </c>
    </row>
    <row r="226" spans="1:39" x14ac:dyDescent="0.2">
      <c r="A226" s="1" t="s">
        <v>238</v>
      </c>
      <c r="B226" s="1" t="str">
        <f>VLOOKUP(A226,Xtal_Templ!A:B,2,FALSE)</f>
        <v>ccr6_human</v>
      </c>
      <c r="C226" s="5">
        <f>VLOOKUP($B226&amp;"__wt",'SegEnds_Xtal_BW#'!$A:$Z,3,FALSE)</f>
        <v>25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67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56</v>
      </c>
      <c r="O226" s="87"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31</v>
      </c>
      <c r="T226" s="1">
        <f t="array" ref="T226">INDEX(ICL3_classA!$G$2:$G$41,MATCH(MIN(ABS(AJ226-ICL3_classA!$F$2:$F$41)),ABS(AJ226-ICL3_classA!$F$2:$F$41),0))</f>
        <v>68</v>
      </c>
      <c r="U226" s="1">
        <f t="array" ref="U226">INDEX(ICL3_classA!$H$2:$H$41,MATCH(MIN(ABS(AJ226-ICL3_classA!$F$2:$F$41)),ABS(AJ226-ICL3_classA!$F$2:$F$41),0))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62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 t="e">
        <f>VLOOKUP(#REF!,'SegEnds_NonXtal_Prot#'!#REF!,28,FALSE)-VLOOKUP(#REF!,'SegEnds_NonXtal_Prot#'!#REF!,25,FALSE)</f>
        <v>#REF!</v>
      </c>
      <c r="AH226" s="1">
        <f>VLOOKUP(A226,'SegEnds_NonXtal_Prot#'!A:AL,28,FALSE)-VLOOKUP(A226,'SegEnds_NonXtal_Prot#'!A:AL,25,FALSE)</f>
        <v>24</v>
      </c>
      <c r="AI226" s="1">
        <f>VLOOKUP(A226,'SegEnds_NonXtal_Prot#'!A:AL,28,FALSE)-VLOOKUP(A226,'SegEnds_NonXtal_Prot#'!A:AL,22,FALSE)</f>
        <v>49</v>
      </c>
      <c r="AJ226" s="1">
        <f>VLOOKUP(A226,'SegEnds_NonXtal_Prot#'!A:AL,31,FALSE)-VLOOKUP(A226,'SegEnds_NonXtal_Prot#'!A:AL,28,FALSE)</f>
        <v>49</v>
      </c>
      <c r="AK226" s="1">
        <f>VLOOKUP(A226,'SegEnds_NonXtal_Prot#'!A:AL,34,FALSE)-VLOOKUP(A226,'SegEnds_NonXtal_Prot#'!A:AL,31,FALSE)</f>
        <v>43</v>
      </c>
      <c r="AL226" s="1">
        <f>VLOOKUP(A226,'SegEnds_NonXtal_Prot#'!A:AL,37,FALSE)-VLOOKUP(A226,'SegEnds_NonXtal_Prot#'!A:AL,34,FALSE)</f>
        <v>10</v>
      </c>
      <c r="AM226" s="1" t="str">
        <f>IF(ISERROR(MATCH(A226,'SegEnds_Xtal_Prot#'!B:B, 0)), "NoXtal", "Xtal")</f>
        <v>NoXtal</v>
      </c>
    </row>
    <row r="227" spans="1:39" x14ac:dyDescent="0.2">
      <c r="A227" s="1" t="s">
        <v>252</v>
      </c>
      <c r="B227" s="1" t="str">
        <f>VLOOKUP(A227,Xtal_Templ!A:B,2,FALSE)</f>
        <v>ptafr_human</v>
      </c>
      <c r="C227" s="5">
        <f>VLOOKUP($B227&amp;"__wt",'SegEnds_Xtal_BW#'!$A:$Z,3,FALSE)</f>
        <v>27</v>
      </c>
      <c r="D227" s="1">
        <f>VLOOKUP($B227&amp;"__wt",'SegEnds_Xtal_BW#'!$A:$Z,4,FALSE)</f>
        <v>61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67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63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33</v>
      </c>
      <c r="T227" s="1">
        <f t="array" ref="T227">INDEX(ICL3_classA!$G$2:$G$41,MATCH(MIN(ABS(AJ227-ICL3_classA!$F$2:$F$41)),ABS(AJ227-ICL3_classA!$F$2:$F$41),0))</f>
        <v>68</v>
      </c>
      <c r="U227" s="1">
        <f t="array" ref="U227">INDEX(ICL3_classA!$H$2:$H$41,MATCH(MIN(ABS(AJ227-ICL3_classA!$F$2:$F$41)),ABS(AJ227-ICL3_classA!$F$2:$F$41),0))</f>
        <v>23</v>
      </c>
      <c r="V227" s="1">
        <v>61</v>
      </c>
      <c r="W227" s="1">
        <v>24</v>
      </c>
      <c r="X227" s="1">
        <f>VLOOKUP($B227&amp;"__wt",'SegEnds_Xtal_BW#'!$A:$Z,24,FALSE)</f>
        <v>59</v>
      </c>
      <c r="Y227" s="1">
        <f>VLOOKUP($B227&amp;"__wt",'SegEnds_Xtal_BW#'!$A:$Z,25,FALSE)</f>
        <v>50</v>
      </c>
      <c r="Z227" s="1">
        <f>VLOOKUP($B227&amp;"__wt",'SegEnds_Xtal_BW#'!$A:$Z,26,FALSE)</f>
        <v>63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20</v>
      </c>
      <c r="AG227" s="1" t="e">
        <f>VLOOKUP(#REF!,'SegEnds_NonXtal_Prot#'!#REF!,28,FALSE)-VLOOKUP(#REF!,'SegEnds_NonXtal_Prot#'!#REF!,25,FALSE)</f>
        <v>#REF!</v>
      </c>
      <c r="AH227" s="1">
        <f>VLOOKUP(A227,'SegEnds_NonXtal_Prot#'!A:AL,28,FALSE)-VLOOKUP(A227,'SegEnds_NonXtal_Prot#'!A:AL,25,FALSE)</f>
        <v>26</v>
      </c>
      <c r="AI227" s="1">
        <f>VLOOKUP(A227,'SegEnds_NonXtal_Prot#'!A:AL,28,FALSE)-VLOOKUP(A227,'SegEnds_NonXtal_Prot#'!A:AL,22,FALSE)</f>
        <v>51</v>
      </c>
      <c r="AJ227" s="1">
        <f>VLOOKUP(A227,'SegEnds_NonXtal_Prot#'!A:AL,31,FALSE)-VLOOKUP(A227,'SegEnds_NonXtal_Prot#'!A:AL,28,FALSE)</f>
        <v>51</v>
      </c>
      <c r="AK227" s="1">
        <f>VLOOKUP(A227,'SegEnds_NonXtal_Prot#'!A:AL,34,FALSE)-VLOOKUP(A227,'SegEnds_NonXtal_Prot#'!A:AL,31,FALSE)</f>
        <v>43</v>
      </c>
      <c r="AL227" s="1">
        <f>VLOOKUP(A227,'SegEnds_NonXtal_Prot#'!A:AL,37,FALSE)-VLOOKUP(A227,'SegEnds_NonXtal_Prot#'!A:AL,34,FALSE)</f>
        <v>10</v>
      </c>
      <c r="AM227" s="1" t="str">
        <f>IF(ISERROR(MATCH(A227,'SegEnds_Xtal_Prot#'!B:B, 0)), "NoXtal", "Xtal")</f>
        <v>NoXtal</v>
      </c>
    </row>
    <row r="228" spans="1:39" x14ac:dyDescent="0.2">
      <c r="A228" s="1" t="s">
        <v>255</v>
      </c>
      <c r="B228" s="1" t="str">
        <f>VLOOKUP(A228,Xtal_Templ!A:B,2,FALSE)</f>
        <v>ntr1_rat</v>
      </c>
      <c r="C228" s="5">
        <f>VLOOKUP($B228&amp;"__wt",'SegEnds_Xtal_BW#'!$A:$Z,3,FALSE)</f>
        <v>29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68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v>35</v>
      </c>
      <c r="T228" s="1">
        <f t="array" ref="T228">INDEX(ICL3_classA!$G$2:$G$41,MATCH(MIN(ABS(AJ228-ICL3_classA!$F$2:$F$41)),ABS(AJ228-ICL3_classA!$F$2:$F$41),0))</f>
        <v>81</v>
      </c>
      <c r="U228" s="1">
        <f t="array" ref="U228">INDEX(ICL3_classA!$H$2:$H$41,MATCH(MIN(ABS(AJ228-ICL3_classA!$F$2:$F$41)),ABS(AJ228-ICL3_classA!$F$2:$F$41),0))</f>
        <v>23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62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31</v>
      </c>
      <c r="AC228" s="1" t="e">
        <f>VLOOKUP(A228,'SegEnds_NonXtal_Prot#'!A:AL,10,FALSE)-VLOOKUP(A228,'SegEnds_NonXtal_Prot#'!A:AL,7,FALSE)</f>
        <v>#VALUE!</v>
      </c>
      <c r="AD228" s="1" t="e">
        <f>VLOOKUP(A228,'SegEnds_NonXtal_Prot#'!A:AL,13,FALSE)-VLOOKUP(A228,'SegEnds_NonXtal_Prot#'!A:AL,10,FALSE)</f>
        <v>#VALUE!</v>
      </c>
      <c r="AE228" s="1">
        <f>VLOOKUP(A228,'SegEnds_NonXtal_Prot#'!A:AL,16,FALSE)-VLOOKUP(A228,'SegEnds_NonXtal_Prot#'!A:AL,10,FALSE)</f>
        <v>54</v>
      </c>
      <c r="AF228" s="1">
        <f>VLOOKUP(A228,'SegEnds_NonXtal_Prot#'!A:AL,22,FALSE)-VLOOKUP(A228,'SegEnds_NonXtal_Prot#'!A:AL,19,FALSE)</f>
        <v>20</v>
      </c>
      <c r="AG228" s="1" t="e">
        <f>VLOOKUP(#REF!,'SegEnds_NonXtal_Prot#'!#REF!,28,FALSE)-VLOOKUP(#REF!,'SegEnds_NonXtal_Prot#'!#REF!,25,FALSE)</f>
        <v>#REF!</v>
      </c>
      <c r="AH228" s="1">
        <f>VLOOKUP(A228,'SegEnds_NonXtal_Prot#'!A:AL,28,FALSE)-VLOOKUP(A228,'SegEnds_NonXtal_Prot#'!A:AL,25,FALSE)</f>
        <v>21</v>
      </c>
      <c r="AI228" s="1">
        <f>VLOOKUP(A228,'SegEnds_NonXtal_Prot#'!A:AL,28,FALSE)-VLOOKUP(A228,'SegEnds_NonXtal_Prot#'!A:AL,22,FALSE)</f>
        <v>71</v>
      </c>
      <c r="AJ228" s="1">
        <f>VLOOKUP(A228,'SegEnds_NonXtal_Prot#'!A:AL,31,FALSE)-VLOOKUP(A228,'SegEnds_NonXtal_Prot#'!A:AL,28,FALSE)</f>
        <v>67</v>
      </c>
      <c r="AK228" s="1">
        <f>VLOOKUP(A228,'SegEnds_NonXtal_Prot#'!A:AL,34,FALSE)-VLOOKUP(A228,'SegEnds_NonXtal_Prot#'!A:AL,31,FALSE)</f>
        <v>43</v>
      </c>
      <c r="AL228" s="1">
        <f>VLOOKUP(A228,'SegEnds_NonXtal_Prot#'!A:AL,37,FALSE)-VLOOKUP(A228,'SegEnds_NonXtal_Prot#'!A:AL,34,FALSE)</f>
        <v>10</v>
      </c>
      <c r="AM228" s="1" t="str">
        <f>IF(ISERROR(MATCH(A228,'SegEnds_Xtal_Prot#'!B:B, 0)), "NoXtal", "Xtal")</f>
        <v>NoXtal</v>
      </c>
    </row>
    <row r="229" spans="1:39" x14ac:dyDescent="0.2">
      <c r="A229" s="1" t="s">
        <v>127</v>
      </c>
      <c r="B229" s="1" t="str">
        <f>VLOOKUP(A229,Xtal_Templ!A:B,2,FALSE)</f>
        <v>ntr1_human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68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INDEX(ICL3_classA!$G$2:$G$41,MATCH(MIN(ABS(AJ229-ICL3_classA!$F$2:$F$41)),ABS(AJ229-ICL3_classA!$F$2:$F$41),0))</f>
        <v>76</v>
      </c>
      <c r="U229" s="1">
        <f t="array" ref="U229">INDEX(ICL3_classA!$H$2:$H$41,MATCH(MIN(ABS(AJ229-ICL3_classA!$F$2:$F$41)),ABS(AJ229-ICL3_classA!$F$2:$F$41),0))</f>
        <v>24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62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31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22</v>
      </c>
      <c r="AE229" s="1">
        <f>VLOOKUP(A229,'SegEnds_NonXtal_Prot#'!A:AL,16,FALSE)-VLOOKUP(A229,'SegEnds_NonXtal_Prot#'!A:AL,10,FALSE)</f>
        <v>54</v>
      </c>
      <c r="AF229" s="1">
        <f>VLOOKUP(A229,'SegEnds_NonXtal_Prot#'!A:AL,22,FALSE)-VLOOKUP(A229,'SegEnds_NonXtal_Prot#'!A:AL,19,FALSE)</f>
        <v>20</v>
      </c>
      <c r="AG229" s="1" t="e">
        <f>VLOOKUP(#REF!,'SegEnds_NonXtal_Prot#'!#REF!,28,FALSE)-VLOOKUP(#REF!,'SegEnds_NonXtal_Prot#'!#REF!,25,FALSE)</f>
        <v>#REF!</v>
      </c>
      <c r="AH229" s="1">
        <f>VLOOKUP(A229,'SegEnds_NonXtal_Prot#'!A:AL,28,FALSE)-VLOOKUP(A229,'SegEnds_NonXtal_Prot#'!A:AL,25,FALSE)</f>
        <v>24</v>
      </c>
      <c r="AI229" s="1">
        <f>VLOOKUP(A229,'SegEnds_NonXtal_Prot#'!A:AL,28,FALSE)-VLOOKUP(A229,'SegEnds_NonXtal_Prot#'!A:AL,22,FALSE)</f>
        <v>55</v>
      </c>
      <c r="AJ229" s="1">
        <f>VLOOKUP(A229,'SegEnds_NonXtal_Prot#'!A:AL,31,FALSE)-VLOOKUP(A229,'SegEnds_NonXtal_Prot#'!A:AL,28,FALSE)</f>
        <v>70</v>
      </c>
      <c r="AK229" s="1">
        <f>VLOOKUP(A229,'SegEnds_NonXtal_Prot#'!A:AL,34,FALSE)-VLOOKUP(A229,'SegEnds_NonXtal_Prot#'!A:AL,31,FALSE)</f>
        <v>43</v>
      </c>
      <c r="AL229" s="1">
        <f>VLOOKUP(A229,'SegEnds_NonXtal_Prot#'!A:AL,37,FALSE)-VLOOKUP(A229,'SegEnds_NonXtal_Prot#'!A:AL,34,FALSE)</f>
        <v>10</v>
      </c>
      <c r="AM229" s="1" t="str">
        <f>IF(ISERROR(MATCH(A229,'SegEnds_Xtal_Prot#'!B:B, 0)), "NoXtal", "Xtal")</f>
        <v>Xtal</v>
      </c>
    </row>
    <row r="230" spans="1:39" x14ac:dyDescent="0.2">
      <c r="A230" s="1" t="s">
        <v>907</v>
      </c>
      <c r="B230" s="1" t="str">
        <f>VLOOKUP(A230,Xtal_Templ!A:B,2,FALSE)</f>
        <v>ntr1_rat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68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INDEX(ICL3_classA!$G$2:$G$41,MATCH(MIN(ABS(AJ230-ICL3_classA!$F$2:$F$41)),ABS(AJ230-ICL3_classA!$F$2:$F$41),0))</f>
        <v>76</v>
      </c>
      <c r="U230" s="1">
        <f t="array" ref="U230">INDEX(ICL3_classA!$H$2:$H$41,MATCH(MIN(ABS(AJ230-ICL3_classA!$F$2:$F$41)),ABS(AJ230-ICL3_classA!$F$2:$F$41),0))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62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31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22</v>
      </c>
      <c r="AE230" s="1">
        <f>VLOOKUP(A230,'SegEnds_NonXtal_Prot#'!A:AL,16,FALSE)-VLOOKUP(A230,'SegEnds_NonXtal_Prot#'!A:AL,10,FALSE)</f>
        <v>54</v>
      </c>
      <c r="AF230" s="1">
        <f>VLOOKUP(A230,'SegEnds_NonXtal_Prot#'!A:AL,22,FALSE)-VLOOKUP(A230,'SegEnds_NonXtal_Prot#'!A:AL,19,FALSE)</f>
        <v>20</v>
      </c>
      <c r="AG230" s="1" t="e">
        <f>VLOOKUP(#REF!,'SegEnds_NonXtal_Prot#'!#REF!,28,FALSE)-VLOOKUP(#REF!,'SegEnds_NonXtal_Prot#'!#REF!,25,FALSE)</f>
        <v>#REF!</v>
      </c>
      <c r="AH230" s="1">
        <f>VLOOKUP(A230,'SegEnds_NonXtal_Prot#'!A:AL,28,FALSE)-VLOOKUP(A230,'SegEnds_NonXtal_Prot#'!A:AL,25,FALSE)</f>
        <v>24</v>
      </c>
      <c r="AI230" s="1">
        <f>VLOOKUP(A230,'SegEnds_NonXtal_Prot#'!A:AL,28,FALSE)-VLOOKUP(A230,'SegEnds_NonXtal_Prot#'!A:AL,22,FALSE)</f>
        <v>55</v>
      </c>
      <c r="AJ230" s="1">
        <f>VLOOKUP(A230,'SegEnds_NonXtal_Prot#'!A:AL,31,FALSE)-VLOOKUP(A230,'SegEnds_NonXtal_Prot#'!A:AL,28,FALSE)</f>
        <v>74</v>
      </c>
      <c r="AK230" s="1">
        <f>VLOOKUP(A230,'SegEnds_NonXtal_Prot#'!A:AL,34,FALSE)-VLOOKUP(A230,'SegEnds_NonXtal_Prot#'!A:AL,31,FALSE)</f>
        <v>43</v>
      </c>
      <c r="AL230" s="1">
        <f>VLOOKUP(A230,'SegEnds_NonXtal_Prot#'!A:AL,37,FALSE)-VLOOKUP(A230,'SegEnds_NonXtal_Prot#'!A:AL,34,FALSE)</f>
        <v>10</v>
      </c>
      <c r="AM230" s="1" t="str">
        <f>IF(ISERROR(MATCH(A230,'SegEnds_Xtal_Prot#'!B:B, 0)), "NoXtal", "Xtal")</f>
        <v>Xtal</v>
      </c>
    </row>
    <row r="231" spans="1:39" x14ac:dyDescent="0.2">
      <c r="A231" s="1" t="s">
        <v>329</v>
      </c>
      <c r="B231" s="1" t="str">
        <f>VLOOKUP(A231,Xtal_Templ!A:B,2,FALSE)</f>
        <v>ntr1_rat</v>
      </c>
      <c r="C231" s="5">
        <f>VLOOKUP($B231&amp;"__wt",'SegEnds_Xtal_BW#'!$A:$Z,3,FALSE)</f>
        <v>29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68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32</v>
      </c>
      <c r="T231" s="1">
        <f t="array" ref="T231">INDEX(ICL3_classA!$G$2:$G$41,MATCH(MIN(ABS(AJ231-ICL3_classA!$F$2:$F$41)),ABS(AJ231-ICL3_classA!$F$2:$F$41),0))</f>
        <v>74</v>
      </c>
      <c r="U231" s="1">
        <f t="array" ref="U231">INDEX(ICL3_classA!$H$2:$H$41,MATCH(MIN(ABS(AJ231-ICL3_classA!$F$2:$F$41)),ABS(AJ231-ICL3_classA!$F$2:$F$41),0))</f>
        <v>24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62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29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22</v>
      </c>
      <c r="AE231" s="1">
        <f>VLOOKUP(A231,'SegEnds_NonXtal_Prot#'!A:AL,16,FALSE)-VLOOKUP(A231,'SegEnds_NonXtal_Prot#'!A:AL,10,FALSE)</f>
        <v>54</v>
      </c>
      <c r="AF231" s="1">
        <f>VLOOKUP(A231,'SegEnds_NonXtal_Prot#'!A:AL,22,FALSE)-VLOOKUP(A231,'SegEnds_NonXtal_Prot#'!A:AL,19,FALSE)</f>
        <v>20</v>
      </c>
      <c r="AG231" s="1" t="e">
        <f>VLOOKUP(#REF!,'SegEnds_NonXtal_Prot#'!#REF!,28,FALSE)-VLOOKUP(#REF!,'SegEnds_NonXtal_Prot#'!#REF!,25,FALSE)</f>
        <v>#REF!</v>
      </c>
      <c r="AH231" s="1">
        <f>VLOOKUP(A231,'SegEnds_NonXtal_Prot#'!A:AL,28,FALSE)-VLOOKUP(A231,'SegEnds_NonXtal_Prot#'!A:AL,25,FALSE)</f>
        <v>24</v>
      </c>
      <c r="AI231" s="1">
        <f>VLOOKUP(A231,'SegEnds_NonXtal_Prot#'!A:AL,28,FALSE)-VLOOKUP(A231,'SegEnds_NonXtal_Prot#'!A:AL,22,FALSE)</f>
        <v>58</v>
      </c>
      <c r="AJ231" s="1">
        <f>VLOOKUP(A231,'SegEnds_NonXtal_Prot#'!A:AL,31,FALSE)-VLOOKUP(A231,'SegEnds_NonXtal_Prot#'!A:AL,28,FALSE)</f>
        <v>94</v>
      </c>
      <c r="AK231" s="1">
        <f>VLOOKUP(A231,'SegEnds_NonXtal_Prot#'!A:AL,34,FALSE)-VLOOKUP(A231,'SegEnds_NonXtal_Prot#'!A:AL,31,FALSE)</f>
        <v>43</v>
      </c>
      <c r="AL231" s="1">
        <f>VLOOKUP(A231,'SegEnds_NonXtal_Prot#'!A:AL,37,FALSE)-VLOOKUP(A231,'SegEnds_NonXtal_Prot#'!A:AL,34,FALSE)</f>
        <v>10</v>
      </c>
      <c r="AM231" s="1" t="str">
        <f>IF(ISERROR(MATCH(A231,'SegEnds_Xtal_Prot#'!B:B, 0)), "NoXtal", "Xtal")</f>
        <v>NoXtal</v>
      </c>
    </row>
    <row r="232" spans="1:39" x14ac:dyDescent="0.2">
      <c r="A232" s="1" t="s">
        <v>342</v>
      </c>
      <c r="B232" s="1" t="str">
        <f>VLOOKUP(A232,Xtal_Templ!A:B,2,FALSE)</f>
        <v>p2ry1_human</v>
      </c>
      <c r="C232" s="5">
        <f>VLOOKUP($B232&amp;"__wt",'SegEnds_Xtal_BW#'!$A:$Z,3,FALSE)</f>
        <v>30</v>
      </c>
      <c r="D232" s="1">
        <f>VLOOKUP($B232&amp;"__wt",'SegEnds_Xtal_BW#'!$A:$Z,4,FALSE)</f>
        <v>60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INDEX(ICL3_classA!$G$2:$G$41,MATCH(MIN(ABS(AJ232-ICL3_classA!$F$2:$F$41)),ABS(AJ232-ICL3_classA!$F$2:$F$41),0))</f>
        <v>67</v>
      </c>
      <c r="U232" s="1">
        <f t="array" ref="U232">INDEX(ICL3_classA!$H$2:$H$41,MATCH(MIN(ABS(AJ232-ICL3_classA!$F$2:$F$41)),ABS(AJ232-ICL3_classA!$F$2:$F$41),0))</f>
        <v>26</v>
      </c>
      <c r="V232" s="1">
        <v>61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 t="e">
        <f>VLOOKUP(#REF!,'SegEnds_NonXtal_Prot#'!#REF!,28,FALSE)-VLOOKUP(#REF!,'SegEnds_NonXtal_Prot#'!#REF!,25,FALSE)</f>
        <v>#REF!</v>
      </c>
      <c r="AH232" s="1">
        <f>VLOOKUP(A232,'SegEnds_NonXtal_Prot#'!A:AL,28,FALSE)-VLOOKUP(A232,'SegEnds_NonXtal_Prot#'!A:AL,25,FALSE)</f>
        <v>27</v>
      </c>
      <c r="AI232" s="1">
        <f>VLOOKUP(A232,'SegEnds_NonXtal_Prot#'!A:AL,28,FALSE)-VLOOKUP(A232,'SegEnds_NonXtal_Prot#'!A:AL,22,FALSE)</f>
        <v>52</v>
      </c>
      <c r="AJ232" s="1">
        <f>VLOOKUP(A232,'SegEnds_NonXtal_Prot#'!A:AL,31,FALSE)-VLOOKUP(A232,'SegEnds_NonXtal_Prot#'!A:AL,28,FALSE)</f>
        <v>46</v>
      </c>
      <c r="AK232" s="1">
        <f>VLOOKUP(A232,'SegEnds_NonXtal_Prot#'!A:AL,34,FALSE)-VLOOKUP(A232,'SegEnds_NonXtal_Prot#'!A:AL,31,FALSE)</f>
        <v>43</v>
      </c>
      <c r="AL232" s="1">
        <f>VLOOKUP(A232,'SegEnds_NonXtal_Prot#'!A:AL,37,FALSE)-VLOOKUP(A232,'SegEnds_NonXtal_Prot#'!A:AL,34,FALSE)</f>
        <v>10</v>
      </c>
      <c r="AM232" s="1" t="str">
        <f>IF(ISERROR(MATCH(A232,'SegEnds_Xtal_Prot#'!B:B, 0)), "NoXtal", "Xtal")</f>
        <v>NoXtal</v>
      </c>
    </row>
    <row r="233" spans="1:39" x14ac:dyDescent="0.2">
      <c r="A233" s="1" t="s">
        <v>345</v>
      </c>
      <c r="B233" s="1" t="str">
        <f>VLOOKUP(A233,Xtal_Templ!A:B,2,FALSE)</f>
        <v>p2ry1_human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32</v>
      </c>
      <c r="T233" s="1">
        <f t="array" ref="T233">INDEX(ICL3_classA!$G$2:$G$41,MATCH(MIN(ABS(AJ233-ICL3_classA!$F$2:$F$41)),ABS(AJ233-ICL3_classA!$F$2:$F$41),0))</f>
        <v>72</v>
      </c>
      <c r="U233" s="1">
        <f t="array" ref="U233">INDEX(ICL3_classA!$H$2:$H$41,MATCH(MIN(ABS(AJ233-ICL3_classA!$F$2:$F$41)),ABS(AJ233-ICL3_classA!$F$2:$F$41),0))</f>
        <v>29</v>
      </c>
      <c r="V233" s="1">
        <v>61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 t="e">
        <f>VLOOKUP(A233,'SegEnds_NonXtal_Prot#'!A:AL,10,FALSE)-VLOOKUP(A233,'SegEnds_NonXtal_Prot#'!A:AL,7,FALSE)</f>
        <v>#VALUE!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 t="e">
        <f>VLOOKUP(#REF!,'SegEnds_NonXtal_Prot#'!#REF!,28,FALSE)-VLOOKUP(#REF!,'SegEnds_NonXtal_Prot#'!#REF!,25,FALSE)</f>
        <v>#REF!</v>
      </c>
      <c r="AH233" s="1">
        <f>VLOOKUP(A233,'SegEnds_NonXtal_Prot#'!A:AL,28,FALSE)-VLOOKUP(A233,'SegEnds_NonXtal_Prot#'!A:AL,25,FALSE)</f>
        <v>27</v>
      </c>
      <c r="AI233" s="1">
        <f>VLOOKUP(A233,'SegEnds_NonXtal_Prot#'!A:AL,28,FALSE)-VLOOKUP(A233,'SegEnds_NonXtal_Prot#'!A:AL,22,FALSE)</f>
        <v>52</v>
      </c>
      <c r="AJ233" s="1">
        <f>VLOOKUP(A233,'SegEnds_NonXtal_Prot#'!A:AL,31,FALSE)-VLOOKUP(A233,'SegEnds_NonXtal_Prot#'!A:AL,28,FALSE)</f>
        <v>50</v>
      </c>
      <c r="AK233" s="1">
        <f>VLOOKUP(A233,'SegEnds_NonXtal_Prot#'!A:AL,34,FALSE)-VLOOKUP(A233,'SegEnds_NonXtal_Prot#'!A:AL,31,FALSE)</f>
        <v>43</v>
      </c>
      <c r="AL233" s="1">
        <f>VLOOKUP(A233,'SegEnds_NonXtal_Prot#'!A:AL,37,FALSE)-VLOOKUP(A233,'SegEnds_NonXtal_Prot#'!A:AL,34,FALSE)</f>
        <v>10</v>
      </c>
      <c r="AM233" s="1" t="str">
        <f>IF(ISERROR(MATCH(A233,'SegEnds_Xtal_Prot#'!B:B, 0)), "NoXtal", "Xtal")</f>
        <v>NoXtal</v>
      </c>
    </row>
    <row r="234" spans="1:39" x14ac:dyDescent="0.2">
      <c r="A234" s="1" t="s">
        <v>346</v>
      </c>
      <c r="B234" s="1" t="str">
        <f>VLOOKUP(A234,Xtal_Templ!A:B,2,FALSE)</f>
        <v>p2ry1_human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32</v>
      </c>
      <c r="T234" s="1">
        <f t="array" ref="T234">INDEX(ICL3_classA!$G$2:$G$41,MATCH(MIN(ABS(AJ234-ICL3_classA!$F$2:$F$41)),ABS(AJ234-ICL3_classA!$F$2:$F$41),0))</f>
        <v>68</v>
      </c>
      <c r="U234" s="1">
        <f t="array" ref="U234">INDEX(ICL3_classA!$H$2:$H$41,MATCH(MIN(ABS(AJ234-ICL3_classA!$F$2:$F$41)),ABS(AJ234-ICL3_classA!$F$2:$F$41),0))</f>
        <v>24</v>
      </c>
      <c r="V234" s="1">
        <v>61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 t="e">
        <f>VLOOKUP(A234,'SegEnds_NonXtal_Prot#'!A:AL,10,FALSE)-VLOOKUP(A234,'SegEnds_NonXtal_Prot#'!A:AL,7,FALSE)</f>
        <v>#VALUE!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 t="e">
        <f>VLOOKUP(#REF!,'SegEnds_NonXtal_Prot#'!#REF!,28,FALSE)-VLOOKUP(#REF!,'SegEnds_NonXtal_Prot#'!#REF!,25,FALSE)</f>
        <v>#REF!</v>
      </c>
      <c r="AH234" s="1">
        <f>VLOOKUP(A234,'SegEnds_NonXtal_Prot#'!A:AL,28,FALSE)-VLOOKUP(A234,'SegEnds_NonXtal_Prot#'!A:AL,25,FALSE)</f>
        <v>27</v>
      </c>
      <c r="AI234" s="1">
        <f>VLOOKUP(A234,'SegEnds_NonXtal_Prot#'!A:AL,28,FALSE)-VLOOKUP(A234,'SegEnds_NonXtal_Prot#'!A:AL,22,FALSE)</f>
        <v>52</v>
      </c>
      <c r="AJ234" s="1">
        <f>VLOOKUP(A234,'SegEnds_NonXtal_Prot#'!A:AL,31,FALSE)-VLOOKUP(A234,'SegEnds_NonXtal_Prot#'!A:AL,28,FALSE)</f>
        <v>48</v>
      </c>
      <c r="AK234" s="1">
        <f>VLOOKUP(A234,'SegEnds_NonXtal_Prot#'!A:AL,34,FALSE)-VLOOKUP(A234,'SegEnds_NonXtal_Prot#'!A:AL,31,FALSE)</f>
        <v>43</v>
      </c>
      <c r="AL234" s="1">
        <f>VLOOKUP(A234,'SegEnds_NonXtal_Prot#'!A:AL,37,FALSE)-VLOOKUP(A234,'SegEnds_NonXtal_Prot#'!A:AL,34,FALSE)</f>
        <v>10</v>
      </c>
      <c r="AM234" s="1" t="str">
        <f>IF(ISERROR(MATCH(A234,'SegEnds_Xtal_Prot#'!B:B, 0)), "NoXtal", "Xtal")</f>
        <v>NoXtal</v>
      </c>
    </row>
    <row r="235" spans="1:39" x14ac:dyDescent="0.2">
      <c r="A235" s="1" t="s">
        <v>370</v>
      </c>
      <c r="B235" s="1" t="str">
        <f>VLOOKUP(A235,Xtal_Templ!A:B,2,FALSE)</f>
        <v>ptafr_human</v>
      </c>
      <c r="C235" s="5">
        <f>VLOOKUP($B235&amp;"__wt",'SegEnds_Xtal_BW#'!$A:$Z,3,FALSE)</f>
        <v>27</v>
      </c>
      <c r="D235" s="1">
        <f>VLOOKUP($B235&amp;"__wt",'SegEnds_Xtal_BW#'!$A:$Z,4,FALSE)</f>
        <v>61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08">
        <v>36</v>
      </c>
      <c r="H235" s="12">
        <f>VLOOKUP($B235&amp;"__wt",'SegEnds_Xtal_BW#'!$A:$Z,8,FALSE)</f>
        <v>67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57</v>
      </c>
      <c r="O235" s="87">
        <v>38</v>
      </c>
      <c r="P235" s="1">
        <f>VLOOKUP($B235&amp;"__wt",'SegEnds_Xtal_BW#'!$A:$Z,16,FALSE)</f>
        <v>63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33</v>
      </c>
      <c r="T235" s="1">
        <f t="array" ref="T235">INDEX(ICL3_classA!$G$2:$G$41,MATCH(MIN(ABS(AJ235-ICL3_classA!$F$2:$F$41)),ABS(AJ235-ICL3_classA!$F$2:$F$41),0))</f>
        <v>68</v>
      </c>
      <c r="U235" s="1">
        <f t="array" ref="U235">INDEX(ICL3_classA!$H$2:$H$41,MATCH(MIN(ABS(AJ235-ICL3_classA!$F$2:$F$41)),ABS(AJ235-ICL3_classA!$F$2:$F$41),0))</f>
        <v>24</v>
      </c>
      <c r="V235" s="108">
        <v>64</v>
      </c>
      <c r="W235" s="1">
        <v>24</v>
      </c>
      <c r="X235" s="1">
        <f>VLOOKUP($B235&amp;"__wt",'SegEnds_Xtal_BW#'!$A:$Z,24,FALSE)</f>
        <v>59</v>
      </c>
      <c r="Y235" s="1">
        <f>VLOOKUP($B235&amp;"__wt",'SegEnds_Xtal_BW#'!$A:$Z,25,FALSE)</f>
        <v>50</v>
      </c>
      <c r="Z235" s="1">
        <f>VLOOKUP($B235&amp;"__wt",'SegEnds_Xtal_BW#'!$A:$Z,26,FALSE)</f>
        <v>63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30</v>
      </c>
      <c r="AC235" s="1" t="e">
        <f>VLOOKUP(A235,'SegEnds_NonXtal_Prot#'!A:AL,10,FALSE)-VLOOKUP(A235,'SegEnds_NonXtal_Prot#'!A:AL,7,FALSE)</f>
        <v>#VALUE!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 t="e">
        <f>VLOOKUP(#REF!,'SegEnds_NonXtal_Prot#'!#REF!,28,FALSE)-VLOOKUP(#REF!,'SegEnds_NonXtal_Prot#'!#REF!,25,FALSE)</f>
        <v>#REF!</v>
      </c>
      <c r="AH235" s="1">
        <f>VLOOKUP(A235,'SegEnds_NonXtal_Prot#'!A:AL,28,FALSE)-VLOOKUP(A235,'SegEnds_NonXtal_Prot#'!A:AL,25,FALSE)</f>
        <v>25</v>
      </c>
      <c r="AI235" s="1">
        <f>VLOOKUP(A235,'SegEnds_NonXtal_Prot#'!A:AL,28,FALSE)-VLOOKUP(A235,'SegEnds_NonXtal_Prot#'!A:AL,22,FALSE)</f>
        <v>56</v>
      </c>
      <c r="AJ235" s="1">
        <f>VLOOKUP(A235,'SegEnds_NonXtal_Prot#'!A:AL,31,FALSE)-VLOOKUP(A235,'SegEnds_NonXtal_Prot#'!A:AL,28,FALSE)</f>
        <v>49</v>
      </c>
      <c r="AK235" s="1">
        <f>VLOOKUP(A235,'SegEnds_NonXtal_Prot#'!A:AL,34,FALSE)-VLOOKUP(A235,'SegEnds_NonXtal_Prot#'!A:AL,31,FALSE)</f>
        <v>43</v>
      </c>
      <c r="AL235" s="1">
        <f>VLOOKUP(A235,'SegEnds_NonXtal_Prot#'!A:AL,37,FALSE)-VLOOKUP(A235,'SegEnds_NonXtal_Prot#'!A:AL,34,FALSE)</f>
        <v>10</v>
      </c>
      <c r="AM235" s="1" t="str">
        <f>IF(ISERROR(MATCH(A235,'SegEnds_Xtal_Prot#'!B:B, 0)), "NoXtal", "Xtal")</f>
        <v>Xtal</v>
      </c>
    </row>
    <row r="236" spans="1:39" x14ac:dyDescent="0.2">
      <c r="A236" s="1" t="s">
        <v>1445</v>
      </c>
      <c r="B236" s="1" t="s">
        <v>1445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f>VLOOKUP($B236&amp;"__wt",'SegEnds_Xtal_BW#'!$A:$Z,11,FALSE)</f>
        <v>21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57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31</v>
      </c>
      <c r="T236" s="1">
        <f t="array" ref="T236">INDEX(ICL3_classA!$G$2:$G$41,MATCH(MIN(ABS(AJ236-ICL3_classA!$F$2:$F$41)),ABS(AJ236-ICL3_classA!$F$2:$F$41),0))</f>
        <v>68</v>
      </c>
      <c r="U236" s="1">
        <f t="array" ref="U236">INDEX(ICL3_classA!$H$2:$H$41,MATCH(MIN(ABS(AJ236-ICL3_classA!$F$2:$F$41)),ABS(AJ236-ICL3_classA!$F$2:$F$41),0))</f>
        <v>30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19</v>
      </c>
      <c r="AE236" s="1">
        <f>VLOOKUP(A236,'SegEnds_NonXtal_Prot#'!A:AL,16,FALSE)-VLOOKUP(A236,'SegEnds_NonXtal_Prot#'!A:AL,10,FALSE)</f>
        <v>51</v>
      </c>
      <c r="AF236" s="1">
        <f>VLOOKUP(A236,'SegEnds_NonXtal_Prot#'!A:AL,22,FALSE)-VLOOKUP(A236,'SegEnds_NonXtal_Prot#'!A:AL,19,FALSE)</f>
        <v>20</v>
      </c>
      <c r="AG236" s="1" t="e">
        <f>VLOOKUP(#REF!,'SegEnds_NonXtal_Prot#'!#REF!,28,FALSE)-VLOOKUP(#REF!,'SegEnds_NonXtal_Prot#'!#REF!,25,FALSE)</f>
        <v>#REF!</v>
      </c>
      <c r="AH236" s="1">
        <f>VLOOKUP(A236,'SegEnds_NonXtal_Prot#'!A:AL,28,FALSE)-VLOOKUP(A236,'SegEnds_NonXtal_Prot#'!A:AL,25,FALSE)</f>
        <v>25</v>
      </c>
      <c r="AI236" s="1">
        <f>VLOOKUP(A236,'SegEnds_NonXtal_Prot#'!A:AL,28,FALSE)-VLOOKUP(A236,'SegEnds_NonXtal_Prot#'!A:AL,22,FALSE)</f>
        <v>51</v>
      </c>
      <c r="AJ236" s="1">
        <f>VLOOKUP(A236,'SegEnds_NonXtal_Prot#'!A:AL,31,FALSE)-VLOOKUP(A236,'SegEnds_NonXtal_Prot#'!A:AL,28,FALSE)</f>
        <v>43</v>
      </c>
      <c r="AK236" s="1">
        <f>VLOOKUP(A236,'SegEnds_NonXtal_Prot#'!A:AL,34,FALSE)-VLOOKUP(A236,'SegEnds_NonXtal_Prot#'!A:AL,31,FALSE)</f>
        <v>43</v>
      </c>
      <c r="AL236" s="1">
        <f>VLOOKUP(A236,'SegEnds_NonXtal_Prot#'!A:AL,37,FALSE)-VLOOKUP(A236,'SegEnds_NonXtal_Prot#'!A:AL,34,FALSE)</f>
        <v>10</v>
      </c>
      <c r="AM236" s="1" t="str">
        <f>IF(ISERROR(MATCH(A236,'SegEnds_Xtal_Prot#'!B:B, 0)), "NoXtal", "Xtal")</f>
        <v>Xtal</v>
      </c>
    </row>
    <row r="237" spans="1:39" x14ac:dyDescent="0.2">
      <c r="A237" s="1" t="s">
        <v>143</v>
      </c>
      <c r="B237" s="1" t="str">
        <f>VLOOKUP(A237,Xtal_Templ!A:B,2,FALSE)</f>
        <v>ccr2_human</v>
      </c>
      <c r="C237" s="5">
        <f>VLOOKUP($B237&amp;"__wt",'SegEnds_Xtal_BW#'!$A:$Z,3,FALSE)</f>
        <v>27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08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f>VLOOKUP($B237&amp;"__wt",'SegEnds_Xtal_BW#'!$A:$Z,14,FALSE)</f>
        <v>57</v>
      </c>
      <c r="O237" s="87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31</v>
      </c>
      <c r="T237" s="1">
        <f t="array" ref="T237">INDEX(ICL3_classA!$G$2:$G$41,MATCH(MIN(ABS(AJ237-ICL3_classA!$F$2:$F$41)),ABS(AJ237-ICL3_classA!$F$2:$F$41),0))</f>
        <v>68</v>
      </c>
      <c r="U237" s="108">
        <v>28</v>
      </c>
      <c r="V237" s="1">
        <v>64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18</v>
      </c>
      <c r="AE237" s="1">
        <f>VLOOKUP(A237,'SegEnds_NonXtal_Prot#'!A:AL,16,FALSE)-VLOOKUP(A237,'SegEnds_NonXtal_Prot#'!A:AL,10,FALSE)</f>
        <v>50</v>
      </c>
      <c r="AF237" s="1">
        <f>VLOOKUP(A237,'SegEnds_NonXtal_Prot#'!A:AL,22,FALSE)-VLOOKUP(A237,'SegEnds_NonXtal_Prot#'!A:AL,19,FALSE)</f>
        <v>20</v>
      </c>
      <c r="AG237" s="1" t="e">
        <f>VLOOKUP(#REF!,'SegEnds_NonXtal_Prot#'!#REF!,28,FALSE)-VLOOKUP(#REF!,'SegEnds_NonXtal_Prot#'!#REF!,25,FALSE)</f>
        <v>#REF!</v>
      </c>
      <c r="AH237" s="1">
        <f>VLOOKUP(A237,'SegEnds_NonXtal_Prot#'!A:AL,28,FALSE)-VLOOKUP(A237,'SegEnds_NonXtal_Prot#'!A:AL,25,FALSE)</f>
        <v>27</v>
      </c>
      <c r="AI237" s="1">
        <f>VLOOKUP(A237,'SegEnds_NonXtal_Prot#'!A:AL,28,FALSE)-VLOOKUP(A237,'SegEnds_NonXtal_Prot#'!A:AL,22,FALSE)</f>
        <v>53</v>
      </c>
      <c r="AJ237" s="1">
        <f>VLOOKUP(A237,'SegEnds_NonXtal_Prot#'!A:AL,31,FALSE)-VLOOKUP(A237,'SegEnds_NonXtal_Prot#'!A:AL,28,FALSE)</f>
        <v>43</v>
      </c>
      <c r="AK237" s="1">
        <f>VLOOKUP(A237,'SegEnds_NonXtal_Prot#'!A:AL,34,FALSE)-VLOOKUP(A237,'SegEnds_NonXtal_Prot#'!A:AL,31,FALSE)</f>
        <v>44</v>
      </c>
      <c r="AL237" s="1">
        <f>VLOOKUP(A237,'SegEnds_NonXtal_Prot#'!A:AL,37,FALSE)-VLOOKUP(A237,'SegEnds_NonXtal_Prot#'!A:AL,34,FALSE)</f>
        <v>10</v>
      </c>
      <c r="AM237" s="1" t="str">
        <f>IF(ISERROR(MATCH(A237,'SegEnds_Xtal_Prot#'!B:B, 0)), "NoXtal", "Xtal")</f>
        <v>NoXtal</v>
      </c>
    </row>
    <row r="238" spans="1:39" x14ac:dyDescent="0.2">
      <c r="A238" s="1" t="s">
        <v>158</v>
      </c>
      <c r="B238" s="1" t="str">
        <f>VLOOKUP(A238,Xtal_Templ!A:B,2,FALSE)</f>
        <v>agtr1_human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67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7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34</v>
      </c>
      <c r="T238" s="1">
        <f t="array" ref="T238">INDEX(ICL3_classA!$G$2:$G$41,MATCH(MIN(ABS(AJ238-ICL3_classA!$F$2:$F$41)),ABS(AJ238-ICL3_classA!$F$2:$F$41),0))</f>
        <v>68</v>
      </c>
      <c r="U238" s="1">
        <f t="array" ref="U238">INDEX(ICL3_classA!$H$2:$H$41,MATCH(MIN(ABS(AJ238-ICL3_classA!$F$2:$F$41)),ABS(AJ238-ICL3_classA!$F$2:$F$41),0))</f>
        <v>24</v>
      </c>
      <c r="V238" s="1">
        <v>64</v>
      </c>
      <c r="W238" s="1">
        <v>24</v>
      </c>
      <c r="X238" s="123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61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 t="e">
        <f>VLOOKUP(#REF!,'SegEnds_NonXtal_Prot#'!#REF!,28,FALSE)-VLOOKUP(#REF!,'SegEnds_NonXtal_Prot#'!#REF!,25,FALSE)</f>
        <v>#REF!</v>
      </c>
      <c r="AH238" s="1">
        <f>VLOOKUP(A238,'SegEnds_NonXtal_Prot#'!A:AL,28,FALSE)-VLOOKUP(A238,'SegEnds_NonXtal_Prot#'!A:AL,25,FALSE)</f>
        <v>27</v>
      </c>
      <c r="AI238" s="1">
        <f>VLOOKUP(A238,'SegEnds_NonXtal_Prot#'!A:AL,28,FALSE)-VLOOKUP(A238,'SegEnds_NonXtal_Prot#'!A:AL,22,FALSE)</f>
        <v>54</v>
      </c>
      <c r="AJ238" s="1">
        <f>VLOOKUP(A238,'SegEnds_NonXtal_Prot#'!A:AL,31,FALSE)-VLOOKUP(A238,'SegEnds_NonXtal_Prot#'!A:AL,28,FALSE)</f>
        <v>48</v>
      </c>
      <c r="AK238" s="1">
        <f>VLOOKUP(A238,'SegEnds_NonXtal_Prot#'!A:AL,34,FALSE)-VLOOKUP(A238,'SegEnds_NonXtal_Prot#'!A:AL,31,FALSE)</f>
        <v>44</v>
      </c>
      <c r="AL238" s="1">
        <f>VLOOKUP(A238,'SegEnds_NonXtal_Prot#'!A:AL,37,FALSE)-VLOOKUP(A238,'SegEnds_NonXtal_Prot#'!A:AL,34,FALSE)</f>
        <v>10</v>
      </c>
      <c r="AM238" s="1" t="str">
        <f>IF(ISERROR(MATCH(A238,'SegEnds_Xtal_Prot#'!B:B, 0)), "NoXtal", "Xtal")</f>
        <v>Xtal</v>
      </c>
    </row>
    <row r="239" spans="1:39" x14ac:dyDescent="0.2">
      <c r="A239" s="1" t="s">
        <v>159</v>
      </c>
      <c r="B239" s="1" t="str">
        <f>VLOOKUP(A239,Xtal_Templ!A:B,2,FALSE)</f>
        <v>agtr2_human</v>
      </c>
      <c r="C239" s="5">
        <f>VLOOKUP($B239&amp;"__wt",'SegEnds_Xtal_BW#'!$A:$Z,3,FALSE)</f>
        <v>33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08">
        <v>38</v>
      </c>
      <c r="H239" s="12">
        <f>VLOOKUP($B239&amp;"__wt",'SegEnds_Xtal_BW#'!$A:$Z,8,FALSE)</f>
        <v>66</v>
      </c>
      <c r="I239" s="1">
        <f>VLOOKUP($B239&amp;"__wt",'SegEnds_Xtal_BW#'!$A:$Z,9,FALSE)</f>
        <v>47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56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30</v>
      </c>
      <c r="T239" s="1">
        <f t="array" ref="T239">INDEX(ICL3_classA!$G$2:$G$41,MATCH(MIN(ABS(AJ239-ICL3_classA!$F$2:$F$41)),ABS(AJ239-ICL3_classA!$F$2:$F$41),0))</f>
        <v>68</v>
      </c>
      <c r="U239" s="1">
        <f t="array" ref="U239">INDEX(ICL3_classA!$H$2:$H$41,MATCH(MIN(ABS(AJ239-ICL3_classA!$F$2:$F$41)),ABS(AJ239-ICL3_classA!$F$2:$F$41),0))</f>
        <v>24</v>
      </c>
      <c r="V239" s="1">
        <v>64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61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 t="e">
        <f>VLOOKUP(A239,'SegEnds_NonXtal_Prot#'!A:AL,10,FALSE)-VLOOKUP(A239,'SegEnds_NonXtal_Prot#'!A:AL,7,FALSE)</f>
        <v>#VALUE!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19</v>
      </c>
      <c r="AG239" s="1" t="e">
        <f>VLOOKUP(#REF!,'SegEnds_NonXtal_Prot#'!#REF!,28,FALSE)-VLOOKUP(#REF!,'SegEnds_NonXtal_Prot#'!#REF!,25,FALSE)</f>
        <v>#REF!</v>
      </c>
      <c r="AH239" s="1">
        <f>VLOOKUP(A239,'SegEnds_NonXtal_Prot#'!A:AL,28,FALSE)-VLOOKUP(A239,'SegEnds_NonXtal_Prot#'!A:AL,25,FALSE)</f>
        <v>28</v>
      </c>
      <c r="AI239" s="1">
        <f>VLOOKUP(A239,'SegEnds_NonXtal_Prot#'!A:AL,28,FALSE)-VLOOKUP(A239,'SegEnds_NonXtal_Prot#'!A:AL,22,FALSE)</f>
        <v>55</v>
      </c>
      <c r="AJ239" s="1">
        <f>VLOOKUP(A239,'SegEnds_NonXtal_Prot#'!A:AL,31,FALSE)-VLOOKUP(A239,'SegEnds_NonXtal_Prot#'!A:AL,28,FALSE)</f>
        <v>48</v>
      </c>
      <c r="AK239" s="1">
        <f>VLOOKUP(A239,'SegEnds_NonXtal_Prot#'!A:AL,34,FALSE)-VLOOKUP(A239,'SegEnds_NonXtal_Prot#'!A:AL,31,FALSE)</f>
        <v>44</v>
      </c>
      <c r="AL239" s="1">
        <f>VLOOKUP(A239,'SegEnds_NonXtal_Prot#'!A:AL,37,FALSE)-VLOOKUP(A239,'SegEnds_NonXtal_Prot#'!A:AL,34,FALSE)</f>
        <v>10</v>
      </c>
      <c r="AM239" s="1" t="str">
        <f>IF(ISERROR(MATCH(A239,'SegEnds_Xtal_Prot#'!B:B, 0)), "NoXtal", "Xtal")</f>
        <v>Xtal</v>
      </c>
    </row>
    <row r="240" spans="1:39" x14ac:dyDescent="0.2">
      <c r="A240" s="1" t="s">
        <v>161</v>
      </c>
      <c r="B240" s="1" t="str">
        <f>VLOOKUP(A240,Xtal_Templ!A:B,2,FALSE)</f>
        <v>agtr1_human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67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7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34</v>
      </c>
      <c r="T240" s="1">
        <f t="array" ref="T240">INDEX(ICL3_classA!$G$2:$G$41,MATCH(MIN(ABS(AJ240-ICL3_classA!$F$2:$F$41)),ABS(AJ240-ICL3_classA!$F$2:$F$41),0))</f>
        <v>68</v>
      </c>
      <c r="U240" s="1">
        <f t="array" ref="U240">INDEX(ICL3_classA!$H$2:$H$41,MATCH(MIN(ABS(AJ240-ICL3_classA!$F$2:$F$41)),ABS(AJ240-ICL3_classA!$F$2:$F$41),0))</f>
        <v>23</v>
      </c>
      <c r="V240" s="1">
        <v>64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61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 t="e">
        <f>VLOOKUP(#REF!,'SegEnds_NonXtal_Prot#'!#REF!,28,FALSE)-VLOOKUP(#REF!,'SegEnds_NonXtal_Prot#'!#REF!,25,FALSE)</f>
        <v>#REF!</v>
      </c>
      <c r="AH240" s="1">
        <f>VLOOKUP(A240,'SegEnds_NonXtal_Prot#'!A:AL,28,FALSE)-VLOOKUP(A240,'SegEnds_NonXtal_Prot#'!A:AL,25,FALSE)</f>
        <v>25</v>
      </c>
      <c r="AI240" s="1">
        <f>VLOOKUP(A240,'SegEnds_NonXtal_Prot#'!A:AL,28,FALSE)-VLOOKUP(A240,'SegEnds_NonXtal_Prot#'!A:AL,22,FALSE)</f>
        <v>52</v>
      </c>
      <c r="AJ240" s="1">
        <f>VLOOKUP(A240,'SegEnds_NonXtal_Prot#'!A:AL,31,FALSE)-VLOOKUP(A240,'SegEnds_NonXtal_Prot#'!A:AL,28,FALSE)</f>
        <v>51</v>
      </c>
      <c r="AK240" s="1">
        <f>VLOOKUP(A240,'SegEnds_NonXtal_Prot#'!A:AL,34,FALSE)-VLOOKUP(A240,'SegEnds_NonXtal_Prot#'!A:AL,31,FALSE)</f>
        <v>44</v>
      </c>
      <c r="AL240" s="1">
        <f>VLOOKUP(A240,'SegEnds_NonXtal_Prot#'!A:AL,37,FALSE)-VLOOKUP(A240,'SegEnds_NonXtal_Prot#'!A:AL,34,FALSE)</f>
        <v>10</v>
      </c>
      <c r="AM240" s="1" t="str">
        <f>IF(ISERROR(MATCH(A240,'SegEnds_Xtal_Prot#'!B:B, 0)), "NoXtal", "Xtal")</f>
        <v>NoXtal</v>
      </c>
    </row>
    <row r="241" spans="1:39" x14ac:dyDescent="0.2">
      <c r="A241" s="1" t="s">
        <v>162</v>
      </c>
      <c r="B241" s="1" t="str">
        <f>VLOOKUP(A241,Xtal_Templ!A:B,2,FALSE)</f>
        <v>agtr2_human</v>
      </c>
      <c r="C241" s="5">
        <f>VLOOKUP($B241&amp;"__wt",'SegEnds_Xtal_BW#'!$A:$Z,3,FALSE)</f>
        <v>33</v>
      </c>
      <c r="D241" s="1">
        <f>VLOOKUP($B241&amp;"__wt",'SegEnds_Xtal_BW#'!$A:$Z,4,FALSE)</f>
        <v>60</v>
      </c>
      <c r="E241" s="1" t="str">
        <f>VLOOKUP($B241&amp;"__wt",'SegEnds_Xtal_BW#'!$A:$Z,5,FALSE)</f>
        <v>-</v>
      </c>
      <c r="F241" s="1" t="str">
        <f>VLOOKUP($B241&amp;"__wt",'SegEnds_Xtal_BW#'!$A:$Z,6,FALSE)</f>
        <v>-</v>
      </c>
      <c r="G241" s="1">
        <v>37</v>
      </c>
      <c r="H241" s="12">
        <f>VLOOKUP($B241&amp;"__wt",'SegEnds_Xtal_BW#'!$A:$Z,8,FALSE)</f>
        <v>66</v>
      </c>
      <c r="I241" s="1">
        <f>VLOOKUP($B241&amp;"__wt",'SegEnds_Xtal_BW#'!$A:$Z,9,FALSE)</f>
        <v>47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08">
        <v>57</v>
      </c>
      <c r="O241" s="87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INDEX(ICL3_classA!$G$2:$G$41,MATCH(MIN(ABS(AJ241-ICL3_classA!$F$2:$F$41)),ABS(AJ241-ICL3_classA!$F$2:$F$41),0))</f>
        <v>68</v>
      </c>
      <c r="U241" s="1">
        <f t="array" ref="U241">INDEX(ICL3_classA!$H$2:$H$41,MATCH(MIN(ABS(AJ241-ICL3_classA!$F$2:$F$41)),ABS(AJ241-ICL3_classA!$F$2:$F$41),0))</f>
        <v>24</v>
      </c>
      <c r="V241" s="1">
        <v>64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61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 t="e">
        <f>VLOOKUP(#REF!,'SegEnds_NonXtal_Prot#'!#REF!,28,FALSE)-VLOOKUP(#REF!,'SegEnds_NonXtal_Prot#'!#REF!,25,FALSE)</f>
        <v>#REF!</v>
      </c>
      <c r="AH241" s="1">
        <f>VLOOKUP(A241,'SegEnds_NonXtal_Prot#'!A:AL,28,FALSE)-VLOOKUP(A241,'SegEnds_NonXtal_Prot#'!A:AL,25,FALSE)</f>
        <v>25</v>
      </c>
      <c r="AI241" s="1">
        <f>VLOOKUP(A241,'SegEnds_NonXtal_Prot#'!A:AL,28,FALSE)-VLOOKUP(A241,'SegEnds_NonXtal_Prot#'!A:AL,22,FALSE)</f>
        <v>54</v>
      </c>
      <c r="AJ241" s="1">
        <f>VLOOKUP(A241,'SegEnds_NonXtal_Prot#'!A:AL,31,FALSE)-VLOOKUP(A241,'SegEnds_NonXtal_Prot#'!A:AL,28,FALSE)</f>
        <v>49</v>
      </c>
      <c r="AK241" s="1">
        <f>VLOOKUP(A241,'SegEnds_NonXtal_Prot#'!A:AL,34,FALSE)-VLOOKUP(A241,'SegEnds_NonXtal_Prot#'!A:AL,31,FALSE)</f>
        <v>44</v>
      </c>
      <c r="AL241" s="1">
        <f>VLOOKUP(A241,'SegEnds_NonXtal_Prot#'!A:AL,37,FALSE)-VLOOKUP(A241,'SegEnds_NonXtal_Prot#'!A:AL,34,FALSE)</f>
        <v>10</v>
      </c>
      <c r="AM241" s="1" t="str">
        <f>IF(ISERROR(MATCH(A241,'SegEnds_Xtal_Prot#'!B:B, 0)), "NoXtal", "Xtal")</f>
        <v>NoXtal</v>
      </c>
    </row>
    <row r="242" spans="1:39" x14ac:dyDescent="0.2">
      <c r="A242" s="1" t="s">
        <v>168</v>
      </c>
      <c r="B242" s="1" t="str">
        <f>VLOOKUP(A242,Xtal_Templ!A:B,2,FALSE)</f>
        <v>ccr5_human</v>
      </c>
      <c r="C242" s="5">
        <f>VLOOKUP($B242&amp;"__wt",'SegEnds_Xtal_BW#'!$A:$Z,3,FALSE)</f>
        <v>24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08">
        <v>67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21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f>VLOOKUP($B242&amp;"__wt",'SegEnds_Xtal_BW#'!$A:$Z,14,FALSE)</f>
        <v>57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INDEX(ICL3_classA!$G$2:$G$41,MATCH(MIN(ABS(AJ242-ICL3_classA!$F$2:$F$41)),ABS(AJ242-ICL3_classA!$F$2:$F$41),0))</f>
        <v>68</v>
      </c>
      <c r="U242" s="108">
        <v>28</v>
      </c>
      <c r="V242" s="1">
        <v>65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19</v>
      </c>
      <c r="AE242" s="1">
        <f>VLOOKUP(A242,'SegEnds_NonXtal_Prot#'!A:AL,16,FALSE)-VLOOKUP(A242,'SegEnds_NonXtal_Prot#'!A:AL,10,FALSE)</f>
        <v>51</v>
      </c>
      <c r="AF242" s="1">
        <f>VLOOKUP(A242,'SegEnds_NonXtal_Prot#'!A:AL,22,FALSE)-VLOOKUP(A242,'SegEnds_NonXtal_Prot#'!A:AL,19,FALSE)</f>
        <v>20</v>
      </c>
      <c r="AG242" s="1" t="e">
        <f>VLOOKUP(#REF!,'SegEnds_NonXtal_Prot#'!#REF!,28,FALSE)-VLOOKUP(#REF!,'SegEnds_NonXtal_Prot#'!#REF!,25,FALSE)</f>
        <v>#REF!</v>
      </c>
      <c r="AH242" s="1">
        <f>VLOOKUP(A242,'SegEnds_NonXtal_Prot#'!A:AL,28,FALSE)-VLOOKUP(A242,'SegEnds_NonXtal_Prot#'!A:AL,25,FALSE)</f>
        <v>28</v>
      </c>
      <c r="AI242" s="1">
        <f>VLOOKUP(A242,'SegEnds_NonXtal_Prot#'!A:AL,28,FALSE)-VLOOKUP(A242,'SegEnds_NonXtal_Prot#'!A:AL,22,FALSE)</f>
        <v>53</v>
      </c>
      <c r="AJ242" s="1">
        <f>VLOOKUP(A242,'SegEnds_NonXtal_Prot#'!A:AL,31,FALSE)-VLOOKUP(A242,'SegEnds_NonXtal_Prot#'!A:AL,28,FALSE)</f>
        <v>43</v>
      </c>
      <c r="AK242" s="1">
        <f>VLOOKUP(A242,'SegEnds_NonXtal_Prot#'!A:AL,34,FALSE)-VLOOKUP(A242,'SegEnds_NonXtal_Prot#'!A:AL,31,FALSE)</f>
        <v>44</v>
      </c>
      <c r="AL242" s="1">
        <f>VLOOKUP(A242,'SegEnds_NonXtal_Prot#'!A:AL,37,FALSE)-VLOOKUP(A242,'SegEnds_NonXtal_Prot#'!A:AL,34,FALSE)</f>
        <v>10</v>
      </c>
      <c r="AM242" s="1" t="str">
        <f>IF(ISERROR(MATCH(A242,'SegEnds_Xtal_Prot#'!B:B, 0)), "NoXtal", "Xtal")</f>
        <v>NoXtal</v>
      </c>
    </row>
    <row r="243" spans="1:39" x14ac:dyDescent="0.2">
      <c r="A243" s="1" t="s">
        <v>170</v>
      </c>
      <c r="B243" s="1" t="str">
        <f>VLOOKUP(A243,Xtal_Templ!A:B,2,FALSE)</f>
        <v>ccr2_human</v>
      </c>
      <c r="C243" s="5">
        <f>VLOOKUP($B243&amp;"__wt",'SegEnds_Xtal_BW#'!$A:$Z,3,FALSE)</f>
        <v>27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24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f>VLOOKUP($B243&amp;"__wt",'SegEnds_Xtal_BW#'!$A:$Z,14,FALSE)</f>
        <v>57</v>
      </c>
      <c r="O243" s="87">
        <f>VLOOKUP($B243&amp;"__wt",'SegEnds_Xtal_BW#'!$A:$Z,15,FALSE)</f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31</v>
      </c>
      <c r="T243" s="1">
        <f t="array" ref="T243">INDEX(ICL3_classA!$G$2:$G$41,MATCH(MIN(ABS(AJ243-ICL3_classA!$F$2:$F$41)),ABS(AJ243-ICL3_classA!$F$2:$F$41),0))</f>
        <v>68</v>
      </c>
      <c r="U243" s="1">
        <f t="array" ref="U243">INDEX(ICL3_classA!$H$2:$H$41,MATCH(MIN(ABS(AJ243-ICL3_classA!$F$2:$F$41)),ABS(AJ243-ICL3_classA!$F$2:$F$41),0))</f>
        <v>28</v>
      </c>
      <c r="V243" s="1">
        <v>65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18</v>
      </c>
      <c r="AE243" s="1">
        <f>VLOOKUP(A243,'SegEnds_NonXtal_Prot#'!A:AL,16,FALSE)-VLOOKUP(A243,'SegEnds_NonXtal_Prot#'!A:AL,10,FALSE)</f>
        <v>50</v>
      </c>
      <c r="AF243" s="1">
        <f>VLOOKUP(A243,'SegEnds_NonXtal_Prot#'!A:AL,22,FALSE)-VLOOKUP(A243,'SegEnds_NonXtal_Prot#'!A:AL,19,FALSE)</f>
        <v>20</v>
      </c>
      <c r="AG243" s="1" t="e">
        <f>VLOOKUP(#REF!,'SegEnds_NonXtal_Prot#'!#REF!,28,FALSE)-VLOOKUP(#REF!,'SegEnds_NonXtal_Prot#'!#REF!,25,FALSE)</f>
        <v>#REF!</v>
      </c>
      <c r="AH243" s="1">
        <f>VLOOKUP(A243,'SegEnds_NonXtal_Prot#'!A:AL,28,FALSE)-VLOOKUP(A243,'SegEnds_NonXtal_Prot#'!A:AL,25,FALSE)</f>
        <v>24</v>
      </c>
      <c r="AI243" s="1">
        <f>VLOOKUP(A243,'SegEnds_NonXtal_Prot#'!A:AL,28,FALSE)-VLOOKUP(A243,'SegEnds_NonXtal_Prot#'!A:AL,22,FALSE)</f>
        <v>49</v>
      </c>
      <c r="AJ243" s="1">
        <f>VLOOKUP(A243,'SegEnds_NonXtal_Prot#'!A:AL,31,FALSE)-VLOOKUP(A243,'SegEnds_NonXtal_Prot#'!A:AL,28,FALSE)</f>
        <v>44</v>
      </c>
      <c r="AK243" s="1">
        <f>VLOOKUP(A243,'SegEnds_NonXtal_Prot#'!A:AL,34,FALSE)-VLOOKUP(A243,'SegEnds_NonXtal_Prot#'!A:AL,31,FALSE)</f>
        <v>44</v>
      </c>
      <c r="AL243" s="1">
        <f>VLOOKUP(A243,'SegEnds_NonXtal_Prot#'!A:AL,37,FALSE)-VLOOKUP(A243,'SegEnds_NonXtal_Prot#'!A:AL,34,FALSE)</f>
        <v>10</v>
      </c>
      <c r="AM243" s="1" t="str">
        <f>IF(ISERROR(MATCH(A243,'SegEnds_Xtal_Prot#'!B:B, 0)), "NoXtal", "Xtal")</f>
        <v>Xtal</v>
      </c>
    </row>
    <row r="244" spans="1:39" x14ac:dyDescent="0.2">
      <c r="A244" s="1" t="s">
        <v>171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08"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21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INDEX(ICL3_classA!$G$2:$G$41,MATCH(MIN(ABS(AJ244-ICL3_classA!$F$2:$F$41)),ABS(AJ244-ICL3_classA!$F$2:$F$41),0))</f>
        <v>68</v>
      </c>
      <c r="U244" s="108">
        <v>28</v>
      </c>
      <c r="V244" s="1">
        <v>65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19</v>
      </c>
      <c r="AE244" s="1">
        <f>VLOOKUP(A244,'SegEnds_NonXtal_Prot#'!A:AL,16,FALSE)-VLOOKUP(A244,'SegEnds_NonXtal_Prot#'!A:AL,10,FALSE)</f>
        <v>51</v>
      </c>
      <c r="AF244" s="1">
        <f>VLOOKUP(A244,'SegEnds_NonXtal_Prot#'!A:AL,22,FALSE)-VLOOKUP(A244,'SegEnds_NonXtal_Prot#'!A:AL,19,FALSE)</f>
        <v>20</v>
      </c>
      <c r="AG244" s="1" t="e">
        <f>VLOOKUP(#REF!,'SegEnds_NonXtal_Prot#'!#REF!,28,FALSE)-VLOOKUP(#REF!,'SegEnds_NonXtal_Prot#'!#REF!,25,FALSE)</f>
        <v>#REF!</v>
      </c>
      <c r="AH244" s="1">
        <f>VLOOKUP(A244,'SegEnds_NonXtal_Prot#'!A:AL,28,FALSE)-VLOOKUP(A244,'SegEnds_NonXtal_Prot#'!A:AL,25,FALSE)</f>
        <v>28</v>
      </c>
      <c r="AI244" s="1">
        <f>VLOOKUP(A244,'SegEnds_NonXtal_Prot#'!A:AL,28,FALSE)-VLOOKUP(A244,'SegEnds_NonXtal_Prot#'!A:AL,22,FALSE)</f>
        <v>53</v>
      </c>
      <c r="AJ244" s="1">
        <f>VLOOKUP(A244,'SegEnds_NonXtal_Prot#'!A:AL,31,FALSE)-VLOOKUP(A244,'SegEnds_NonXtal_Prot#'!A:AL,28,FALSE)</f>
        <v>43</v>
      </c>
      <c r="AK244" s="1">
        <f>VLOOKUP(A244,'SegEnds_NonXtal_Prot#'!A:AL,34,FALSE)-VLOOKUP(A244,'SegEnds_NonXtal_Prot#'!A:AL,31,FALSE)</f>
        <v>44</v>
      </c>
      <c r="AL244" s="1">
        <f>VLOOKUP(A244,'SegEnds_NonXtal_Prot#'!A:AL,37,FALSE)-VLOOKUP(A244,'SegEnds_NonXtal_Prot#'!A:AL,34,FALSE)</f>
        <v>10</v>
      </c>
      <c r="AM244" s="1" t="str">
        <f>IF(ISERROR(MATCH(A244,'SegEnds_Xtal_Prot#'!B:B, 0)), "NoXtal", "Xtal")</f>
        <v>NoXtal</v>
      </c>
    </row>
    <row r="245" spans="1:39" x14ac:dyDescent="0.2">
      <c r="A245" s="1" t="s">
        <v>172</v>
      </c>
      <c r="B245" s="1" t="str">
        <f>VLOOKUP(A245,Xtal_Templ!A:B,2,FALSE)</f>
        <v>ccr5_human</v>
      </c>
      <c r="C245" s="5">
        <f>VLOOKUP($B245&amp;"__wt",'SegEnds_Xtal_BW#'!$A:$Z,3,FALSE)</f>
        <v>24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24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f>VLOOKUP($B245&amp;"__wt",'SegEnds_Xtal_BW#'!$A:$Z,14,FALSE)</f>
        <v>57</v>
      </c>
      <c r="O245" s="87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30</v>
      </c>
      <c r="T245" s="1">
        <f t="array" ref="T245">INDEX(ICL3_classA!$G$2:$G$41,MATCH(MIN(ABS(AJ245-ICL3_classA!$F$2:$F$41)),ABS(AJ245-ICL3_classA!$F$2:$F$41),0))</f>
        <v>68</v>
      </c>
      <c r="U245" s="108">
        <v>28</v>
      </c>
      <c r="V245" s="1">
        <v>65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50</v>
      </c>
      <c r="AF245" s="1">
        <f>VLOOKUP(A245,'SegEnds_NonXtal_Prot#'!A:AL,22,FALSE)-VLOOKUP(A245,'SegEnds_NonXtal_Prot#'!A:AL,19,FALSE)</f>
        <v>20</v>
      </c>
      <c r="AG245" s="1" t="e">
        <f>VLOOKUP(#REF!,'SegEnds_NonXtal_Prot#'!#REF!,28,FALSE)-VLOOKUP(#REF!,'SegEnds_NonXtal_Prot#'!#REF!,25,FALSE)</f>
        <v>#REF!</v>
      </c>
      <c r="AH245" s="1">
        <f>VLOOKUP(A245,'SegEnds_NonXtal_Prot#'!A:AL,28,FALSE)-VLOOKUP(A245,'SegEnds_NonXtal_Prot#'!A:AL,25,FALSE)</f>
        <v>27</v>
      </c>
      <c r="AI245" s="1">
        <f>VLOOKUP(A245,'SegEnds_NonXtal_Prot#'!A:AL,28,FALSE)-VLOOKUP(A245,'SegEnds_NonXtal_Prot#'!A:AL,22,FALSE)</f>
        <v>52</v>
      </c>
      <c r="AJ245" s="1">
        <f>VLOOKUP(A245,'SegEnds_NonXtal_Prot#'!A:AL,31,FALSE)-VLOOKUP(A245,'SegEnds_NonXtal_Prot#'!A:AL,28,FALSE)</f>
        <v>43</v>
      </c>
      <c r="AK245" s="1">
        <f>VLOOKUP(A245,'SegEnds_NonXtal_Prot#'!A:AL,34,FALSE)-VLOOKUP(A245,'SegEnds_NonXtal_Prot#'!A:AL,31,FALSE)</f>
        <v>44</v>
      </c>
      <c r="AL245" s="1">
        <f>VLOOKUP(A245,'SegEnds_NonXtal_Prot#'!A:AL,37,FALSE)-VLOOKUP(A245,'SegEnds_NonXtal_Prot#'!A:AL,34,FALSE)</f>
        <v>10</v>
      </c>
      <c r="AM245" s="1" t="str">
        <f>IF(ISERROR(MATCH(A245,'SegEnds_Xtal_Prot#'!B:B, 0)), "NoXtal", "Xtal")</f>
        <v>NoXtal</v>
      </c>
    </row>
    <row r="246" spans="1:39" x14ac:dyDescent="0.2">
      <c r="A246" s="1" t="s">
        <v>173</v>
      </c>
      <c r="B246" s="1" t="str">
        <f>VLOOKUP(A246,Xtal_Templ!A:B,2,FALSE)</f>
        <v>ccr5_human</v>
      </c>
      <c r="C246" s="5">
        <f>VLOOKUP($B246&amp;"__wt",'SegEnds_Xtal_BW#'!$A:$Z,3,FALSE)</f>
        <v>24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24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f>VLOOKUP($B246&amp;"__wt",'SegEnds_Xtal_BW#'!$A:$Z,14,FALSE)</f>
        <v>57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30</v>
      </c>
      <c r="T246" s="1">
        <f t="array" ref="T246">INDEX(ICL3_classA!$G$2:$G$41,MATCH(MIN(ABS(AJ246-ICL3_classA!$F$2:$F$41)),ABS(AJ246-ICL3_classA!$F$2:$F$41),0))</f>
        <v>68</v>
      </c>
      <c r="U246" s="1">
        <f t="array" ref="U246">INDEX(ICL3_classA!$H$2:$H$41,MATCH(MIN(ABS(AJ246-ICL3_classA!$F$2:$F$41)),ABS(AJ246-ICL3_classA!$F$2:$F$41),0))</f>
        <v>28</v>
      </c>
      <c r="V246" s="1">
        <v>65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18</v>
      </c>
      <c r="AE246" s="1">
        <f>VLOOKUP(A246,'SegEnds_NonXtal_Prot#'!A:AL,16,FALSE)-VLOOKUP(A246,'SegEnds_NonXtal_Prot#'!A:AL,10,FALSE)</f>
        <v>50</v>
      </c>
      <c r="AF246" s="1">
        <f>VLOOKUP(A246,'SegEnds_NonXtal_Prot#'!A:AL,22,FALSE)-VLOOKUP(A246,'SegEnds_NonXtal_Prot#'!A:AL,19,FALSE)</f>
        <v>20</v>
      </c>
      <c r="AG246" s="1" t="e">
        <f>VLOOKUP(#REF!,'SegEnds_NonXtal_Prot#'!#REF!,28,FALSE)-VLOOKUP(#REF!,'SegEnds_NonXtal_Prot#'!#REF!,25,FALSE)</f>
        <v>#REF!</v>
      </c>
      <c r="AH246" s="1">
        <f>VLOOKUP(A246,'SegEnds_NonXtal_Prot#'!A:AL,28,FALSE)-VLOOKUP(A246,'SegEnds_NonXtal_Prot#'!A:AL,25,FALSE)</f>
        <v>28</v>
      </c>
      <c r="AI246" s="1">
        <f>VLOOKUP(A246,'SegEnds_NonXtal_Prot#'!A:AL,28,FALSE)-VLOOKUP(A246,'SegEnds_NonXtal_Prot#'!A:AL,22,FALSE)</f>
        <v>53</v>
      </c>
      <c r="AJ246" s="1">
        <f>VLOOKUP(A246,'SegEnds_NonXtal_Prot#'!A:AL,31,FALSE)-VLOOKUP(A246,'SegEnds_NonXtal_Prot#'!A:AL,28,FALSE)</f>
        <v>44</v>
      </c>
      <c r="AK246" s="1">
        <f>VLOOKUP(A246,'SegEnds_NonXtal_Prot#'!A:AL,34,FALSE)-VLOOKUP(A246,'SegEnds_NonXtal_Prot#'!A:AL,31,FALSE)</f>
        <v>44</v>
      </c>
      <c r="AL246" s="1">
        <f>VLOOKUP(A246,'SegEnds_NonXtal_Prot#'!A:AL,37,FALSE)-VLOOKUP(A246,'SegEnds_NonXtal_Prot#'!A:AL,34,FALSE)</f>
        <v>10</v>
      </c>
      <c r="AM246" s="1" t="str">
        <f>IF(ISERROR(MATCH(A246,'SegEnds_Xtal_Prot#'!B:B, 0)), "NoXtal", "Xtal")</f>
        <v>Xtal</v>
      </c>
    </row>
    <row r="247" spans="1:39" x14ac:dyDescent="0.2">
      <c r="A247" s="12" t="s">
        <v>174</v>
      </c>
      <c r="B247" s="12" t="str">
        <f>VLOOKUP(A247,Xtal_Templ!A:B,2,FALSE)</f>
        <v>ccr6_human</v>
      </c>
      <c r="C247" s="13">
        <f>VLOOKUP($B247&amp;"__wt",'SegEnds_Xtal_BW#'!$A:$Z,3,FALSE)</f>
        <v>25</v>
      </c>
      <c r="D247" s="12">
        <f>VLOOKUP($B247&amp;"__wt",'SegEnds_Xtal_BW#'!$A:$Z,4,FALSE)</f>
        <v>60</v>
      </c>
      <c r="E247" s="12">
        <f>VLOOKUP($B247&amp;"__wt",'SegEnds_Xtal_BW#'!$A:$Z,5,FALSE)</f>
        <v>48</v>
      </c>
      <c r="F247" s="12">
        <f>VLOOKUP($B247&amp;"__wt",'SegEnds_Xtal_BW#'!$A:$Z,6,FALSE)</f>
        <v>51</v>
      </c>
      <c r="G247" s="12">
        <v>37</v>
      </c>
      <c r="H247" s="108">
        <v>67</v>
      </c>
      <c r="I247" s="12">
        <f>VLOOKUP($B247&amp;"__wt",'SegEnds_Xtal_BW#'!$A:$Z,9,FALSE)</f>
        <v>49</v>
      </c>
      <c r="J247" s="12">
        <f>VLOOKUP($B247&amp;"__wt",'SegEnds_Xtal_BW#'!$A:$Z,10,FALSE)</f>
        <v>52</v>
      </c>
      <c r="K247" s="12">
        <v>21</v>
      </c>
      <c r="L247" s="12">
        <f>VLOOKUP($B247&amp;"__wt",'SegEnds_Xtal_BW#'!$A:$Z,12,FALSE)</f>
        <v>56</v>
      </c>
      <c r="M247" s="12">
        <f>VLOOKUP($B247&amp;"__wt",'SegEnds_Xtal_BW#'!$A:$Z,13,FALSE)</f>
        <v>50</v>
      </c>
      <c r="N247" s="12">
        <f>VLOOKUP($B247&amp;"__wt",'SegEnds_Xtal_BW#'!$A:$Z,14,FALSE)</f>
        <v>56</v>
      </c>
      <c r="O247" s="87">
        <v>38</v>
      </c>
      <c r="P247" s="12">
        <f>VLOOKUP($B247&amp;"__wt",'SegEnds_Xtal_BW#'!$A:$Z,16,FALSE)</f>
        <v>64</v>
      </c>
      <c r="Q247" s="12">
        <f>VLOOKUP($B247&amp;"__wt",'SegEnds_Xtal_BW#'!$A:$Z,17,FALSE)</f>
        <v>50</v>
      </c>
      <c r="R247" s="12">
        <f>VLOOKUP($B247&amp;"__wt",'SegEnds_Xtal_BW#'!$A:$Z,18,FALSE)</f>
        <v>52</v>
      </c>
      <c r="S247" s="12">
        <f>VLOOKUP($B247&amp;"__wt",'SegEnds_Xtal_BW#'!$A:$Z,19,FALSE)</f>
        <v>31</v>
      </c>
      <c r="T247" s="12">
        <f t="array" ref="T247">INDEX(ICL3_classA!$G$2:$G$41,MATCH(MIN(ABS(AJ247-ICL3_classA!$F$2:$F$41)),ABS(AJ247-ICL3_classA!$F$2:$F$41),0))</f>
        <v>68</v>
      </c>
      <c r="U247" s="108">
        <v>28</v>
      </c>
      <c r="V247" s="12">
        <v>65</v>
      </c>
      <c r="W247" s="12">
        <v>24</v>
      </c>
      <c r="X247" s="12">
        <f>VLOOKUP($B247&amp;"__wt",'SegEnds_Xtal_BW#'!$A:$Z,24,FALSE)</f>
        <v>56</v>
      </c>
      <c r="Y247" s="12">
        <f>VLOOKUP($B247&amp;"__wt",'SegEnds_Xtal_BW#'!$A:$Z,25,FALSE)</f>
        <v>47</v>
      </c>
      <c r="Z247" s="12">
        <f>VLOOKUP($B247&amp;"__wt",'SegEnds_Xtal_BW#'!$A:$Z,26,FALSE)</f>
        <v>62</v>
      </c>
      <c r="AA247" s="36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2">
        <f>VLOOKUP(A247,'SegEnds_NonXtal_Prot#'!A:AL,10,FALSE)-VLOOKUP(A247,'SegEnds_NonXtal_Prot#'!A:AL,7,FALSE)</f>
        <v>15</v>
      </c>
      <c r="AD247" s="12">
        <f>VLOOKUP(A247,'SegEnds_NonXtal_Prot#'!A:AL,13,FALSE)-VLOOKUP(A247,'SegEnds_NonXtal_Prot#'!A:AL,10,FALSE)</f>
        <v>19</v>
      </c>
      <c r="AE247" s="12">
        <f>VLOOKUP(A247,'SegEnds_NonXtal_Prot#'!A:AL,16,FALSE)-VLOOKUP(A247,'SegEnds_NonXtal_Prot#'!A:AL,10,FALSE)</f>
        <v>51</v>
      </c>
      <c r="AF247" s="1">
        <f>VLOOKUP(A247,'SegEnds_NonXtal_Prot#'!A:AL,22,FALSE)-VLOOKUP(A247,'SegEnds_NonXtal_Prot#'!A:AL,19,FALSE)</f>
        <v>22</v>
      </c>
      <c r="AG247" s="12" t="e">
        <f>VLOOKUP(#REF!,'SegEnds_NonXtal_Prot#'!#REF!,28,FALSE)-VLOOKUP(#REF!,'SegEnds_NonXtal_Prot#'!#REF!,25,FALSE)</f>
        <v>#REF!</v>
      </c>
      <c r="AH247" s="12">
        <f>VLOOKUP(A247,'SegEnds_NonXtal_Prot#'!A:AL,28,FALSE)-VLOOKUP(A247,'SegEnds_NonXtal_Prot#'!A:AL,25,FALSE)</f>
        <v>29</v>
      </c>
      <c r="AI247" s="1">
        <f>VLOOKUP(A247,'SegEnds_NonXtal_Prot#'!A:AL,28,FALSE)-VLOOKUP(A247,'SegEnds_NonXtal_Prot#'!A:AL,22,FALSE)</f>
        <v>54</v>
      </c>
      <c r="AJ247" s="12">
        <f>VLOOKUP(A247,'SegEnds_NonXtal_Prot#'!A:AL,31,FALSE)-VLOOKUP(A247,'SegEnds_NonXtal_Prot#'!A:AL,28,FALSE)</f>
        <v>43</v>
      </c>
      <c r="AK247" s="12">
        <f>VLOOKUP(A247,'SegEnds_NonXtal_Prot#'!A:AL,34,FALSE)-VLOOKUP(A247,'SegEnds_NonXtal_Prot#'!A:AL,31,FALSE)</f>
        <v>44</v>
      </c>
      <c r="AL247" s="1">
        <f>VLOOKUP(A247,'SegEnds_NonXtal_Prot#'!A:AL,37,FALSE)-VLOOKUP(A247,'SegEnds_NonXtal_Prot#'!A:AL,34,FALSE)</f>
        <v>10</v>
      </c>
      <c r="AM247" s="12" t="str">
        <f>IF(ISERROR(MATCH(A247,'SegEnds_Xtal_Prot#'!B:B, 0)), "NoXtal", "Xtal")</f>
        <v>Xtal</v>
      </c>
    </row>
    <row r="248" spans="1:39" x14ac:dyDescent="0.2">
      <c r="A248" s="1" t="s">
        <v>176</v>
      </c>
      <c r="B248" s="1" t="str">
        <f>VLOOKUP(A248,Xtal_Templ!A:B,2,FALSE)</f>
        <v>ccr5_human</v>
      </c>
      <c r="C248" s="5">
        <f>VLOOKUP($B248&amp;"__wt",'SegEnds_Xtal_BW#'!$A:$Z,3,FALSE)</f>
        <v>24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24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30</v>
      </c>
      <c r="T248" s="1">
        <f t="array" ref="T248">INDEX(ICL3_classA!$G$2:$G$41,MATCH(MIN(ABS(AJ248-ICL3_classA!$F$2:$F$41)),ABS(AJ248-ICL3_classA!$F$2:$F$41),0))</f>
        <v>68</v>
      </c>
      <c r="U248" s="108">
        <v>28</v>
      </c>
      <c r="V248" s="1">
        <v>65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18</v>
      </c>
      <c r="AE248" s="1">
        <f>VLOOKUP(A248,'SegEnds_NonXtal_Prot#'!A:AL,16,FALSE)-VLOOKUP(A248,'SegEnds_NonXtal_Prot#'!A:AL,10,FALSE)</f>
        <v>50</v>
      </c>
      <c r="AF248" s="1">
        <f>VLOOKUP(A248,'SegEnds_NonXtal_Prot#'!A:AL,22,FALSE)-VLOOKUP(A248,'SegEnds_NonXtal_Prot#'!A:AL,19,FALSE)</f>
        <v>20</v>
      </c>
      <c r="AG248" s="1" t="e">
        <f>VLOOKUP(#REF!,'SegEnds_NonXtal_Prot#'!#REF!,28,FALSE)-VLOOKUP(#REF!,'SegEnds_NonXtal_Prot#'!#REF!,25,FALSE)</f>
        <v>#REF!</v>
      </c>
      <c r="AH248" s="1">
        <f>VLOOKUP(A248,'SegEnds_NonXtal_Prot#'!A:AL,28,FALSE)-VLOOKUP(A248,'SegEnds_NonXtal_Prot#'!A:AL,25,FALSE)</f>
        <v>27</v>
      </c>
      <c r="AI248" s="1">
        <f>VLOOKUP(A248,'SegEnds_NonXtal_Prot#'!A:AL,28,FALSE)-VLOOKUP(A248,'SegEnds_NonXtal_Prot#'!A:AL,22,FALSE)</f>
        <v>52</v>
      </c>
      <c r="AJ248" s="1">
        <f>VLOOKUP(A248,'SegEnds_NonXtal_Prot#'!A:AL,31,FALSE)-VLOOKUP(A248,'SegEnds_NonXtal_Prot#'!A:AL,28,FALSE)</f>
        <v>43</v>
      </c>
      <c r="AK248" s="1">
        <f>VLOOKUP(A248,'SegEnds_NonXtal_Prot#'!A:AL,34,FALSE)-VLOOKUP(A248,'SegEnds_NonXtal_Prot#'!A:AL,31,FALSE)</f>
        <v>44</v>
      </c>
      <c r="AL248" s="1">
        <f>VLOOKUP(A248,'SegEnds_NonXtal_Prot#'!A:AL,37,FALSE)-VLOOKUP(A248,'SegEnds_NonXtal_Prot#'!A:AL,34,FALSE)</f>
        <v>10</v>
      </c>
      <c r="AM248" s="1" t="str">
        <f>IF(ISERROR(MATCH(A248,'SegEnds_Xtal_Prot#'!B:B, 0)), "NoXtal", "Xtal")</f>
        <v>NoXtal</v>
      </c>
    </row>
    <row r="249" spans="1:39" x14ac:dyDescent="0.2">
      <c r="A249" s="1" t="s">
        <v>178</v>
      </c>
      <c r="B249" s="1" t="str">
        <f>VLOOKUP(A249,Xtal_Templ!A:B,2,FALSE)</f>
        <v>ccr5_human</v>
      </c>
      <c r="C249" s="5">
        <f>VLOOKUP($B249&amp;"__wt",'SegEnds_Xtal_BW#'!$A:$Z,3,FALSE)</f>
        <v>24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v>63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08">
        <v>24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58</v>
      </c>
      <c r="O249" s="87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30</v>
      </c>
      <c r="T249" s="1">
        <f t="array" ref="T249">INDEX(ICL3_classA!$G$2:$G$41,MATCH(MIN(ABS(AJ249-ICL3_classA!$F$2:$F$41)),ABS(AJ249-ICL3_classA!$F$2:$F$41),0))</f>
        <v>67</v>
      </c>
      <c r="U249" s="1">
        <f t="array" ref="U249">INDEX(ICL3_classA!$H$2:$H$41,MATCH(MIN(ABS(AJ249-ICL3_classA!$F$2:$F$41)),ABS(AJ249-ICL3_classA!$F$2:$F$41),0))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 t="e">
        <f>VLOOKUP(A249,'SegEnds_NonXtal_Prot#'!A:AL,13,FALSE)-VLOOKUP(A249,'SegEnds_NonXtal_Prot#'!A:AL,10,FALSE)</f>
        <v>#VALUE!</v>
      </c>
      <c r="AE249" s="1">
        <f>VLOOKUP(A249,'SegEnds_NonXtal_Prot#'!A:AL,16,FALSE)-VLOOKUP(A249,'SegEnds_NonXtal_Prot#'!A:AL,10,FALSE)</f>
        <v>44</v>
      </c>
      <c r="AF249" s="1">
        <f>VLOOKUP(A249,'SegEnds_NonXtal_Prot#'!A:AL,22,FALSE)-VLOOKUP(A249,'SegEnds_NonXtal_Prot#'!A:AL,19,FALSE)</f>
        <v>21</v>
      </c>
      <c r="AG249" s="1" t="e">
        <f>VLOOKUP(#REF!,'SegEnds_NonXtal_Prot#'!#REF!,28,FALSE)-VLOOKUP(#REF!,'SegEnds_NonXtal_Prot#'!#REF!,25,FALSE)</f>
        <v>#REF!</v>
      </c>
      <c r="AH249" s="1">
        <f>VLOOKUP(A249,'SegEnds_NonXtal_Prot#'!A:AL,28,FALSE)-VLOOKUP(A249,'SegEnds_NonXtal_Prot#'!A:AL,25,FALSE)</f>
        <v>31</v>
      </c>
      <c r="AI249" s="1">
        <f>VLOOKUP(A249,'SegEnds_NonXtal_Prot#'!A:AL,28,FALSE)-VLOOKUP(A249,'SegEnds_NonXtal_Prot#'!A:AL,22,FALSE)</f>
        <v>56</v>
      </c>
      <c r="AJ249" s="1">
        <f>VLOOKUP(A249,'SegEnds_NonXtal_Prot#'!A:AL,31,FALSE)-VLOOKUP(A249,'SegEnds_NonXtal_Prot#'!A:AL,28,FALSE)</f>
        <v>41</v>
      </c>
      <c r="AK249" s="1">
        <f>VLOOKUP(A249,'SegEnds_NonXtal_Prot#'!A:AL,34,FALSE)-VLOOKUP(A249,'SegEnds_NonXtal_Prot#'!A:AL,31,FALSE)</f>
        <v>44</v>
      </c>
      <c r="AL249" s="1">
        <f>VLOOKUP(A249,'SegEnds_NonXtal_Prot#'!A:AL,37,FALSE)-VLOOKUP(A249,'SegEnds_NonXtal_Prot#'!A:AL,34,FALSE)</f>
        <v>10</v>
      </c>
      <c r="AM249" s="1" t="str">
        <f>IF(ISERROR(MATCH(A249,'SegEnds_Xtal_Prot#'!B:B, 0)), "NoXtal", "Xtal")</f>
        <v>NoXtal</v>
      </c>
    </row>
    <row r="250" spans="1:39" x14ac:dyDescent="0.2">
      <c r="A250" s="1" t="s">
        <v>179</v>
      </c>
      <c r="B250" s="1" t="str">
        <f>VLOOKUP(A250,Xtal_Templ!A:B,2,FALSE)</f>
        <v>cltr1_human</v>
      </c>
      <c r="C250" s="5">
        <f>VLOOKUP($B250&amp;"__wt",'SegEnds_Xtal_BW#'!$A:$Z,3,FALSE)</f>
        <v>20</v>
      </c>
      <c r="D250" s="1">
        <f>VLOOKUP($B250&amp;"__wt",'SegEnds_Xtal_BW#'!$A:$Z,4,FALSE)</f>
        <v>60</v>
      </c>
      <c r="E250" s="1" t="str">
        <f>VLOOKUP($B250&amp;"__wt",'SegEnds_Xtal_BW#'!$A:$Z,5,FALSE)</f>
        <v>-</v>
      </c>
      <c r="F250" s="1" t="str">
        <f>VLOOKUP($B250&amp;"__wt",'SegEnds_Xtal_BW#'!$A:$Z,6,FALSE)</f>
        <v>-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63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28</v>
      </c>
      <c r="T250" s="1">
        <f t="array" ref="T250">INDEX(ICL3_classA!$G$2:$G$41,MATCH(MIN(ABS(AJ250-ICL3_classA!$F$2:$F$41)),ABS(AJ250-ICL3_classA!$F$2:$F$41),0))</f>
        <v>67</v>
      </c>
      <c r="U250" s="1">
        <f t="array" ref="U250">INDEX(ICL3_classA!$H$2:$H$41,MATCH(MIN(ABS(AJ250-ICL3_classA!$F$2:$F$41)),ABS(AJ250-ICL3_classA!$F$2:$F$41),0))</f>
        <v>26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59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 t="e">
        <f>VLOOKUP(A250,'SegEnds_NonXtal_Prot#'!A:AL,10,FALSE)-VLOOKUP(A250,'SegEnds_NonXtal_Prot#'!A:AL,7,FALSE)</f>
        <v>#VALUE!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 t="e">
        <f>VLOOKUP(#REF!,'SegEnds_NonXtal_Prot#'!#REF!,28,FALSE)-VLOOKUP(#REF!,'SegEnds_NonXtal_Prot#'!#REF!,25,FALSE)</f>
        <v>#REF!</v>
      </c>
      <c r="AH250" s="1">
        <f>VLOOKUP(A250,'SegEnds_NonXtal_Prot#'!A:AL,28,FALSE)-VLOOKUP(A250,'SegEnds_NonXtal_Prot#'!A:AL,25,FALSE)</f>
        <v>28</v>
      </c>
      <c r="AI250" s="1">
        <f>VLOOKUP(A250,'SegEnds_NonXtal_Prot#'!A:AL,28,FALSE)-VLOOKUP(A250,'SegEnds_NonXtal_Prot#'!A:AL,22,FALSE)</f>
        <v>53</v>
      </c>
      <c r="AJ250" s="1">
        <f>VLOOKUP(A250,'SegEnds_NonXtal_Prot#'!A:AL,31,FALSE)-VLOOKUP(A250,'SegEnds_NonXtal_Prot#'!A:AL,28,FALSE)</f>
        <v>47</v>
      </c>
      <c r="AK250" s="1">
        <f>VLOOKUP(A250,'SegEnds_NonXtal_Prot#'!A:AL,34,FALSE)-VLOOKUP(A250,'SegEnds_NonXtal_Prot#'!A:AL,31,FALSE)</f>
        <v>44</v>
      </c>
      <c r="AL250" s="1">
        <f>VLOOKUP(A250,'SegEnds_NonXtal_Prot#'!A:AL,37,FALSE)-VLOOKUP(A250,'SegEnds_NonXtal_Prot#'!A:AL,34,FALSE)</f>
        <v>10</v>
      </c>
      <c r="AM250" s="1" t="str">
        <f>IF(ISERROR(MATCH(A250,'SegEnds_Xtal_Prot#'!B:B, 0)), "NoXtal", "Xtal")</f>
        <v>Xtal</v>
      </c>
    </row>
    <row r="251" spans="1:39" x14ac:dyDescent="0.2">
      <c r="A251" s="1" t="s">
        <v>184</v>
      </c>
      <c r="B251" s="1" t="str">
        <f>VLOOKUP(A251,Xtal_Templ!A:B,2,FALSE)</f>
        <v>ccr2_human</v>
      </c>
      <c r="C251" s="5">
        <f>VLOOKUP($B251&amp;"__wt",'SegEnds_Xtal_BW#'!$A:$Z,3,FALSE)</f>
        <v>27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v>66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24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INDEX(ICL3_classA!$G$2:$G$41,MATCH(MIN(ABS(AJ251-ICL3_classA!$F$2:$F$41)),ABS(AJ251-ICL3_classA!$F$2:$F$41),0))</f>
        <v>68</v>
      </c>
      <c r="U251" s="108">
        <v>28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 t="e">
        <f>VLOOKUP(A251,'SegEnds_NonXtal_Prot#'!A:AL,13,FALSE)-VLOOKUP(A251,'SegEnds_NonXtal_Prot#'!A:AL,10,FALSE)</f>
        <v>#VALUE!</v>
      </c>
      <c r="AE251" s="1">
        <f>VLOOKUP(A251,'SegEnds_NonXtal_Prot#'!A:AL,16,FALSE)-VLOOKUP(A251,'SegEnds_NonXtal_Prot#'!A:AL,10,FALSE)</f>
        <v>50</v>
      </c>
      <c r="AF251" s="1">
        <f>VLOOKUP(A251,'SegEnds_NonXtal_Prot#'!A:AL,22,FALSE)-VLOOKUP(A251,'SegEnds_NonXtal_Prot#'!A:AL,19,FALSE)</f>
        <v>20</v>
      </c>
      <c r="AG251" s="1" t="e">
        <f>VLOOKUP(#REF!,'SegEnds_NonXtal_Prot#'!#REF!,28,FALSE)-VLOOKUP(#REF!,'SegEnds_NonXtal_Prot#'!#REF!,25,FALSE)</f>
        <v>#REF!</v>
      </c>
      <c r="AH251" s="1">
        <f>VLOOKUP(A251,'SegEnds_NonXtal_Prot#'!A:AL,28,FALSE)-VLOOKUP(A251,'SegEnds_NonXtal_Prot#'!A:AL,25,FALSE)</f>
        <v>28</v>
      </c>
      <c r="AI251" s="1">
        <f>VLOOKUP(A251,'SegEnds_NonXtal_Prot#'!A:AL,28,FALSE)-VLOOKUP(A251,'SegEnds_NonXtal_Prot#'!A:AL,22,FALSE)</f>
        <v>49</v>
      </c>
      <c r="AJ251" s="1">
        <f>VLOOKUP(A251,'SegEnds_NonXtal_Prot#'!A:AL,31,FALSE)-VLOOKUP(A251,'SegEnds_NonXtal_Prot#'!A:AL,28,FALSE)</f>
        <v>43</v>
      </c>
      <c r="AK251" s="1">
        <f>VLOOKUP(A251,'SegEnds_NonXtal_Prot#'!A:AL,34,FALSE)-VLOOKUP(A251,'SegEnds_NonXtal_Prot#'!A:AL,31,FALSE)</f>
        <v>44</v>
      </c>
      <c r="AL251" s="1">
        <f>VLOOKUP(A251,'SegEnds_NonXtal_Prot#'!A:AL,37,FALSE)-VLOOKUP(A251,'SegEnds_NonXtal_Prot#'!A:AL,34,FALSE)</f>
        <v>10</v>
      </c>
      <c r="AM251" s="1" t="str">
        <f>IF(ISERROR(MATCH(A251,'SegEnds_Xtal_Prot#'!B:B, 0)), "NoXtal", "Xtal")</f>
        <v>NoXtal</v>
      </c>
    </row>
    <row r="252" spans="1:39" x14ac:dyDescent="0.2">
      <c r="A252" s="1" t="s">
        <v>228</v>
      </c>
      <c r="B252" s="1" t="str">
        <f>VLOOKUP(A252,Xtal_Templ!A:B,2,FALSE)</f>
        <v>p2y12_human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66</v>
      </c>
      <c r="I252" s="1" t="str">
        <f>VLOOKUP($B252&amp;"__wt",'SegEnds_Xtal_BW#'!$A:$Z,9,FALSE)</f>
        <v>-</v>
      </c>
      <c r="J252" s="1" t="str">
        <f>VLOOKUP($B252&amp;"__wt",'SegEnds_Xtal_BW#'!$A:$Z,10,FALSE)</f>
        <v>-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30</v>
      </c>
      <c r="T252" s="1">
        <f t="array" ref="T252">INDEX(ICL3_classA!$G$2:$G$41,MATCH(MIN(ABS(AJ252-ICL3_classA!$F$2:$F$41)),ABS(AJ252-ICL3_classA!$F$2:$F$41),0))</f>
        <v>67</v>
      </c>
      <c r="U252" s="1">
        <f t="array" ref="U252">INDEX(ICL3_classA!$H$2:$H$41,MATCH(MIN(ABS(AJ252-ICL3_classA!$F$2:$F$41)),ABS(AJ252-ICL3_classA!$F$2:$F$41),0))</f>
        <v>26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57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 t="e">
        <f>VLOOKUP(A252,'SegEnds_NonXtal_Prot#'!A:AL,10,FALSE)-VLOOKUP(A252,'SegEnds_NonXtal_Prot#'!A:AL,7,FALSE)</f>
        <v>#VALUE!</v>
      </c>
      <c r="AD252" s="1" t="e">
        <f>VLOOKUP(A252,'SegEnds_NonXtal_Prot#'!A:AL,13,FALSE)-VLOOKUP(A252,'SegEnds_NonXtal_Prot#'!A:AL,10,FALSE)</f>
        <v>#VALUE!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 t="e">
        <f>VLOOKUP(#REF!,'SegEnds_NonXtal_Prot#'!#REF!,28,FALSE)-VLOOKUP(#REF!,'SegEnds_NonXtal_Prot#'!#REF!,25,FALSE)</f>
        <v>#REF!</v>
      </c>
      <c r="AH252" s="1">
        <f>VLOOKUP(A252,'SegEnds_NonXtal_Prot#'!A:AL,28,FALSE)-VLOOKUP(A252,'SegEnds_NonXtal_Prot#'!A:AL,25,FALSE)</f>
        <v>26</v>
      </c>
      <c r="AI252" s="1">
        <f>VLOOKUP(A252,'SegEnds_NonXtal_Prot#'!A:AL,28,FALSE)-VLOOKUP(A252,'SegEnds_NonXtal_Prot#'!A:AL,22,FALSE)</f>
        <v>52</v>
      </c>
      <c r="AJ252" s="1">
        <f>VLOOKUP(A252,'SegEnds_NonXtal_Prot#'!A:AL,31,FALSE)-VLOOKUP(A252,'SegEnds_NonXtal_Prot#'!A:AL,28,FALSE)</f>
        <v>47</v>
      </c>
      <c r="AK252" s="1">
        <f>VLOOKUP(A252,'SegEnds_NonXtal_Prot#'!A:AL,34,FALSE)-VLOOKUP(A252,'SegEnds_NonXtal_Prot#'!A:AL,31,FALSE)</f>
        <v>44</v>
      </c>
      <c r="AL252" s="1">
        <f>VLOOKUP(A252,'SegEnds_NonXtal_Prot#'!A:AL,37,FALSE)-VLOOKUP(A252,'SegEnds_NonXtal_Prot#'!A:AL,34,FALSE)</f>
        <v>10</v>
      </c>
      <c r="AM252" s="1" t="str">
        <f>IF(ISERROR(MATCH(A252,'SegEnds_Xtal_Prot#'!B:B, 0)), "NoXtal", "Xtal")</f>
        <v>NoXtal</v>
      </c>
    </row>
    <row r="253" spans="1:39" x14ac:dyDescent="0.2">
      <c r="A253" s="1" t="s">
        <v>230</v>
      </c>
      <c r="B253" s="1" t="str">
        <f>VLOOKUP(A253,Xtal_Templ!A:B,2,FALSE)</f>
        <v>p2ry1_human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21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08">
        <v>56</v>
      </c>
      <c r="O253" s="87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INDEX(ICL3_classA!$G$2:$G$41,MATCH(MIN(ABS(AJ253-ICL3_classA!$F$2:$F$41)),ABS(AJ253-ICL3_classA!$F$2:$F$41),0))</f>
        <v>68</v>
      </c>
      <c r="U253" s="1">
        <f t="array" ref="U253">INDEX(ICL3_classA!$H$2:$H$41,MATCH(MIN(ABS(AJ253-ICL3_classA!$F$2:$F$41)),ABS(AJ253-ICL3_classA!$F$2:$F$41),0))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 t="e">
        <f>VLOOKUP(A253,'SegEnds_NonXtal_Prot#'!A:AL,10,FALSE)-VLOOKUP(A253,'SegEnds_NonXtal_Prot#'!A:AL,7,FALSE)</f>
        <v>#VALUE!</v>
      </c>
      <c r="AD253" s="1">
        <f>VLOOKUP(A253,'SegEnds_NonXtal_Prot#'!A:AL,13,FALSE)-VLOOKUP(A253,'SegEnds_NonXtal_Prot#'!A:AL,10,FALSE)</f>
        <v>19</v>
      </c>
      <c r="AE253" s="1">
        <f>VLOOKUP(A253,'SegEnds_NonXtal_Prot#'!A:AL,16,FALSE)-VLOOKUP(A253,'SegEnds_NonXtal_Prot#'!A:AL,10,FALSE)</f>
        <v>51</v>
      </c>
      <c r="AF253" s="1">
        <f>VLOOKUP(A253,'SegEnds_NonXtal_Prot#'!A:AL,22,FALSE)-VLOOKUP(A253,'SegEnds_NonXtal_Prot#'!A:AL,19,FALSE)</f>
        <v>19</v>
      </c>
      <c r="AG253" s="1" t="e">
        <f>VLOOKUP(#REF!,'SegEnds_NonXtal_Prot#'!#REF!,28,FALSE)-VLOOKUP(#REF!,'SegEnds_NonXtal_Prot#'!#REF!,25,FALSE)</f>
        <v>#REF!</v>
      </c>
      <c r="AH253" s="1">
        <f>VLOOKUP(A253,'SegEnds_NonXtal_Prot#'!A:AL,28,FALSE)-VLOOKUP(A253,'SegEnds_NonXtal_Prot#'!A:AL,25,FALSE)</f>
        <v>29</v>
      </c>
      <c r="AI253" s="1">
        <f>VLOOKUP(A253,'SegEnds_NonXtal_Prot#'!A:AL,28,FALSE)-VLOOKUP(A253,'SegEnds_NonXtal_Prot#'!A:AL,22,FALSE)</f>
        <v>55</v>
      </c>
      <c r="AJ253" s="1">
        <f>VLOOKUP(A253,'SegEnds_NonXtal_Prot#'!A:AL,31,FALSE)-VLOOKUP(A253,'SegEnds_NonXtal_Prot#'!A:AL,28,FALSE)</f>
        <v>48</v>
      </c>
      <c r="AK253" s="1">
        <f>VLOOKUP(A253,'SegEnds_NonXtal_Prot#'!A:AL,34,FALSE)-VLOOKUP(A253,'SegEnds_NonXtal_Prot#'!A:AL,31,FALSE)</f>
        <v>44</v>
      </c>
      <c r="AL253" s="1">
        <f>VLOOKUP(A253,'SegEnds_NonXtal_Prot#'!A:AL,37,FALSE)-VLOOKUP(A253,'SegEnds_NonXtal_Prot#'!A:AL,34,FALSE)</f>
        <v>10</v>
      </c>
      <c r="AM253" s="1" t="str">
        <f>IF(ISERROR(MATCH(A253,'SegEnds_Xtal_Prot#'!B:B, 0)), "NoXtal", "Xtal")</f>
        <v>NoXtal</v>
      </c>
    </row>
    <row r="254" spans="1:39" x14ac:dyDescent="0.2">
      <c r="A254" s="1" t="s">
        <v>232</v>
      </c>
      <c r="B254" s="1" t="str">
        <f>VLOOKUP(A254,Xtal_Templ!A:B,2,FALSE)</f>
        <v>apj_human</v>
      </c>
      <c r="C254" s="5">
        <f>VLOOKUP($B254&amp;"__wt",'SegEnds_Xtal_BW#'!$A:$Z,3,FALSE)</f>
        <v>33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52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7"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30</v>
      </c>
      <c r="T254" s="1">
        <f t="array" ref="T254">INDEX(ICL3_classA!$G$2:$G$41,MATCH(MIN(ABS(AJ254-ICL3_classA!$F$2:$F$41)),ABS(AJ254-ICL3_classA!$F$2:$F$41),0))</f>
        <v>68</v>
      </c>
      <c r="U254" s="1">
        <f t="array" ref="U254">INDEX(ICL3_classA!$H$2:$H$41,MATCH(MIN(ABS(AJ254-ICL3_classA!$F$2:$F$41)),ABS(AJ254-ICL3_classA!$F$2:$F$41),0))</f>
        <v>30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61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 t="e">
        <f>VLOOKUP(#REF!,'SegEnds_NonXtal_Prot#'!#REF!,28,FALSE)-VLOOKUP(#REF!,'SegEnds_NonXtal_Prot#'!#REF!,25,FALSE)</f>
        <v>#REF!</v>
      </c>
      <c r="AH254" s="1">
        <f>VLOOKUP(A254,'SegEnds_NonXtal_Prot#'!A:AL,28,FALSE)-VLOOKUP(A254,'SegEnds_NonXtal_Prot#'!A:AL,25,FALSE)</f>
        <v>28</v>
      </c>
      <c r="AI254" s="1">
        <f>VLOOKUP(A254,'SegEnds_NonXtal_Prot#'!A:AL,28,FALSE)-VLOOKUP(A254,'SegEnds_NonXtal_Prot#'!A:AL,22,FALSE)</f>
        <v>52</v>
      </c>
      <c r="AJ254" s="1">
        <f>VLOOKUP(A254,'SegEnds_NonXtal_Prot#'!A:AL,31,FALSE)-VLOOKUP(A254,'SegEnds_NonXtal_Prot#'!A:AL,28,FALSE)</f>
        <v>43</v>
      </c>
      <c r="AK254" s="1">
        <f>VLOOKUP(A254,'SegEnds_NonXtal_Prot#'!A:AL,34,FALSE)-VLOOKUP(A254,'SegEnds_NonXtal_Prot#'!A:AL,31,FALSE)</f>
        <v>44</v>
      </c>
      <c r="AL254" s="1">
        <f>VLOOKUP(A254,'SegEnds_NonXtal_Prot#'!A:AL,37,FALSE)-VLOOKUP(A254,'SegEnds_NonXtal_Prot#'!A:AL,34,FALSE)</f>
        <v>10</v>
      </c>
      <c r="AM254" s="1" t="str">
        <f>IF(ISERROR(MATCH(A254,'SegEnds_Xtal_Prot#'!B:B, 0)), "NoXtal", "Xtal")</f>
        <v>NoXtal</v>
      </c>
    </row>
    <row r="255" spans="1:39" x14ac:dyDescent="0.2">
      <c r="A255" s="1" t="s">
        <v>239</v>
      </c>
      <c r="B255" s="1" t="str">
        <f>VLOOKUP(A255,Xtal_Templ!A:B,2,FALSE)</f>
        <v>cltr2_human</v>
      </c>
      <c r="C255" s="5">
        <f>VLOOKUP($B255&amp;"__wt",'SegEnds_Xtal_BW#'!$A:$Z,3,FALSE)</f>
        <v>25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63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08">
        <v>31</v>
      </c>
      <c r="T255" s="1">
        <f t="array" ref="T255">INDEX(ICL3_classA!$G$2:$G$41,MATCH(MIN(ABS(AJ255-ICL3_classA!$F$2:$F$41)),ABS(AJ255-ICL3_classA!$F$2:$F$41),0))</f>
        <v>67</v>
      </c>
      <c r="U255" s="1">
        <f t="array" ref="U255">INDEX(ICL3_classA!$H$2:$H$41,MATCH(MIN(ABS(AJ255-ICL3_classA!$F$2:$F$41)),ABS(AJ255-ICL3_classA!$F$2:$F$41),0))</f>
        <v>26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60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 t="e">
        <f>VLOOKUP(A255,'SegEnds_NonXtal_Prot#'!A:AL,10,FALSE)-VLOOKUP(A255,'SegEnds_NonXtal_Prot#'!A:AL,7,FALSE)</f>
        <v>#VALUE!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20</v>
      </c>
      <c r="AG255" s="1" t="e">
        <f>VLOOKUP(#REF!,'SegEnds_NonXtal_Prot#'!#REF!,28,FALSE)-VLOOKUP(#REF!,'SegEnds_NonXtal_Prot#'!#REF!,25,FALSE)</f>
        <v>#REF!</v>
      </c>
      <c r="AH255" s="1">
        <f>VLOOKUP(A255,'SegEnds_NonXtal_Prot#'!A:AL,28,FALSE)-VLOOKUP(A255,'SegEnds_NonXtal_Prot#'!A:AL,25,FALSE)</f>
        <v>23</v>
      </c>
      <c r="AI255" s="1">
        <f>VLOOKUP(A255,'SegEnds_NonXtal_Prot#'!A:AL,28,FALSE)-VLOOKUP(A255,'SegEnds_NonXtal_Prot#'!A:AL,22,FALSE)</f>
        <v>48</v>
      </c>
      <c r="AJ255" s="1">
        <f>VLOOKUP(A255,'SegEnds_NonXtal_Prot#'!A:AL,31,FALSE)-VLOOKUP(A255,'SegEnds_NonXtal_Prot#'!A:AL,28,FALSE)</f>
        <v>46</v>
      </c>
      <c r="AK255" s="1">
        <f>VLOOKUP(A255,'SegEnds_NonXtal_Prot#'!A:AL,34,FALSE)-VLOOKUP(A255,'SegEnds_NonXtal_Prot#'!A:AL,31,FALSE)</f>
        <v>44</v>
      </c>
      <c r="AL255" s="1">
        <f>VLOOKUP(A255,'SegEnds_NonXtal_Prot#'!A:AL,37,FALSE)-VLOOKUP(A255,'SegEnds_NonXtal_Prot#'!A:AL,34,FALSE)</f>
        <v>10</v>
      </c>
      <c r="AM255" s="1" t="str">
        <f>IF(ISERROR(MATCH(A255,'SegEnds_Xtal_Prot#'!B:B, 0)), "NoXtal", "Xtal")</f>
        <v>NoXtal</v>
      </c>
    </row>
    <row r="256" spans="1:39" x14ac:dyDescent="0.2">
      <c r="A256" s="1" t="s">
        <v>256</v>
      </c>
      <c r="B256" s="1" t="str">
        <f>VLOOKUP(A256,Xtal_Templ!A:B,2,FALSE)</f>
        <v>ptafr_human</v>
      </c>
      <c r="C256" s="5">
        <f>VLOOKUP($B256&amp;"__wt",'SegEnds_Xtal_BW#'!$A:$Z,3,FALSE)</f>
        <v>27</v>
      </c>
      <c r="D256" s="1">
        <f>VLOOKUP($B256&amp;"__wt",'SegEnds_Xtal_BW#'!$A:$Z,4,FALSE)</f>
        <v>61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33</v>
      </c>
      <c r="T256" s="1">
        <f t="array" ref="T256">INDEX(ICL3_classA!$G$2:$G$41,MATCH(MIN(ABS(AJ256-ICL3_classA!$F$2:$F$41)),ABS(AJ256-ICL3_classA!$F$2:$F$41),0))</f>
        <v>67</v>
      </c>
      <c r="U256" s="1">
        <f t="array" ref="U256">INDEX(ICL3_classA!$H$2:$H$41,MATCH(MIN(ABS(AJ256-ICL3_classA!$F$2:$F$41)),ABS(AJ256-ICL3_classA!$F$2:$F$41),0))</f>
        <v>26</v>
      </c>
      <c r="V256" s="1">
        <v>64</v>
      </c>
      <c r="W256" s="1">
        <v>24</v>
      </c>
      <c r="X256" s="1">
        <f>VLOOKUP($B256&amp;"__wt",'SegEnds_Xtal_BW#'!$A:$Z,24,FALSE)</f>
        <v>59</v>
      </c>
      <c r="Y256" s="1">
        <f>VLOOKUP($B256&amp;"__wt",'SegEnds_Xtal_BW#'!$A:$Z,25,FALSE)</f>
        <v>50</v>
      </c>
      <c r="Z256" s="1">
        <f>VLOOKUP($B256&amp;"__wt",'SegEnds_Xtal_BW#'!$A:$Z,26,FALSE)</f>
        <v>63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 t="e">
        <f>VLOOKUP(A256,'SegEnds_NonXtal_Prot#'!A:AL,10,FALSE)-VLOOKUP(A256,'SegEnds_NonXtal_Prot#'!A:AL,7,FALSE)</f>
        <v>#VALUE!</v>
      </c>
      <c r="AD256" s="1">
        <f>VLOOKUP(A256,'SegEnds_NonXtal_Prot#'!A:AL,13,FALSE)-VLOOKUP(A256,'SegEnds_NonXtal_Prot#'!A:AL,10,FALSE)</f>
        <v>20</v>
      </c>
      <c r="AE256" s="1">
        <f>VLOOKUP(A256,'SegEnds_NonXtal_Prot#'!A:AL,16,FALSE)-VLOOKUP(A256,'SegEnds_NonXtal_Prot#'!A:AL,10,FALSE)</f>
        <v>52</v>
      </c>
      <c r="AF256" s="1">
        <f>VLOOKUP(A256,'SegEnds_NonXtal_Prot#'!A:AL,22,FALSE)-VLOOKUP(A256,'SegEnds_NonXtal_Prot#'!A:AL,19,FALSE)</f>
        <v>20</v>
      </c>
      <c r="AG256" s="1" t="e">
        <f>VLOOKUP(#REF!,'SegEnds_NonXtal_Prot#'!#REF!,28,FALSE)-VLOOKUP(#REF!,'SegEnds_NonXtal_Prot#'!#REF!,25,FALSE)</f>
        <v>#REF!</v>
      </c>
      <c r="AH256" s="1">
        <f>VLOOKUP(A256,'SegEnds_NonXtal_Prot#'!A:AL,28,FALSE)-VLOOKUP(A256,'SegEnds_NonXtal_Prot#'!A:AL,25,FALSE)</f>
        <v>25</v>
      </c>
      <c r="AI256" s="1">
        <f>VLOOKUP(A256,'SegEnds_NonXtal_Prot#'!A:AL,28,FALSE)-VLOOKUP(A256,'SegEnds_NonXtal_Prot#'!A:AL,22,FALSE)</f>
        <v>51</v>
      </c>
      <c r="AJ256" s="1">
        <f>VLOOKUP(A256,'SegEnds_NonXtal_Prot#'!A:AL,31,FALSE)-VLOOKUP(A256,'SegEnds_NonXtal_Prot#'!A:AL,28,FALSE)</f>
        <v>46</v>
      </c>
      <c r="AK256" s="1">
        <f>VLOOKUP(A256,'SegEnds_NonXtal_Prot#'!A:AL,34,FALSE)-VLOOKUP(A256,'SegEnds_NonXtal_Prot#'!A:AL,31,FALSE)</f>
        <v>44</v>
      </c>
      <c r="AL256" s="1">
        <f>VLOOKUP(A256,'SegEnds_NonXtal_Prot#'!A:AL,37,FALSE)-VLOOKUP(A256,'SegEnds_NonXtal_Prot#'!A:AL,34,FALSE)</f>
        <v>10</v>
      </c>
      <c r="AM256" s="1" t="str">
        <f>IF(ISERROR(MATCH(A256,'SegEnds_Xtal_Prot#'!B:B, 0)), "NoXtal", "Xtal")</f>
        <v>NoXtal</v>
      </c>
    </row>
    <row r="257" spans="1:39" x14ac:dyDescent="0.2">
      <c r="A257" s="1" t="s">
        <v>260</v>
      </c>
      <c r="B257" s="1" t="str">
        <f>VLOOKUP(A257,Xtal_Templ!A:B,2,FALSE)</f>
        <v>oprk_human</v>
      </c>
      <c r="C257" s="5">
        <f>VLOOKUP($B257&amp;"__wt",'SegEnds_Xtal_BW#'!$A:$Z,3,FALSE)</f>
        <v>30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08">
        <v>63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24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30</v>
      </c>
      <c r="T257" s="1">
        <f t="array" ref="T257">INDEX(ICL3_classA!$G$2:$G$41,MATCH(MIN(ABS(AJ257-ICL3_classA!$F$2:$F$41)),ABS(AJ257-ICL3_classA!$F$2:$F$41),0))</f>
        <v>68</v>
      </c>
      <c r="U257" s="1">
        <f t="array" ref="U257">INDEX(ICL3_classA!$H$2:$H$41,MATCH(MIN(ABS(AJ257-ICL3_classA!$F$2:$F$41)),ABS(AJ257-ICL3_classA!$F$2:$F$41),0))</f>
        <v>24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32</v>
      </c>
      <c r="AC257" s="1" t="e">
        <f>VLOOKUP(A257,'SegEnds_NonXtal_Prot#'!A:AL,10,FALSE)-VLOOKUP(A257,'SegEnds_NonXtal_Prot#'!A:AL,7,FALSE)</f>
        <v>#VALUE!</v>
      </c>
      <c r="AD257" s="1" t="e">
        <f>VLOOKUP(A257,'SegEnds_NonXtal_Prot#'!A:AL,13,FALSE)-VLOOKUP(A257,'SegEnds_NonXtal_Prot#'!A:AL,10,FALSE)</f>
        <v>#VALUE!</v>
      </c>
      <c r="AE257" s="1">
        <f>VLOOKUP(A257,'SegEnds_NonXtal_Prot#'!A:AL,16,FALSE)-VLOOKUP(A257,'SegEnds_NonXtal_Prot#'!A:AL,10,FALSE)</f>
        <v>49</v>
      </c>
      <c r="AF257" s="1">
        <f>VLOOKUP(A257,'SegEnds_NonXtal_Prot#'!A:AL,22,FALSE)-VLOOKUP(A257,'SegEnds_NonXtal_Prot#'!A:AL,19,FALSE)</f>
        <v>20</v>
      </c>
      <c r="AG257" s="1" t="e">
        <f>VLOOKUP(#REF!,'SegEnds_NonXtal_Prot#'!#REF!,28,FALSE)-VLOOKUP(#REF!,'SegEnds_NonXtal_Prot#'!#REF!,25,FALSE)</f>
        <v>#REF!</v>
      </c>
      <c r="AH257" s="1">
        <f>VLOOKUP(A257,'SegEnds_NonXtal_Prot#'!A:AL,28,FALSE)-VLOOKUP(A257,'SegEnds_NonXtal_Prot#'!A:AL,25,FALSE)</f>
        <v>25</v>
      </c>
      <c r="AI257" s="1">
        <f>VLOOKUP(A257,'SegEnds_NonXtal_Prot#'!A:AL,28,FALSE)-VLOOKUP(A257,'SegEnds_NonXtal_Prot#'!A:AL,22,FALSE)</f>
        <v>47</v>
      </c>
      <c r="AJ257" s="1">
        <f>VLOOKUP(A257,'SegEnds_NonXtal_Prot#'!A:AL,31,FALSE)-VLOOKUP(A257,'SegEnds_NonXtal_Prot#'!A:AL,28,FALSE)</f>
        <v>48</v>
      </c>
      <c r="AK257" s="1">
        <f>VLOOKUP(A257,'SegEnds_NonXtal_Prot#'!A:AL,34,FALSE)-VLOOKUP(A257,'SegEnds_NonXtal_Prot#'!A:AL,31,FALSE)</f>
        <v>44</v>
      </c>
      <c r="AL257" s="1">
        <f>VLOOKUP(A257,'SegEnds_NonXtal_Prot#'!A:AL,37,FALSE)-VLOOKUP(A257,'SegEnds_NonXtal_Prot#'!A:AL,34,FALSE)</f>
        <v>10</v>
      </c>
      <c r="AM257" s="1" t="str">
        <f>IF(ISERROR(MATCH(A257,'SegEnds_Xtal_Prot#'!B:B, 0)), "NoXtal", "Xtal")</f>
        <v>NoXtal</v>
      </c>
    </row>
    <row r="258" spans="1:39" x14ac:dyDescent="0.2">
      <c r="A258" s="1" t="s">
        <v>271</v>
      </c>
      <c r="B258" s="1" t="str">
        <f>VLOOKUP(A258,Xtal_Templ!A:B,2,FALSE)</f>
        <v>p2y12_human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 t="str">
        <f>VLOOKUP($B258&amp;"__wt",'SegEnds_Xtal_BW#'!$A:$Z,5,FALSE)</f>
        <v>-</v>
      </c>
      <c r="F258" s="1" t="str">
        <f>VLOOKUP($B258&amp;"__wt",'SegEnds_Xtal_BW#'!$A:$Z,6,FALSE)</f>
        <v>-</v>
      </c>
      <c r="G258" s="1">
        <v>37</v>
      </c>
      <c r="H258" s="12">
        <f>VLOOKUP($B258&amp;"__wt",'SegEnds_Xtal_BW#'!$A:$Z,8,FALSE)</f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30</v>
      </c>
      <c r="T258" s="1">
        <f t="array" ref="T258">INDEX(ICL3_classA!$G$2:$G$41,MATCH(MIN(ABS(AJ258-ICL3_classA!$F$2:$F$41)),ABS(AJ258-ICL3_classA!$F$2:$F$41),0))</f>
        <v>68</v>
      </c>
      <c r="U258" s="1">
        <f t="array" ref="U258">INDEX(ICL3_classA!$H$2:$H$41,MATCH(MIN(ABS(AJ258-ICL3_classA!$F$2:$F$41)),ABS(AJ258-ICL3_classA!$F$2:$F$41),0))</f>
        <v>24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57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27</v>
      </c>
      <c r="AC258" s="1" t="e">
        <f>VLOOKUP(A258,'SegEnds_NonXtal_Prot#'!A:AL,10,FALSE)-VLOOKUP(A258,'SegEnds_NonXtal_Prot#'!A:AL,7,FALSE)</f>
        <v>#VALUE!</v>
      </c>
      <c r="AD258" s="1">
        <f>VLOOKUP(A258,'SegEnds_NonXtal_Prot#'!A:AL,13,FALSE)-VLOOKUP(A258,'SegEnds_NonXtal_Prot#'!A:AL,10,FALSE)</f>
        <v>20</v>
      </c>
      <c r="AE258" s="1">
        <f>VLOOKUP(A258,'SegEnds_NonXtal_Prot#'!A:AL,16,FALSE)-VLOOKUP(A258,'SegEnds_NonXtal_Prot#'!A:AL,10,FALSE)</f>
        <v>52</v>
      </c>
      <c r="AF258" s="1">
        <f>VLOOKUP(A258,'SegEnds_NonXtal_Prot#'!A:AL,22,FALSE)-VLOOKUP(A258,'SegEnds_NonXtal_Prot#'!A:AL,19,FALSE)</f>
        <v>20</v>
      </c>
      <c r="AG258" s="1" t="e">
        <f>VLOOKUP(#REF!,'SegEnds_NonXtal_Prot#'!#REF!,28,FALSE)-VLOOKUP(#REF!,'SegEnds_NonXtal_Prot#'!#REF!,25,FALSE)</f>
        <v>#REF!</v>
      </c>
      <c r="AH258" s="1">
        <f>VLOOKUP(A258,'SegEnds_NonXtal_Prot#'!A:AL,28,FALSE)-VLOOKUP(A258,'SegEnds_NonXtal_Prot#'!A:AL,25,FALSE)</f>
        <v>26</v>
      </c>
      <c r="AI258" s="1">
        <f>VLOOKUP(A258,'SegEnds_NonXtal_Prot#'!A:AL,28,FALSE)-VLOOKUP(A258,'SegEnds_NonXtal_Prot#'!A:AL,22,FALSE)</f>
        <v>52</v>
      </c>
      <c r="AJ258" s="1">
        <f>VLOOKUP(A258,'SegEnds_NonXtal_Prot#'!A:AL,31,FALSE)-VLOOKUP(A258,'SegEnds_NonXtal_Prot#'!A:AL,28,FALSE)</f>
        <v>49</v>
      </c>
      <c r="AK258" s="1">
        <f>VLOOKUP(A258,'SegEnds_NonXtal_Prot#'!A:AL,34,FALSE)-VLOOKUP(A258,'SegEnds_NonXtal_Prot#'!A:AL,31,FALSE)</f>
        <v>44</v>
      </c>
      <c r="AL258" s="1">
        <f>VLOOKUP(A258,'SegEnds_NonXtal_Prot#'!A:AL,37,FALSE)-VLOOKUP(A258,'SegEnds_NonXtal_Prot#'!A:AL,34,FALSE)</f>
        <v>10</v>
      </c>
      <c r="AM258" s="1" t="str">
        <f>IF(ISERROR(MATCH(A258,'SegEnds_Xtal_Prot#'!B:B, 0)), "NoXtal", "Xtal")</f>
        <v>NoXtal</v>
      </c>
    </row>
    <row r="259" spans="1:39" x14ac:dyDescent="0.2">
      <c r="A259" s="1" t="s">
        <v>287</v>
      </c>
      <c r="B259" s="1" t="str">
        <f>VLOOKUP(A259,Xtal_Templ!A:B,2,FALSE)</f>
        <v>oprk_human</v>
      </c>
      <c r="C259" s="5">
        <f>VLOOKUP($B259&amp;"__wt",'SegEnds_Xtal_BW#'!$A:$Z,3,FALSE)</f>
        <v>30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v>66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21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7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INDEX(ICL3_classA!$G$2:$G$41,MATCH(MIN(ABS(AJ259-ICL3_classA!$F$2:$F$41)),ABS(AJ259-ICL3_classA!$F$2:$F$41),0))</f>
        <v>68</v>
      </c>
      <c r="U259" s="1">
        <f t="array" ref="U259">INDEX(ICL3_classA!$H$2:$H$41,MATCH(MIN(ABS(AJ259-ICL3_classA!$F$2:$F$41)),ABS(AJ259-ICL3_classA!$F$2:$F$41),0))</f>
        <v>24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59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19</v>
      </c>
      <c r="AE259" s="1">
        <f>VLOOKUP(A259,'SegEnds_NonXtal_Prot#'!A:AL,16,FALSE)-VLOOKUP(A259,'SegEnds_NonXtal_Prot#'!A:AL,10,FALSE)</f>
        <v>51</v>
      </c>
      <c r="AF259" s="1">
        <f>VLOOKUP(A259,'SegEnds_NonXtal_Prot#'!A:AL,22,FALSE)-VLOOKUP(A259,'SegEnds_NonXtal_Prot#'!A:AL,19,FALSE)</f>
        <v>20</v>
      </c>
      <c r="AG259" s="1" t="e">
        <f>VLOOKUP(#REF!,'SegEnds_NonXtal_Prot#'!#REF!,28,FALSE)-VLOOKUP(#REF!,'SegEnds_NonXtal_Prot#'!#REF!,25,FALSE)</f>
        <v>#REF!</v>
      </c>
      <c r="AH259" s="1">
        <f>VLOOKUP(A259,'SegEnds_NonXtal_Prot#'!A:AL,28,FALSE)-VLOOKUP(A259,'SegEnds_NonXtal_Prot#'!A:AL,25,FALSE)</f>
        <v>28</v>
      </c>
      <c r="AI259" s="1">
        <f>VLOOKUP(A259,'SegEnds_NonXtal_Prot#'!A:AL,28,FALSE)-VLOOKUP(A259,'SegEnds_NonXtal_Prot#'!A:AL,22,FALSE)</f>
        <v>53</v>
      </c>
      <c r="AJ259" s="1">
        <f>VLOOKUP(A259,'SegEnds_NonXtal_Prot#'!A:AL,31,FALSE)-VLOOKUP(A259,'SegEnds_NonXtal_Prot#'!A:AL,28,FALSE)</f>
        <v>48</v>
      </c>
      <c r="AK259" s="1">
        <f>VLOOKUP(A259,'SegEnds_NonXtal_Prot#'!A:AL,34,FALSE)-VLOOKUP(A259,'SegEnds_NonXtal_Prot#'!A:AL,31,FALSE)</f>
        <v>44</v>
      </c>
      <c r="AL259" s="1">
        <f>VLOOKUP(A259,'SegEnds_NonXtal_Prot#'!A:AL,37,FALSE)-VLOOKUP(A259,'SegEnds_NonXtal_Prot#'!A:AL,34,FALSE)</f>
        <v>10</v>
      </c>
      <c r="AM259" s="1" t="str">
        <f>IF(ISERROR(MATCH(A259,'SegEnds_Xtal_Prot#'!B:B, 0)), "NoXtal", "Xtal")</f>
        <v>NoXtal</v>
      </c>
    </row>
    <row r="260" spans="1:39" x14ac:dyDescent="0.2">
      <c r="A260" s="1" t="s">
        <v>289</v>
      </c>
      <c r="B260" s="1" t="str">
        <f>VLOOKUP(A260,Xtal_Templ!A:B,2,FALSE)</f>
        <v>cltr1_human</v>
      </c>
      <c r="C260" s="5">
        <f>VLOOKUP($B260&amp;"__wt",'SegEnds_Xtal_BW#'!$A:$Z,3,FALSE)</f>
        <v>20</v>
      </c>
      <c r="D260" s="108"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v>66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21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63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28</v>
      </c>
      <c r="T260" s="1">
        <f t="array" ref="T260">INDEX(ICL3_classA!$G$2:$G$41,MATCH(MIN(ABS(AJ260-ICL3_classA!$F$2:$F$41)),ABS(AJ260-ICL3_classA!$F$2:$F$41),0))</f>
        <v>68</v>
      </c>
      <c r="U260" s="1">
        <f t="array" ref="U260">INDEX(ICL3_classA!$H$2:$H$41,MATCH(MIN(ABS(AJ260-ICL3_classA!$F$2:$F$41)),ABS(AJ260-ICL3_classA!$F$2:$F$41),0))</f>
        <v>24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19</v>
      </c>
      <c r="AE260" s="1">
        <f>VLOOKUP(A260,'SegEnds_NonXtal_Prot#'!A:AL,16,FALSE)-VLOOKUP(A260,'SegEnds_NonXtal_Prot#'!A:AL,10,FALSE)</f>
        <v>51</v>
      </c>
      <c r="AF260" s="1">
        <f>VLOOKUP(A260,'SegEnds_NonXtal_Prot#'!A:AL,22,FALSE)-VLOOKUP(A260,'SegEnds_NonXtal_Prot#'!A:AL,19,FALSE)</f>
        <v>20</v>
      </c>
      <c r="AG260" s="1" t="e">
        <f>VLOOKUP(#REF!,'SegEnds_NonXtal_Prot#'!#REF!,28,FALSE)-VLOOKUP(#REF!,'SegEnds_NonXtal_Prot#'!#REF!,25,FALSE)</f>
        <v>#REF!</v>
      </c>
      <c r="AH260" s="1">
        <f>VLOOKUP(A260,'SegEnds_NonXtal_Prot#'!A:AL,28,FALSE)-VLOOKUP(A260,'SegEnds_NonXtal_Prot#'!A:AL,25,FALSE)</f>
        <v>28</v>
      </c>
      <c r="AI260" s="1">
        <f>VLOOKUP(A260,'SegEnds_NonXtal_Prot#'!A:AL,28,FALSE)-VLOOKUP(A260,'SegEnds_NonXtal_Prot#'!A:AL,22,FALSE)</f>
        <v>55</v>
      </c>
      <c r="AJ260" s="1">
        <f>VLOOKUP(A260,'SegEnds_NonXtal_Prot#'!A:AL,31,FALSE)-VLOOKUP(A260,'SegEnds_NonXtal_Prot#'!A:AL,28,FALSE)</f>
        <v>48</v>
      </c>
      <c r="AK260" s="1">
        <f>VLOOKUP(A260,'SegEnds_NonXtal_Prot#'!A:AL,34,FALSE)-VLOOKUP(A260,'SegEnds_NonXtal_Prot#'!A:AL,31,FALSE)</f>
        <v>44</v>
      </c>
      <c r="AL260" s="1">
        <f>VLOOKUP(A260,'SegEnds_NonXtal_Prot#'!A:AL,37,FALSE)-VLOOKUP(A260,'SegEnds_NonXtal_Prot#'!A:AL,34,FALSE)</f>
        <v>10</v>
      </c>
      <c r="AM260" s="1" t="str">
        <f>IF(ISERROR(MATCH(A260,'SegEnds_Xtal_Prot#'!B:B, 0)), "NoXtal", "Xtal")</f>
        <v>NoXtal</v>
      </c>
    </row>
    <row r="261" spans="1:39" x14ac:dyDescent="0.2">
      <c r="A261" s="1" t="s">
        <v>347</v>
      </c>
      <c r="B261" s="1" t="str">
        <f>VLOOKUP(A261,Xtal_Templ!A:B,2,FALSE)</f>
        <v>p2ry1_human</v>
      </c>
      <c r="C261" s="5">
        <f>VLOOKUP($B261&amp;"__wt",'SegEnds_Xtal_BW#'!$A:$Z,3,FALSE)</f>
        <v>30</v>
      </c>
      <c r="D261" s="1">
        <f>VLOOKUP($B261&amp;"__wt",'SegEnds_Xtal_BW#'!$A:$Z,4,FALSE)</f>
        <v>60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58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32</v>
      </c>
      <c r="T261" s="1">
        <f t="array" ref="T261">INDEX(ICL3_classA!$G$2:$G$41,MATCH(MIN(ABS(AJ261-ICL3_classA!$F$2:$F$41)),ABS(AJ261-ICL3_classA!$F$2:$F$41),0))</f>
        <v>72</v>
      </c>
      <c r="U261" s="1">
        <f t="array" ref="U261">INDEX(ICL3_classA!$H$2:$H$41,MATCH(MIN(ABS(AJ261-ICL3_classA!$F$2:$F$41)),ABS(AJ261-ICL3_classA!$F$2:$F$41),0))</f>
        <v>29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28</v>
      </c>
      <c r="AC261" s="1">
        <f>VLOOKUP(A261,'SegEnds_NonXtal_Prot#'!A:AL,10,FALSE)-VLOOKUP(A261,'SegEnds_NonXtal_Prot#'!A:AL,7,FALSE)</f>
        <v>15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21</v>
      </c>
      <c r="AG261" s="1" t="e">
        <f>VLOOKUP(#REF!,'SegEnds_NonXtal_Prot#'!#REF!,28,FALSE)-VLOOKUP(#REF!,'SegEnds_NonXtal_Prot#'!#REF!,25,FALSE)</f>
        <v>#REF!</v>
      </c>
      <c r="AH261" s="1">
        <f>VLOOKUP(A261,'SegEnds_NonXtal_Prot#'!A:AL,28,FALSE)-VLOOKUP(A261,'SegEnds_NonXtal_Prot#'!A:AL,25,FALSE)</f>
        <v>27</v>
      </c>
      <c r="AI261" s="1">
        <f>VLOOKUP(A261,'SegEnds_NonXtal_Prot#'!A:AL,28,FALSE)-VLOOKUP(A261,'SegEnds_NonXtal_Prot#'!A:AL,22,FALSE)</f>
        <v>52</v>
      </c>
      <c r="AJ261" s="1">
        <f>VLOOKUP(A261,'SegEnds_NonXtal_Prot#'!A:AL,31,FALSE)-VLOOKUP(A261,'SegEnds_NonXtal_Prot#'!A:AL,28,FALSE)</f>
        <v>50</v>
      </c>
      <c r="AK261" s="1">
        <f>VLOOKUP(A261,'SegEnds_NonXtal_Prot#'!A:AL,34,FALSE)-VLOOKUP(A261,'SegEnds_NonXtal_Prot#'!A:AL,31,FALSE)</f>
        <v>44</v>
      </c>
      <c r="AL261" s="1">
        <f>VLOOKUP(A261,'SegEnds_NonXtal_Prot#'!A:AL,37,FALSE)-VLOOKUP(A261,'SegEnds_NonXtal_Prot#'!A:AL,34,FALSE)</f>
        <v>10</v>
      </c>
      <c r="AM261" s="1" t="str">
        <f>IF(ISERROR(MATCH(A261,'SegEnds_Xtal_Prot#'!B:B, 0)), "NoXtal", "Xtal")</f>
        <v>NoXtal</v>
      </c>
    </row>
    <row r="262" spans="1:39" x14ac:dyDescent="0.2">
      <c r="A262" s="4" t="s">
        <v>349</v>
      </c>
      <c r="B262" s="4" t="str">
        <f>VLOOKUP(A262,Xtal_Templ!A:B,2,FALSE)</f>
        <v>ptafr_human</v>
      </c>
      <c r="C262" s="5">
        <f>VLOOKUP($B262&amp;"__wt",'SegEnds_Xtal_BW#'!$A:$Z,3,FALSE)</f>
        <v>27</v>
      </c>
      <c r="D262" s="4">
        <f>VLOOKUP($B262&amp;"__wt",'SegEnds_Xtal_BW#'!$A:$Z,4,FALSE)</f>
        <v>61</v>
      </c>
      <c r="E262" s="4" t="str">
        <f>VLOOKUP($B262&amp;"__wt",'SegEnds_Xtal_BW#'!$A:$Z,5,FALSE)</f>
        <v>-</v>
      </c>
      <c r="F262" s="4" t="str">
        <f>VLOOKUP($B262&amp;"__wt",'SegEnds_Xtal_BW#'!$A:$Z,6,FALSE)</f>
        <v>-</v>
      </c>
      <c r="G262" s="4">
        <v>37</v>
      </c>
      <c r="H262" s="11">
        <v>66</v>
      </c>
      <c r="I262" s="4">
        <f>VLOOKUP($B262&amp;"__wt",'SegEnds_Xtal_BW#'!$A:$Z,9,FALSE)</f>
        <v>49</v>
      </c>
      <c r="J262" s="4">
        <f>VLOOKUP($B262&amp;"__wt",'SegEnds_Xtal_BW#'!$A:$Z,10,FALSE)</f>
        <v>52</v>
      </c>
      <c r="K262" s="11">
        <v>21</v>
      </c>
      <c r="L262" s="4">
        <f>VLOOKUP($B262&amp;"__wt",'SegEnds_Xtal_BW#'!$A:$Z,12,FALSE)</f>
        <v>56</v>
      </c>
      <c r="M262" s="4">
        <f>VLOOKUP($B262&amp;"__wt",'SegEnds_Xtal_BW#'!$A:$Z,13,FALSE)</f>
        <v>50</v>
      </c>
      <c r="N262" s="108">
        <v>56</v>
      </c>
      <c r="O262" s="87">
        <f>VLOOKUP($B262&amp;"__wt",'SegEnds_Xtal_BW#'!$A:$Z,15,FALSE)</f>
        <v>38</v>
      </c>
      <c r="P262" s="4">
        <f>VLOOKUP($B262&amp;"__wt",'SegEnds_Xtal_BW#'!$A:$Z,16,FALSE)</f>
        <v>63</v>
      </c>
      <c r="Q262" s="4">
        <f>VLOOKUP($B262&amp;"__wt",'SegEnds_Xtal_BW#'!$A:$Z,17,FALSE)</f>
        <v>50</v>
      </c>
      <c r="R262" s="4">
        <f>VLOOKUP($B262&amp;"__wt",'SegEnds_Xtal_BW#'!$A:$Z,18,FALSE)</f>
        <v>52</v>
      </c>
      <c r="S262" s="4">
        <f>VLOOKUP($B262&amp;"__wt",'SegEnds_Xtal_BW#'!$A:$Z,19,FALSE)</f>
        <v>33</v>
      </c>
      <c r="T262" s="4">
        <f t="array" ref="T262">INDEX(ICL3_classA!$G$2:$G$41,MATCH(MIN(ABS(AJ262-ICL3_classA!$F$2:$F$41)),ABS(AJ262-ICL3_classA!$F$2:$F$41),0))</f>
        <v>68</v>
      </c>
      <c r="U262" s="4">
        <f t="array" ref="U262">INDEX(ICL3_classA!$H$2:$H$41,MATCH(MIN(ABS(AJ262-ICL3_classA!$F$2:$F$41)),ABS(AJ262-ICL3_classA!$F$2:$F$41),0))</f>
        <v>24</v>
      </c>
      <c r="V262" s="4">
        <v>64</v>
      </c>
      <c r="W262" s="4">
        <v>24</v>
      </c>
      <c r="X262" s="4">
        <f>VLOOKUP($B262&amp;"__wt",'SegEnds_Xtal_BW#'!$A:$Z,24,FALSE)</f>
        <v>59</v>
      </c>
      <c r="Y262" s="4">
        <f>VLOOKUP($B262&amp;"__wt",'SegEnds_Xtal_BW#'!$A:$Z,25,FALSE)</f>
        <v>50</v>
      </c>
      <c r="Z262" s="4">
        <f>VLOOKUP($B262&amp;"__wt",'SegEnds_Xtal_BW#'!$A:$Z,26,FALSE)</f>
        <v>63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4" t="e">
        <f>VLOOKUP(A262,'SegEnds_NonXtal_Prot#'!A:AL,10,FALSE)-VLOOKUP(A262,'SegEnds_NonXtal_Prot#'!A:AL,7,FALSE)</f>
        <v>#VALUE!</v>
      </c>
      <c r="AD262" s="4">
        <f>VLOOKUP(A262,'SegEnds_NonXtal_Prot#'!A:AL,13,FALSE)-VLOOKUP(A262,'SegEnds_NonXtal_Prot#'!A:AL,10,FALSE)</f>
        <v>19</v>
      </c>
      <c r="AE262" s="4">
        <f>VLOOKUP(A262,'SegEnds_NonXtal_Prot#'!A:AL,16,FALSE)-VLOOKUP(A262,'SegEnds_NonXtal_Prot#'!A:AL,10,FALSE)</f>
        <v>51</v>
      </c>
      <c r="AF262" s="1">
        <f>VLOOKUP(A262,'SegEnds_NonXtal_Prot#'!A:AL,22,FALSE)-VLOOKUP(A262,'SegEnds_NonXtal_Prot#'!A:AL,19,FALSE)</f>
        <v>19</v>
      </c>
      <c r="AG262" s="4" t="e">
        <f>VLOOKUP(#REF!,'SegEnds_NonXtal_Prot#'!#REF!,28,FALSE)-VLOOKUP(#REF!,'SegEnds_NonXtal_Prot#'!#REF!,25,FALSE)</f>
        <v>#REF!</v>
      </c>
      <c r="AH262" s="4">
        <f>VLOOKUP(A262,'SegEnds_NonXtal_Prot#'!A:AL,28,FALSE)-VLOOKUP(A262,'SegEnds_NonXtal_Prot#'!A:AL,25,FALSE)</f>
        <v>29</v>
      </c>
      <c r="AI262" s="1">
        <f>VLOOKUP(A262,'SegEnds_NonXtal_Prot#'!A:AL,28,FALSE)-VLOOKUP(A262,'SegEnds_NonXtal_Prot#'!A:AL,22,FALSE)</f>
        <v>53</v>
      </c>
      <c r="AJ262" s="4">
        <f>VLOOKUP(A262,'SegEnds_NonXtal_Prot#'!A:AL,31,FALSE)-VLOOKUP(A262,'SegEnds_NonXtal_Prot#'!A:AL,28,FALSE)</f>
        <v>48</v>
      </c>
      <c r="AK262" s="4">
        <f>VLOOKUP(A262,'SegEnds_NonXtal_Prot#'!A:AL,34,FALSE)-VLOOKUP(A262,'SegEnds_NonXtal_Prot#'!A:AL,31,FALSE)</f>
        <v>44</v>
      </c>
      <c r="AL262" s="1">
        <f>VLOOKUP(A262,'SegEnds_NonXtal_Prot#'!A:AL,37,FALSE)-VLOOKUP(A262,'SegEnds_NonXtal_Prot#'!A:AL,34,FALSE)</f>
        <v>10</v>
      </c>
      <c r="AM262" s="1" t="str">
        <f>IF(ISERROR(MATCH(A262,'SegEnds_Xtal_Prot#'!B:B, 0)), "NoXtal", "Xtal")</f>
        <v>NoXtal</v>
      </c>
    </row>
    <row r="263" spans="1:39" x14ac:dyDescent="0.2">
      <c r="A263" s="1" t="s">
        <v>351</v>
      </c>
      <c r="B263" s="1" t="str">
        <f>VLOOKUP(A263,Xtal_Templ!A:B,2,FALSE)</f>
        <v>p2y12_human</v>
      </c>
      <c r="C263" s="5">
        <f>VLOOKUP($B263&amp;"__wt",'SegEnds_Xtal_BW#'!$A:$Z,3,FALSE)</f>
        <v>28</v>
      </c>
      <c r="D263" s="1">
        <f>VLOOKUP($B263&amp;"__wt",'SegEnds_Xtal_BW#'!$A:$Z,4,FALSE)</f>
        <v>60</v>
      </c>
      <c r="E263" s="1" t="str">
        <f>VLOOKUP($B263&amp;"__wt",'SegEnds_Xtal_BW#'!$A:$Z,5,FALSE)</f>
        <v>-</v>
      </c>
      <c r="F263" s="1" t="str">
        <f>VLOOKUP($B263&amp;"__wt",'SegEnds_Xtal_BW#'!$A:$Z,6,FALSE)</f>
        <v>-</v>
      </c>
      <c r="G263" s="1">
        <v>37</v>
      </c>
      <c r="H263" s="12">
        <f>VLOOKUP($B263&amp;"__wt",'SegEnds_Xtal_BW#'!$A:$Z,8,FALSE)</f>
        <v>66</v>
      </c>
      <c r="I263" s="1" t="str">
        <f>VLOOKUP($B263&amp;"__wt",'SegEnds_Xtal_BW#'!$A:$Z,9,FALSE)</f>
        <v>-</v>
      </c>
      <c r="J263" s="1" t="str">
        <f>VLOOKUP($B263&amp;"__wt",'SegEnds_Xtal_BW#'!$A:$Z,10,FALSE)</f>
        <v>-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30</v>
      </c>
      <c r="T263" s="1">
        <f t="array" ref="T263">INDEX(ICL3_classA!$G$2:$G$41,MATCH(MIN(ABS(AJ263-ICL3_classA!$F$2:$F$41)),ABS(AJ263-ICL3_classA!$F$2:$F$41),0))</f>
        <v>72</v>
      </c>
      <c r="U263" s="1">
        <f t="array" ref="U263">INDEX(ICL3_classA!$H$2:$H$41,MATCH(MIN(ABS(AJ263-ICL3_classA!$F$2:$F$41)),ABS(AJ263-ICL3_classA!$F$2:$F$41),0))</f>
        <v>29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57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27</v>
      </c>
      <c r="AC263" s="1" t="e">
        <f>VLOOKUP(A263,'SegEnds_NonXtal_Prot#'!A:AL,10,FALSE)-VLOOKUP(A263,'SegEnds_NonXtal_Prot#'!A:AL,7,FALSE)</f>
        <v>#VALUE!</v>
      </c>
      <c r="AD263" s="1" t="e">
        <f>VLOOKUP(A263,'SegEnds_NonXtal_Prot#'!A:AL,13,FALSE)-VLOOKUP(A263,'SegEnds_NonXtal_Prot#'!A:AL,10,FALSE)</f>
        <v>#VALUE!</v>
      </c>
      <c r="AE263" s="1">
        <f>VLOOKUP(A263,'SegEnds_NonXtal_Prot#'!A:AL,16,FALSE)-VLOOKUP(A263,'SegEnds_NonXtal_Prot#'!A:AL,10,FALSE)</f>
        <v>52</v>
      </c>
      <c r="AF263" s="1">
        <f>VLOOKUP(A263,'SegEnds_NonXtal_Prot#'!A:AL,22,FALSE)-VLOOKUP(A263,'SegEnds_NonXtal_Prot#'!A:AL,19,FALSE)</f>
        <v>20</v>
      </c>
      <c r="AG263" s="1" t="e">
        <f>VLOOKUP(#REF!,'SegEnds_NonXtal_Prot#'!#REF!,28,FALSE)-VLOOKUP(#REF!,'SegEnds_NonXtal_Prot#'!#REF!,25,FALSE)</f>
        <v>#REF!</v>
      </c>
      <c r="AH263" s="1">
        <f>VLOOKUP(A263,'SegEnds_NonXtal_Prot#'!A:AL,28,FALSE)-VLOOKUP(A263,'SegEnds_NonXtal_Prot#'!A:AL,25,FALSE)</f>
        <v>26</v>
      </c>
      <c r="AI263" s="1">
        <f>VLOOKUP(A263,'SegEnds_NonXtal_Prot#'!A:AL,28,FALSE)-VLOOKUP(A263,'SegEnds_NonXtal_Prot#'!A:AL,22,FALSE)</f>
        <v>52</v>
      </c>
      <c r="AJ263" s="1">
        <f>VLOOKUP(A263,'SegEnds_NonXtal_Prot#'!A:AL,31,FALSE)-VLOOKUP(A263,'SegEnds_NonXtal_Prot#'!A:AL,28,FALSE)</f>
        <v>50</v>
      </c>
      <c r="AK263" s="1">
        <f>VLOOKUP(A263,'SegEnds_NonXtal_Prot#'!A:AL,34,FALSE)-VLOOKUP(A263,'SegEnds_NonXtal_Prot#'!A:AL,31,FALSE)</f>
        <v>44</v>
      </c>
      <c r="AL263" s="1">
        <f>VLOOKUP(A263,'SegEnds_NonXtal_Prot#'!A:AL,37,FALSE)-VLOOKUP(A263,'SegEnds_NonXtal_Prot#'!A:AL,34,FALSE)</f>
        <v>10</v>
      </c>
      <c r="AM263" s="1" t="str">
        <f>IF(ISERROR(MATCH(A263,'SegEnds_Xtal_Prot#'!B:B, 0)), "NoXtal", "Xtal")</f>
        <v>Xtal</v>
      </c>
    </row>
    <row r="264" spans="1:39" x14ac:dyDescent="0.2">
      <c r="A264" s="1" t="s">
        <v>352</v>
      </c>
      <c r="B264" s="1" t="str">
        <f>VLOOKUP(A264,Xtal_Templ!A:B,2,FALSE)</f>
        <v>p2y12_human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 t="str">
        <f>VLOOKUP($B264&amp;"__wt",'SegEnds_Xtal_BW#'!$A:$Z,5,FALSE)</f>
        <v>-</v>
      </c>
      <c r="F264" s="1" t="str">
        <f>VLOOKUP($B264&amp;"__wt",'SegEnds_Xtal_BW#'!$A:$Z,6,FALSE)</f>
        <v>-</v>
      </c>
      <c r="G264" s="1">
        <v>37</v>
      </c>
      <c r="H264" s="12">
        <f>VLOOKUP($B264&amp;"__wt",'SegEnds_Xtal_BW#'!$A:$Z,8,FALSE)</f>
        <v>66</v>
      </c>
      <c r="I264" s="1" t="str">
        <f>VLOOKUP($B264&amp;"__wt",'SegEnds_Xtal_BW#'!$A:$Z,9,FALSE)</f>
        <v>-</v>
      </c>
      <c r="J264" s="1" t="str">
        <f>VLOOKUP($B264&amp;"__wt",'SegEnds_Xtal_BW#'!$A:$Z,10,FALSE)</f>
        <v>-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30</v>
      </c>
      <c r="T264" s="1">
        <f t="array" ref="T264">INDEX(ICL3_classA!$G$2:$G$41,MATCH(MIN(ABS(AJ264-ICL3_classA!$F$2:$F$41)),ABS(AJ264-ICL3_classA!$F$2:$F$41),0))</f>
        <v>72</v>
      </c>
      <c r="U264" s="1">
        <f t="array" ref="U264">INDEX(ICL3_classA!$H$2:$H$41,MATCH(MIN(ABS(AJ264-ICL3_classA!$F$2:$F$41)),ABS(AJ264-ICL3_classA!$F$2:$F$41),0))</f>
        <v>29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57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27</v>
      </c>
      <c r="AC264" s="1" t="e">
        <f>VLOOKUP(A264,'SegEnds_NonXtal_Prot#'!A:AL,10,FALSE)-VLOOKUP(A264,'SegEnds_NonXtal_Prot#'!A:AL,7,FALSE)</f>
        <v>#VALUE!</v>
      </c>
      <c r="AD264" s="1" t="e">
        <f>VLOOKUP(A264,'SegEnds_NonXtal_Prot#'!A:AL,13,FALSE)-VLOOKUP(A264,'SegEnds_NonXtal_Prot#'!A:AL,10,FALSE)</f>
        <v>#VALUE!</v>
      </c>
      <c r="AE264" s="1">
        <f>VLOOKUP(A264,'SegEnds_NonXtal_Prot#'!A:AL,16,FALSE)-VLOOKUP(A264,'SegEnds_NonXtal_Prot#'!A:AL,10,FALSE)</f>
        <v>52</v>
      </c>
      <c r="AF264" s="1">
        <f>VLOOKUP(A264,'SegEnds_NonXtal_Prot#'!A:AL,22,FALSE)-VLOOKUP(A264,'SegEnds_NonXtal_Prot#'!A:AL,19,FALSE)</f>
        <v>20</v>
      </c>
      <c r="AG264" s="1" t="e">
        <f>VLOOKUP(#REF!,'SegEnds_NonXtal_Prot#'!#REF!,28,FALSE)-VLOOKUP(#REF!,'SegEnds_NonXtal_Prot#'!#REF!,25,FALSE)</f>
        <v>#REF!</v>
      </c>
      <c r="AH264" s="1">
        <f>VLOOKUP(A264,'SegEnds_NonXtal_Prot#'!A:AL,28,FALSE)-VLOOKUP(A264,'SegEnds_NonXtal_Prot#'!A:AL,25,FALSE)</f>
        <v>26</v>
      </c>
      <c r="AI264" s="1">
        <f>VLOOKUP(A264,'SegEnds_NonXtal_Prot#'!A:AL,28,FALSE)-VLOOKUP(A264,'SegEnds_NonXtal_Prot#'!A:AL,22,FALSE)</f>
        <v>52</v>
      </c>
      <c r="AJ264" s="1">
        <f>VLOOKUP(A264,'SegEnds_NonXtal_Prot#'!A:AL,31,FALSE)-VLOOKUP(A264,'SegEnds_NonXtal_Prot#'!A:AL,28,FALSE)</f>
        <v>50</v>
      </c>
      <c r="AK264" s="1">
        <f>VLOOKUP(A264,'SegEnds_NonXtal_Prot#'!A:AL,34,FALSE)-VLOOKUP(A264,'SegEnds_NonXtal_Prot#'!A:AL,31,FALSE)</f>
        <v>44</v>
      </c>
      <c r="AL264" s="1">
        <f>VLOOKUP(A264,'SegEnds_NonXtal_Prot#'!A:AL,37,FALSE)-VLOOKUP(A264,'SegEnds_NonXtal_Prot#'!A:AL,34,FALSE)</f>
        <v>10</v>
      </c>
      <c r="AM264" s="1" t="str">
        <f>IF(ISERROR(MATCH(A264,'SegEnds_Xtal_Prot#'!B:B, 0)), "NoXtal", "Xtal")</f>
        <v>NoXtal</v>
      </c>
    </row>
    <row r="265" spans="1:39" x14ac:dyDescent="0.2">
      <c r="A265" s="1" t="s">
        <v>353</v>
      </c>
      <c r="B265" s="1" t="str">
        <f>VLOOKUP(A265,Xtal_Templ!A:B,2,FALSE)</f>
        <v>p2y12_human</v>
      </c>
      <c r="C265" s="5">
        <f>VLOOKUP($B265&amp;"__wt",'SegEnds_Xtal_BW#'!$A:$Z,3,FALSE)</f>
        <v>28</v>
      </c>
      <c r="D265" s="1">
        <f>VLOOKUP($B265&amp;"__wt",'SegEnds_Xtal_BW#'!$A:$Z,4,FALSE)</f>
        <v>60</v>
      </c>
      <c r="E265" s="1" t="str">
        <f>VLOOKUP($B265&amp;"__wt",'SegEnds_Xtal_BW#'!$A:$Z,5,FALSE)</f>
        <v>-</v>
      </c>
      <c r="F265" s="1" t="str">
        <f>VLOOKUP($B265&amp;"__wt",'SegEnds_Xtal_BW#'!$A:$Z,6,FALSE)</f>
        <v>-</v>
      </c>
      <c r="G265" s="1">
        <v>37</v>
      </c>
      <c r="H265" s="12">
        <f>VLOOKUP($B265&amp;"__wt",'SegEnds_Xtal_BW#'!$A:$Z,8,FALSE)</f>
        <v>66</v>
      </c>
      <c r="I265" s="1" t="str">
        <f>VLOOKUP($B265&amp;"__wt",'SegEnds_Xtal_BW#'!$A:$Z,9,FALSE)</f>
        <v>-</v>
      </c>
      <c r="J265" s="1" t="str">
        <f>VLOOKUP($B265&amp;"__wt",'SegEnds_Xtal_BW#'!$A:$Z,10,FALSE)</f>
        <v>-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57</v>
      </c>
      <c r="O265" s="87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30</v>
      </c>
      <c r="T265" s="1">
        <f t="array" ref="T265">INDEX(ICL3_classA!$G$2:$G$41,MATCH(MIN(ABS(AJ265-ICL3_classA!$F$2:$F$41)),ABS(AJ265-ICL3_classA!$F$2:$F$41),0))</f>
        <v>72</v>
      </c>
      <c r="U265" s="1">
        <f t="array" ref="U265">INDEX(ICL3_classA!$H$2:$H$41,MATCH(MIN(ABS(AJ265-ICL3_classA!$F$2:$F$41)),ABS(AJ265-ICL3_classA!$F$2:$F$41),0))</f>
        <v>29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57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27</v>
      </c>
      <c r="AC265" s="1" t="e">
        <f>VLOOKUP(A265,'SegEnds_NonXtal_Prot#'!A:AL,10,FALSE)-VLOOKUP(A265,'SegEnds_NonXtal_Prot#'!A:AL,7,FALSE)</f>
        <v>#VALUE!</v>
      </c>
      <c r="AD265" s="1" t="e">
        <f>VLOOKUP(A265,'SegEnds_NonXtal_Prot#'!A:AL,13,FALSE)-VLOOKUP(A265,'SegEnds_NonXtal_Prot#'!A:AL,10,FALSE)</f>
        <v>#VALUE!</v>
      </c>
      <c r="AE265" s="1">
        <f>VLOOKUP(A265,'SegEnds_NonXtal_Prot#'!A:AL,16,FALSE)-VLOOKUP(A265,'SegEnds_NonXtal_Prot#'!A:AL,10,FALSE)</f>
        <v>52</v>
      </c>
      <c r="AF265" s="1">
        <f>VLOOKUP(A265,'SegEnds_NonXtal_Prot#'!A:AL,22,FALSE)-VLOOKUP(A265,'SegEnds_NonXtal_Prot#'!A:AL,19,FALSE)</f>
        <v>20</v>
      </c>
      <c r="AG265" s="1" t="e">
        <f>VLOOKUP(#REF!,'SegEnds_NonXtal_Prot#'!#REF!,28,FALSE)-VLOOKUP(#REF!,'SegEnds_NonXtal_Prot#'!#REF!,25,FALSE)</f>
        <v>#REF!</v>
      </c>
      <c r="AH265" s="1">
        <f>VLOOKUP(A265,'SegEnds_NonXtal_Prot#'!A:AL,28,FALSE)-VLOOKUP(A265,'SegEnds_NonXtal_Prot#'!A:AL,25,FALSE)</f>
        <v>26</v>
      </c>
      <c r="AI265" s="1">
        <f>VLOOKUP(A265,'SegEnds_NonXtal_Prot#'!A:AL,28,FALSE)-VLOOKUP(A265,'SegEnds_NonXtal_Prot#'!A:AL,22,FALSE)</f>
        <v>52</v>
      </c>
      <c r="AJ265" s="1">
        <f>VLOOKUP(A265,'SegEnds_NonXtal_Prot#'!A:AL,31,FALSE)-VLOOKUP(A265,'SegEnds_NonXtal_Prot#'!A:AL,28,FALSE)</f>
        <v>50</v>
      </c>
      <c r="AK265" s="1">
        <f>VLOOKUP(A265,'SegEnds_NonXtal_Prot#'!A:AL,34,FALSE)-VLOOKUP(A265,'SegEnds_NonXtal_Prot#'!A:AL,31,FALSE)</f>
        <v>44</v>
      </c>
      <c r="AL265" s="1">
        <f>VLOOKUP(A265,'SegEnds_NonXtal_Prot#'!A:AL,37,FALSE)-VLOOKUP(A265,'SegEnds_NonXtal_Prot#'!A:AL,34,FALSE)</f>
        <v>10</v>
      </c>
      <c r="AM265" s="1" t="str">
        <f>IF(ISERROR(MATCH(A265,'SegEnds_Xtal_Prot#'!B:B, 0)), "NoXtal", "Xtal")</f>
        <v>NoXtal</v>
      </c>
    </row>
    <row r="266" spans="1:39" x14ac:dyDescent="0.2">
      <c r="A266" s="1" t="s">
        <v>1434</v>
      </c>
      <c r="B266" s="1" t="str">
        <f>VLOOKUP(A266,Xtal_Templ!A:B,2,FALSE)</f>
        <v>q08bg4_danre</v>
      </c>
      <c r="C266" s="5">
        <f>VLOOKUP($B266&amp;"__wt",'SegEnds_Xtal_BW#'!$A:$Z,3,FALSE)</f>
        <v>31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f>VLOOKUP($B266&amp;"__wt",'SegEnds_Xtal_BW#'!$A:$Z,11,FALSE)</f>
        <v>21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08">
        <f>VLOOKUP($B266&amp;"__wt",'SegEnds_Xtal_BW#'!$A:$Z,14,FALSE)</f>
        <v>57</v>
      </c>
      <c r="O266" s="108">
        <f>VLOOKUP($B266&amp;"__wt",'SegEnds_Xtal_BW#'!$A:$Z,15,FALSE)</f>
        <v>38</v>
      </c>
      <c r="P266" s="1">
        <f>VLOOKUP($B266&amp;"__wt",'SegEnds_Xtal_BW#'!$A:$Z,16,FALSE)</f>
        <v>65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31</v>
      </c>
      <c r="T266" s="1">
        <f t="array" ref="T266">INDEX(ICL3_classA!$G$2:$G$41,MATCH(MIN(ABS(AJ266-ICL3_classA!$F$2:$F$41)),ABS(AJ266-ICL3_classA!$F$2:$F$41),0))</f>
        <v>68</v>
      </c>
      <c r="U266" s="1">
        <f t="array" ref="U266">INDEX(ICL3_classA!$H$2:$H$41,MATCH(MIN(ABS(AJ266-ICL3_classA!$F$2:$F$41)),ABS(AJ266-ICL3_classA!$F$2:$F$41),0))</f>
        <v>24</v>
      </c>
      <c r="V266" s="108">
        <v>64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61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19</v>
      </c>
      <c r="AE266" s="1">
        <f>VLOOKUP(A266,'SegEnds_NonXtal_Prot#'!A:AL,16,FALSE)-VLOOKUP(A266,'SegEnds_NonXtal_Prot#'!A:AL,10,FALSE)</f>
        <v>51</v>
      </c>
      <c r="AF266" s="1">
        <f>VLOOKUP(A266,'SegEnds_NonXtal_Prot#'!A:AL,22,FALSE)-VLOOKUP(A266,'SegEnds_NonXtal_Prot#'!A:AL,19,FALSE)</f>
        <v>20</v>
      </c>
      <c r="AG266" s="1" t="e">
        <f>VLOOKUP(#REF!,'SegEnds_NonXtal_Prot#'!#REF!,28,FALSE)-VLOOKUP(#REF!,'SegEnds_NonXtal_Prot#'!#REF!,25,FALSE)</f>
        <v>#REF!</v>
      </c>
      <c r="AH266" s="1">
        <f>VLOOKUP(A266,'SegEnds_NonXtal_Prot#'!A:AL,28,FALSE)-VLOOKUP(A266,'SegEnds_NonXtal_Prot#'!A:AL,25,FALSE)</f>
        <v>28</v>
      </c>
      <c r="AI266" s="1">
        <f>VLOOKUP(A266,'SegEnds_NonXtal_Prot#'!A:AL,28,FALSE)-VLOOKUP(A266,'SegEnds_NonXtal_Prot#'!A:AL,22,FALSE)</f>
        <v>55</v>
      </c>
      <c r="AJ266" s="1">
        <f>VLOOKUP(A266,'SegEnds_NonXtal_Prot#'!A:AL,31,FALSE)-VLOOKUP(A266,'SegEnds_NonXtal_Prot#'!A:AL,28,FALSE)</f>
        <v>49</v>
      </c>
      <c r="AK266" s="1">
        <f>VLOOKUP(A266,'SegEnds_NonXtal_Prot#'!A:AL,34,FALSE)-VLOOKUP(A266,'SegEnds_NonXtal_Prot#'!A:AL,31,FALSE)</f>
        <v>44</v>
      </c>
      <c r="AL266" s="1">
        <f>VLOOKUP(A266,'SegEnds_NonXtal_Prot#'!A:AL,37,FALSE)-VLOOKUP(A266,'SegEnds_NonXtal_Prot#'!A:AL,34,FALSE)</f>
        <v>10</v>
      </c>
      <c r="AM266" s="1" t="str">
        <f>IF(ISERROR(MATCH(A266,'SegEnds_Xtal_Prot#'!B:B, 0)), "NoXtal", "Xtal")</f>
        <v>Xtal</v>
      </c>
    </row>
    <row r="267" spans="1:39" x14ac:dyDescent="0.2">
      <c r="A267" s="4" t="s">
        <v>1591</v>
      </c>
      <c r="B267" s="4" t="str">
        <f>VLOOKUP(A267,Xtal_Templ!A:B,2,FALSE)</f>
        <v>sucr1_rat</v>
      </c>
      <c r="C267" s="5">
        <f>VLOOKUP($B267&amp;"__wt",'SegEnds_Xtal_BW#'!$A:$Z,3,FALSE)</f>
        <v>20</v>
      </c>
      <c r="D267" s="4">
        <f>VLOOKUP($B267&amp;"__wt",'SegEnds_Xtal_BW#'!$A:$Z,4,FALSE)</f>
        <v>61</v>
      </c>
      <c r="E267" s="4" t="str">
        <f>VLOOKUP($B267&amp;"__wt",'SegEnds_Xtal_BW#'!$A:$Z,5,FALSE)</f>
        <v>-</v>
      </c>
      <c r="F267" s="4" t="str">
        <f>VLOOKUP($B267&amp;"__wt",'SegEnds_Xtal_BW#'!$A:$Z,6,FALSE)</f>
        <v>-</v>
      </c>
      <c r="G267" s="4">
        <v>37</v>
      </c>
      <c r="H267" s="11">
        <f>VLOOKUP($B267&amp;"__wt",'SegEnds_Xtal_BW#'!$A:$Z,8,FALSE)</f>
        <v>67</v>
      </c>
      <c r="I267" s="4">
        <f>VLOOKUP($B267&amp;"__wt",'SegEnds_Xtal_BW#'!$A:$Z,9,FALSE)</f>
        <v>49</v>
      </c>
      <c r="J267" s="4">
        <f>VLOOKUP($B267&amp;"__wt",'SegEnds_Xtal_BW#'!$A:$Z,10,FALSE)</f>
        <v>52</v>
      </c>
      <c r="K267" s="11">
        <v>21</v>
      </c>
      <c r="L267" s="4">
        <f>VLOOKUP($B267&amp;"__wt",'SegEnds_Xtal_BW#'!$A:$Z,12,FALSE)</f>
        <v>56</v>
      </c>
      <c r="M267" s="4">
        <f>VLOOKUP($B267&amp;"__wt",'SegEnds_Xtal_BW#'!$A:$Z,13,FALSE)</f>
        <v>50</v>
      </c>
      <c r="N267" s="12">
        <f>VLOOKUP($B267&amp;"__wt",'SegEnds_Xtal_BW#'!$A:$Z,14,FALSE)</f>
        <v>57</v>
      </c>
      <c r="O267" s="87">
        <f>VLOOKUP($B267&amp;"__wt",'SegEnds_Xtal_BW#'!$A:$Z,15,FALSE)</f>
        <v>38</v>
      </c>
      <c r="P267" s="115">
        <f>VLOOKUP($B267&amp;"__wt",'SegEnds_Xtal_BW#'!$A:$Z,16,FALSE)</f>
        <v>67</v>
      </c>
      <c r="Q267" s="4">
        <f>VLOOKUP($B267&amp;"__wt",'SegEnds_Xtal_BW#'!$A:$Z,17,FALSE)</f>
        <v>50</v>
      </c>
      <c r="R267" s="4">
        <f>VLOOKUP($B267&amp;"__wt",'SegEnds_Xtal_BW#'!$A:$Z,18,FALSE)</f>
        <v>52</v>
      </c>
      <c r="S267" s="1">
        <f>VLOOKUP($B267&amp;"__wt",'SegEnds_Xtal_BW#'!$A:$Z,19,FALSE)</f>
        <v>31</v>
      </c>
      <c r="T267" s="4">
        <f t="array" ref="T267">INDEX(ICL3_classA!$G$2:$G$41,MATCH(MIN(ABS(AJ267-ICL3_classA!$F$2:$F$41)),ABS(AJ267-ICL3_classA!$F$2:$F$41),0))</f>
        <v>68</v>
      </c>
      <c r="U267" s="4">
        <f t="array" ref="U267">INDEX(ICL3_classA!$H$2:$H$41,MATCH(MIN(ABS(AJ267-ICL3_classA!$F$2:$F$41)),ABS(AJ267-ICL3_classA!$F$2:$F$41),0))</f>
        <v>24</v>
      </c>
      <c r="V267" s="115">
        <v>63</v>
      </c>
      <c r="W267" s="115">
        <v>26</v>
      </c>
      <c r="X267" s="4">
        <f>VLOOKUP($B267&amp;"__wt",'SegEnds_Xtal_BW#'!$A:$Z,24,FALSE)</f>
        <v>56</v>
      </c>
      <c r="Y267" s="4">
        <f>VLOOKUP($B267&amp;"__wt",'SegEnds_Xtal_BW#'!$A:$Z,25,FALSE)</f>
        <v>47</v>
      </c>
      <c r="Z267" s="4">
        <f>VLOOKUP($B267&amp;"__wt",'SegEnds_Xtal_BW#'!$A:$Z,26,FALSE)</f>
        <v>65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4" t="e">
        <f>VLOOKUP(A267,'SegEnds_NonXtal_Prot#'!A:AL,10,FALSE)-VLOOKUP(A267,'SegEnds_NonXtal_Prot#'!A:AL,7,FALSE)</f>
        <v>#VALUE!</v>
      </c>
      <c r="AD267" s="4">
        <f>VLOOKUP(A267,'SegEnds_NonXtal_Prot#'!A:AL,13,FALSE)-VLOOKUP(A267,'SegEnds_NonXtal_Prot#'!A:AL,10,FALSE)</f>
        <v>19</v>
      </c>
      <c r="AE267" s="4">
        <f>VLOOKUP(A267,'SegEnds_NonXtal_Prot#'!A:AL,16,FALSE)-VLOOKUP(A267,'SegEnds_NonXtal_Prot#'!A:AL,10,FALSE)</f>
        <v>51</v>
      </c>
      <c r="AF267" s="1">
        <f>VLOOKUP(A267,'SegEnds_NonXtal_Prot#'!A:AL,22,FALSE)-VLOOKUP(A267,'SegEnds_NonXtal_Prot#'!A:AL,19,FALSE)</f>
        <v>20</v>
      </c>
      <c r="AG267" s="4" t="e">
        <f>VLOOKUP(#REF!,'SegEnds_NonXtal_Prot#'!#REF!,28,FALSE)-VLOOKUP(#REF!,'SegEnds_NonXtal_Prot#'!#REF!,25,FALSE)</f>
        <v>#REF!</v>
      </c>
      <c r="AH267" s="4">
        <f>VLOOKUP(A267,'SegEnds_NonXtal_Prot#'!A:AL,28,FALSE)-VLOOKUP(A267,'SegEnds_NonXtal_Prot#'!A:AL,25,FALSE)</f>
        <v>27</v>
      </c>
      <c r="AI267" s="1">
        <f>VLOOKUP(A267,'SegEnds_NonXtal_Prot#'!A:AL,28,FALSE)-VLOOKUP(A267,'SegEnds_NonXtal_Prot#'!A:AL,22,FALSE)</f>
        <v>52</v>
      </c>
      <c r="AJ267" s="4">
        <f>VLOOKUP(A267,'SegEnds_NonXtal_Prot#'!A:AL,31,FALSE)-VLOOKUP(A267,'SegEnds_NonXtal_Prot#'!A:AL,28,FALSE)</f>
        <v>48</v>
      </c>
      <c r="AK267" s="4">
        <f>VLOOKUP(A267,'SegEnds_NonXtal_Prot#'!A:AL,34,FALSE)-VLOOKUP(A267,'SegEnds_NonXtal_Prot#'!A:AL,31,FALSE)</f>
        <v>44</v>
      </c>
      <c r="AL267" s="1">
        <f>VLOOKUP(A267,'SegEnds_NonXtal_Prot#'!A:AL,37,FALSE)-VLOOKUP(A267,'SegEnds_NonXtal_Prot#'!A:AL,34,FALSE)</f>
        <v>10</v>
      </c>
      <c r="AM267" s="1" t="str">
        <f>IF(ISERROR(MATCH(A267,'SegEnds_Xtal_Prot#'!B:B, 0)), "NoXtal", "Xtal")</f>
        <v>Xtal</v>
      </c>
    </row>
    <row r="268" spans="1:39" x14ac:dyDescent="0.2">
      <c r="A268" s="1" t="s">
        <v>399</v>
      </c>
      <c r="B268" s="1" t="str">
        <f>VLOOKUP(A268,Xtal_Templ!A:B,2,FALSE)</f>
        <v>ccr5_human</v>
      </c>
      <c r="C268" s="5">
        <f>VLOOKUP($B268&amp;"__wt",'SegEnds_Xtal_BW#'!$A:$Z,3,FALSE)</f>
        <v>24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57</v>
      </c>
      <c r="O268" s="87"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v>35</v>
      </c>
      <c r="T268" s="1">
        <f t="array" ref="T268">INDEX(ICL3_classA!$G$2:$G$41,MATCH(MIN(ABS(AJ268-ICL3_classA!$F$2:$F$41)),ABS(AJ268-ICL3_classA!$F$2:$F$41),0))</f>
        <v>68</v>
      </c>
      <c r="U268" s="108">
        <v>28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59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18</v>
      </c>
      <c r="AE268" s="1">
        <f>VLOOKUP(A268,'SegEnds_NonXtal_Prot#'!A:AL,16,FALSE)-VLOOKUP(A268,'SegEnds_NonXtal_Prot#'!A:AL,10,FALSE)</f>
        <v>50</v>
      </c>
      <c r="AF268" s="1">
        <f>VLOOKUP(A268,'SegEnds_NonXtal_Prot#'!A:AL,22,FALSE)-VLOOKUP(A268,'SegEnds_NonXtal_Prot#'!A:AL,19,FALSE)</f>
        <v>20</v>
      </c>
      <c r="AG268" s="1" t="e">
        <f>VLOOKUP(#REF!,'SegEnds_NonXtal_Prot#'!#REF!,28,FALSE)-VLOOKUP(#REF!,'SegEnds_NonXtal_Prot#'!#REF!,25,FALSE)</f>
        <v>#REF!</v>
      </c>
      <c r="AH268" s="1">
        <f>VLOOKUP(A268,'SegEnds_NonXtal_Prot#'!A:AL,28,FALSE)-VLOOKUP(A268,'SegEnds_NonXtal_Prot#'!A:AL,25,FALSE)</f>
        <v>22</v>
      </c>
      <c r="AI268" s="1">
        <f>VLOOKUP(A268,'SegEnds_NonXtal_Prot#'!A:AL,28,FALSE)-VLOOKUP(A268,'SegEnds_NonXtal_Prot#'!A:AL,22,FALSE)</f>
        <v>43</v>
      </c>
      <c r="AJ268" s="1">
        <f>VLOOKUP(A268,'SegEnds_NonXtal_Prot#'!A:AL,31,FALSE)-VLOOKUP(A268,'SegEnds_NonXtal_Prot#'!A:AL,28,FALSE)</f>
        <v>43</v>
      </c>
      <c r="AK268" s="1">
        <f>VLOOKUP(A268,'SegEnds_NonXtal_Prot#'!A:AL,34,FALSE)-VLOOKUP(A268,'SegEnds_NonXtal_Prot#'!A:AL,31,FALSE)</f>
        <v>44</v>
      </c>
      <c r="AL268" s="1">
        <f>VLOOKUP(A268,'SegEnds_NonXtal_Prot#'!A:AL,37,FALSE)-VLOOKUP(A268,'SegEnds_NonXtal_Prot#'!A:AL,34,FALSE)</f>
        <v>10</v>
      </c>
      <c r="AM268" s="1" t="str">
        <f>IF(ISERROR(MATCH(A268,'SegEnds_Xtal_Prot#'!B:B, 0)), "NoXtal", "Xtal")</f>
        <v>NoXtal</v>
      </c>
    </row>
    <row r="269" spans="1:39" x14ac:dyDescent="0.2">
      <c r="A269" s="1" t="s">
        <v>144</v>
      </c>
      <c r="B269" s="1" t="str">
        <f>VLOOKUP(A269,Xtal_Templ!A:B,2,FALSE)</f>
        <v>ccr7_human</v>
      </c>
      <c r="C269" s="5">
        <f>VLOOKUP($B269&amp;"__wt",'SegEnds_Xtal_BW#'!$A:$Z,3,FALSE)</f>
        <v>29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21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f>VLOOKUP($B269&amp;"__wt",'SegEnds_Xtal_BW#'!$A:$Z,14,FALSE)</f>
        <v>58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33</v>
      </c>
      <c r="T269" s="1">
        <f t="array" ref="T269">INDEX(ICL3_classA!$G$2:$G$41,MATCH(MIN(ABS(AJ269-ICL3_classA!$F$2:$F$41)),ABS(AJ269-ICL3_classA!$F$2:$F$41),0))</f>
        <v>68</v>
      </c>
      <c r="U269" s="108">
        <v>28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 t="e">
        <f>VLOOKUP(A269,'SegEnds_NonXtal_Prot#'!A:AL,22,FALSE)-VLOOKUP(A269,'SegEnds_NonXtal_Prot#'!A:AL,19,FALSE)</f>
        <v>#VALUE!</v>
      </c>
      <c r="AG269" s="1" t="e">
        <f>VLOOKUP(#REF!,'SegEnds_NonXtal_Prot#'!#REF!,28,FALSE)-VLOOKUP(#REF!,'SegEnds_NonXtal_Prot#'!#REF!,25,FALSE)</f>
        <v>#REF!</v>
      </c>
      <c r="AH269" s="1">
        <f>VLOOKUP(A269,'SegEnds_NonXtal_Prot#'!A:AL,28,FALSE)-VLOOKUP(A269,'SegEnds_NonXtal_Prot#'!A:AL,25,FALSE)</f>
        <v>28</v>
      </c>
      <c r="AI269" s="1">
        <f>VLOOKUP(A269,'SegEnds_NonXtal_Prot#'!A:AL,28,FALSE)-VLOOKUP(A269,'SegEnds_NonXtal_Prot#'!A:AL,22,FALSE)</f>
        <v>55</v>
      </c>
      <c r="AJ269" s="1">
        <f>VLOOKUP(A269,'SegEnds_NonXtal_Prot#'!A:AL,31,FALSE)-VLOOKUP(A269,'SegEnds_NonXtal_Prot#'!A:AL,28,FALSE)</f>
        <v>43</v>
      </c>
      <c r="AK269" s="1">
        <f>VLOOKUP(A269,'SegEnds_NonXtal_Prot#'!A:AL,34,FALSE)-VLOOKUP(A269,'SegEnds_NonXtal_Prot#'!A:AL,31,FALSE)</f>
        <v>45</v>
      </c>
      <c r="AL269" s="1">
        <f>VLOOKUP(A269,'SegEnds_NonXtal_Prot#'!A:AL,37,FALSE)-VLOOKUP(A269,'SegEnds_NonXtal_Prot#'!A:AL,34,FALSE)</f>
        <v>10</v>
      </c>
      <c r="AM269" s="1" t="str">
        <f>IF(ISERROR(MATCH(A269,'SegEnds_Xtal_Prot#'!B:B, 0)), "NoXtal", "Xtal")</f>
        <v>NoXtal</v>
      </c>
    </row>
    <row r="270" spans="1:39" x14ac:dyDescent="0.2">
      <c r="A270" s="1" t="s">
        <v>145</v>
      </c>
      <c r="B270" s="1" t="str">
        <f>VLOOKUP(A270,Xtal_Templ!A:B,2,FALSE)</f>
        <v>ccr9_human</v>
      </c>
      <c r="C270" s="5">
        <f>VLOOKUP($B270&amp;"__wt",'SegEnds_Xtal_BW#'!$A:$Z,3,FALSE)</f>
        <v>27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08">
        <v>21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56</v>
      </c>
      <c r="O270" s="87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33</v>
      </c>
      <c r="T270" s="1">
        <f t="array" ref="T270">INDEX(ICL3_classA!$G$2:$G$41,MATCH(MIN(ABS(AJ270-ICL3_classA!$F$2:$F$41)),ABS(AJ270-ICL3_classA!$F$2:$F$41),0))</f>
        <v>68</v>
      </c>
      <c r="U270" s="108">
        <v>28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67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18</v>
      </c>
      <c r="AE270" s="1">
        <f>VLOOKUP(A270,'SegEnds_NonXtal_Prot#'!A:AL,16,FALSE)-VLOOKUP(A270,'SegEnds_NonXtal_Prot#'!A:AL,10,FALSE)</f>
        <v>50</v>
      </c>
      <c r="AF270" s="1" t="e">
        <f>VLOOKUP(A270,'SegEnds_NonXtal_Prot#'!A:AL,22,FALSE)-VLOOKUP(A270,'SegEnds_NonXtal_Prot#'!A:AL,19,FALSE)</f>
        <v>#VALUE!</v>
      </c>
      <c r="AG270" s="1" t="e">
        <f>VLOOKUP(#REF!,'SegEnds_NonXtal_Prot#'!#REF!,28,FALSE)-VLOOKUP(#REF!,'SegEnds_NonXtal_Prot#'!#REF!,25,FALSE)</f>
        <v>#REF!</v>
      </c>
      <c r="AH270" s="1">
        <f>VLOOKUP(A270,'SegEnds_NonXtal_Prot#'!A:AL,28,FALSE)-VLOOKUP(A270,'SegEnds_NonXtal_Prot#'!A:AL,25,FALSE)</f>
        <v>28</v>
      </c>
      <c r="AI270" s="1">
        <f>VLOOKUP(A270,'SegEnds_NonXtal_Prot#'!A:AL,28,FALSE)-VLOOKUP(A270,'SegEnds_NonXtal_Prot#'!A:AL,22,FALSE)</f>
        <v>50</v>
      </c>
      <c r="AJ270" s="1">
        <f>VLOOKUP(A270,'SegEnds_NonXtal_Prot#'!A:AL,31,FALSE)-VLOOKUP(A270,'SegEnds_NonXtal_Prot#'!A:AL,28,FALSE)</f>
        <v>43</v>
      </c>
      <c r="AK270" s="1">
        <f>VLOOKUP(A270,'SegEnds_NonXtal_Prot#'!A:AL,34,FALSE)-VLOOKUP(A270,'SegEnds_NonXtal_Prot#'!A:AL,31,FALSE)</f>
        <v>45</v>
      </c>
      <c r="AL270" s="1">
        <f>VLOOKUP(A270,'SegEnds_NonXtal_Prot#'!A:AL,37,FALSE)-VLOOKUP(A270,'SegEnds_NonXtal_Prot#'!A:AL,34,FALSE)</f>
        <v>10</v>
      </c>
      <c r="AM270" s="1" t="str">
        <f>IF(ISERROR(MATCH(A270,'SegEnds_Xtal_Prot#'!B:B, 0)), "NoXtal", "Xtal")</f>
        <v>NoXtal</v>
      </c>
    </row>
    <row r="271" spans="1:39" x14ac:dyDescent="0.2">
      <c r="A271" s="1" t="s">
        <v>169</v>
      </c>
      <c r="B271" s="1" t="str">
        <f>VLOOKUP(A271,Xtal_Templ!A:B,2,FALSE)</f>
        <v>ccr7_human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58</v>
      </c>
      <c r="O271" s="87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33</v>
      </c>
      <c r="T271" s="1">
        <f t="array" ref="T271">INDEX(ICL3_classA!$G$2:$G$41,MATCH(MIN(ABS(AJ271-ICL3_classA!$F$2:$F$41)),ABS(AJ271-ICL3_classA!$F$2:$F$41),0))</f>
        <v>68</v>
      </c>
      <c r="U271" s="108">
        <v>28</v>
      </c>
      <c r="V271" s="1">
        <v>65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29</v>
      </c>
      <c r="AC271" s="1">
        <f>VLOOKUP(A271,'SegEnds_NonXtal_Prot#'!A:AL,10,FALSE)-VLOOKUP(A271,'SegEnds_NonXtal_Prot#'!A:AL,7,FALSE)</f>
        <v>16</v>
      </c>
      <c r="AD271" s="1">
        <f>VLOOKUP(A271,'SegEnds_NonXtal_Prot#'!A:AL,13,FALSE)-VLOOKUP(A271,'SegEnds_NonXtal_Prot#'!A:AL,10,FALSE)</f>
        <v>18</v>
      </c>
      <c r="AE271" s="1">
        <f>VLOOKUP(A271,'SegEnds_NonXtal_Prot#'!A:AL,16,FALSE)-VLOOKUP(A271,'SegEnds_NonXtal_Prot#'!A:AL,10,FALSE)</f>
        <v>50</v>
      </c>
      <c r="AF271" s="1" t="e">
        <f>VLOOKUP(A271,'SegEnds_NonXtal_Prot#'!A:AL,22,FALSE)-VLOOKUP(A271,'SegEnds_NonXtal_Prot#'!A:AL,19,FALSE)</f>
        <v>#VALUE!</v>
      </c>
      <c r="AG271" s="1" t="e">
        <f>VLOOKUP(#REF!,'SegEnds_NonXtal_Prot#'!#REF!,28,FALSE)-VLOOKUP(#REF!,'SegEnds_NonXtal_Prot#'!#REF!,25,FALSE)</f>
        <v>#REF!</v>
      </c>
      <c r="AH271" s="1">
        <f>VLOOKUP(A271,'SegEnds_NonXtal_Prot#'!A:AL,28,FALSE)-VLOOKUP(A271,'SegEnds_NonXtal_Prot#'!A:AL,25,FALSE)</f>
        <v>28</v>
      </c>
      <c r="AI271" s="1">
        <f>VLOOKUP(A271,'SegEnds_NonXtal_Prot#'!A:AL,28,FALSE)-VLOOKUP(A271,'SegEnds_NonXtal_Prot#'!A:AL,22,FALSE)</f>
        <v>53</v>
      </c>
      <c r="AJ271" s="1">
        <f>VLOOKUP(A271,'SegEnds_NonXtal_Prot#'!A:AL,31,FALSE)-VLOOKUP(A271,'SegEnds_NonXtal_Prot#'!A:AL,28,FALSE)</f>
        <v>43</v>
      </c>
      <c r="AK271" s="1">
        <f>VLOOKUP(A271,'SegEnds_NonXtal_Prot#'!A:AL,34,FALSE)-VLOOKUP(A271,'SegEnds_NonXtal_Prot#'!A:AL,31,FALSE)</f>
        <v>45</v>
      </c>
      <c r="AL271" s="1">
        <f>VLOOKUP(A271,'SegEnds_NonXtal_Prot#'!A:AL,37,FALSE)-VLOOKUP(A271,'SegEnds_NonXtal_Prot#'!A:AL,34,FALSE)</f>
        <v>10</v>
      </c>
      <c r="AM271" s="1" t="str">
        <f>IF(ISERROR(MATCH(A271,'SegEnds_Xtal_Prot#'!B:B, 0)), "NoXtal", "Xtal")</f>
        <v>NoXtal</v>
      </c>
    </row>
    <row r="272" spans="1:39" x14ac:dyDescent="0.2">
      <c r="A272" s="12" t="s">
        <v>175</v>
      </c>
      <c r="B272" s="12" t="str">
        <f>VLOOKUP(A272,Xtal_Templ!A:B,2,FALSE)</f>
        <v>ccr7_human</v>
      </c>
      <c r="C272" s="13">
        <f>VLOOKUP($B272&amp;"__wt",'SegEnds_Xtal_BW#'!$A:$Z,3,FALSE)</f>
        <v>29</v>
      </c>
      <c r="D272" s="12">
        <f>VLOOKUP($B272&amp;"__wt",'SegEnds_Xtal_BW#'!$A:$Z,4,FALSE)</f>
        <v>60</v>
      </c>
      <c r="E272" s="12">
        <f>VLOOKUP($B272&amp;"__wt",'SegEnds_Xtal_BW#'!$A:$Z,5,FALSE)</f>
        <v>48</v>
      </c>
      <c r="F272" s="12">
        <f>VLOOKUP($B272&amp;"__wt",'SegEnds_Xtal_BW#'!$A:$Z,6,FALSE)</f>
        <v>51</v>
      </c>
      <c r="G272" s="12">
        <v>37</v>
      </c>
      <c r="H272" s="12">
        <v>66</v>
      </c>
      <c r="I272" s="12">
        <f>VLOOKUP($B272&amp;"__wt",'SegEnds_Xtal_BW#'!$A:$Z,9,FALSE)</f>
        <v>49</v>
      </c>
      <c r="J272" s="12">
        <f>VLOOKUP($B272&amp;"__wt",'SegEnds_Xtal_BW#'!$A:$Z,10,FALSE)</f>
        <v>52</v>
      </c>
      <c r="K272" s="12">
        <v>24</v>
      </c>
      <c r="L272" s="12">
        <f>VLOOKUP($B272&amp;"__wt",'SegEnds_Xtal_BW#'!$A:$Z,12,FALSE)</f>
        <v>56</v>
      </c>
      <c r="M272" s="12">
        <f>VLOOKUP($B272&amp;"__wt",'SegEnds_Xtal_BW#'!$A:$Z,13,FALSE)</f>
        <v>50</v>
      </c>
      <c r="N272" s="12">
        <f>VLOOKUP($B272&amp;"__wt",'SegEnds_Xtal_BW#'!$A:$Z,14,FALSE)</f>
        <v>58</v>
      </c>
      <c r="O272" s="87">
        <v>38</v>
      </c>
      <c r="P272" s="12">
        <f>VLOOKUP($B272&amp;"__wt",'SegEnds_Xtal_BW#'!$A:$Z,16,FALSE)</f>
        <v>64</v>
      </c>
      <c r="Q272" s="12">
        <f>VLOOKUP($B272&amp;"__wt",'SegEnds_Xtal_BW#'!$A:$Z,17,FALSE)</f>
        <v>50</v>
      </c>
      <c r="R272" s="12">
        <f>VLOOKUP($B272&amp;"__wt",'SegEnds_Xtal_BW#'!$A:$Z,18,FALSE)</f>
        <v>52</v>
      </c>
      <c r="S272" s="12">
        <f>VLOOKUP($B272&amp;"__wt",'SegEnds_Xtal_BW#'!$A:$Z,19,FALSE)</f>
        <v>33</v>
      </c>
      <c r="T272" s="12">
        <f t="array" ref="T272">INDEX(ICL3_classA!$G$2:$G$41,MATCH(MIN(ABS(AJ272-ICL3_classA!$F$2:$F$41)),ABS(AJ272-ICL3_classA!$F$2:$F$41),0))</f>
        <v>68</v>
      </c>
      <c r="U272" s="108">
        <v>28</v>
      </c>
      <c r="V272" s="12">
        <v>65</v>
      </c>
      <c r="W272" s="12">
        <v>24</v>
      </c>
      <c r="X272" s="12">
        <f>VLOOKUP($B272&amp;"__wt",'SegEnds_Xtal_BW#'!$A:$Z,24,FALSE)</f>
        <v>56</v>
      </c>
      <c r="Y272" s="12">
        <f>VLOOKUP($B272&amp;"__wt",'SegEnds_Xtal_BW#'!$A:$Z,25,FALSE)</f>
        <v>47</v>
      </c>
      <c r="Z272" s="12">
        <f>VLOOKUP($B272&amp;"__wt",'SegEnds_Xtal_BW#'!$A:$Z,26,FALSE)</f>
        <v>59</v>
      </c>
      <c r="AA272" s="36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2">
        <f>VLOOKUP(A272,'SegEnds_NonXtal_Prot#'!A:AL,10,FALSE)-VLOOKUP(A272,'SegEnds_NonXtal_Prot#'!A:AL,7,FALSE)</f>
        <v>15</v>
      </c>
      <c r="AD272" s="12">
        <f>VLOOKUP(A272,'SegEnds_NonXtal_Prot#'!A:AL,13,FALSE)-VLOOKUP(A272,'SegEnds_NonXtal_Prot#'!A:AL,10,FALSE)</f>
        <v>18</v>
      </c>
      <c r="AE272" s="12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22</v>
      </c>
      <c r="AG272" s="12" t="e">
        <f>VLOOKUP(#REF!,'SegEnds_NonXtal_Prot#'!#REF!,28,FALSE)-VLOOKUP(#REF!,'SegEnds_NonXtal_Prot#'!#REF!,25,FALSE)</f>
        <v>#REF!</v>
      </c>
      <c r="AH272" s="12">
        <f>VLOOKUP(A272,'SegEnds_NonXtal_Prot#'!A:AL,28,FALSE)-VLOOKUP(A272,'SegEnds_NonXtal_Prot#'!A:AL,25,FALSE)</f>
        <v>25</v>
      </c>
      <c r="AI272" s="1">
        <f>VLOOKUP(A272,'SegEnds_NonXtal_Prot#'!A:AL,28,FALSE)-VLOOKUP(A272,'SegEnds_NonXtal_Prot#'!A:AL,22,FALSE)</f>
        <v>52</v>
      </c>
      <c r="AJ272" s="12">
        <f>VLOOKUP(A272,'SegEnds_NonXtal_Prot#'!A:AL,31,FALSE)-VLOOKUP(A272,'SegEnds_NonXtal_Prot#'!A:AL,28,FALSE)</f>
        <v>43</v>
      </c>
      <c r="AK272" s="12">
        <f>VLOOKUP(A272,'SegEnds_NonXtal_Prot#'!A:AL,34,FALSE)-VLOOKUP(A272,'SegEnds_NonXtal_Prot#'!A:AL,31,FALSE)</f>
        <v>45</v>
      </c>
      <c r="AL272" s="1">
        <f>VLOOKUP(A272,'SegEnds_NonXtal_Prot#'!A:AL,37,FALSE)-VLOOKUP(A272,'SegEnds_NonXtal_Prot#'!A:AL,34,FALSE)</f>
        <v>10</v>
      </c>
      <c r="AM272" s="12" t="str">
        <f>IF(ISERROR(MATCH(A272,'SegEnds_Xtal_Prot#'!B:B, 0)), "NoXtal", "Xtal")</f>
        <v>Xtal</v>
      </c>
    </row>
    <row r="273" spans="1:39" x14ac:dyDescent="0.2">
      <c r="A273" s="12" t="s">
        <v>177</v>
      </c>
      <c r="B273" s="12" t="str">
        <f>VLOOKUP(A273,Xtal_Templ!A:B,2,FALSE)</f>
        <v>ccr9_human</v>
      </c>
      <c r="C273" s="13">
        <f>VLOOKUP($B273&amp;"__wt",'SegEnds_Xtal_BW#'!$A:$Z,3,FALSE)</f>
        <v>27</v>
      </c>
      <c r="D273" s="12">
        <f>VLOOKUP($B273&amp;"__wt",'SegEnds_Xtal_BW#'!$A:$Z,4,FALSE)</f>
        <v>60</v>
      </c>
      <c r="E273" s="12">
        <f>VLOOKUP($B273&amp;"__wt",'SegEnds_Xtal_BW#'!$A:$Z,5,FALSE)</f>
        <v>48</v>
      </c>
      <c r="F273" s="12">
        <f>VLOOKUP($B273&amp;"__wt",'SegEnds_Xtal_BW#'!$A:$Z,6,FALSE)</f>
        <v>51</v>
      </c>
      <c r="G273" s="12">
        <v>37</v>
      </c>
      <c r="H273" s="12">
        <v>66</v>
      </c>
      <c r="I273" s="12">
        <f>VLOOKUP($B273&amp;"__wt",'SegEnds_Xtal_BW#'!$A:$Z,9,FALSE)</f>
        <v>49</v>
      </c>
      <c r="J273" s="12">
        <f>VLOOKUP($B273&amp;"__wt",'SegEnds_Xtal_BW#'!$A:$Z,10,FALSE)</f>
        <v>52</v>
      </c>
      <c r="K273" s="12">
        <v>24</v>
      </c>
      <c r="L273" s="12">
        <f>VLOOKUP($B273&amp;"__wt",'SegEnds_Xtal_BW#'!$A:$Z,12,FALSE)</f>
        <v>56</v>
      </c>
      <c r="M273" s="12">
        <f>VLOOKUP($B273&amp;"__wt",'SegEnds_Xtal_BW#'!$A:$Z,13,FALSE)</f>
        <v>50</v>
      </c>
      <c r="N273" s="12">
        <f>VLOOKUP($B273&amp;"__wt",'SegEnds_Xtal_BW#'!$A:$Z,14,FALSE)</f>
        <v>56</v>
      </c>
      <c r="O273" s="87">
        <f>VLOOKUP($B273&amp;"__wt",'SegEnds_Xtal_BW#'!$A:$Z,15,FALSE)</f>
        <v>35</v>
      </c>
      <c r="P273" s="12">
        <f>VLOOKUP($B273&amp;"__wt",'SegEnds_Xtal_BW#'!$A:$Z,16,FALSE)</f>
        <v>64</v>
      </c>
      <c r="Q273" s="12">
        <f>VLOOKUP($B273&amp;"__wt",'SegEnds_Xtal_BW#'!$A:$Z,17,FALSE)</f>
        <v>50</v>
      </c>
      <c r="R273" s="12">
        <f>VLOOKUP($B273&amp;"__wt",'SegEnds_Xtal_BW#'!$A:$Z,18,FALSE)</f>
        <v>52</v>
      </c>
      <c r="S273" s="12">
        <f>VLOOKUP($B273&amp;"__wt",'SegEnds_Xtal_BW#'!$A:$Z,19,FALSE)</f>
        <v>33</v>
      </c>
      <c r="T273" s="12">
        <f t="array" ref="T273">INDEX(ICL3_classA!$G$2:$G$41,MATCH(MIN(ABS(AJ273-ICL3_classA!$F$2:$F$41)),ABS(AJ273-ICL3_classA!$F$2:$F$41),0))</f>
        <v>68</v>
      </c>
      <c r="U273" s="108">
        <v>28</v>
      </c>
      <c r="V273" s="12">
        <v>65</v>
      </c>
      <c r="W273" s="12">
        <v>24</v>
      </c>
      <c r="X273" s="12">
        <f>VLOOKUP($B273&amp;"__wt",'SegEnds_Xtal_BW#'!$A:$Z,24,FALSE)</f>
        <v>56</v>
      </c>
      <c r="Y273" s="12">
        <f>VLOOKUP($B273&amp;"__wt",'SegEnds_Xtal_BW#'!$A:$Z,25,FALSE)</f>
        <v>47</v>
      </c>
      <c r="Z273" s="12">
        <f>VLOOKUP($B273&amp;"__wt",'SegEnds_Xtal_BW#'!$A:$Z,26,FALSE)</f>
        <v>67</v>
      </c>
      <c r="AA273" s="36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2">
        <f>VLOOKUP(A273,'SegEnds_NonXtal_Prot#'!A:AL,10,FALSE)-VLOOKUP(A273,'SegEnds_NonXtal_Prot#'!A:AL,7,FALSE)</f>
        <v>15</v>
      </c>
      <c r="AD273" s="12">
        <f>VLOOKUP(A273,'SegEnds_NonXtal_Prot#'!A:AL,13,FALSE)-VLOOKUP(A273,'SegEnds_NonXtal_Prot#'!A:AL,10,FALSE)</f>
        <v>18</v>
      </c>
      <c r="AE273" s="12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22</v>
      </c>
      <c r="AG273" s="12" t="e">
        <f>VLOOKUP(#REF!,'SegEnds_NonXtal_Prot#'!#REF!,28,FALSE)-VLOOKUP(#REF!,'SegEnds_NonXtal_Prot#'!#REF!,25,FALSE)</f>
        <v>#REF!</v>
      </c>
      <c r="AH273" s="12">
        <f>VLOOKUP(A273,'SegEnds_NonXtal_Prot#'!A:AL,28,FALSE)-VLOOKUP(A273,'SegEnds_NonXtal_Prot#'!A:AL,25,FALSE)</f>
        <v>28</v>
      </c>
      <c r="AI273" s="1">
        <f>VLOOKUP(A273,'SegEnds_NonXtal_Prot#'!A:AL,28,FALSE)-VLOOKUP(A273,'SegEnds_NonXtal_Prot#'!A:AL,22,FALSE)</f>
        <v>53</v>
      </c>
      <c r="AJ273" s="12">
        <f>VLOOKUP(A273,'SegEnds_NonXtal_Prot#'!A:AL,31,FALSE)-VLOOKUP(A273,'SegEnds_NonXtal_Prot#'!A:AL,28,FALSE)</f>
        <v>43</v>
      </c>
      <c r="AK273" s="12">
        <f>VLOOKUP(A273,'SegEnds_NonXtal_Prot#'!A:AL,34,FALSE)-VLOOKUP(A273,'SegEnds_NonXtal_Prot#'!A:AL,31,FALSE)</f>
        <v>45</v>
      </c>
      <c r="AL273" s="1">
        <f>VLOOKUP(A273,'SegEnds_NonXtal_Prot#'!A:AL,37,FALSE)-VLOOKUP(A273,'SegEnds_NonXtal_Prot#'!A:AL,34,FALSE)</f>
        <v>10</v>
      </c>
      <c r="AM273" s="12" t="str">
        <f>IF(ISERROR(MATCH(A273,'SegEnds_Xtal_Prot#'!B:B, 0)), "NoXtal", "Xtal")</f>
        <v>Xtal</v>
      </c>
    </row>
    <row r="274" spans="1:39" x14ac:dyDescent="0.2">
      <c r="A274" s="1" t="s">
        <v>185</v>
      </c>
      <c r="B274" s="1" t="str">
        <f>VLOOKUP(A274,Xtal_Templ!A:B,2,FALSE)</f>
        <v>ccr6_human</v>
      </c>
      <c r="C274" s="5">
        <f>VLOOKUP($B274&amp;"__wt",'SegEnds_Xtal_BW#'!$A:$Z,3,FALSE)</f>
        <v>25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24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08">
        <v>59</v>
      </c>
      <c r="O274" s="139">
        <v>41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INDEX(ICL3_classA!$G$2:$G$41,MATCH(MIN(ABS(AJ274-ICL3_classA!$F$2:$F$41)),ABS(AJ274-ICL3_classA!$F$2:$F$41),0))</f>
        <v>68</v>
      </c>
      <c r="U274" s="108">
        <v>29</v>
      </c>
      <c r="V274" s="1">
        <v>64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62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18</v>
      </c>
      <c r="AE274" s="1">
        <f>VLOOKUP(A274,'SegEnds_NonXtal_Prot#'!A:AL,16,FALSE)-VLOOKUP(A274,'SegEnds_NonXtal_Prot#'!A:AL,10,FALSE)</f>
        <v>50</v>
      </c>
      <c r="AF274" s="1">
        <f>VLOOKUP(A274,'SegEnds_NonXtal_Prot#'!A:AL,22,FALSE)-VLOOKUP(A274,'SegEnds_NonXtal_Prot#'!A:AL,19,FALSE)</f>
        <v>19</v>
      </c>
      <c r="AG274" s="1" t="e">
        <f>VLOOKUP(#REF!,'SegEnds_NonXtal_Prot#'!#REF!,28,FALSE)-VLOOKUP(#REF!,'SegEnds_NonXtal_Prot#'!#REF!,25,FALSE)</f>
        <v>#REF!</v>
      </c>
      <c r="AH274" s="1">
        <f>VLOOKUP(A274,'SegEnds_NonXtal_Prot#'!A:AL,28,FALSE)-VLOOKUP(A274,'SegEnds_NonXtal_Prot#'!A:AL,25,FALSE)</f>
        <v>27</v>
      </c>
      <c r="AI274" s="1">
        <f>VLOOKUP(A274,'SegEnds_NonXtal_Prot#'!A:AL,28,FALSE)-VLOOKUP(A274,'SegEnds_NonXtal_Prot#'!A:AL,22,FALSE)</f>
        <v>53</v>
      </c>
      <c r="AJ274" s="1">
        <f>VLOOKUP(A274,'SegEnds_NonXtal_Prot#'!A:AL,31,FALSE)-VLOOKUP(A274,'SegEnds_NonXtal_Prot#'!A:AL,28,FALSE)</f>
        <v>43</v>
      </c>
      <c r="AK274" s="1">
        <f>VLOOKUP(A274,'SegEnds_NonXtal_Prot#'!A:AL,34,FALSE)-VLOOKUP(A274,'SegEnds_NonXtal_Prot#'!A:AL,31,FALSE)</f>
        <v>45</v>
      </c>
      <c r="AL274" s="1">
        <f>VLOOKUP(A274,'SegEnds_NonXtal_Prot#'!A:AL,37,FALSE)-VLOOKUP(A274,'SegEnds_NonXtal_Prot#'!A:AL,34,FALSE)</f>
        <v>10</v>
      </c>
      <c r="AM274" s="1" t="str">
        <f>IF(ISERROR(MATCH(A274,'SegEnds_Xtal_Prot#'!B:B, 0)), "NoXtal", "Xtal")</f>
        <v>NoXtal</v>
      </c>
    </row>
    <row r="275" spans="1:39" x14ac:dyDescent="0.2">
      <c r="A275" s="1" t="s">
        <v>186</v>
      </c>
      <c r="B275" s="1" t="str">
        <f>VLOOKUP(A275,Xtal_Templ!A:B,2,FALSE)</f>
        <v>cxcr2_human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66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24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08">
        <v>59</v>
      </c>
      <c r="O275" s="108">
        <v>41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30</v>
      </c>
      <c r="T275" s="1">
        <f t="array" ref="T275">INDEX(ICL3_classA!$G$2:$G$41,MATCH(MIN(ABS(AJ275-ICL3_classA!$F$2:$F$41)),ABS(AJ275-ICL3_classA!$F$2:$F$41),0))</f>
        <v>68</v>
      </c>
      <c r="U275" s="108">
        <v>29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61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18</v>
      </c>
      <c r="AE275" s="1">
        <f>VLOOKUP(A275,'SegEnds_NonXtal_Prot#'!A:AL,16,FALSE)-VLOOKUP(A275,'SegEnds_NonXtal_Prot#'!A:AL,10,FALSE)</f>
        <v>50</v>
      </c>
      <c r="AF275" s="1">
        <f>VLOOKUP(A275,'SegEnds_NonXtal_Prot#'!A:AL,22,FALSE)-VLOOKUP(A275,'SegEnds_NonXtal_Prot#'!A:AL,19,FALSE)</f>
        <v>19</v>
      </c>
      <c r="AG275" s="1" t="e">
        <f>VLOOKUP(#REF!,'SegEnds_NonXtal_Prot#'!#REF!,28,FALSE)-VLOOKUP(#REF!,'SegEnds_NonXtal_Prot#'!#REF!,25,FALSE)</f>
        <v>#REF!</v>
      </c>
      <c r="AH275" s="1">
        <f>VLOOKUP(A275,'SegEnds_NonXtal_Prot#'!A:AL,28,FALSE)-VLOOKUP(A275,'SegEnds_NonXtal_Prot#'!A:AL,25,FALSE)</f>
        <v>27</v>
      </c>
      <c r="AI275" s="1">
        <f>VLOOKUP(A275,'SegEnds_NonXtal_Prot#'!A:AL,28,FALSE)-VLOOKUP(A275,'SegEnds_NonXtal_Prot#'!A:AL,22,FALSE)</f>
        <v>53</v>
      </c>
      <c r="AJ275" s="1">
        <f>VLOOKUP(A275,'SegEnds_NonXtal_Prot#'!A:AL,31,FALSE)-VLOOKUP(A275,'SegEnds_NonXtal_Prot#'!A:AL,28,FALSE)</f>
        <v>43</v>
      </c>
      <c r="AK275" s="1">
        <f>VLOOKUP(A275,'SegEnds_NonXtal_Prot#'!A:AL,34,FALSE)-VLOOKUP(A275,'SegEnds_NonXtal_Prot#'!A:AL,31,FALSE)</f>
        <v>45</v>
      </c>
      <c r="AL275" s="1">
        <f>VLOOKUP(A275,'SegEnds_NonXtal_Prot#'!A:AL,37,FALSE)-VLOOKUP(A275,'SegEnds_NonXtal_Prot#'!A:AL,34,FALSE)</f>
        <v>10</v>
      </c>
      <c r="AM275" s="1" t="str">
        <f>IF(ISERROR(MATCH(A275,'SegEnds_Xtal_Prot#'!B:B, 0)), "NoXtal", "Xtal")</f>
        <v>Xtal</v>
      </c>
    </row>
    <row r="276" spans="1:39" x14ac:dyDescent="0.2">
      <c r="A276" s="1" t="s">
        <v>187</v>
      </c>
      <c r="B276" s="1" t="str">
        <f>VLOOKUP(A276,Xtal_Templ!A:B,2,FALSE)</f>
        <v>ccr7_human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24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33</v>
      </c>
      <c r="T276" s="1">
        <f t="array" ref="T276">INDEX(ICL3_classA!$G$2:$G$41,MATCH(MIN(ABS(AJ276-ICL3_classA!$F$2:$F$41)),ABS(AJ276-ICL3_classA!$F$2:$F$41),0))</f>
        <v>68</v>
      </c>
      <c r="U276" s="108">
        <v>29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18</v>
      </c>
      <c r="AE276" s="1">
        <f>VLOOKUP(A276,'SegEnds_NonXtal_Prot#'!A:AL,16,FALSE)-VLOOKUP(A276,'SegEnds_NonXtal_Prot#'!A:AL,10,FALSE)</f>
        <v>50</v>
      </c>
      <c r="AF276" s="1">
        <f>VLOOKUP(A276,'SegEnds_NonXtal_Prot#'!A:AL,22,FALSE)-VLOOKUP(A276,'SegEnds_NonXtal_Prot#'!A:AL,19,FALSE)</f>
        <v>20</v>
      </c>
      <c r="AG276" s="1" t="e">
        <f>VLOOKUP(#REF!,'SegEnds_NonXtal_Prot#'!#REF!,28,FALSE)-VLOOKUP(#REF!,'SegEnds_NonXtal_Prot#'!#REF!,25,FALSE)</f>
        <v>#REF!</v>
      </c>
      <c r="AH276" s="1">
        <f>VLOOKUP(A276,'SegEnds_NonXtal_Prot#'!A:AL,28,FALSE)-VLOOKUP(A276,'SegEnds_NonXtal_Prot#'!A:AL,25,FALSE)</f>
        <v>24</v>
      </c>
      <c r="AI276" s="1">
        <f>VLOOKUP(A276,'SegEnds_NonXtal_Prot#'!A:AL,28,FALSE)-VLOOKUP(A276,'SegEnds_NonXtal_Prot#'!A:AL,22,FALSE)</f>
        <v>51</v>
      </c>
      <c r="AJ276" s="1">
        <f>VLOOKUP(A276,'SegEnds_NonXtal_Prot#'!A:AL,31,FALSE)-VLOOKUP(A276,'SegEnds_NonXtal_Prot#'!A:AL,28,FALSE)</f>
        <v>43</v>
      </c>
      <c r="AK276" s="1">
        <f>VLOOKUP(A276,'SegEnds_NonXtal_Prot#'!A:AL,34,FALSE)-VLOOKUP(A276,'SegEnds_NonXtal_Prot#'!A:AL,31,FALSE)</f>
        <v>45</v>
      </c>
      <c r="AL276" s="1">
        <f>VLOOKUP(A276,'SegEnds_NonXtal_Prot#'!A:AL,37,FALSE)-VLOOKUP(A276,'SegEnds_NonXtal_Prot#'!A:AL,34,FALSE)</f>
        <v>10</v>
      </c>
      <c r="AM276" s="1" t="str">
        <f>IF(ISERROR(MATCH(A276,'SegEnds_Xtal_Prot#'!B:B, 0)), "NoXtal", "Xtal")</f>
        <v>NoXtal</v>
      </c>
    </row>
    <row r="277" spans="1:39" x14ac:dyDescent="0.2">
      <c r="A277" s="1" t="s">
        <v>1165</v>
      </c>
      <c r="B277" s="1" t="str">
        <f>VLOOKUP(A277,Xtal_Templ!A:B,2,FALSE)</f>
        <v>cxcr4_human</v>
      </c>
      <c r="C277" s="5">
        <f>VLOOKUP($B277&amp;"__wt",'SegEnds_Xtal_BW#'!$A:$Z,3,FALSE)</f>
        <v>24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24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f>VLOOKUP($B277&amp;"__wt",'SegEnds_Xtal_BW#'!$A:$Z,14,FALSE)</f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32</v>
      </c>
      <c r="T277" s="1">
        <f t="array" ref="T277">INDEX(ICL3_classA!$G$2:$G$41,MATCH(MIN(ABS(AJ277-ICL3_classA!$F$2:$F$41)),ABS(AJ277-ICL3_classA!$F$2:$F$41),0))</f>
        <v>68</v>
      </c>
      <c r="U277" s="108">
        <v>29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>
        <f>VLOOKUP(A277,'SegEnds_NonXtal_Prot#'!A:AL,13,FALSE)-VLOOKUP(A277,'SegEnds_NonXtal_Prot#'!A:AL,10,FALSE)</f>
        <v>18</v>
      </c>
      <c r="AE277" s="1">
        <f>VLOOKUP(A277,'SegEnds_NonXtal_Prot#'!A:AL,16,FALSE)-VLOOKUP(A277,'SegEnds_NonXtal_Prot#'!A:AL,10,FALSE)</f>
        <v>50</v>
      </c>
      <c r="AF277" s="1">
        <f>VLOOKUP(A277,'SegEnds_NonXtal_Prot#'!A:AL,22,FALSE)-VLOOKUP(A277,'SegEnds_NonXtal_Prot#'!A:AL,19,FALSE)</f>
        <v>20</v>
      </c>
      <c r="AG277" s="1" t="e">
        <f>VLOOKUP(#REF!,'SegEnds_NonXtal_Prot#'!#REF!,28,FALSE)-VLOOKUP(#REF!,'SegEnds_NonXtal_Prot#'!#REF!,25,FALSE)</f>
        <v>#REF!</v>
      </c>
      <c r="AH277" s="1">
        <f>VLOOKUP(A277,'SegEnds_NonXtal_Prot#'!A:AL,28,FALSE)-VLOOKUP(A277,'SegEnds_NonXtal_Prot#'!A:AL,25,FALSE)</f>
        <v>25</v>
      </c>
      <c r="AI277" s="1">
        <f>VLOOKUP(A277,'SegEnds_NonXtal_Prot#'!A:AL,28,FALSE)-VLOOKUP(A277,'SegEnds_NonXtal_Prot#'!A:AL,22,FALSE)</f>
        <v>50</v>
      </c>
      <c r="AJ277" s="1">
        <f>VLOOKUP(A277,'SegEnds_NonXtal_Prot#'!A:AL,31,FALSE)-VLOOKUP(A277,'SegEnds_NonXtal_Prot#'!A:AL,28,FALSE)</f>
        <v>43</v>
      </c>
      <c r="AK277" s="1">
        <f>VLOOKUP(A277,'SegEnds_NonXtal_Prot#'!A:AL,34,FALSE)-VLOOKUP(A277,'SegEnds_NonXtal_Prot#'!A:AL,31,FALSE)</f>
        <v>45</v>
      </c>
      <c r="AL277" s="1">
        <f>VLOOKUP(A277,'SegEnds_NonXtal_Prot#'!A:AL,37,FALSE)-VLOOKUP(A277,'SegEnds_NonXtal_Prot#'!A:AL,34,FALSE)</f>
        <v>10</v>
      </c>
      <c r="AM277" s="1" t="str">
        <f>IF(ISERROR(MATCH(A277,'SegEnds_Xtal_Prot#'!B:B, 0)), "NoXtal", "Xtal")</f>
        <v>Xtal</v>
      </c>
    </row>
    <row r="278" spans="1:39" s="12" customFormat="1" x14ac:dyDescent="0.2">
      <c r="A278" s="1" t="s">
        <v>188</v>
      </c>
      <c r="B278" s="1" t="str">
        <f>VLOOKUP(A278,Xtal_Templ!A:B,2,FALSE)</f>
        <v>ccr7_human</v>
      </c>
      <c r="C278" s="5">
        <f>VLOOKUP($B278&amp;"__wt",'SegEnds_Xtal_BW#'!$A:$Z,3,FALSE)</f>
        <v>29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24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33</v>
      </c>
      <c r="T278" s="1">
        <f t="array" ref="T278">INDEX(ICL3_classA!$G$2:$G$41,MATCH(MIN(ABS(AJ278-ICL3_classA!$F$2:$F$41)),ABS(AJ278-ICL3_classA!$F$2:$F$41),0))</f>
        <v>68</v>
      </c>
      <c r="U278" s="1">
        <f t="array" ref="U278">INDEX(ICL3_classA!$H$2:$H$41,MATCH(MIN(ABS(AJ278-ICL3_classA!$F$2:$F$41)),ABS(AJ278-ICL3_classA!$F$2:$F$41),0))</f>
        <v>28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18</v>
      </c>
      <c r="AE278" s="1">
        <f>VLOOKUP(A278,'SegEnds_NonXtal_Prot#'!A:AL,16,FALSE)-VLOOKUP(A278,'SegEnds_NonXtal_Prot#'!A:AL,10,FALSE)</f>
        <v>50</v>
      </c>
      <c r="AF278" s="1">
        <f>VLOOKUP(A278,'SegEnds_NonXtal_Prot#'!A:AL,22,FALSE)-VLOOKUP(A278,'SegEnds_NonXtal_Prot#'!A:AL,19,FALSE)</f>
        <v>20</v>
      </c>
      <c r="AG278" s="1" t="e">
        <f>VLOOKUP(#REF!,'SegEnds_NonXtal_Prot#'!#REF!,28,FALSE)-VLOOKUP(#REF!,'SegEnds_NonXtal_Prot#'!#REF!,25,FALSE)</f>
        <v>#REF!</v>
      </c>
      <c r="AH278" s="1">
        <f>VLOOKUP(A278,'SegEnds_NonXtal_Prot#'!A:AL,28,FALSE)-VLOOKUP(A278,'SegEnds_NonXtal_Prot#'!A:AL,25,FALSE)</f>
        <v>28</v>
      </c>
      <c r="AI278" s="1">
        <f>VLOOKUP(A278,'SegEnds_NonXtal_Prot#'!A:AL,28,FALSE)-VLOOKUP(A278,'SegEnds_NonXtal_Prot#'!A:AL,22,FALSE)</f>
        <v>56</v>
      </c>
      <c r="AJ278" s="1">
        <f>VLOOKUP(A278,'SegEnds_NonXtal_Prot#'!A:AL,31,FALSE)-VLOOKUP(A278,'SegEnds_NonXtal_Prot#'!A:AL,28,FALSE)</f>
        <v>44</v>
      </c>
      <c r="AK278" s="1">
        <f>VLOOKUP(A278,'SegEnds_NonXtal_Prot#'!A:AL,34,FALSE)-VLOOKUP(A278,'SegEnds_NonXtal_Prot#'!A:AL,31,FALSE)</f>
        <v>45</v>
      </c>
      <c r="AL278" s="1">
        <f>VLOOKUP(A278,'SegEnds_NonXtal_Prot#'!A:AL,37,FALSE)-VLOOKUP(A278,'SegEnds_NonXtal_Prot#'!A:AL,34,FALSE)</f>
        <v>10</v>
      </c>
      <c r="AM278" s="1" t="str">
        <f>IF(ISERROR(MATCH(A278,'SegEnds_Xtal_Prot#'!B:B, 0)), "NoXtal", "Xtal")</f>
        <v>NoXtal</v>
      </c>
    </row>
    <row r="279" spans="1:39" s="12" customFormat="1" x14ac:dyDescent="0.2">
      <c r="A279" s="1" t="s">
        <v>194</v>
      </c>
      <c r="B279" s="1" t="str">
        <f>VLOOKUP(A279,Xtal_Templ!A:B,2,FALSE)</f>
        <v>adrb2_human</v>
      </c>
      <c r="C279" s="5">
        <f>VLOOKUP($B279&amp;"__wt",'SegEnds_Xtal_BW#'!$A:$Z,3,FALSE)</f>
        <v>25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INDEX(ICL3_classA!$G$2:$G$41,MATCH(MIN(ABS(AJ279-ICL3_classA!$F$2:$F$41)),ABS(AJ279-ICL3_classA!$F$2:$F$41),0))</f>
        <v>76</v>
      </c>
      <c r="U279" s="1">
        <f t="array" ref="U279">INDEX(ICL3_classA!$H$2:$H$41,MATCH(MIN(ABS(AJ279-ICL3_classA!$F$2:$F$41)),ABS(AJ279-ICL3_classA!$F$2:$F$41),0))</f>
        <v>24</v>
      </c>
      <c r="V279" s="1">
        <v>64</v>
      </c>
      <c r="W279" s="1">
        <v>24</v>
      </c>
      <c r="X279" s="124"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29</v>
      </c>
      <c r="AC279" s="1">
        <f>VLOOKUP(A279,'SegEnds_NonXtal_Prot#'!A:AL,10,FALSE)-VLOOKUP(A279,'SegEnds_NonXtal_Prot#'!A:AL,7,FALSE)</f>
        <v>16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51</v>
      </c>
      <c r="AF279" s="1">
        <f>VLOOKUP(A279,'SegEnds_NonXtal_Prot#'!A:AL,22,FALSE)-VLOOKUP(A279,'SegEnds_NonXtal_Prot#'!A:AL,19,FALSE)</f>
        <v>20</v>
      </c>
      <c r="AG279" s="1" t="e">
        <f>VLOOKUP(#REF!,'SegEnds_NonXtal_Prot#'!#REF!,28,FALSE)-VLOOKUP(#REF!,'SegEnds_NonXtal_Prot#'!#REF!,25,FALSE)</f>
        <v>#REF!</v>
      </c>
      <c r="AH279" s="1">
        <f>VLOOKUP(A279,'SegEnds_NonXtal_Prot#'!A:AL,28,FALSE)-VLOOKUP(A279,'SegEnds_NonXtal_Prot#'!A:AL,25,FALSE)</f>
        <v>20</v>
      </c>
      <c r="AI279" s="1">
        <f>VLOOKUP(A279,'SegEnds_NonXtal_Prot#'!A:AL,28,FALSE)-VLOOKUP(A279,'SegEnds_NonXtal_Prot#'!A:AL,22,FALSE)</f>
        <v>72</v>
      </c>
      <c r="AJ279" s="1">
        <f>VLOOKUP(A279,'SegEnds_NonXtal_Prot#'!A:AL,31,FALSE)-VLOOKUP(A279,'SegEnds_NonXtal_Prot#'!A:AL,28,FALSE)</f>
        <v>74</v>
      </c>
      <c r="AK279" s="1">
        <f>VLOOKUP(A279,'SegEnds_NonXtal_Prot#'!A:AL,34,FALSE)-VLOOKUP(A279,'SegEnds_NonXtal_Prot#'!A:AL,31,FALSE)</f>
        <v>45</v>
      </c>
      <c r="AL279" s="1">
        <f>VLOOKUP(A279,'SegEnds_NonXtal_Prot#'!A:AL,37,FALSE)-VLOOKUP(A279,'SegEnds_NonXtal_Prot#'!A:AL,34,FALSE)</f>
        <v>10</v>
      </c>
      <c r="AM279" s="1" t="str">
        <f>IF(ISERROR(MATCH(A279,'SegEnds_Xtal_Prot#'!B:B, 0)), "NoXtal", "Xtal")</f>
        <v>NoXtal</v>
      </c>
    </row>
    <row r="280" spans="1:39" s="12" customFormat="1" x14ac:dyDescent="0.2">
      <c r="A280" s="1" t="s">
        <v>195</v>
      </c>
      <c r="B280" s="1" t="str">
        <f>VLOOKUP(A280,Xtal_Templ!A:B,2,FALSE)</f>
        <v>ednrb_human</v>
      </c>
      <c r="C280" s="5">
        <f>VLOOKUP($B280&amp;"__wt",'SegEnds_Xtal_BW#'!$A:$Z,3,FALSE)</f>
        <v>22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52</v>
      </c>
      <c r="G280" s="1">
        <v>38</v>
      </c>
      <c r="H280" s="12"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9">
        <v>21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28</v>
      </c>
      <c r="T280" s="1">
        <f t="array" ref="T280">INDEX(ICL3_classA!$G$2:$G$41,MATCH(MIN(ABS(AJ280-ICL3_classA!$F$2:$F$41)),ABS(AJ280-ICL3_classA!$F$2:$F$41),0))</f>
        <v>72</v>
      </c>
      <c r="U280" s="1">
        <f t="array" ref="U280">INDEX(ICL3_classA!$H$2:$H$41,MATCH(MIN(ABS(AJ280-ICL3_classA!$F$2:$F$41)),ABS(AJ280-ICL3_classA!$F$2:$F$41),0))</f>
        <v>24</v>
      </c>
      <c r="V280" s="1">
        <v>62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>
        <f>VLOOKUP(A280,'SegEnds_NonXtal_Prot#'!A:AL,10,FALSE)-VLOOKUP(A280,'SegEnds_NonXtal_Prot#'!A:AL,7,FALSE)</f>
        <v>15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57</v>
      </c>
      <c r="AF280" s="1">
        <f>VLOOKUP(A280,'SegEnds_NonXtal_Prot#'!A:AL,22,FALSE)-VLOOKUP(A280,'SegEnds_NonXtal_Prot#'!A:AL,19,FALSE)</f>
        <v>20</v>
      </c>
      <c r="AG280" s="1" t="e">
        <f>VLOOKUP(#REF!,'SegEnds_NonXtal_Prot#'!#REF!,28,FALSE)-VLOOKUP(#REF!,'SegEnds_NonXtal_Prot#'!#REF!,25,FALSE)</f>
        <v>#REF!</v>
      </c>
      <c r="AH280" s="1">
        <f>VLOOKUP(A280,'SegEnds_NonXtal_Prot#'!A:AL,28,FALSE)-VLOOKUP(A280,'SegEnds_NonXtal_Prot#'!A:AL,25,FALSE)</f>
        <v>28</v>
      </c>
      <c r="AI280" s="1">
        <f>VLOOKUP(A280,'SegEnds_NonXtal_Prot#'!A:AL,28,FALSE)-VLOOKUP(A280,'SegEnds_NonXtal_Prot#'!A:AL,22,FALSE)</f>
        <v>57</v>
      </c>
      <c r="AJ280" s="1">
        <f>VLOOKUP(A280,'SegEnds_NonXtal_Prot#'!A:AL,31,FALSE)-VLOOKUP(A280,'SegEnds_NonXtal_Prot#'!A:AL,28,FALSE)</f>
        <v>54</v>
      </c>
      <c r="AK280" s="1">
        <f>VLOOKUP(A280,'SegEnds_NonXtal_Prot#'!A:AL,34,FALSE)-VLOOKUP(A280,'SegEnds_NonXtal_Prot#'!A:AL,31,FALSE)</f>
        <v>45</v>
      </c>
      <c r="AL280" s="1">
        <f>VLOOKUP(A280,'SegEnds_NonXtal_Prot#'!A:AL,37,FALSE)-VLOOKUP(A280,'SegEnds_NonXtal_Prot#'!A:AL,34,FALSE)</f>
        <v>10</v>
      </c>
      <c r="AM280" s="1" t="str">
        <f>IF(ISERROR(MATCH(A280,'SegEnds_Xtal_Prot#'!B:B, 0)), "NoXtal", "Xtal")</f>
        <v>NoXtal</v>
      </c>
    </row>
    <row r="281" spans="1:39" s="12" customFormat="1" x14ac:dyDescent="0.2">
      <c r="A281" s="1" t="s">
        <v>196</v>
      </c>
      <c r="B281" s="1" t="str">
        <f>VLOOKUP(A281,Xtal_Templ!A:B,2,FALSE)</f>
        <v>ednrb_human</v>
      </c>
      <c r="C281" s="5">
        <f>VLOOKUP($B281&amp;"__wt",'SegEnds_Xtal_BW#'!$A:$Z,3,FALSE)</f>
        <v>22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52</v>
      </c>
      <c r="G281" s="1">
        <v>38</v>
      </c>
      <c r="H281" s="12">
        <f>VLOOKUP($B281&amp;"__wt",'SegEnds_Xtal_BW#'!$A:$Z,8,FALSE)</f>
        <v>67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f>VLOOKUP($B281&amp;"__wt",'SegEnds_Xtal_BW#'!$A:$Z,14,FALSE)</f>
        <v>57</v>
      </c>
      <c r="O281" s="87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28</v>
      </c>
      <c r="T281" s="1">
        <f t="array" ref="T281">INDEX(ICL3_classA!$G$2:$G$41,MATCH(MIN(ABS(AJ281-ICL3_classA!$F$2:$F$41)),ABS(AJ281-ICL3_classA!$F$2:$F$41),0))</f>
        <v>72</v>
      </c>
      <c r="U281" s="1">
        <f t="array" ref="U281">INDEX(ICL3_classA!$H$2:$H$41,MATCH(MIN(ABS(AJ281-ICL3_classA!$F$2:$F$41)),ABS(AJ281-ICL3_classA!$F$2:$F$41),0))</f>
        <v>24</v>
      </c>
      <c r="V281" s="1">
        <v>62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60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>
        <f>VLOOKUP(A281,'SegEnds_NonXtal_Prot#'!A:AL,22,FALSE)-VLOOKUP(A281,'SegEnds_NonXtal_Prot#'!A:AL,19,FALSE)</f>
        <v>20</v>
      </c>
      <c r="AG281" s="1" t="e">
        <f>VLOOKUP(#REF!,'SegEnds_NonXtal_Prot#'!#REF!,28,FALSE)-VLOOKUP(#REF!,'SegEnds_NonXtal_Prot#'!#REF!,25,FALSE)</f>
        <v>#REF!</v>
      </c>
      <c r="AH281" s="1">
        <f>VLOOKUP(A281,'SegEnds_NonXtal_Prot#'!A:AL,28,FALSE)-VLOOKUP(A281,'SegEnds_NonXtal_Prot#'!A:AL,25,FALSE)</f>
        <v>30</v>
      </c>
      <c r="AI281" s="1">
        <f>VLOOKUP(A281,'SegEnds_NonXtal_Prot#'!A:AL,28,FALSE)-VLOOKUP(A281,'SegEnds_NonXtal_Prot#'!A:AL,22,FALSE)</f>
        <v>59</v>
      </c>
      <c r="AJ281" s="1">
        <f>VLOOKUP(A281,'SegEnds_NonXtal_Prot#'!A:AL,31,FALSE)-VLOOKUP(A281,'SegEnds_NonXtal_Prot#'!A:AL,28,FALSE)</f>
        <v>53</v>
      </c>
      <c r="AK281" s="1">
        <f>VLOOKUP(A281,'SegEnds_NonXtal_Prot#'!A:AL,34,FALSE)-VLOOKUP(A281,'SegEnds_NonXtal_Prot#'!A:AL,31,FALSE)</f>
        <v>45</v>
      </c>
      <c r="AL281" s="1">
        <f>VLOOKUP(A281,'SegEnds_NonXtal_Prot#'!A:AL,37,FALSE)-VLOOKUP(A281,'SegEnds_NonXtal_Prot#'!A:AL,34,FALSE)</f>
        <v>10</v>
      </c>
      <c r="AM281" s="1" t="str">
        <f>IF(ISERROR(MATCH(A281,'SegEnds_Xtal_Prot#'!B:B, 0)), "NoXtal", "Xtal")</f>
        <v>Xtal</v>
      </c>
    </row>
    <row r="282" spans="1:39" x14ac:dyDescent="0.2">
      <c r="A282" s="1" t="s">
        <v>218</v>
      </c>
      <c r="B282" s="1" t="str">
        <f>VLOOKUP(A282,Xtal_Templ!A:B,2,FALSE)</f>
        <v>ccr6_human</v>
      </c>
      <c r="C282" s="5">
        <f>VLOOKUP($B282&amp;"__wt",'SegEnds_Xtal_BW#'!$A:$Z,3,FALSE)</f>
        <v>25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08">
        <v>63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24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56</v>
      </c>
      <c r="O282" s="87"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31</v>
      </c>
      <c r="T282" s="1">
        <f t="array" ref="T282">INDEX(ICL3_classA!$G$2:$G$41,MATCH(MIN(ABS(AJ282-ICL3_classA!$F$2:$F$41)),ABS(AJ282-ICL3_classA!$F$2:$F$41),0))</f>
        <v>68</v>
      </c>
      <c r="U282" s="1">
        <f t="array" ref="U282">INDEX(ICL3_classA!$H$2:$H$41,MATCH(MIN(ABS(AJ282-ICL3_classA!$F$2:$F$41)),ABS(AJ282-ICL3_classA!$F$2:$F$41),0))</f>
        <v>24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62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33</v>
      </c>
      <c r="AC282" s="1" t="e">
        <f>VLOOKUP(A282,'SegEnds_NonXtal_Prot#'!A:AL,10,FALSE)-VLOOKUP(A282,'SegEnds_NonXtal_Prot#'!A:AL,7,FALSE)</f>
        <v>#VALUE!</v>
      </c>
      <c r="AD282" s="1">
        <f>VLOOKUP(A282,'SegEnds_NonXtal_Prot#'!A:AL,13,FALSE)-VLOOKUP(A282,'SegEnds_NonXtal_Prot#'!A:AL,10,FALSE)</f>
        <v>17</v>
      </c>
      <c r="AE282" s="1">
        <f>VLOOKUP(A282,'SegEnds_NonXtal_Prot#'!A:AL,16,FALSE)-VLOOKUP(A282,'SegEnds_NonXtal_Prot#'!A:AL,10,FALSE)</f>
        <v>49</v>
      </c>
      <c r="AF282" s="1" t="e">
        <f>VLOOKUP(A282,'SegEnds_NonXtal_Prot#'!A:AL,22,FALSE)-VLOOKUP(A282,'SegEnds_NonXtal_Prot#'!A:AL,19,FALSE)</f>
        <v>#VALUE!</v>
      </c>
      <c r="AG282" s="1" t="e">
        <f>VLOOKUP(#REF!,'SegEnds_NonXtal_Prot#'!#REF!,28,FALSE)-VLOOKUP(#REF!,'SegEnds_NonXtal_Prot#'!#REF!,25,FALSE)</f>
        <v>#REF!</v>
      </c>
      <c r="AH282" s="1" t="e">
        <f>VLOOKUP(A282,'SegEnds_NonXtal_Prot#'!A:AL,28,FALSE)-VLOOKUP(A282,'SegEnds_NonXtal_Prot#'!A:AL,25,FALSE)</f>
        <v>#VALUE!</v>
      </c>
      <c r="AI282" s="1">
        <f>VLOOKUP(A282,'SegEnds_NonXtal_Prot#'!A:AL,28,FALSE)-VLOOKUP(A282,'SegEnds_NonXtal_Prot#'!A:AL,22,FALSE)</f>
        <v>47</v>
      </c>
      <c r="AJ282" s="1">
        <f>VLOOKUP(A282,'SegEnds_NonXtal_Prot#'!A:AL,31,FALSE)-VLOOKUP(A282,'SegEnds_NonXtal_Prot#'!A:AL,28,FALSE)</f>
        <v>49</v>
      </c>
      <c r="AK282" s="1">
        <f>VLOOKUP(A282,'SegEnds_NonXtal_Prot#'!A:AL,34,FALSE)-VLOOKUP(A282,'SegEnds_NonXtal_Prot#'!A:AL,31,FALSE)</f>
        <v>45</v>
      </c>
      <c r="AL282" s="1">
        <f>VLOOKUP(A282,'SegEnds_NonXtal_Prot#'!A:AL,37,FALSE)-VLOOKUP(A282,'SegEnds_NonXtal_Prot#'!A:AL,34,FALSE)</f>
        <v>10</v>
      </c>
      <c r="AM282" s="1" t="str">
        <f>IF(ISERROR(MATCH(A282,'SegEnds_Xtal_Prot#'!B:B, 0)), "NoXtal", "Xtal")</f>
        <v>NoXtal</v>
      </c>
    </row>
    <row r="283" spans="1:39" x14ac:dyDescent="0.2">
      <c r="A283" s="1" t="s">
        <v>245</v>
      </c>
      <c r="B283" s="1" t="str">
        <f>VLOOKUP(A283,Xtal_Templ!A:B,2,FALSE)</f>
        <v>agtr1_human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67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34</v>
      </c>
      <c r="T283" s="1">
        <f t="array" ref="T283">INDEX(ICL3_classA!$G$2:$G$41,MATCH(MIN(ABS(AJ283-ICL3_classA!$F$2:$F$41)),ABS(AJ283-ICL3_classA!$F$2:$F$41),0))</f>
        <v>67</v>
      </c>
      <c r="U283" s="1">
        <f t="array" ref="U283">INDEX(ICL3_classA!$H$2:$H$41,MATCH(MIN(ABS(AJ283-ICL3_classA!$F$2:$F$41)),ABS(AJ283-ICL3_classA!$F$2:$F$41),0))</f>
        <v>28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 t="e">
        <f>VLOOKUP(#REF!,'SegEnds_NonXtal_Prot#'!#REF!,28,FALSE)-VLOOKUP(#REF!,'SegEnds_NonXtal_Prot#'!#REF!,25,FALSE)</f>
        <v>#REF!</v>
      </c>
      <c r="AH283" s="1">
        <f>VLOOKUP(A283,'SegEnds_NonXtal_Prot#'!A:AL,28,FALSE)-VLOOKUP(A283,'SegEnds_NonXtal_Prot#'!A:AL,25,FALSE)</f>
        <v>23</v>
      </c>
      <c r="AI283" s="1">
        <f>VLOOKUP(A283,'SegEnds_NonXtal_Prot#'!A:AL,28,FALSE)-VLOOKUP(A283,'SegEnds_NonXtal_Prot#'!A:AL,22,FALSE)</f>
        <v>50</v>
      </c>
      <c r="AJ283" s="1">
        <f>VLOOKUP(A283,'SegEnds_NonXtal_Prot#'!A:AL,31,FALSE)-VLOOKUP(A283,'SegEnds_NonXtal_Prot#'!A:AL,28,FALSE)</f>
        <v>45</v>
      </c>
      <c r="AK283" s="1">
        <f>VLOOKUP(A283,'SegEnds_NonXtal_Prot#'!A:AL,34,FALSE)-VLOOKUP(A283,'SegEnds_NonXtal_Prot#'!A:AL,31,FALSE)</f>
        <v>45</v>
      </c>
      <c r="AL283" s="1">
        <f>VLOOKUP(A283,'SegEnds_NonXtal_Prot#'!A:AL,37,FALSE)-VLOOKUP(A283,'SegEnds_NonXtal_Prot#'!A:AL,34,FALSE)</f>
        <v>10</v>
      </c>
      <c r="AM283" s="1" t="str">
        <f>IF(ISERROR(MATCH(A283,'SegEnds_Xtal_Prot#'!B:B, 0)), "NoXtal", "Xtal")</f>
        <v>NoXtal</v>
      </c>
    </row>
    <row r="284" spans="1:39" x14ac:dyDescent="0.2">
      <c r="A284" s="1" t="s">
        <v>275</v>
      </c>
      <c r="B284" s="1" t="str">
        <f>VLOOKUP(A284,Xtal_Templ!A:B,2,FALSE)</f>
        <v>p2ry1_human</v>
      </c>
      <c r="C284" s="5">
        <f>VLOOKUP($B284&amp;"__wt",'SegEnds_Xtal_BW#'!$A:$Z,3,FALSE)</f>
        <v>30</v>
      </c>
      <c r="D284" s="1">
        <f>VLOOKUP($B284&amp;"__wt",'SegEnds_Xtal_BW#'!$A:$Z,4,FALSE)</f>
        <v>60</v>
      </c>
      <c r="E284" s="1" t="str">
        <f>VLOOKUP($B284&amp;"__wt",'SegEnds_Xtal_BW#'!$A:$Z,5,FALSE)</f>
        <v>-</v>
      </c>
      <c r="F284" s="1" t="str">
        <f>VLOOKUP($B284&amp;"__wt",'SegEnds_Xtal_BW#'!$A:$Z,6,FALSE)</f>
        <v>-</v>
      </c>
      <c r="G284" s="1">
        <v>37</v>
      </c>
      <c r="H284" s="12">
        <f>VLOOKUP($B284&amp;"__wt",'SegEnds_Xtal_BW#'!$A:$Z,8,FALSE)</f>
        <v>66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INDEX(ICL3_classA!$G$2:$G$41,MATCH(MIN(ABS(AJ284-ICL3_classA!$F$2:$F$41)),ABS(AJ284-ICL3_classA!$F$2:$F$41),0))</f>
        <v>67</v>
      </c>
      <c r="U284" s="1">
        <f t="array" ref="U284">INDEX(ICL3_classA!$H$2:$H$41,MATCH(MIN(ABS(AJ284-ICL3_classA!$F$2:$F$41)),ABS(AJ284-ICL3_classA!$F$2:$F$41),0))</f>
        <v>26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 t="e">
        <f>VLOOKUP(A284,'SegEnds_NonXtal_Prot#'!A:AL,10,FALSE)-VLOOKUP(A284,'SegEnds_NonXtal_Prot#'!A:AL,7,FALSE)</f>
        <v>#VALUE!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 t="e">
        <f>VLOOKUP(#REF!,'SegEnds_NonXtal_Prot#'!#REF!,28,FALSE)-VLOOKUP(#REF!,'SegEnds_NonXtal_Prot#'!#REF!,25,FALSE)</f>
        <v>#REF!</v>
      </c>
      <c r="AH284" s="1">
        <f>VLOOKUP(A284,'SegEnds_NonXtal_Prot#'!A:AL,28,FALSE)-VLOOKUP(A284,'SegEnds_NonXtal_Prot#'!A:AL,25,FALSE)</f>
        <v>23</v>
      </c>
      <c r="AI284" s="1">
        <f>VLOOKUP(A284,'SegEnds_NonXtal_Prot#'!A:AL,28,FALSE)-VLOOKUP(A284,'SegEnds_NonXtal_Prot#'!A:AL,22,FALSE)</f>
        <v>48</v>
      </c>
      <c r="AJ284" s="1">
        <f>VLOOKUP(A284,'SegEnds_NonXtal_Prot#'!A:AL,31,FALSE)-VLOOKUP(A284,'SegEnds_NonXtal_Prot#'!A:AL,28,FALSE)</f>
        <v>46</v>
      </c>
      <c r="AK284" s="1">
        <f>VLOOKUP(A284,'SegEnds_NonXtal_Prot#'!A:AL,34,FALSE)-VLOOKUP(A284,'SegEnds_NonXtal_Prot#'!A:AL,31,FALSE)</f>
        <v>45</v>
      </c>
      <c r="AL284" s="1">
        <f>VLOOKUP(A284,'SegEnds_NonXtal_Prot#'!A:AL,37,FALSE)-VLOOKUP(A284,'SegEnds_NonXtal_Prot#'!A:AL,34,FALSE)</f>
        <v>10</v>
      </c>
      <c r="AM284" s="1" t="str">
        <f>IF(ISERROR(MATCH(A284,'SegEnds_Xtal_Prot#'!B:B, 0)), "NoXtal", "Xtal")</f>
        <v>NoXtal</v>
      </c>
    </row>
    <row r="285" spans="1:39" x14ac:dyDescent="0.2">
      <c r="A285" s="1" t="s">
        <v>276</v>
      </c>
      <c r="B285" s="1" t="str">
        <f>VLOOKUP(A285,Xtal_Templ!A:B,2,FALSE)</f>
        <v>p2ry1_human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 t="str">
        <f>VLOOKUP($B285&amp;"__wt",'SegEnds_Xtal_BW#'!$A:$Z,5,FALSE)</f>
        <v>-</v>
      </c>
      <c r="F285" s="1" t="str">
        <f>VLOOKUP($B285&amp;"__wt",'SegEnds_Xtal_BW#'!$A:$Z,6,FALSE)</f>
        <v>-</v>
      </c>
      <c r="G285" s="1">
        <v>37</v>
      </c>
      <c r="H285" s="12">
        <f>VLOOKUP($B285&amp;"__wt",'SegEnds_Xtal_BW#'!$A:$Z,8,FALSE)</f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INDEX(ICL3_classA!$G$2:$G$41,MATCH(MIN(ABS(AJ285-ICL3_classA!$F$2:$F$41)),ABS(AJ285-ICL3_classA!$F$2:$F$41),0))</f>
        <v>67</v>
      </c>
      <c r="U285" s="1">
        <f t="array" ref="U285">INDEX(ICL3_classA!$H$2:$H$41,MATCH(MIN(ABS(AJ285-ICL3_classA!$F$2:$F$41)),ABS(AJ285-ICL3_classA!$F$2:$F$41),0))</f>
        <v>26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 t="e">
        <f>VLOOKUP(A285,'SegEnds_NonXtal_Prot#'!A:AL,10,FALSE)-VLOOKUP(A285,'SegEnds_NonXtal_Prot#'!A:AL,7,FALSE)</f>
        <v>#VALUE!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20</v>
      </c>
      <c r="AG285" s="1" t="e">
        <f>VLOOKUP(#REF!,'SegEnds_NonXtal_Prot#'!#REF!,28,FALSE)-VLOOKUP(#REF!,'SegEnds_NonXtal_Prot#'!#REF!,25,FALSE)</f>
        <v>#REF!</v>
      </c>
      <c r="AH285" s="1">
        <f>VLOOKUP(A285,'SegEnds_NonXtal_Prot#'!A:AL,28,FALSE)-VLOOKUP(A285,'SegEnds_NonXtal_Prot#'!A:AL,25,FALSE)</f>
        <v>23</v>
      </c>
      <c r="AI285" s="1">
        <f>VLOOKUP(A285,'SegEnds_NonXtal_Prot#'!A:AL,28,FALSE)-VLOOKUP(A285,'SegEnds_NonXtal_Prot#'!A:AL,22,FALSE)</f>
        <v>48</v>
      </c>
      <c r="AJ285" s="1">
        <f>VLOOKUP(A285,'SegEnds_NonXtal_Prot#'!A:AL,31,FALSE)-VLOOKUP(A285,'SegEnds_NonXtal_Prot#'!A:AL,28,FALSE)</f>
        <v>46</v>
      </c>
      <c r="AK285" s="1">
        <f>VLOOKUP(A285,'SegEnds_NonXtal_Prot#'!A:AL,34,FALSE)-VLOOKUP(A285,'SegEnds_NonXtal_Prot#'!A:AL,31,FALSE)</f>
        <v>45</v>
      </c>
      <c r="AL285" s="1">
        <f>VLOOKUP(A285,'SegEnds_NonXtal_Prot#'!A:AL,37,FALSE)-VLOOKUP(A285,'SegEnds_NonXtal_Prot#'!A:AL,34,FALSE)</f>
        <v>10</v>
      </c>
      <c r="AM285" s="1" t="str">
        <f>IF(ISERROR(MATCH(A285,'SegEnds_Xtal_Prot#'!B:B, 0)), "NoXtal", "Xtal")</f>
        <v>NoXtal</v>
      </c>
    </row>
    <row r="286" spans="1:39" x14ac:dyDescent="0.2">
      <c r="A286" s="1" t="s">
        <v>288</v>
      </c>
      <c r="B286" s="1" t="str">
        <f>VLOOKUP(A286,Xtal_Templ!A:B,2,FALSE)</f>
        <v>cltr2_human</v>
      </c>
      <c r="C286" s="5">
        <f>VLOOKUP($B286&amp;"__wt",'SegEnds_Xtal_BW#'!$A:$Z,3,FALSE)</f>
        <v>25</v>
      </c>
      <c r="D286" s="1">
        <f>VLOOKUP($B286&amp;"__wt",'SegEnds_Xtal_BW#'!$A:$Z,4,FALSE)</f>
        <v>60</v>
      </c>
      <c r="E286" s="1" t="str">
        <f>VLOOKUP($B286&amp;"__wt",'SegEnds_Xtal_BW#'!$A:$Z,5,FALSE)</f>
        <v>-</v>
      </c>
      <c r="F286" s="1" t="str">
        <f>VLOOKUP($B286&amp;"__wt",'SegEnds_Xtal_BW#'!$A:$Z,6,FALSE)</f>
        <v>-</v>
      </c>
      <c r="G286" s="1">
        <v>37</v>
      </c>
      <c r="H286" s="12"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21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v>38</v>
      </c>
      <c r="P286" s="1">
        <f>VLOOKUP($B286&amp;"__wt",'SegEnds_Xtal_BW#'!$A:$Z,16,FALSE)</f>
        <v>63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INDEX(ICL3_classA!$G$2:$G$41,MATCH(MIN(ABS(AJ286-ICL3_classA!$F$2:$F$41)),ABS(AJ286-ICL3_classA!$F$2:$F$41),0))</f>
        <v>67</v>
      </c>
      <c r="U286" s="1">
        <f t="array" ref="U286">INDEX(ICL3_classA!$H$2:$H$41,MATCH(MIN(ABS(AJ286-ICL3_classA!$F$2:$F$41)),ABS(AJ286-ICL3_classA!$F$2:$F$41),0))</f>
        <v>26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60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19</v>
      </c>
      <c r="AE286" s="1">
        <f>VLOOKUP(A286,'SegEnds_NonXtal_Prot#'!A:AL,16,FALSE)-VLOOKUP(A286,'SegEnds_NonXtal_Prot#'!A:AL,10,FALSE)</f>
        <v>51</v>
      </c>
      <c r="AF286" s="1">
        <f>VLOOKUP(A286,'SegEnds_NonXtal_Prot#'!A:AL,22,FALSE)-VLOOKUP(A286,'SegEnds_NonXtal_Prot#'!A:AL,19,FALSE)</f>
        <v>20</v>
      </c>
      <c r="AG286" s="1" t="e">
        <f>VLOOKUP(#REF!,'SegEnds_NonXtal_Prot#'!#REF!,28,FALSE)-VLOOKUP(#REF!,'SegEnds_NonXtal_Prot#'!#REF!,25,FALSE)</f>
        <v>#REF!</v>
      </c>
      <c r="AH286" s="1">
        <f>VLOOKUP(A286,'SegEnds_NonXtal_Prot#'!A:AL,28,FALSE)-VLOOKUP(A286,'SegEnds_NonXtal_Prot#'!A:AL,25,FALSE)</f>
        <v>28</v>
      </c>
      <c r="AI286" s="1">
        <f>VLOOKUP(A286,'SegEnds_NonXtal_Prot#'!A:AL,28,FALSE)-VLOOKUP(A286,'SegEnds_NonXtal_Prot#'!A:AL,22,FALSE)</f>
        <v>57</v>
      </c>
      <c r="AJ286" s="1">
        <f>VLOOKUP(A286,'SegEnds_NonXtal_Prot#'!A:AL,31,FALSE)-VLOOKUP(A286,'SegEnds_NonXtal_Prot#'!A:AL,28,FALSE)</f>
        <v>46</v>
      </c>
      <c r="AK286" s="1">
        <f>VLOOKUP(A286,'SegEnds_NonXtal_Prot#'!A:AL,34,FALSE)-VLOOKUP(A286,'SegEnds_NonXtal_Prot#'!A:AL,31,FALSE)</f>
        <v>45</v>
      </c>
      <c r="AL286" s="1">
        <f>VLOOKUP(A286,'SegEnds_NonXtal_Prot#'!A:AL,37,FALSE)-VLOOKUP(A286,'SegEnds_NonXtal_Prot#'!A:AL,34,FALSE)</f>
        <v>10</v>
      </c>
      <c r="AM286" s="1" t="str">
        <f>IF(ISERROR(MATCH(A286,'SegEnds_Xtal_Prot#'!B:B, 0)), "NoXtal", "Xtal")</f>
        <v>NoXtal</v>
      </c>
    </row>
    <row r="287" spans="1:39" x14ac:dyDescent="0.2">
      <c r="A287" s="1" t="s">
        <v>1501</v>
      </c>
      <c r="B287" s="1" t="str">
        <f>VLOOKUP(A287,Xtal_Templ!A:B,2,FALSE)</f>
        <v>q80km9_hcmv</v>
      </c>
      <c r="C287" s="5">
        <f>VLOOKUP($B287&amp;"__wt",'SegEnds_Xtal_BW#'!$A:$Z,3,FALSE)</f>
        <v>24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 t="str">
        <f>VLOOKUP($B287&amp;"__wt",'SegEnds_Xtal_BW#'!$A:$Z,9,FALSE)</f>
        <v>-</v>
      </c>
      <c r="J287" s="1" t="str">
        <f>VLOOKUP($B287&amp;"__wt",'SegEnds_Xtal_BW#'!$A:$Z,10,FALSE)</f>
        <v>-</v>
      </c>
      <c r="K287" s="108">
        <v>21</v>
      </c>
      <c r="L287" s="1">
        <f>VLOOKUP($B287&amp;"__wt",'SegEnds_Xtal_BW#'!$A:$Z,12,FALSE)</f>
        <v>55</v>
      </c>
      <c r="M287" s="1" t="str">
        <f>VLOOKUP($B287&amp;"__wt",'SegEnds_Xtal_BW#'!$A:$Z,13,FALSE)</f>
        <v>-</v>
      </c>
      <c r="N287" s="12" t="str">
        <f>VLOOKUP($B287&amp;"__wt",'SegEnds_Xtal_BW#'!$A:$Z,14,FALSE)</f>
        <v>-</v>
      </c>
      <c r="O287" s="87">
        <f>VLOOKUP($B287&amp;"__wt",'SegEnds_Xtal_BW#'!$A:$Z,15,FALSE)</f>
        <v>38</v>
      </c>
      <c r="P287" s="1">
        <f>VLOOKUP($B287&amp;"__wt",'SegEnds_Xtal_BW#'!$A:$Z,16,FALSE)</f>
        <v>62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INDEX(ICL3_classA!$G$2:$G$41,MATCH(MIN(ABS(AJ287-ICL3_classA!$F$2:$F$41)),ABS(AJ287-ICL3_classA!$F$2:$F$41),0))</f>
        <v>68</v>
      </c>
      <c r="U287" s="1">
        <v>29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62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50</v>
      </c>
      <c r="AF287" s="1" t="e">
        <f>VLOOKUP(A287,'SegEnds_NonXtal_Prot#'!A:AL,22,FALSE)-VLOOKUP(A287,'SegEnds_NonXtal_Prot#'!A:AL,19,FALSE)</f>
        <v>#VALUE!</v>
      </c>
      <c r="AG287" s="1" t="e">
        <f>VLOOKUP(#REF!,'SegEnds_NonXtal_Prot#'!#REF!,28,FALSE)-VLOOKUP(#REF!,'SegEnds_NonXtal_Prot#'!#REF!,25,FALSE)</f>
        <v>#REF!</v>
      </c>
      <c r="AH287" s="1">
        <f>VLOOKUP(A287,'SegEnds_NonXtal_Prot#'!A:AL,28,FALSE)-VLOOKUP(A287,'SegEnds_NonXtal_Prot#'!A:AL,25,FALSE)</f>
        <v>27</v>
      </c>
      <c r="AI287" s="1">
        <f>VLOOKUP(A287,'SegEnds_NonXtal_Prot#'!A:AL,28,FALSE)-VLOOKUP(A287,'SegEnds_NonXtal_Prot#'!A:AL,22,FALSE)</f>
        <v>48</v>
      </c>
      <c r="AJ287" s="1">
        <f>VLOOKUP(A287,'SegEnds_NonXtal_Prot#'!A:AL,31,FALSE)-VLOOKUP(A287,'SegEnds_NonXtal_Prot#'!A:AL,28,FALSE)</f>
        <v>43</v>
      </c>
      <c r="AK287" s="1">
        <f>VLOOKUP(A287,'SegEnds_NonXtal_Prot#'!A:AL,34,FALSE)-VLOOKUP(A287,'SegEnds_NonXtal_Prot#'!A:AL,31,FALSE)</f>
        <v>45</v>
      </c>
      <c r="AL287" s="1">
        <f>VLOOKUP(A287,'SegEnds_NonXtal_Prot#'!A:AL,37,FALSE)-VLOOKUP(A287,'SegEnds_NonXtal_Prot#'!A:AL,34,FALSE)</f>
        <v>10</v>
      </c>
      <c r="AM287" s="1" t="str">
        <f>IF(ISERROR(MATCH(A287,'SegEnds_Xtal_Prot#'!B:B, 0)), "NoXtal", "Xtal")</f>
        <v>Xtal</v>
      </c>
    </row>
    <row r="288" spans="1:39" x14ac:dyDescent="0.2">
      <c r="A288" s="1" t="s">
        <v>372</v>
      </c>
      <c r="B288" s="1" t="str">
        <f>VLOOKUP(A288,Xtal_Templ!A:B,2,FALSE)</f>
        <v>agtr1_human</v>
      </c>
      <c r="C288" s="5">
        <f>VLOOKUP($B288&amp;"__wt",'SegEnds_Xtal_BW#'!$A:$Z,3,FALSE)</f>
        <v>28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67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58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INDEX(ICL3_classA!$G$2:$G$41,MATCH(MIN(ABS(AJ288-ICL3_classA!$F$2:$F$41)),ABS(AJ288-ICL3_classA!$F$2:$F$41),0))</f>
        <v>81</v>
      </c>
      <c r="U288" s="1">
        <f t="array" ref="U288">INDEX(ICL3_classA!$H$2:$H$41,MATCH(MIN(ABS(AJ288-ICL3_classA!$F$2:$F$41)),ABS(AJ288-ICL3_classA!$F$2:$F$41),0))</f>
        <v>23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29</v>
      </c>
      <c r="AC288" s="1">
        <f>VLOOKUP(A288,'SegEnds_NonXtal_Prot#'!A:AL,10,FALSE)-VLOOKUP(A288,'SegEnds_NonXtal_Prot#'!A:AL,7,FALSE)</f>
        <v>16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 t="e">
        <f>VLOOKUP(A288,'SegEnds_NonXtal_Prot#'!A:AL,22,FALSE)-VLOOKUP(A288,'SegEnds_NonXtal_Prot#'!A:AL,19,FALSE)</f>
        <v>#VALUE!</v>
      </c>
      <c r="AG288" s="1" t="e">
        <f>VLOOKUP(#REF!,'SegEnds_NonXtal_Prot#'!#REF!,28,FALSE)-VLOOKUP(#REF!,'SegEnds_NonXtal_Prot#'!#REF!,25,FALSE)</f>
        <v>#REF!</v>
      </c>
      <c r="AH288" s="1">
        <f>VLOOKUP(A288,'SegEnds_NonXtal_Prot#'!A:AL,28,FALSE)-VLOOKUP(A288,'SegEnds_NonXtal_Prot#'!A:AL,25,FALSE)</f>
        <v>32</v>
      </c>
      <c r="AI288" s="1">
        <f>VLOOKUP(A288,'SegEnds_NonXtal_Prot#'!A:AL,28,FALSE)-VLOOKUP(A288,'SegEnds_NonXtal_Prot#'!A:AL,22,FALSE)</f>
        <v>57</v>
      </c>
      <c r="AJ288" s="1">
        <f>VLOOKUP(A288,'SegEnds_NonXtal_Prot#'!A:AL,31,FALSE)-VLOOKUP(A288,'SegEnds_NonXtal_Prot#'!A:AL,28,FALSE)</f>
        <v>62</v>
      </c>
      <c r="AK288" s="1">
        <f>VLOOKUP(A288,'SegEnds_NonXtal_Prot#'!A:AL,34,FALSE)-VLOOKUP(A288,'SegEnds_NonXtal_Prot#'!A:AL,31,FALSE)</f>
        <v>45</v>
      </c>
      <c r="AL288" s="1">
        <f>VLOOKUP(A288,'SegEnds_NonXtal_Prot#'!A:AL,37,FALSE)-VLOOKUP(A288,'SegEnds_NonXtal_Prot#'!A:AL,34,FALSE)</f>
        <v>10</v>
      </c>
      <c r="AM288" s="1" t="str">
        <f>IF(ISERROR(MATCH(A288,'SegEnds_Xtal_Prot#'!B:B, 0)), "NoXtal", "Xtal")</f>
        <v>NoXtal</v>
      </c>
    </row>
    <row r="289" spans="1:39" x14ac:dyDescent="0.2">
      <c r="A289" s="1" t="s">
        <v>373</v>
      </c>
      <c r="B289" s="1" t="str">
        <f>VLOOKUP(A289,Xtal_Templ!A:B,2,FALSE)</f>
        <v>oprd_human</v>
      </c>
      <c r="C289" s="5">
        <f>VLOOKUP($B289&amp;"__wt",'SegEnds_Xtal_BW#'!$A:$Z,3,FALSE)</f>
        <v>22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30</v>
      </c>
      <c r="T289" s="1">
        <f t="array" ref="T289">INDEX(ICL3_classA!$G$2:$G$41,MATCH(MIN(ABS(AJ289-ICL3_classA!$F$2:$F$41)),ABS(AJ289-ICL3_classA!$F$2:$F$41),0))</f>
        <v>67</v>
      </c>
      <c r="U289" s="1">
        <f t="array" ref="U289">INDEX(ICL3_classA!$H$2:$H$41,MATCH(MIN(ABS(AJ289-ICL3_classA!$F$2:$F$41)),ABS(AJ289-ICL3_classA!$F$2:$F$41),0))</f>
        <v>28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60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30</v>
      </c>
      <c r="AC289" s="1">
        <f>VLOOKUP(A289,'SegEnds_NonXtal_Prot#'!A:AL,10,FALSE)-VLOOKUP(A289,'SegEnds_NonXtal_Prot#'!A:AL,7,FALSE)</f>
        <v>16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20</v>
      </c>
      <c r="AG289" s="1" t="e">
        <f>VLOOKUP(#REF!,'SegEnds_NonXtal_Prot#'!#REF!,28,FALSE)-VLOOKUP(#REF!,'SegEnds_NonXtal_Prot#'!#REF!,25,FALSE)</f>
        <v>#REF!</v>
      </c>
      <c r="AH289" s="1">
        <f>VLOOKUP(A289,'SegEnds_NonXtal_Prot#'!A:AL,28,FALSE)-VLOOKUP(A289,'SegEnds_NonXtal_Prot#'!A:AL,25,FALSE)</f>
        <v>25</v>
      </c>
      <c r="AI289" s="1">
        <f>VLOOKUP(A289,'SegEnds_NonXtal_Prot#'!A:AL,28,FALSE)-VLOOKUP(A289,'SegEnds_NonXtal_Prot#'!A:AL,22,FALSE)</f>
        <v>50</v>
      </c>
      <c r="AJ289" s="1">
        <f>VLOOKUP(A289,'SegEnds_NonXtal_Prot#'!A:AL,31,FALSE)-VLOOKUP(A289,'SegEnds_NonXtal_Prot#'!A:AL,28,FALSE)</f>
        <v>45</v>
      </c>
      <c r="AK289" s="1">
        <f>VLOOKUP(A289,'SegEnds_NonXtal_Prot#'!A:AL,34,FALSE)-VLOOKUP(A289,'SegEnds_NonXtal_Prot#'!A:AL,31,FALSE)</f>
        <v>45</v>
      </c>
      <c r="AL289" s="1">
        <f>VLOOKUP(A289,'SegEnds_NonXtal_Prot#'!A:AL,37,FALSE)-VLOOKUP(A289,'SegEnds_NonXtal_Prot#'!A:AL,34,FALSE)</f>
        <v>10</v>
      </c>
      <c r="AM289" s="1" t="str">
        <f>IF(ISERROR(MATCH(A289,'SegEnds_Xtal_Prot#'!B:B, 0)), "NoXtal", "Xtal")</f>
        <v>NoXtal</v>
      </c>
    </row>
    <row r="290" spans="1:39" x14ac:dyDescent="0.2">
      <c r="A290" s="1" t="s">
        <v>385</v>
      </c>
      <c r="B290" s="1" t="str">
        <f>VLOOKUP(A290,Xtal_Templ!A:B,2,FALSE)</f>
        <v>sucr1_rat</v>
      </c>
      <c r="C290" s="5">
        <f>VLOOKUP($B290&amp;"__wt",'SegEnds_Xtal_BW#'!$A:$Z,3,FALSE)</f>
        <v>20</v>
      </c>
      <c r="D290" s="1">
        <f>VLOOKUP($B290&amp;"__wt",'SegEnds_Xtal_BW#'!$A:$Z,4,FALSE)</f>
        <v>61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21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67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31</v>
      </c>
      <c r="T290" s="1">
        <f t="array" ref="T290">INDEX(ICL3_classA!$G$2:$G$41,MATCH(MIN(ABS(AJ290-ICL3_classA!$F$2:$F$41)),ABS(AJ290-ICL3_classA!$F$2:$F$41),0))</f>
        <v>68</v>
      </c>
      <c r="U290" s="1">
        <f t="array" ref="U290">INDEX(ICL3_classA!$H$2:$H$41,MATCH(MIN(ABS(AJ290-ICL3_classA!$F$2:$F$41)),ABS(AJ290-ICL3_classA!$F$2:$F$41),0))</f>
        <v>24</v>
      </c>
      <c r="V290" s="1">
        <v>64</v>
      </c>
      <c r="W290" s="1">
        <v>24</v>
      </c>
      <c r="X290" s="123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65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 t="e">
        <f>VLOOKUP(A290,'SegEnds_NonXtal_Prot#'!A:AL,10,FALSE)-VLOOKUP(A290,'SegEnds_NonXtal_Prot#'!A:AL,7,FALSE)</f>
        <v>#VALUE!</v>
      </c>
      <c r="AD290" s="1">
        <f>VLOOKUP(A290,'SegEnds_NonXtal_Prot#'!A:AL,13,FALSE)-VLOOKUP(A290,'SegEnds_NonXtal_Prot#'!A:AL,10,FALSE)</f>
        <v>19</v>
      </c>
      <c r="AE290" s="1">
        <f>VLOOKUP(A290,'SegEnds_NonXtal_Prot#'!A:AL,16,FALSE)-VLOOKUP(A290,'SegEnds_NonXtal_Prot#'!A:AL,10,FALSE)</f>
        <v>51</v>
      </c>
      <c r="AF290" s="1">
        <f>VLOOKUP(A290,'SegEnds_NonXtal_Prot#'!A:AL,22,FALSE)-VLOOKUP(A290,'SegEnds_NonXtal_Prot#'!A:AL,19,FALSE)</f>
        <v>20</v>
      </c>
      <c r="AG290" s="1" t="e">
        <f>VLOOKUP(#REF!,'SegEnds_NonXtal_Prot#'!#REF!,28,FALSE)-VLOOKUP(#REF!,'SegEnds_NonXtal_Prot#'!#REF!,25,FALSE)</f>
        <v>#REF!</v>
      </c>
      <c r="AH290" s="1">
        <f>VLOOKUP(A290,'SegEnds_NonXtal_Prot#'!A:AL,28,FALSE)-VLOOKUP(A290,'SegEnds_NonXtal_Prot#'!A:AL,25,FALSE)</f>
        <v>27</v>
      </c>
      <c r="AI290" s="1">
        <f>VLOOKUP(A290,'SegEnds_NonXtal_Prot#'!A:AL,28,FALSE)-VLOOKUP(A290,'SegEnds_NonXtal_Prot#'!A:AL,22,FALSE)</f>
        <v>52</v>
      </c>
      <c r="AJ290" s="1">
        <f>VLOOKUP(A290,'SegEnds_NonXtal_Prot#'!A:AL,31,FALSE)-VLOOKUP(A290,'SegEnds_NonXtal_Prot#'!A:AL,28,FALSE)</f>
        <v>48</v>
      </c>
      <c r="AK290" s="1">
        <f>VLOOKUP(A290,'SegEnds_NonXtal_Prot#'!A:AL,34,FALSE)-VLOOKUP(A290,'SegEnds_NonXtal_Prot#'!A:AL,31,FALSE)</f>
        <v>45</v>
      </c>
      <c r="AL290" s="1">
        <f>VLOOKUP(A290,'SegEnds_NonXtal_Prot#'!A:AL,37,FALSE)-VLOOKUP(A290,'SegEnds_NonXtal_Prot#'!A:AL,34,FALSE)</f>
        <v>10</v>
      </c>
      <c r="AM290" s="1" t="str">
        <f>IF(ISERROR(MATCH(A290,'SegEnds_Xtal_Prot#'!B:B, 0)), "NoXtal", "Xtal")</f>
        <v>NoXtal</v>
      </c>
    </row>
    <row r="291" spans="1:39" x14ac:dyDescent="0.2">
      <c r="A291" s="1" t="s">
        <v>469</v>
      </c>
      <c r="B291" s="1" t="str">
        <f>VLOOKUP(A291,Xtal_Templ!A:B,2,FALSE)</f>
        <v>ta2r_human</v>
      </c>
      <c r="C291" s="5">
        <f>VLOOKUP($B291&amp;"__wt",'SegEnds_Xtal_BW#'!$A:$Z,3,FALSE)</f>
        <v>35</v>
      </c>
      <c r="D291" s="1">
        <f>VLOOKUP($B291&amp;"__wt",'SegEnds_Xtal_BW#'!$A:$Z,4,FALSE)</f>
        <v>62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v>67</v>
      </c>
      <c r="I291" s="1">
        <f>VLOOKUP($B291&amp;"__wt",'SegEnds_Xtal_BW#'!$A:$Z,9,FALSE)</f>
        <v>49</v>
      </c>
      <c r="J291" s="1">
        <f>VLOOKUP($B291&amp;"__wt",'SegEnds_Xtal_BW#'!$A:$Z,10,FALSE)</f>
        <v>53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f>VLOOKUP($B291&amp;"__wt",'SegEnds_Xtal_BW#'!$A:$Z,15,FALSE)</f>
        <v>38</v>
      </c>
      <c r="P291" s="1">
        <f>VLOOKUP($B291&amp;"__wt",'SegEnds_Xtal_BW#'!$A:$Z,16,FALSE)</f>
        <v>63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33</v>
      </c>
      <c r="T291" s="1">
        <f t="array" ref="T291">INDEX(ICL3_classA!$G$2:$G$41,MATCH(MIN(ABS(AJ291-ICL3_classA!$F$2:$F$41)),ABS(AJ291-ICL3_classA!$F$2:$F$41),0))</f>
        <v>72</v>
      </c>
      <c r="U291" s="1">
        <f t="array" ref="U291">INDEX(ICL3_classA!$H$2:$H$41,MATCH(MIN(ABS(AJ291-ICL3_classA!$F$2:$F$41)),ABS(AJ291-ICL3_classA!$F$2:$F$41),0))</f>
        <v>24</v>
      </c>
      <c r="V291" s="108">
        <v>61</v>
      </c>
      <c r="W291" s="108">
        <v>28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66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32</v>
      </c>
      <c r="AC291" s="1" t="e">
        <f>VLOOKUP(A291,'SegEnds_NonXtal_Prot#'!A:AL,10,FALSE)-VLOOKUP(A291,'SegEnds_NonXtal_Prot#'!A:AL,7,FALSE)</f>
        <v>#VALUE!</v>
      </c>
      <c r="AD291" s="1">
        <f>VLOOKUP(A291,'SegEnds_NonXtal_Prot#'!A:AL,13,FALSE)-VLOOKUP(A291,'SegEnds_NonXtal_Prot#'!A:AL,10,FALSE)</f>
        <v>21</v>
      </c>
      <c r="AE291" s="1">
        <f>VLOOKUP(A291,'SegEnds_NonXtal_Prot#'!A:AL,16,FALSE)-VLOOKUP(A291,'SegEnds_NonXtal_Prot#'!A:AL,10,FALSE)</f>
        <v>56</v>
      </c>
      <c r="AF291" s="1">
        <f>VLOOKUP(A291,'SegEnds_NonXtal_Prot#'!A:AL,22,FALSE)-VLOOKUP(A291,'SegEnds_NonXtal_Prot#'!A:AL,19,FALSE)</f>
        <v>20</v>
      </c>
      <c r="AG291" s="1" t="e">
        <f>VLOOKUP(#REF!,'SegEnds_NonXtal_Prot#'!#REF!,28,FALSE)-VLOOKUP(#REF!,'SegEnds_NonXtal_Prot#'!#REF!,25,FALSE)</f>
        <v>#REF!</v>
      </c>
      <c r="AH291" s="1">
        <f>VLOOKUP(A291,'SegEnds_NonXtal_Prot#'!A:AL,28,FALSE)-VLOOKUP(A291,'SegEnds_NonXtal_Prot#'!A:AL,25,FALSE)</f>
        <v>24</v>
      </c>
      <c r="AI291" s="1">
        <f>VLOOKUP(A291,'SegEnds_NonXtal_Prot#'!A:AL,28,FALSE)-VLOOKUP(A291,'SegEnds_NonXtal_Prot#'!A:AL,22,FALSE)</f>
        <v>50</v>
      </c>
      <c r="AJ291" s="1">
        <f>VLOOKUP(A291,'SegEnds_NonXtal_Prot#'!A:AL,31,FALSE)-VLOOKUP(A291,'SegEnds_NonXtal_Prot#'!A:AL,28,FALSE)</f>
        <v>53</v>
      </c>
      <c r="AK291" s="1">
        <f>VLOOKUP(A291,'SegEnds_NonXtal_Prot#'!A:AL,34,FALSE)-VLOOKUP(A291,'SegEnds_NonXtal_Prot#'!A:AL,31,FALSE)</f>
        <v>45</v>
      </c>
      <c r="AL291" s="1">
        <f>VLOOKUP(A291,'SegEnds_NonXtal_Prot#'!A:AL,37,FALSE)-VLOOKUP(A291,'SegEnds_NonXtal_Prot#'!A:AL,34,FALSE)</f>
        <v>10</v>
      </c>
      <c r="AM291" s="1" t="str">
        <f>IF(ISERROR(MATCH(A291,'SegEnds_Xtal_Prot#'!B:B, 0)), "NoXtal", "Xtal")</f>
        <v>Xtal</v>
      </c>
    </row>
    <row r="292" spans="1:39" x14ac:dyDescent="0.2">
      <c r="A292" s="1" t="s">
        <v>917</v>
      </c>
      <c r="B292" s="1" t="str">
        <f>VLOOKUP(A292,Xtal_Templ!A:B,2,FALSE)</f>
        <v>us28_hcmva</v>
      </c>
      <c r="C292" s="5">
        <f>VLOOKUP($B292&amp;"__wt",'SegEnds_Xtal_BW#'!$A:$Z,3,FALSE)</f>
        <v>24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v>66</v>
      </c>
      <c r="I292" s="1" t="str">
        <f>VLOOKUP($B292&amp;"__wt",'SegEnds_Xtal_BW#'!$A:$Z,9,FALSE)</f>
        <v>-</v>
      </c>
      <c r="J292" s="1" t="str">
        <f>VLOOKUP($B292&amp;"__wt",'SegEnds_Xtal_BW#'!$A:$Z,10,FALSE)</f>
        <v>-</v>
      </c>
      <c r="K292" s="108">
        <v>21</v>
      </c>
      <c r="L292" s="1">
        <f>VLOOKUP($B292&amp;"__wt",'SegEnds_Xtal_BW#'!$A:$Z,12,FALSE)</f>
        <v>55</v>
      </c>
      <c r="M292" s="1" t="str">
        <f>VLOOKUP($B292&amp;"__wt",'SegEnds_Xtal_BW#'!$A:$Z,13,FALSE)</f>
        <v>-</v>
      </c>
      <c r="N292" s="12" t="str">
        <f>VLOOKUP($B292&amp;"__wt",'SegEnds_Xtal_BW#'!$A:$Z,14,FALSE)</f>
        <v>-</v>
      </c>
      <c r="O292" s="87">
        <f>VLOOKUP($B292&amp;"__wt",'SegEnds_Xtal_BW#'!$A:$Z,15,FALSE)</f>
        <v>38</v>
      </c>
      <c r="P292" s="1">
        <f>VLOOKUP($B292&amp;"__wt",'SegEnds_Xtal_BW#'!$A:$Z,16,FALSE)</f>
        <v>62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33</v>
      </c>
      <c r="T292" s="1">
        <f t="array" ref="T292">INDEX(ICL3_classA!$G$2:$G$41,MATCH(MIN(ABS(AJ292-ICL3_classA!$F$2:$F$41)),ABS(AJ292-ICL3_classA!$F$2:$F$41),0))</f>
        <v>68</v>
      </c>
      <c r="U292" s="1">
        <v>29</v>
      </c>
      <c r="V292" s="1">
        <v>64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62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 t="e">
        <f>VLOOKUP(A292,'SegEnds_NonXtal_Prot#'!A:AL,13,FALSE)-VLOOKUP(A292,'SegEnds_NonXtal_Prot#'!A:AL,10,FALSE)</f>
        <v>#VALUE!</v>
      </c>
      <c r="AE292" s="1">
        <f>VLOOKUP(A292,'SegEnds_NonXtal_Prot#'!A:AL,16,FALSE)-VLOOKUP(A292,'SegEnds_NonXtal_Prot#'!A:AL,10,FALSE)</f>
        <v>50</v>
      </c>
      <c r="AF292" s="1" t="e">
        <f>VLOOKUP(A292,'SegEnds_NonXtal_Prot#'!A:AL,22,FALSE)-VLOOKUP(A292,'SegEnds_NonXtal_Prot#'!A:AL,19,FALSE)</f>
        <v>#VALUE!</v>
      </c>
      <c r="AG292" s="1" t="e">
        <f>VLOOKUP(#REF!,'SegEnds_NonXtal_Prot#'!#REF!,28,FALSE)-VLOOKUP(#REF!,'SegEnds_NonXtal_Prot#'!#REF!,25,FALSE)</f>
        <v>#REF!</v>
      </c>
      <c r="AH292" s="1">
        <f>VLOOKUP(A292,'SegEnds_NonXtal_Prot#'!A:AL,28,FALSE)-VLOOKUP(A292,'SegEnds_NonXtal_Prot#'!A:AL,25,FALSE)</f>
        <v>27</v>
      </c>
      <c r="AI292" s="1">
        <f>VLOOKUP(A292,'SegEnds_NonXtal_Prot#'!A:AL,28,FALSE)-VLOOKUP(A292,'SegEnds_NonXtal_Prot#'!A:AL,22,FALSE)</f>
        <v>48</v>
      </c>
      <c r="AJ292" s="1">
        <f>VLOOKUP(A292,'SegEnds_NonXtal_Prot#'!A:AL,31,FALSE)-VLOOKUP(A292,'SegEnds_NonXtal_Prot#'!A:AL,28,FALSE)</f>
        <v>43</v>
      </c>
      <c r="AK292" s="1">
        <f>VLOOKUP(A292,'SegEnds_NonXtal_Prot#'!A:AL,34,FALSE)-VLOOKUP(A292,'SegEnds_NonXtal_Prot#'!A:AL,31,FALSE)</f>
        <v>45</v>
      </c>
      <c r="AL292" s="1">
        <f>VLOOKUP(A292,'SegEnds_NonXtal_Prot#'!A:AL,37,FALSE)-VLOOKUP(A292,'SegEnds_NonXtal_Prot#'!A:AL,34,FALSE)</f>
        <v>10</v>
      </c>
      <c r="AM292" s="1" t="str">
        <f>IF(ISERROR(MATCH(A292,'SegEnds_Xtal_Prot#'!B:B, 0)), "NoXtal", "Xtal")</f>
        <v>Xtal</v>
      </c>
    </row>
    <row r="293" spans="1:39" x14ac:dyDescent="0.2">
      <c r="A293" s="1" t="s">
        <v>142</v>
      </c>
      <c r="B293" s="1" t="str">
        <f>VLOOKUP(A293,Xtal_Templ!A:B,2,FALSE)</f>
        <v>fpr2_human</v>
      </c>
      <c r="C293" s="5">
        <f>VLOOKUP($B293&amp;"__wt",'SegEnds_Xtal_BW#'!$A:$Z,3,FALSE)</f>
        <v>25</v>
      </c>
      <c r="D293" s="1">
        <f>VLOOKUP($B293&amp;"__wt",'SegEnds_Xtal_BW#'!$A:$Z,4,FALSE)</f>
        <v>61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24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7"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08">
        <v>35</v>
      </c>
      <c r="T293" s="1">
        <f t="array" ref="T293">INDEX(ICL3_classA!$G$2:$G$41,MATCH(MIN(ABS(AJ293-ICL3_classA!$F$2:$F$41)),ABS(AJ293-ICL3_classA!$F$2:$F$41),0))</f>
        <v>64</v>
      </c>
      <c r="U293" s="1">
        <f t="array" ref="U293">INDEX(ICL3_classA!$H$2:$H$41,MATCH(MIN(ABS(AJ293-ICL3_classA!$F$2:$F$41)),ABS(AJ293-ICL3_classA!$F$2:$F$41),0))</f>
        <v>34</v>
      </c>
      <c r="V293" s="1">
        <v>64</v>
      </c>
      <c r="W293" s="1">
        <v>24</v>
      </c>
      <c r="X293" s="108">
        <v>56</v>
      </c>
      <c r="Y293" s="1">
        <f>VLOOKUP($B293&amp;"__wt",'SegEnds_Xtal_BW#'!$A:$Z,25,FALSE)</f>
        <v>47</v>
      </c>
      <c r="Z293" s="1">
        <f>VLOOKUP($B293&amp;"__wt",'SegEnds_Xtal_BW#'!$A:$Z,26,FALSE)</f>
        <v>58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30</v>
      </c>
      <c r="AC293" s="1" t="e">
        <f>VLOOKUP(A293,'SegEnds_NonXtal_Prot#'!A:AL,10,FALSE)-VLOOKUP(A293,'SegEnds_NonXtal_Prot#'!A:AL,7,FALSE)</f>
        <v>#VALUE!</v>
      </c>
      <c r="AD293" s="1" t="e">
        <f>VLOOKUP(A293,'SegEnds_NonXtal_Prot#'!A:AL,13,FALSE)-VLOOKUP(A293,'SegEnds_NonXtal_Prot#'!A:AL,10,FALSE)</f>
        <v>#VALUE!</v>
      </c>
      <c r="AE293" s="1">
        <f>VLOOKUP(A293,'SegEnds_NonXtal_Prot#'!A:AL,16,FALSE)-VLOOKUP(A293,'SegEnds_NonXtal_Prot#'!A:AL,10,FALSE)</f>
        <v>48</v>
      </c>
      <c r="AF293" s="1" t="e">
        <f>VLOOKUP(A293,'SegEnds_NonXtal_Prot#'!A:AL,22,FALSE)-VLOOKUP(A293,'SegEnds_NonXtal_Prot#'!A:AL,19,FALSE)</f>
        <v>#VALUE!</v>
      </c>
      <c r="AG293" s="1" t="e">
        <f>VLOOKUP(#REF!,'SegEnds_NonXtal_Prot#'!#REF!,28,FALSE)-VLOOKUP(#REF!,'SegEnds_NonXtal_Prot#'!#REF!,25,FALSE)</f>
        <v>#REF!</v>
      </c>
      <c r="AH293" s="1">
        <f>VLOOKUP(A293,'SegEnds_NonXtal_Prot#'!A:AL,28,FALSE)-VLOOKUP(A293,'SegEnds_NonXtal_Prot#'!A:AL,25,FALSE)</f>
        <v>23</v>
      </c>
      <c r="AI293" s="1">
        <f>VLOOKUP(A293,'SegEnds_NonXtal_Prot#'!A:AL,28,FALSE)-VLOOKUP(A293,'SegEnds_NonXtal_Prot#'!A:AL,22,FALSE)</f>
        <v>44</v>
      </c>
      <c r="AJ293" s="1">
        <f>VLOOKUP(A293,'SegEnds_NonXtal_Prot#'!A:AL,31,FALSE)-VLOOKUP(A293,'SegEnds_NonXtal_Prot#'!A:AL,28,FALSE)</f>
        <v>37</v>
      </c>
      <c r="AK293" s="1">
        <f>VLOOKUP(A293,'SegEnds_NonXtal_Prot#'!A:AL,34,FALSE)-VLOOKUP(A293,'SegEnds_NonXtal_Prot#'!A:AL,31,FALSE)</f>
        <v>46</v>
      </c>
      <c r="AL293" s="1">
        <f>VLOOKUP(A293,'SegEnds_NonXtal_Prot#'!A:AL,37,FALSE)-VLOOKUP(A293,'SegEnds_NonXtal_Prot#'!A:AL,34,FALSE)</f>
        <v>10</v>
      </c>
      <c r="AM293" s="1" t="str">
        <f>IF(ISERROR(MATCH(A293,'SegEnds_Xtal_Prot#'!B:B, 0)), "NoXtal", "Xtal")</f>
        <v>NoXtal</v>
      </c>
    </row>
    <row r="294" spans="1:39" x14ac:dyDescent="0.2">
      <c r="A294" s="1" t="s">
        <v>233</v>
      </c>
      <c r="B294" s="1" t="str">
        <f>VLOOKUP(A294,Xtal_Templ!A:B,2,FALSE)</f>
        <v>oprk_human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30</v>
      </c>
      <c r="T294" s="1">
        <f t="array" ref="T294">INDEX(ICL3_classA!$G$2:$G$41,MATCH(MIN(ABS(AJ294-ICL3_classA!$F$2:$F$41)),ABS(AJ294-ICL3_classA!$F$2:$F$41),0))</f>
        <v>68</v>
      </c>
      <c r="U294" s="1">
        <f t="array" ref="U294">INDEX(ICL3_classA!$H$2:$H$41,MATCH(MIN(ABS(AJ294-ICL3_classA!$F$2:$F$41)),ABS(AJ294-ICL3_classA!$F$2:$F$41),0))</f>
        <v>23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20</v>
      </c>
      <c r="AE294" s="1">
        <f>VLOOKUP(A294,'SegEnds_NonXtal_Prot#'!A:AL,16,FALSE)-VLOOKUP(A294,'SegEnds_NonXtal_Prot#'!A:AL,10,FALSE)</f>
        <v>52</v>
      </c>
      <c r="AF294" s="1">
        <f>VLOOKUP(A294,'SegEnds_NonXtal_Prot#'!A:AL,22,FALSE)-VLOOKUP(A294,'SegEnds_NonXtal_Prot#'!A:AL,19,FALSE)</f>
        <v>20</v>
      </c>
      <c r="AG294" s="1" t="e">
        <f>VLOOKUP(#REF!,'SegEnds_NonXtal_Prot#'!#REF!,28,FALSE)-VLOOKUP(#REF!,'SegEnds_NonXtal_Prot#'!#REF!,25,FALSE)</f>
        <v>#REF!</v>
      </c>
      <c r="AH294" s="1">
        <f>VLOOKUP(A294,'SegEnds_NonXtal_Prot#'!A:AL,28,FALSE)-VLOOKUP(A294,'SegEnds_NonXtal_Prot#'!A:AL,25,FALSE)</f>
        <v>27</v>
      </c>
      <c r="AI294" s="1">
        <f>VLOOKUP(A294,'SegEnds_NonXtal_Prot#'!A:AL,28,FALSE)-VLOOKUP(A294,'SegEnds_NonXtal_Prot#'!A:AL,22,FALSE)</f>
        <v>52</v>
      </c>
      <c r="AJ294" s="1">
        <f>VLOOKUP(A294,'SegEnds_NonXtal_Prot#'!A:AL,31,FALSE)-VLOOKUP(A294,'SegEnds_NonXtal_Prot#'!A:AL,28,FALSE)</f>
        <v>51</v>
      </c>
      <c r="AK294" s="1">
        <f>VLOOKUP(A294,'SegEnds_NonXtal_Prot#'!A:AL,34,FALSE)-VLOOKUP(A294,'SegEnds_NonXtal_Prot#'!A:AL,31,FALSE)</f>
        <v>46</v>
      </c>
      <c r="AL294" s="1">
        <f>VLOOKUP(A294,'SegEnds_NonXtal_Prot#'!A:AL,37,FALSE)-VLOOKUP(A294,'SegEnds_NonXtal_Prot#'!A:AL,34,FALSE)</f>
        <v>10</v>
      </c>
      <c r="AM294" s="1" t="str">
        <f>IF(ISERROR(MATCH(A294,'SegEnds_Xtal_Prot#'!B:B, 0)), "NoXtal", "Xtal")</f>
        <v>NoXtal</v>
      </c>
    </row>
    <row r="295" spans="1:39" x14ac:dyDescent="0.2">
      <c r="A295" s="1" t="s">
        <v>291</v>
      </c>
      <c r="B295" s="1" t="str">
        <f>VLOOKUP(A295,Xtal_Templ!A:B,2,FALSE)</f>
        <v>ccr7_human</v>
      </c>
      <c r="C295" s="5">
        <f>VLOOKUP($B295&amp;"__wt",'SegEnds_Xtal_BW#'!$A:$Z,3,FALSE)</f>
        <v>29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21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08">
        <v>29</v>
      </c>
      <c r="T295" s="1">
        <f t="array" ref="T295">INDEX(ICL3_classA!$G$2:$G$41,MATCH(MIN(ABS(AJ295-ICL3_classA!$F$2:$F$41)),ABS(AJ295-ICL3_classA!$F$2:$F$41),0))</f>
        <v>68</v>
      </c>
      <c r="U295" s="1">
        <f t="array" ref="U295">INDEX(ICL3_classA!$H$2:$H$41,MATCH(MIN(ABS(AJ295-ICL3_classA!$F$2:$F$41)),ABS(AJ295-ICL3_classA!$F$2:$F$41),0))</f>
        <v>30</v>
      </c>
      <c r="V295" s="1">
        <v>64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19</v>
      </c>
      <c r="AE295" s="1">
        <f>VLOOKUP(A295,'SegEnds_NonXtal_Prot#'!A:AL,16,FALSE)-VLOOKUP(A295,'SegEnds_NonXtal_Prot#'!A:AL,10,FALSE)</f>
        <v>51</v>
      </c>
      <c r="AF295" s="1">
        <f>VLOOKUP(A295,'SegEnds_NonXtal_Prot#'!A:AL,22,FALSE)-VLOOKUP(A295,'SegEnds_NonXtal_Prot#'!A:AL,19,FALSE)</f>
        <v>20</v>
      </c>
      <c r="AG295" s="1" t="e">
        <f>VLOOKUP(#REF!,'SegEnds_NonXtal_Prot#'!#REF!,28,FALSE)-VLOOKUP(#REF!,'SegEnds_NonXtal_Prot#'!#REF!,25,FALSE)</f>
        <v>#REF!</v>
      </c>
      <c r="AH295" s="1">
        <f>VLOOKUP(A295,'SegEnds_NonXtal_Prot#'!A:AL,28,FALSE)-VLOOKUP(A295,'SegEnds_NonXtal_Prot#'!A:AL,25,FALSE)</f>
        <v>25</v>
      </c>
      <c r="AI295" s="1">
        <f>VLOOKUP(A295,'SegEnds_NonXtal_Prot#'!A:AL,28,FALSE)-VLOOKUP(A295,'SegEnds_NonXtal_Prot#'!A:AL,22,FALSE)</f>
        <v>51</v>
      </c>
      <c r="AJ295" s="1">
        <f>VLOOKUP(A295,'SegEnds_NonXtal_Prot#'!A:AL,31,FALSE)-VLOOKUP(A295,'SegEnds_NonXtal_Prot#'!A:AL,28,FALSE)</f>
        <v>43</v>
      </c>
      <c r="AK295" s="1">
        <f>VLOOKUP(A295,'SegEnds_NonXtal_Prot#'!A:AL,34,FALSE)-VLOOKUP(A295,'SegEnds_NonXtal_Prot#'!A:AL,31,FALSE)</f>
        <v>46</v>
      </c>
      <c r="AL295" s="1">
        <f>VLOOKUP(A295,'SegEnds_NonXtal_Prot#'!A:AL,37,FALSE)-VLOOKUP(A295,'SegEnds_NonXtal_Prot#'!A:AL,34,FALSE)</f>
        <v>10</v>
      </c>
      <c r="AM295" s="1" t="str">
        <f>IF(ISERROR(MATCH(A295,'SegEnds_Xtal_Prot#'!B:B, 0)), "NoXtal", "Xtal")</f>
        <v>NoXtal</v>
      </c>
    </row>
    <row r="296" spans="1:39" x14ac:dyDescent="0.2">
      <c r="A296" s="1" t="s">
        <v>292</v>
      </c>
      <c r="B296" s="1" t="str">
        <f>VLOOKUP(A296,Xtal_Templ!A:B,2,FALSE)</f>
        <v>pd2r2_human</v>
      </c>
      <c r="C296" s="5">
        <f>VLOOKUP($B296&amp;"__wt",'SegEnds_Xtal_BW#'!$A:$Z,3,FALSE)</f>
        <v>32</v>
      </c>
      <c r="D296" s="1">
        <f>VLOOKUP($B296&amp;"__wt",'SegEnds_Xtal_BW#'!$A:$Z,4,FALSE)</f>
        <v>60</v>
      </c>
      <c r="E296" s="1" t="str">
        <f>VLOOKUP($B296&amp;"__wt",'SegEnds_Xtal_BW#'!$A:$Z,5,FALSE)</f>
        <v>-</v>
      </c>
      <c r="F296" s="1" t="str">
        <f>VLOOKUP($B296&amp;"__wt",'SegEnds_Xtal_BW#'!$A:$Z,6,FALSE)</f>
        <v>-</v>
      </c>
      <c r="G296" s="1">
        <v>37</v>
      </c>
      <c r="H296" s="12">
        <v>66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21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INDEX(ICL3_classA!$G$2:$G$41,MATCH(MIN(ABS(AJ296-ICL3_classA!$F$2:$F$41)),ABS(AJ296-ICL3_classA!$F$2:$F$41),0))</f>
        <v>67</v>
      </c>
      <c r="U296" s="1">
        <f t="array" ref="U296">INDEX(ICL3_classA!$H$2:$H$41,MATCH(MIN(ABS(AJ296-ICL3_classA!$F$2:$F$41)),ABS(AJ296-ICL3_classA!$F$2:$F$41),0))</f>
        <v>26</v>
      </c>
      <c r="V296" s="1">
        <v>64</v>
      </c>
      <c r="W296" s="1">
        <v>24</v>
      </c>
      <c r="X296" s="108">
        <v>56</v>
      </c>
      <c r="Y296" s="1">
        <f>VLOOKUP($B296&amp;"__wt",'SegEnds_Xtal_BW#'!$A:$Z,25,FALSE)</f>
        <v>47</v>
      </c>
      <c r="Z296" s="1">
        <f>VLOOKUP($B296&amp;"__wt",'SegEnds_Xtal_BW#'!$A:$Z,26,FALSE)</f>
        <v>64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30</v>
      </c>
      <c r="AC296" s="1">
        <f>VLOOKUP(A296,'SegEnds_NonXtal_Prot#'!A:AL,10,FALSE)-VLOOKUP(A296,'SegEnds_NonXtal_Prot#'!A:AL,7,FALSE)</f>
        <v>17</v>
      </c>
      <c r="AD296" s="1">
        <f>VLOOKUP(A296,'SegEnds_NonXtal_Prot#'!A:AL,13,FALSE)-VLOOKUP(A296,'SegEnds_NonXtal_Prot#'!A:AL,10,FALSE)</f>
        <v>19</v>
      </c>
      <c r="AE296" s="1">
        <f>VLOOKUP(A296,'SegEnds_NonXtal_Prot#'!A:AL,16,FALSE)-VLOOKUP(A296,'SegEnds_NonXtal_Prot#'!A:AL,10,FALSE)</f>
        <v>51</v>
      </c>
      <c r="AF296" s="1">
        <f>VLOOKUP(A296,'SegEnds_NonXtal_Prot#'!A:AL,22,FALSE)-VLOOKUP(A296,'SegEnds_NonXtal_Prot#'!A:AL,19,FALSE)</f>
        <v>20</v>
      </c>
      <c r="AG296" s="1" t="e">
        <f>VLOOKUP(#REF!,'SegEnds_NonXtal_Prot#'!#REF!,28,FALSE)-VLOOKUP(#REF!,'SegEnds_NonXtal_Prot#'!#REF!,25,FALSE)</f>
        <v>#REF!</v>
      </c>
      <c r="AH296" s="1">
        <f>VLOOKUP(A296,'SegEnds_NonXtal_Prot#'!A:AL,28,FALSE)-VLOOKUP(A296,'SegEnds_NonXtal_Prot#'!A:AL,25,FALSE)</f>
        <v>22</v>
      </c>
      <c r="AI296" s="1">
        <f>VLOOKUP(A296,'SegEnds_NonXtal_Prot#'!A:AL,28,FALSE)-VLOOKUP(A296,'SegEnds_NonXtal_Prot#'!A:AL,22,FALSE)</f>
        <v>47</v>
      </c>
      <c r="AJ296" s="1">
        <f>VLOOKUP(A296,'SegEnds_NonXtal_Prot#'!A:AL,31,FALSE)-VLOOKUP(A296,'SegEnds_NonXtal_Prot#'!A:AL,28,FALSE)</f>
        <v>46</v>
      </c>
      <c r="AK296" s="1">
        <f>VLOOKUP(A296,'SegEnds_NonXtal_Prot#'!A:AL,34,FALSE)-VLOOKUP(A296,'SegEnds_NonXtal_Prot#'!A:AL,31,FALSE)</f>
        <v>46</v>
      </c>
      <c r="AL296" s="1">
        <f>VLOOKUP(A296,'SegEnds_NonXtal_Prot#'!A:AL,37,FALSE)-VLOOKUP(A296,'SegEnds_NonXtal_Prot#'!A:AL,34,FALSE)</f>
        <v>10</v>
      </c>
      <c r="AM296" s="1" t="str">
        <f>IF(ISERROR(MATCH(A296,'SegEnds_Xtal_Prot#'!B:B, 0)), "NoXtal", "Xtal")</f>
        <v>NoXtal</v>
      </c>
    </row>
    <row r="297" spans="1:39" x14ac:dyDescent="0.2">
      <c r="A297" s="1" t="s">
        <v>344</v>
      </c>
      <c r="B297" s="1" t="str">
        <f>VLOOKUP(A297,Xtal_Templ!A:B,2,FALSE)</f>
        <v>p2ry1_human</v>
      </c>
      <c r="C297" s="5">
        <f>VLOOKUP($B297&amp;"__wt",'SegEnds_Xtal_BW#'!$A:$Z,3,FALSE)</f>
        <v>30</v>
      </c>
      <c r="D297" s="1">
        <f>VLOOKUP($B297&amp;"__wt",'SegEnds_Xtal_BW#'!$A:$Z,4,FALSE)</f>
        <v>60</v>
      </c>
      <c r="E297" s="1" t="str">
        <f>VLOOKUP($B297&amp;"__wt",'SegEnds_Xtal_BW#'!$A:$Z,5,FALSE)</f>
        <v>-</v>
      </c>
      <c r="F297" s="1" t="str">
        <f>VLOOKUP($B297&amp;"__wt",'SegEnds_Xtal_BW#'!$A:$Z,6,FALSE)</f>
        <v>-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f>VLOOKUP($B297&amp;"__wt",'SegEnds_Xtal_BW#'!$A:$Z,14,FALSE)</f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v>68</v>
      </c>
      <c r="U297" s="1">
        <v>28</v>
      </c>
      <c r="V297" s="1">
        <v>64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 t="e">
        <f>VLOOKUP(A297,'SegEnds_NonXtal_Prot#'!A:AL,10,FALSE)-VLOOKUP(A297,'SegEnds_NonXtal_Prot#'!A:AL,7,FALSE)</f>
        <v>#VALUE!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 t="e">
        <f>VLOOKUP(#REF!,'SegEnds_NonXtal_Prot#'!#REF!,28,FALSE)-VLOOKUP(#REF!,'SegEnds_NonXtal_Prot#'!#REF!,25,FALSE)</f>
        <v>#REF!</v>
      </c>
      <c r="AH297" s="1">
        <f>VLOOKUP(A297,'SegEnds_NonXtal_Prot#'!A:AL,28,FALSE)-VLOOKUP(A297,'SegEnds_NonXtal_Prot#'!A:AL,25,FALSE)</f>
        <v>27</v>
      </c>
      <c r="AI297" s="1">
        <f>VLOOKUP(A297,'SegEnds_NonXtal_Prot#'!A:AL,28,FALSE)-VLOOKUP(A297,'SegEnds_NonXtal_Prot#'!A:AL,22,FALSE)</f>
        <v>53</v>
      </c>
      <c r="AJ297" s="1">
        <f>VLOOKUP(A297,'SegEnds_NonXtal_Prot#'!A:AL,31,FALSE)-VLOOKUP(A297,'SegEnds_NonXtal_Prot#'!A:AL,28,FALSE)</f>
        <v>46</v>
      </c>
      <c r="AK297" s="1">
        <f>VLOOKUP(A297,'SegEnds_NonXtal_Prot#'!A:AL,34,FALSE)-VLOOKUP(A297,'SegEnds_NonXtal_Prot#'!A:AL,31,FALSE)</f>
        <v>46</v>
      </c>
      <c r="AL297" s="1">
        <f>VLOOKUP(A297,'SegEnds_NonXtal_Prot#'!A:AL,37,FALSE)-VLOOKUP(A297,'SegEnds_NonXtal_Prot#'!A:AL,34,FALSE)</f>
        <v>10</v>
      </c>
      <c r="AM297" s="1" t="str">
        <f>IF(ISERROR(MATCH(A297,'SegEnds_Xtal_Prot#'!B:B, 0)), "NoXtal", "Xtal")</f>
        <v>Xtal</v>
      </c>
    </row>
    <row r="298" spans="1:39" x14ac:dyDescent="0.2">
      <c r="A298" s="1" t="s">
        <v>362</v>
      </c>
      <c r="B298" s="1" t="str">
        <f>VLOOKUP(A298,Xtal_Templ!A:B,2,FALSE)</f>
        <v>pe2r3_human</v>
      </c>
      <c r="C298" s="5">
        <f>VLOOKUP($B298&amp;"__wt",'SegEnds_Xtal_BW#'!$A:$Z,3,FALSE)</f>
        <v>36</v>
      </c>
      <c r="D298" s="1">
        <f>VLOOKUP($B298&amp;"__wt",'SegEnds_Xtal_BW#'!$A:$Z,4,FALSE)</f>
        <v>62</v>
      </c>
      <c r="E298" s="1" t="str">
        <f>VLOOKUP($B298&amp;"__wt",'SegEnds_Xtal_BW#'!$A:$Z,5,FALSE)</f>
        <v>-</v>
      </c>
      <c r="F298" s="1" t="str">
        <f>VLOOKUP($B298&amp;"__wt",'SegEnds_Xtal_BW#'!$A:$Z,6,FALSE)</f>
        <v>-</v>
      </c>
      <c r="G298" s="1">
        <v>37</v>
      </c>
      <c r="H298" s="12">
        <f>VLOOKUP($B298&amp;"__wt",'SegEnds_Xtal_BW#'!$A:$Z,8,FALSE)</f>
        <v>68</v>
      </c>
      <c r="I298" s="1">
        <v>49</v>
      </c>
      <c r="J298" s="1">
        <f>VLOOKUP($B298&amp;"__wt",'SegEnds_Xtal_BW#'!$A:$Z,10,FALSE)</f>
        <v>56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63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34</v>
      </c>
      <c r="T298" s="1">
        <f t="array" ref="T298">INDEX(ICL3_classA!$G$2:$G$41,MATCH(MIN(ABS(AJ298-ICL3_classA!$F$2:$F$41)),ABS(AJ298-ICL3_classA!$F$2:$F$41),0))</f>
        <v>73</v>
      </c>
      <c r="U298" s="1">
        <f t="array" ref="U298">INDEX(ICL3_classA!$H$2:$H$41,MATCH(MIN(ABS(AJ298-ICL3_classA!$F$2:$F$41)),ABS(AJ298-ICL3_classA!$F$2:$F$41),0))</f>
        <v>22</v>
      </c>
      <c r="V298" s="1">
        <v>64</v>
      </c>
      <c r="W298" s="1">
        <v>24</v>
      </c>
      <c r="X298" s="1">
        <f>VLOOKUP($B298&amp;"__wt",'SegEnds_Xtal_BW#'!$A:$Z,24,FALSE)</f>
        <v>53</v>
      </c>
      <c r="Y298" s="1">
        <f>VLOOKUP($B298&amp;"__wt",'SegEnds_Xtal_BW#'!$A:$Z,25,FALSE)</f>
        <v>44</v>
      </c>
      <c r="Z298" s="1">
        <f>VLOOKUP($B298&amp;"__wt",'SegEnds_Xtal_BW#'!$A:$Z,26,FALSE)</f>
        <v>66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33</v>
      </c>
      <c r="AC298" s="1" t="e">
        <f>VLOOKUP(A298,'SegEnds_NonXtal_Prot#'!A:AL,10,FALSE)-VLOOKUP(A298,'SegEnds_NonXtal_Prot#'!A:AL,7,FALSE)</f>
        <v>#VALUE!</v>
      </c>
      <c r="AD298" s="1">
        <f>VLOOKUP(A298,'SegEnds_NonXtal_Prot#'!A:AL,13,FALSE)-VLOOKUP(A298,'SegEnds_NonXtal_Prot#'!A:AL,10,FALSE)</f>
        <v>21</v>
      </c>
      <c r="AE298" s="1">
        <f>VLOOKUP(A298,'SegEnds_NonXtal_Prot#'!A:AL,16,FALSE)-VLOOKUP(A298,'SegEnds_NonXtal_Prot#'!A:AL,10,FALSE)</f>
        <v>56</v>
      </c>
      <c r="AF298" s="1">
        <f>VLOOKUP(A298,'SegEnds_NonXtal_Prot#'!A:AL,22,FALSE)-VLOOKUP(A298,'SegEnds_NonXtal_Prot#'!A:AL,19,FALSE)</f>
        <v>20</v>
      </c>
      <c r="AG298" s="1" t="e">
        <f>VLOOKUP(#REF!,'SegEnds_NonXtal_Prot#'!#REF!,28,FALSE)-VLOOKUP(#REF!,'SegEnds_NonXtal_Prot#'!#REF!,25,FALSE)</f>
        <v>#REF!</v>
      </c>
      <c r="AH298" s="1">
        <f>VLOOKUP(A298,'SegEnds_NonXtal_Prot#'!A:AL,28,FALSE)-VLOOKUP(A298,'SegEnds_NonXtal_Prot#'!A:AL,25,FALSE)</f>
        <v>33</v>
      </c>
      <c r="AI298" s="1">
        <f>VLOOKUP(A298,'SegEnds_NonXtal_Prot#'!A:AL,28,FALSE)-VLOOKUP(A298,'SegEnds_NonXtal_Prot#'!A:AL,22,FALSE)</f>
        <v>59</v>
      </c>
      <c r="AJ298" s="1">
        <f>VLOOKUP(A298,'SegEnds_NonXtal_Prot#'!A:AL,31,FALSE)-VLOOKUP(A298,'SegEnds_NonXtal_Prot#'!A:AL,28,FALSE)</f>
        <v>56</v>
      </c>
      <c r="AK298" s="1">
        <f>VLOOKUP(A298,'SegEnds_NonXtal_Prot#'!A:AL,34,FALSE)-VLOOKUP(A298,'SegEnds_NonXtal_Prot#'!A:AL,31,FALSE)</f>
        <v>46</v>
      </c>
      <c r="AL298" s="1">
        <f>VLOOKUP(A298,'SegEnds_NonXtal_Prot#'!A:AL,37,FALSE)-VLOOKUP(A298,'SegEnds_NonXtal_Prot#'!A:AL,34,FALSE)</f>
        <v>10</v>
      </c>
      <c r="AM298" s="1" t="str">
        <f>IF(ISERROR(MATCH(A298,'SegEnds_Xtal_Prot#'!B:B, 0)), "NoXtal", "Xtal")</f>
        <v>Xtal</v>
      </c>
    </row>
    <row r="299" spans="1:39" x14ac:dyDescent="0.2">
      <c r="A299" s="1" t="s">
        <v>369</v>
      </c>
      <c r="B299" s="1" t="str">
        <f>VLOOKUP(A299,Xtal_Templ!A:B,2,FALSE)</f>
        <v>ptafr_human</v>
      </c>
      <c r="C299" s="5">
        <f>VLOOKUP($B299&amp;"__wt",'SegEnds_Xtal_BW#'!$A:$Z,3,FALSE)</f>
        <v>27</v>
      </c>
      <c r="D299" s="1">
        <f>VLOOKUP($B299&amp;"__wt",'SegEnds_Xtal_BW#'!$A:$Z,4,FALSE)</f>
        <v>61</v>
      </c>
      <c r="E299" s="1" t="str">
        <f>VLOOKUP($B299&amp;"__wt",'SegEnds_Xtal_BW#'!$A:$Z,5,FALSE)</f>
        <v>-</v>
      </c>
      <c r="F299" s="1" t="str">
        <f>VLOOKUP($B299&amp;"__wt",'SegEnds_Xtal_BW#'!$A:$Z,6,FALSE)</f>
        <v>-</v>
      </c>
      <c r="G299" s="1">
        <v>37</v>
      </c>
      <c r="H299" s="12">
        <f>VLOOKUP($B299&amp;"__wt",'SegEnds_Xtal_BW#'!$A:$Z,8,FALSE)</f>
        <v>67</v>
      </c>
      <c r="I299" s="1">
        <f>VLOOKUP($B299&amp;"__wt",'SegEnds_Xtal_BW#'!$A:$Z,9,FALSE)</f>
        <v>49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2">
        <v>57</v>
      </c>
      <c r="O299" s="87">
        <f>VLOOKUP($B299&amp;"__wt",'SegEnds_Xtal_BW#'!$A:$Z,15,FALSE)</f>
        <v>38</v>
      </c>
      <c r="P299" s="1">
        <f>VLOOKUP($B299&amp;"__wt",'SegEnds_Xtal_BW#'!$A:$Z,16,FALSE)</f>
        <v>63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f>VLOOKUP($B299&amp;"__wt",'SegEnds_Xtal_BW#'!$A:$Z,19,FALSE)</f>
        <v>33</v>
      </c>
      <c r="T299" s="1">
        <f t="array" ref="T299">INDEX(ICL3_classA!$G$2:$G$41,MATCH(MIN(ABS(AJ299-ICL3_classA!$F$2:$F$41)),ABS(AJ299-ICL3_classA!$F$2:$F$41),0))</f>
        <v>67</v>
      </c>
      <c r="U299" s="1">
        <f t="array" ref="U299">INDEX(ICL3_classA!$H$2:$H$41,MATCH(MIN(ABS(AJ299-ICL3_classA!$F$2:$F$41)),ABS(AJ299-ICL3_classA!$F$2:$F$41),0))</f>
        <v>26</v>
      </c>
      <c r="V299" s="1">
        <v>64</v>
      </c>
      <c r="W299" s="1">
        <v>24</v>
      </c>
      <c r="X299" s="1">
        <f>VLOOKUP($B299&amp;"__wt",'SegEnds_Xtal_BW#'!$A:$Z,24,FALSE)</f>
        <v>59</v>
      </c>
      <c r="Y299" s="1">
        <f>VLOOKUP($B299&amp;"__wt",'SegEnds_Xtal_BW#'!$A:$Z,25,FALSE)</f>
        <v>50</v>
      </c>
      <c r="Z299" s="1">
        <f>VLOOKUP($B299&amp;"__wt",'SegEnds_Xtal_BW#'!$A:$Z,26,FALSE)</f>
        <v>63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 t="e">
        <f>VLOOKUP(A299,'SegEnds_NonXtal_Prot#'!A:AL,10,FALSE)-VLOOKUP(A299,'SegEnds_NonXtal_Prot#'!A:AL,7,FALSE)</f>
        <v>#VALUE!</v>
      </c>
      <c r="AD299" s="1">
        <f>VLOOKUP(A299,'SegEnds_NonXtal_Prot#'!A:AL,13,FALSE)-VLOOKUP(A299,'SegEnds_NonXtal_Prot#'!A:AL,10,FALSE)</f>
        <v>20</v>
      </c>
      <c r="AE299" s="1">
        <f>VLOOKUP(A299,'SegEnds_NonXtal_Prot#'!A:AL,16,FALSE)-VLOOKUP(A299,'SegEnds_NonXtal_Prot#'!A:AL,10,FALSE)</f>
        <v>52</v>
      </c>
      <c r="AF299" s="1">
        <f>VLOOKUP(A299,'SegEnds_NonXtal_Prot#'!A:AL,22,FALSE)-VLOOKUP(A299,'SegEnds_NonXtal_Prot#'!A:AL,19,FALSE)</f>
        <v>20</v>
      </c>
      <c r="AG299" s="1" t="e">
        <f>VLOOKUP(#REF!,'SegEnds_NonXtal_Prot#'!#REF!,28,FALSE)-VLOOKUP(#REF!,'SegEnds_NonXtal_Prot#'!#REF!,25,FALSE)</f>
        <v>#REF!</v>
      </c>
      <c r="AH299" s="1">
        <f>VLOOKUP(A299,'SegEnds_NonXtal_Prot#'!A:AL,28,FALSE)-VLOOKUP(A299,'SegEnds_NonXtal_Prot#'!A:AL,25,FALSE)</f>
        <v>25</v>
      </c>
      <c r="AI299" s="1">
        <f>VLOOKUP(A299,'SegEnds_NonXtal_Prot#'!A:AL,28,FALSE)-VLOOKUP(A299,'SegEnds_NonXtal_Prot#'!A:AL,22,FALSE)</f>
        <v>56</v>
      </c>
      <c r="AJ299" s="1">
        <f>VLOOKUP(A299,'SegEnds_NonXtal_Prot#'!A:AL,31,FALSE)-VLOOKUP(A299,'SegEnds_NonXtal_Prot#'!A:AL,28,FALSE)</f>
        <v>46</v>
      </c>
      <c r="AK299" s="1">
        <f>VLOOKUP(A299,'SegEnds_NonXtal_Prot#'!A:AL,34,FALSE)-VLOOKUP(A299,'SegEnds_NonXtal_Prot#'!A:AL,31,FALSE)</f>
        <v>46</v>
      </c>
      <c r="AL299" s="1">
        <f>VLOOKUP(A299,'SegEnds_NonXtal_Prot#'!A:AL,37,FALSE)-VLOOKUP(A299,'SegEnds_NonXtal_Prot#'!A:AL,34,FALSE)</f>
        <v>10</v>
      </c>
      <c r="AM299" s="1" t="str">
        <f>IF(ISERROR(MATCH(A299,'SegEnds_Xtal_Prot#'!B:B, 0)), "NoXtal", "Xtal")</f>
        <v>NoXtal</v>
      </c>
    </row>
    <row r="300" spans="1:39" x14ac:dyDescent="0.2">
      <c r="A300" s="1" t="s">
        <v>235</v>
      </c>
      <c r="B300" s="1" t="str">
        <f>VLOOKUP(A300,Xtal_Templ!A:B,2,FALSE)</f>
        <v>cltr2_human</v>
      </c>
      <c r="C300" s="5">
        <f>VLOOKUP($B300&amp;"__wt",'SegEnds_Xtal_BW#'!$A:$Z,3,FALSE)</f>
        <v>25</v>
      </c>
      <c r="D300" s="1">
        <f>VLOOKUP($B300&amp;"__wt",'SegEnds_Xtal_BW#'!$A:$Z,4,FALSE)</f>
        <v>60</v>
      </c>
      <c r="E300" s="1" t="str">
        <f>VLOOKUP($B300&amp;"__wt",'SegEnds_Xtal_BW#'!$A:$Z,5,FALSE)</f>
        <v>-</v>
      </c>
      <c r="F300" s="1" t="str">
        <f>VLOOKUP($B300&amp;"__wt",'SegEnds_Xtal_BW#'!$A:$Z,6,FALSE)</f>
        <v>-</v>
      </c>
      <c r="G300" s="1">
        <v>37</v>
      </c>
      <c r="H300" s="12">
        <v>66</v>
      </c>
      <c r="I300" s="1">
        <f>VLOOKUP($B300&amp;"__wt",'SegEnds_Xtal_BW#'!$A:$Z,9,FALSE)</f>
        <v>49</v>
      </c>
      <c r="J300" s="1">
        <f>VLOOKUP($B300&amp;"__wt",'SegEnds_Xtal_BW#'!$A:$Z,10,FALSE)</f>
        <v>52</v>
      </c>
      <c r="K300" s="12">
        <v>24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57</v>
      </c>
      <c r="O300" s="87">
        <f>VLOOKUP($B300&amp;"__wt",'SegEnds_Xtal_BW#'!$A:$Z,15,FALSE)</f>
        <v>38</v>
      </c>
      <c r="P300" s="1">
        <f>VLOOKUP($B300&amp;"__wt",'SegEnds_Xtal_BW#'!$A:$Z,16,FALSE)</f>
        <v>63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v>34</v>
      </c>
      <c r="T300" s="1">
        <f t="array" ref="T300">INDEX(ICL3_classA!$G$2:$G$41,MATCH(MIN(ABS(AJ300-ICL3_classA!$F$2:$F$41)),ABS(AJ300-ICL3_classA!$F$2:$F$41),0))</f>
        <v>68</v>
      </c>
      <c r="U300" s="1">
        <f t="array" ref="U300">INDEX(ICL3_classA!$H$2:$H$41,MATCH(MIN(ABS(AJ300-ICL3_classA!$F$2:$F$41)),ABS(AJ300-ICL3_classA!$F$2:$F$41),0))</f>
        <v>24</v>
      </c>
      <c r="V300" s="1">
        <v>64</v>
      </c>
      <c r="W300" s="1">
        <v>24</v>
      </c>
      <c r="X300" s="123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60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>
        <f>VLOOKUP(A300,'SegEnds_NonXtal_Prot#'!A:AL,13,FALSE)-VLOOKUP(A300,'SegEnds_NonXtal_Prot#'!A:AL,10,FALSE)</f>
        <v>19</v>
      </c>
      <c r="AE300" s="1">
        <f>VLOOKUP(A300,'SegEnds_NonXtal_Prot#'!A:AL,16,FALSE)-VLOOKUP(A300,'SegEnds_NonXtal_Prot#'!A:AL,10,FALSE)</f>
        <v>50</v>
      </c>
      <c r="AF300" s="1">
        <f>VLOOKUP(A300,'SegEnds_NonXtal_Prot#'!A:AL,22,FALSE)-VLOOKUP(A300,'SegEnds_NonXtal_Prot#'!A:AL,19,FALSE)</f>
        <v>20</v>
      </c>
      <c r="AG300" s="1" t="e">
        <f>VLOOKUP(#REF!,'SegEnds_NonXtal_Prot#'!#REF!,28,FALSE)-VLOOKUP(#REF!,'SegEnds_NonXtal_Prot#'!#REF!,25,FALSE)</f>
        <v>#REF!</v>
      </c>
      <c r="AH300" s="1">
        <f>VLOOKUP(A300,'SegEnds_NonXtal_Prot#'!A:AL,28,FALSE)-VLOOKUP(A300,'SegEnds_NonXtal_Prot#'!A:AL,25,FALSE)</f>
        <v>21</v>
      </c>
      <c r="AI300" s="1">
        <f>VLOOKUP(A300,'SegEnds_NonXtal_Prot#'!A:AL,28,FALSE)-VLOOKUP(A300,'SegEnds_NonXtal_Prot#'!A:AL,22,FALSE)</f>
        <v>44</v>
      </c>
      <c r="AJ300" s="1">
        <f>VLOOKUP(A300,'SegEnds_NonXtal_Prot#'!A:AL,31,FALSE)-VLOOKUP(A300,'SegEnds_NonXtal_Prot#'!A:AL,28,FALSE)</f>
        <v>48</v>
      </c>
      <c r="AK300" s="1">
        <f>VLOOKUP(A300,'SegEnds_NonXtal_Prot#'!A:AL,34,FALSE)-VLOOKUP(A300,'SegEnds_NonXtal_Prot#'!A:AL,31,FALSE)</f>
        <v>47</v>
      </c>
      <c r="AL300" s="1">
        <f>VLOOKUP(A300,'SegEnds_NonXtal_Prot#'!A:AL,37,FALSE)-VLOOKUP(A300,'SegEnds_NonXtal_Prot#'!A:AL,34,FALSE)</f>
        <v>10</v>
      </c>
      <c r="AM300" s="1" t="str">
        <f>IF(ISERROR(MATCH(A300,'SegEnds_Xtal_Prot#'!B:B, 0)), "NoXtal", "Xtal")</f>
        <v>NoXtal</v>
      </c>
    </row>
    <row r="301" spans="1:39" x14ac:dyDescent="0.2">
      <c r="A301" s="1" t="s">
        <v>213</v>
      </c>
      <c r="B301" s="1" t="str">
        <f>VLOOKUP(A301,Xtal_Templ!A:B,2,FALSE)</f>
        <v>par2_human</v>
      </c>
      <c r="C301" s="5">
        <f>VLOOKUP($B301&amp;"__wt",'SegEnds_Xtal_BW#'!$A:$Z,3,FALSE)</f>
        <v>28</v>
      </c>
      <c r="D301" s="1">
        <f>VLOOKUP($B301&amp;"__wt",'SegEnds_Xtal_BW#'!$A:$Z,4,FALSE)</f>
        <v>60</v>
      </c>
      <c r="E301" s="1" t="str">
        <f>VLOOKUP($B301&amp;"__wt",'SegEnds_Xtal_BW#'!$A:$Z,5,FALSE)</f>
        <v>-</v>
      </c>
      <c r="F301" s="1" t="str">
        <f>VLOOKUP($B301&amp;"__wt",'SegEnds_Xtal_BW#'!$A:$Z,6,FALSE)</f>
        <v>-</v>
      </c>
      <c r="G301" s="1">
        <v>37</v>
      </c>
      <c r="H301" s="12">
        <f>VLOOKUP($B301&amp;"__wt",'SegEnds_Xtal_BW#'!$A:$Z,8,FALSE)</f>
        <v>66</v>
      </c>
      <c r="I301" s="1">
        <f>VLOOKUP($B301&amp;"__wt",'SegEnds_Xtal_BW#'!$A:$Z,9,FALSE)</f>
        <v>47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f>VLOOKUP($B301&amp;"__wt",'SegEnds_Xtal_BW#'!$A:$Z,14,FALSE)</f>
        <v>56</v>
      </c>
      <c r="O301" s="87">
        <f>VLOOKUP($B301&amp;"__wt",'SegEnds_Xtal_BW#'!$A:$Z,15,FALSE)</f>
        <v>38</v>
      </c>
      <c r="P301" s="1">
        <f>VLOOKUP($B301&amp;"__wt",'SegEnds_Xtal_BW#'!$A:$Z,16,FALSE)</f>
        <v>62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31</v>
      </c>
      <c r="T301" s="1">
        <f t="array" ref="T301">INDEX(ICL3_classA!$G$2:$G$41,MATCH(MIN(ABS(AJ301-ICL3_classA!$F$2:$F$41)),ABS(AJ301-ICL3_classA!$F$2:$F$41),0))</f>
        <v>67</v>
      </c>
      <c r="U301" s="1">
        <f t="array" ref="U301">INDEX(ICL3_classA!$H$2:$H$41,MATCH(MIN(ABS(AJ301-ICL3_classA!$F$2:$F$41)),ABS(AJ301-ICL3_classA!$F$2:$F$41),0))</f>
        <v>26</v>
      </c>
      <c r="V301" s="1">
        <v>64</v>
      </c>
      <c r="W301" s="1">
        <v>24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61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 t="e">
        <f>VLOOKUP(A301,'SegEnds_NonXtal_Prot#'!A:AL,10,FALSE)-VLOOKUP(A301,'SegEnds_NonXtal_Prot#'!A:AL,7,FALSE)</f>
        <v>#VALUE!</v>
      </c>
      <c r="AD301" s="1">
        <f>VLOOKUP(A301,'SegEnds_NonXtal_Prot#'!A:AL,13,FALSE)-VLOOKUP(A301,'SegEnds_NonXtal_Prot#'!A:AL,10,FALSE)</f>
        <v>20</v>
      </c>
      <c r="AE301" s="1">
        <f>VLOOKUP(A301,'SegEnds_NonXtal_Prot#'!A:AL,16,FALSE)-VLOOKUP(A301,'SegEnds_NonXtal_Prot#'!A:AL,10,FALSE)</f>
        <v>52</v>
      </c>
      <c r="AF301" s="1" t="e">
        <f>VLOOKUP(A301,'SegEnds_NonXtal_Prot#'!A:AL,22,FALSE)-VLOOKUP(A301,'SegEnds_NonXtal_Prot#'!A:AL,19,FALSE)</f>
        <v>#VALUE!</v>
      </c>
      <c r="AG301" s="1" t="e">
        <f>VLOOKUP(#REF!,'SegEnds_NonXtal_Prot#'!#REF!,28,FALSE)-VLOOKUP(#REF!,'SegEnds_NonXtal_Prot#'!#REF!,25,FALSE)</f>
        <v>#REF!</v>
      </c>
      <c r="AH301" s="1">
        <f>VLOOKUP(A301,'SegEnds_NonXtal_Prot#'!A:AL,28,FALSE)-VLOOKUP(A301,'SegEnds_NonXtal_Prot#'!A:AL,25,FALSE)</f>
        <v>25</v>
      </c>
      <c r="AI301" s="1">
        <f>VLOOKUP(A301,'SegEnds_NonXtal_Prot#'!A:AL,28,FALSE)-VLOOKUP(A301,'SegEnds_NonXtal_Prot#'!A:AL,22,FALSE)</f>
        <v>44</v>
      </c>
      <c r="AJ301" s="1">
        <f>VLOOKUP(A301,'SegEnds_NonXtal_Prot#'!A:AL,31,FALSE)-VLOOKUP(A301,'SegEnds_NonXtal_Prot#'!A:AL,28,FALSE)</f>
        <v>46</v>
      </c>
      <c r="AK301" s="1">
        <f>VLOOKUP(A301,'SegEnds_NonXtal_Prot#'!A:AL,34,FALSE)-VLOOKUP(A301,'SegEnds_NonXtal_Prot#'!A:AL,31,FALSE)</f>
        <v>48</v>
      </c>
      <c r="AL301" s="1">
        <f>VLOOKUP(A301,'SegEnds_NonXtal_Prot#'!A:AL,37,FALSE)-VLOOKUP(A301,'SegEnds_NonXtal_Prot#'!A:AL,34,FALSE)</f>
        <v>10</v>
      </c>
      <c r="AM301" s="1" t="str">
        <f>IF(ISERROR(MATCH(A301,'SegEnds_Xtal_Prot#'!B:B, 0)), "NoXtal", "Xtal")</f>
        <v>NoXtal</v>
      </c>
    </row>
    <row r="302" spans="1:39" x14ac:dyDescent="0.2">
      <c r="A302" s="1" t="s">
        <v>350</v>
      </c>
      <c r="B302" s="1" t="str">
        <f>VLOOKUP(A302,Xtal_Templ!A:B,2,FALSE)</f>
        <v>p2ry1_human</v>
      </c>
      <c r="C302" s="5">
        <f>VLOOKUP($B302&amp;"__wt",'SegEnds_Xtal_BW#'!$A:$Z,3,FALSE)</f>
        <v>30</v>
      </c>
      <c r="D302" s="1">
        <f>VLOOKUP($B302&amp;"__wt",'SegEnds_Xtal_BW#'!$A:$Z,4,FALSE)</f>
        <v>60</v>
      </c>
      <c r="E302" s="1" t="str">
        <f>VLOOKUP($B302&amp;"__wt",'SegEnds_Xtal_BW#'!$A:$Z,5,FALSE)</f>
        <v>-</v>
      </c>
      <c r="F302" s="1" t="str">
        <f>VLOOKUP($B302&amp;"__wt",'SegEnds_Xtal_BW#'!$A:$Z,6,FALSE)</f>
        <v>-</v>
      </c>
      <c r="G302" s="1">
        <v>37</v>
      </c>
      <c r="H302" s="12">
        <f>VLOOKUP($B302&amp;"__wt",'SegEnds_Xtal_BW#'!$A:$Z,8,FALSE)</f>
        <v>66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>
        <f>VLOOKUP($B302&amp;"__wt",'SegEnds_Xtal_BW#'!$A:$Z,13,FALSE)</f>
        <v>50</v>
      </c>
      <c r="N302" s="12">
        <v>57</v>
      </c>
      <c r="O302" s="87">
        <f>VLOOKUP($B302&amp;"__wt",'SegEnds_Xtal_BW#'!$A:$Z,15,FALSE)</f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f>VLOOKUP($B302&amp;"__wt",'SegEnds_Xtal_BW#'!$A:$Z,19,FALSE)</f>
        <v>32</v>
      </c>
      <c r="T302" s="1">
        <f t="array" ref="T302">INDEX(ICL3_classA!$G$2:$G$41,MATCH(MIN(ABS(AJ302-ICL3_classA!$F$2:$F$41)),ABS(AJ302-ICL3_classA!$F$2:$F$41),0))</f>
        <v>67</v>
      </c>
      <c r="U302" s="1">
        <f t="array" ref="U302">INDEX(ICL3_classA!$H$2:$H$41,MATCH(MIN(ABS(AJ302-ICL3_classA!$F$2:$F$41)),ABS(AJ302-ICL3_classA!$F$2:$F$41),0))</f>
        <v>26</v>
      </c>
      <c r="V302" s="1">
        <v>64</v>
      </c>
      <c r="W302" s="1">
        <v>24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59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29</v>
      </c>
      <c r="AC302" s="1" t="e">
        <f>VLOOKUP(A302,'SegEnds_NonXtal_Prot#'!A:AL,10,FALSE)-VLOOKUP(A302,'SegEnds_NonXtal_Prot#'!A:AL,7,FALSE)</f>
        <v>#VALUE!</v>
      </c>
      <c r="AD302" s="1">
        <f>VLOOKUP(A302,'SegEnds_NonXtal_Prot#'!A:AL,13,FALSE)-VLOOKUP(A302,'SegEnds_NonXtal_Prot#'!A:AL,10,FALSE)</f>
        <v>20</v>
      </c>
      <c r="AE302" s="1">
        <f>VLOOKUP(A302,'SegEnds_NonXtal_Prot#'!A:AL,16,FALSE)-VLOOKUP(A302,'SegEnds_NonXtal_Prot#'!A:AL,10,FALSE)</f>
        <v>52</v>
      </c>
      <c r="AF302" s="1">
        <f>VLOOKUP(A302,'SegEnds_NonXtal_Prot#'!A:AL,22,FALSE)-VLOOKUP(A302,'SegEnds_NonXtal_Prot#'!A:AL,19,FALSE)</f>
        <v>20</v>
      </c>
      <c r="AG302" s="1" t="e">
        <f>VLOOKUP(#REF!,'SegEnds_NonXtal_Prot#'!#REF!,28,FALSE)-VLOOKUP(#REF!,'SegEnds_NonXtal_Prot#'!#REF!,25,FALSE)</f>
        <v>#REF!</v>
      </c>
      <c r="AH302" s="1">
        <f>VLOOKUP(A302,'SegEnds_NonXtal_Prot#'!A:AL,28,FALSE)-VLOOKUP(A302,'SegEnds_NonXtal_Prot#'!A:AL,25,FALSE)</f>
        <v>26</v>
      </c>
      <c r="AI302" s="1">
        <f>VLOOKUP(A302,'SegEnds_NonXtal_Prot#'!A:AL,28,FALSE)-VLOOKUP(A302,'SegEnds_NonXtal_Prot#'!A:AL,22,FALSE)</f>
        <v>63</v>
      </c>
      <c r="AJ302" s="1">
        <f>VLOOKUP(A302,'SegEnds_NonXtal_Prot#'!A:AL,31,FALSE)-VLOOKUP(A302,'SegEnds_NonXtal_Prot#'!A:AL,28,FALSE)</f>
        <v>46</v>
      </c>
      <c r="AK302" s="1">
        <f>VLOOKUP(A302,'SegEnds_NonXtal_Prot#'!A:AL,34,FALSE)-VLOOKUP(A302,'SegEnds_NonXtal_Prot#'!A:AL,31,FALSE)</f>
        <v>55</v>
      </c>
      <c r="AL302" s="1">
        <f>VLOOKUP(A302,'SegEnds_NonXtal_Prot#'!A:AL,37,FALSE)-VLOOKUP(A302,'SegEnds_NonXtal_Prot#'!A:AL,34,FALSE)</f>
        <v>10</v>
      </c>
      <c r="AM302" s="1" t="str">
        <f>IF(ISERROR(MATCH(A302,'SegEnds_Xtal_Prot#'!B:B, 0)), "NoXtal", "Xtal")</f>
        <v>NoXtal</v>
      </c>
    </row>
    <row r="303" spans="1:39" x14ac:dyDescent="0.2">
      <c r="A303" s="1" t="s">
        <v>328</v>
      </c>
      <c r="B303" s="1" t="str">
        <f>VLOOKUP(A303,Xtal_Templ!A:B,2,FALSE)</f>
        <v>npy1r_human</v>
      </c>
      <c r="C303" s="5">
        <f>VLOOKUP($B303&amp;"__wt",'SegEnds_Xtal_BW#'!$A:$Z,3,FALSE)</f>
        <v>28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2">
        <f>VLOOKUP($B303&amp;"__wt",'SegEnds_Xtal_BW#'!$A:$Z,8,FALSE)</f>
        <v>68</v>
      </c>
      <c r="I303" s="1">
        <f>VLOOKUP($B303&amp;"__wt",'SegEnds_Xtal_BW#'!$A:$Z,9,FALSE)</f>
        <v>49</v>
      </c>
      <c r="J303" s="1">
        <f>VLOOKUP($B303&amp;"__wt",'SegEnds_Xtal_BW#'!$A:$Z,10,FALSE)</f>
        <v>52</v>
      </c>
      <c r="K303" s="12">
        <v>18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7">
        <f>VLOOKUP($B303&amp;"__wt",'SegEnds_Xtal_BW#'!$A:$Z,15,FALSE)</f>
        <v>38</v>
      </c>
      <c r="P303" s="1">
        <f>VLOOKUP($B303&amp;"__wt",'SegEnds_Xtal_BW#'!$A:$Z,16,FALSE)</f>
        <v>64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">
        <f>VLOOKUP($B303&amp;"__wt",'SegEnds_Xtal_BW#'!$A:$Z,19,FALSE)</f>
        <v>31</v>
      </c>
      <c r="T303" s="1">
        <f t="array" ref="T303">INDEX(ICL3_classA!$G$2:$G$41,MATCH(MIN(ABS(AJ303-ICL3_classA!$F$2:$F$41)),ABS(AJ303-ICL3_classA!$F$2:$F$41),0))</f>
        <v>73</v>
      </c>
      <c r="U303" s="1">
        <f t="array" ref="U303">INDEX(ICL3_classA!$H$2:$H$41,MATCH(MIN(ABS(AJ303-ICL3_classA!$F$2:$F$41)),ABS(AJ303-ICL3_classA!$F$2:$F$41),0))</f>
        <v>22</v>
      </c>
      <c r="V303" s="1">
        <v>61</v>
      </c>
      <c r="W303" s="1">
        <v>24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58</v>
      </c>
      <c r="AA303" s="27" t="str">
        <f>VLOOKUP(A303,Classification!A:B,2,FALSE)</f>
        <v>A</v>
      </c>
      <c r="AB303" s="1">
        <f>VLOOKUP(A303,'SegEnds_NonXtal_Prot#'!A:AL,10,FALSE)-VLOOKUP(A303,'SegEnds_NonXtal_Prot#'!A:AL,4,FALSE)</f>
        <v>29</v>
      </c>
      <c r="AC303" s="1">
        <f>VLOOKUP(A303,'SegEnds_NonXtal_Prot#'!A:AL,10,FALSE)-VLOOKUP(A303,'SegEnds_NonXtal_Prot#'!A:AL,7,FALSE)</f>
        <v>15</v>
      </c>
      <c r="AD303" s="1">
        <f>VLOOKUP(A303,'SegEnds_NonXtal_Prot#'!A:AL,13,FALSE)-VLOOKUP(A303,'SegEnds_NonXtal_Prot#'!A:AL,10,FALSE)</f>
        <v>20</v>
      </c>
      <c r="AE303" s="1">
        <f>VLOOKUP(A303,'SegEnds_NonXtal_Prot#'!A:AL,16,FALSE)-VLOOKUP(A303,'SegEnds_NonXtal_Prot#'!A:AL,10,FALSE)</f>
        <v>52</v>
      </c>
      <c r="AF303" s="1" t="e">
        <f>VLOOKUP(A303,'SegEnds_NonXtal_Prot#'!A:AL,22,FALSE)-VLOOKUP(A303,'SegEnds_NonXtal_Prot#'!A:AL,19,FALSE)</f>
        <v>#VALUE!</v>
      </c>
      <c r="AG303" s="1" t="e">
        <f>VLOOKUP(#REF!,'SegEnds_NonXtal_Prot#'!#REF!,28,FALSE)-VLOOKUP(#REF!,'SegEnds_NonXtal_Prot#'!#REF!,25,FALSE)</f>
        <v>#REF!</v>
      </c>
      <c r="AH303" s="1" t="e">
        <f>VLOOKUP(A303,'SegEnds_NonXtal_Prot#'!A:AL,28,FALSE)-VLOOKUP(A303,'SegEnds_NonXtal_Prot#'!A:AL,25,FALSE)</f>
        <v>#VALUE!</v>
      </c>
      <c r="AI303" s="1">
        <f>VLOOKUP(A303,'SegEnds_NonXtal_Prot#'!A:AL,28,FALSE)-VLOOKUP(A303,'SegEnds_NonXtal_Prot#'!A:AL,22,FALSE)</f>
        <v>62</v>
      </c>
      <c r="AJ303" s="1">
        <f>VLOOKUP(A303,'SegEnds_NonXtal_Prot#'!A:AL,31,FALSE)-VLOOKUP(A303,'SegEnds_NonXtal_Prot#'!A:AL,28,FALSE)</f>
        <v>55</v>
      </c>
      <c r="AK303" s="1" t="e">
        <f>VLOOKUP(A303,'SegEnds_NonXtal_Prot#'!A:AL,34,FALSE)-VLOOKUP(A303,'SegEnds_NonXtal_Prot#'!A:AL,31,FALSE)</f>
        <v>#VALUE!</v>
      </c>
      <c r="AL303" s="1" t="e">
        <f>VLOOKUP(A303,'SegEnds_NonXtal_Prot#'!A:AL,37,FALSE)-VLOOKUP(A303,'SegEnds_NonXtal_Prot#'!A:AL,34,FALSE)</f>
        <v>#VALUE!</v>
      </c>
      <c r="AM303" s="1" t="str">
        <f>IF(ISERROR(MATCH(A303,'SegEnds_Xtal_Prot#'!B:B, 0)), "NoXtal", "Xtal")</f>
        <v>NoXtal</v>
      </c>
    </row>
    <row r="304" spans="1:39" s="42" customFormat="1" x14ac:dyDescent="0.2">
      <c r="A304" s="42" t="s">
        <v>410</v>
      </c>
      <c r="B304" s="42" t="str">
        <f>VLOOKUP(A304,Xtal_Templ!A:B,2,FALSE)</f>
        <v>sctr_human</v>
      </c>
      <c r="C304" s="43">
        <f>VLOOKUP($B304&amp;"__wt",'SegEnds_Xtal_BW#'!$A:$Z,3,FALSE)</f>
        <v>24</v>
      </c>
      <c r="D304" s="42">
        <f>VLOOKUP($B304&amp;"__wt",'SegEnds_Xtal_BW#'!$A:$Z,4,FALSE)</f>
        <v>60</v>
      </c>
      <c r="E304" s="42">
        <f>VLOOKUP($B304&amp;"__wt",'SegEnds_Xtal_BW#'!$A:$Z,5,FALSE)</f>
        <v>48</v>
      </c>
      <c r="F304" s="42">
        <f>VLOOKUP($B304&amp;"__wt",'SegEnds_Xtal_BW#'!$A:$Z,6,FALSE)</f>
        <v>51</v>
      </c>
      <c r="G304" s="42">
        <v>37</v>
      </c>
      <c r="H304" s="116">
        <v>64</v>
      </c>
      <c r="I304" s="42" t="str">
        <f>VLOOKUP($B304&amp;"__wt",'SegEnds_Xtal_BW#'!$A:$Z,9,FALSE)</f>
        <v>-</v>
      </c>
      <c r="J304" s="42" t="str">
        <f>VLOOKUP($B304&amp;"__wt",'SegEnds_Xtal_BW#'!$A:$Z,10,FALSE)</f>
        <v>-</v>
      </c>
      <c r="K304" s="116">
        <v>22</v>
      </c>
      <c r="L304" s="42">
        <f>VLOOKUP($B304&amp;"__wt",'SegEnds_Xtal_BW#'!$A:$Z,12,FALSE)</f>
        <v>56</v>
      </c>
      <c r="M304" s="42" t="str">
        <f>VLOOKUP($B304&amp;"__wt",'SegEnds_Xtal_BW#'!$A:$Z,13,FALSE)</f>
        <v>-</v>
      </c>
      <c r="N304" s="101" t="str">
        <f>VLOOKUP($B304&amp;"__wt",'SegEnds_Xtal_BW#'!$A:$Z,14,FALSE)</f>
        <v>-</v>
      </c>
      <c r="O304" s="89">
        <f>VLOOKUP($B304&amp;"__wt",'SegEnds_Xtal_BW#'!$A:$Z,15,FALSE)</f>
        <v>40</v>
      </c>
      <c r="P304" s="42">
        <f>VLOOKUP($B304&amp;"__wt",'SegEnds_Xtal_BW#'!$A:$Z,16,FALSE)</f>
        <v>68</v>
      </c>
      <c r="Q304" s="42">
        <f>VLOOKUP($B304&amp;"__wt",'SegEnds_Xtal_BW#'!$A:$Z,17,FALSE)</f>
        <v>50</v>
      </c>
      <c r="R304" s="42">
        <f>VLOOKUP($B304&amp;"__wt",'SegEnds_Xtal_BW#'!$A:$Z,18,FALSE)</f>
        <v>52</v>
      </c>
      <c r="S304" s="1">
        <f>VLOOKUP($B304&amp;"__wt",'SegEnds_Xtal_BW#'!$A:$Z,19,FALSE)</f>
        <v>36</v>
      </c>
      <c r="T304" s="115">
        <v>71</v>
      </c>
      <c r="U304" s="4">
        <v>25</v>
      </c>
      <c r="V304" s="4">
        <f>VLOOKUP($B304&amp;"__wt",'SegEnds_Xtal_BW#'!$A:$Z,22,FALSE)</f>
        <v>54</v>
      </c>
      <c r="W304" s="116">
        <v>30</v>
      </c>
      <c r="X304" s="42">
        <f>VLOOKUP($B304&amp;"__wt",'SegEnds_Xtal_BW#'!$A:$Z,24,FALSE)</f>
        <v>56</v>
      </c>
      <c r="Y304" s="42">
        <f>VLOOKUP($B304&amp;"__wt",'SegEnds_Xtal_BW#'!$A:$Z,25,FALSE)</f>
        <v>47</v>
      </c>
      <c r="Z304" s="42">
        <f>VLOOKUP($B304&amp;"__wt",'SegEnds_Xtal_BW#'!$A:$Z,26,FALSE)</f>
        <v>72</v>
      </c>
      <c r="AA304" s="44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2">
        <f>VLOOKUP(A304,'SegEnds_NonXtal_Prot#'!A:AL,10,FALSE)-VLOOKUP(A304,'SegEnds_NonXtal_Prot#'!A:AL,7,FALSE)</f>
        <v>15</v>
      </c>
      <c r="AD304" s="42" t="e">
        <f>VLOOKUP(A304,'SegEnds_NonXtal_Prot#'!A:AL,13,FALSE)-VLOOKUP(A304,'SegEnds_NonXtal_Prot#'!A:AL,10,FALSE)</f>
        <v>#VALUE!</v>
      </c>
      <c r="AE304" s="42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42" t="e">
        <f>VLOOKUP(#REF!,'SegEnds_NonXtal_Prot#'!#REF!,28,FALSE)-VLOOKUP(#REF!,'SegEnds_NonXtal_Prot#'!#REF!,25,FALSE)</f>
        <v>#REF!</v>
      </c>
      <c r="AH304" s="42">
        <f>VLOOKUP(A304,'SegEnds_NonXtal_Prot#'!A:AL,28,FALSE)-VLOOKUP(A304,'SegEnds_NonXtal_Prot#'!A:AL,25,FALSE)</f>
        <v>20</v>
      </c>
      <c r="AI304" s="1">
        <f>VLOOKUP(A304,'SegEnds_NonXtal_Prot#'!A:AL,28,FALSE)-VLOOKUP(A304,'SegEnds_NonXtal_Prot#'!A:AL,22,FALSE)</f>
        <v>42</v>
      </c>
      <c r="AJ304" s="42">
        <f>VLOOKUP(A304,'SegEnds_NonXtal_Prot#'!A:AL,31,FALSE)-VLOOKUP(A304,'SegEnds_NonXtal_Prot#'!A:AL,28,FALSE)</f>
        <v>52</v>
      </c>
      <c r="AK304" s="42">
        <f>VLOOKUP(A304,'SegEnds_NonXtal_Prot#'!A:AL,34,FALSE)-VLOOKUP(A304,'SegEnds_NonXtal_Prot#'!A:AL,31,FALSE)</f>
        <v>28</v>
      </c>
      <c r="AL304" s="1">
        <f>VLOOKUP(A304,'SegEnds_NonXtal_Prot#'!A:AL,37,FALSE)-VLOOKUP(A304,'SegEnds_NonXtal_Prot#'!A:AL,34,FALSE)</f>
        <v>10</v>
      </c>
      <c r="AM304" s="1" t="str">
        <f>IF(ISERROR(MATCH(A304,'SegEnds_Xtal_Prot#'!B:B, 0)), "NoXtal", "Xtal")</f>
        <v>Xtal</v>
      </c>
    </row>
    <row r="305" spans="1:39" x14ac:dyDescent="0.2">
      <c r="A305" s="4" t="s">
        <v>403</v>
      </c>
      <c r="B305" s="4" t="str">
        <f>VLOOKUP(A305,Xtal_Templ!A:B,2,FALSE)</f>
        <v>pacr_human</v>
      </c>
      <c r="C305" s="5">
        <f>VLOOKUP($B305&amp;"__wt",'SegEnds_Xtal_BW#'!$A:$Z,3,FALSE)</f>
        <v>21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22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36</v>
      </c>
      <c r="T305" s="4">
        <v>69</v>
      </c>
      <c r="U305" s="4">
        <v>25</v>
      </c>
      <c r="V305" s="4">
        <f>VLOOKUP($B305&amp;"__wt",'SegEnds_Xtal_BW#'!$A:$Z,22,FALSE)</f>
        <v>54</v>
      </c>
      <c r="W305" s="4">
        <v>31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55</v>
      </c>
      <c r="AF305" s="1" t="e">
        <f>VLOOKUP(A305,'SegEnds_NonXtal_Prot#'!A:AL,22,FALSE)-VLOOKUP(A305,'SegEnds_NonXtal_Prot#'!A:AL,19,FALSE)</f>
        <v>#VALUE!</v>
      </c>
      <c r="AG305" s="4" t="e">
        <f>VLOOKUP(#REF!,'SegEnds_NonXtal_Prot#'!#REF!,28,FALSE)-VLOOKUP(#REF!,'SegEnds_NonXtal_Prot#'!#REF!,25,FALSE)</f>
        <v>#REF!</v>
      </c>
      <c r="AH305" s="4">
        <f>VLOOKUP(A305,'SegEnds_NonXtal_Prot#'!A:AL,28,FALSE)-VLOOKUP(A305,'SegEnds_NonXtal_Prot#'!A:AL,25,FALSE)</f>
        <v>20</v>
      </c>
      <c r="AI305" s="1">
        <f>VLOOKUP(A305,'SegEnds_NonXtal_Prot#'!A:AL,28,FALSE)-VLOOKUP(A305,'SegEnds_NonXtal_Prot#'!A:AL,22,FALSE)</f>
        <v>42</v>
      </c>
      <c r="AJ305" s="4">
        <f>VLOOKUP(A305,'SegEnds_NonXtal_Prot#'!A:AL,31,FALSE)-VLOOKUP(A305,'SegEnds_NonXtal_Prot#'!A:AL,28,FALSE)</f>
        <v>52</v>
      </c>
      <c r="AK305" s="4">
        <f>VLOOKUP(A305,'SegEnds_NonXtal_Prot#'!A:AL,34,FALSE)-VLOOKUP(A305,'SegEnds_NonXtal_Prot#'!A:AL,31,FALSE)</f>
        <v>29</v>
      </c>
      <c r="AL305" s="1">
        <f>VLOOKUP(A305,'SegEnds_NonXtal_Prot#'!A:AL,37,FALSE)-VLOOKUP(A305,'SegEnds_NonXtal_Prot#'!A:AL,34,FALSE)</f>
        <v>10</v>
      </c>
      <c r="AM305" s="1" t="str">
        <f>IF(ISERROR(MATCH(A305,'SegEnds_Xtal_Prot#'!B:B, 0)), "NoXtal", "Xtal")</f>
        <v>NoXtal</v>
      </c>
    </row>
    <row r="306" spans="1:39" x14ac:dyDescent="0.2">
      <c r="A306" s="1" t="s">
        <v>407</v>
      </c>
      <c r="B306" s="1" t="str">
        <f>VLOOKUP(A306,Xtal_Templ!A:B,2,FALSE)</f>
        <v>pacr_human</v>
      </c>
      <c r="C306" s="5">
        <f>VLOOKUP($B306&amp;"__wt",'SegEnds_Xtal_BW#'!$A:$Z,3,FALSE)</f>
        <v>21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15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08">
        <v>22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7">
        <f>VLOOKUP($B306&amp;"__wt",'SegEnds_Xtal_BW#'!$A:$Z,15,FALSE)</f>
        <v>40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">
        <f>VLOOKUP($B306&amp;"__wt",'SegEnds_Xtal_BW#'!$A:$Z,19,FALSE)</f>
        <v>36</v>
      </c>
      <c r="T306" s="1">
        <v>69</v>
      </c>
      <c r="U306" s="1">
        <v>25</v>
      </c>
      <c r="V306" s="1">
        <f>VLOOKUP($B306&amp;"__wt",'SegEnds_Xtal_BW#'!$A:$Z,22,FALSE)</f>
        <v>54</v>
      </c>
      <c r="W306" s="1">
        <v>31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1">
        <f>VLOOKUP(A306,'SegEnds_NonXtal_Prot#'!A:AL,10,FALSE)-VLOOKUP(A306,'SegEnds_NonXtal_Prot#'!A:AL,7,FALSE)</f>
        <v>15</v>
      </c>
      <c r="AD306" s="1" t="e">
        <f>VLOOKUP(A306,'SegEnds_NonXtal_Prot#'!A:AL,13,FALSE)-VLOOKUP(A306,'SegEnds_NonXtal_Prot#'!A:AL,10,FALSE)</f>
        <v>#VALUE!</v>
      </c>
      <c r="AE306" s="1">
        <f>VLOOKUP(A306,'SegEnds_NonXtal_Prot#'!A:AL,16,FALSE)-VLOOKUP(A306,'SegEnds_NonXtal_Prot#'!A:AL,10,FALSE)</f>
        <v>55</v>
      </c>
      <c r="AF306" s="1" t="e">
        <f>VLOOKUP(A306,'SegEnds_NonXtal_Prot#'!A:AL,22,FALSE)-VLOOKUP(A306,'SegEnds_NonXtal_Prot#'!A:AL,19,FALSE)</f>
        <v>#VALUE!</v>
      </c>
      <c r="AG306" s="1" t="e">
        <f>VLOOKUP(#REF!,'SegEnds_NonXtal_Prot#'!#REF!,28,FALSE)-VLOOKUP(#REF!,'SegEnds_NonXtal_Prot#'!#REF!,25,FALSE)</f>
        <v>#REF!</v>
      </c>
      <c r="AH306" s="1">
        <f>VLOOKUP(A306,'SegEnds_NonXtal_Prot#'!A:AL,28,FALSE)-VLOOKUP(A306,'SegEnds_NonXtal_Prot#'!A:AL,25,FALSE)</f>
        <v>20</v>
      </c>
      <c r="AI306" s="1">
        <f>VLOOKUP(A306,'SegEnds_NonXtal_Prot#'!A:AL,28,FALSE)-VLOOKUP(A306,'SegEnds_NonXtal_Prot#'!A:AL,22,FALSE)</f>
        <v>42</v>
      </c>
      <c r="AJ306" s="1">
        <f>VLOOKUP(A306,'SegEnds_NonXtal_Prot#'!A:AL,31,FALSE)-VLOOKUP(A306,'SegEnds_NonXtal_Prot#'!A:AL,28,FALSE)</f>
        <v>52</v>
      </c>
      <c r="AK306" s="1">
        <f>VLOOKUP(A306,'SegEnds_NonXtal_Prot#'!A:AL,34,FALSE)-VLOOKUP(A306,'SegEnds_NonXtal_Prot#'!A:AL,31,FALSE)</f>
        <v>29</v>
      </c>
      <c r="AL306" s="1">
        <f>VLOOKUP(A306,'SegEnds_NonXtal_Prot#'!A:AL,37,FALSE)-VLOOKUP(A306,'SegEnds_NonXtal_Prot#'!A:AL,34,FALSE)</f>
        <v>10</v>
      </c>
      <c r="AM306" s="1" t="str">
        <f>IF(ISERROR(MATCH(A306,'SegEnds_Xtal_Prot#'!B:B, 0)), "NoXtal", "Xtal")</f>
        <v>Xtal</v>
      </c>
    </row>
    <row r="307" spans="1:39" x14ac:dyDescent="0.2">
      <c r="A307" s="4" t="s">
        <v>411</v>
      </c>
      <c r="B307" s="4" t="str">
        <f>VLOOKUP(A307,Xtal_Templ!A:B,2,FALSE)</f>
        <v>sctr_human</v>
      </c>
      <c r="C307" s="5">
        <f>VLOOKUP($B307&amp;"__wt",'SegEnds_Xtal_BW#'!$A:$Z,3,FALSE)</f>
        <v>24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f>VLOOKUP($B307&amp;"__wt",'SegEnds_Xtal_BW#'!$A:$Z,19,FALSE)</f>
        <v>36</v>
      </c>
      <c r="T307" s="4">
        <v>69</v>
      </c>
      <c r="U307" s="4">
        <v>25</v>
      </c>
      <c r="V307" s="1">
        <f>VLOOKUP($B307&amp;"__wt",'SegEnds_Xtal_BW#'!$A:$Z,22,FALSE)</f>
        <v>54</v>
      </c>
      <c r="W307" s="4">
        <v>31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55</v>
      </c>
      <c r="AF307" s="1" t="e">
        <f>VLOOKUP(A307,'SegEnds_NonXtal_Prot#'!A:AL,22,FALSE)-VLOOKUP(A307,'SegEnds_NonXtal_Prot#'!A:AL,19,FALSE)</f>
        <v>#VALUE!</v>
      </c>
      <c r="AG307" s="4" t="e">
        <f>VLOOKUP(#REF!,'SegEnds_NonXtal_Prot#'!#REF!,28,FALSE)-VLOOKUP(#REF!,'SegEnds_NonXtal_Prot#'!#REF!,25,FALSE)</f>
        <v>#REF!</v>
      </c>
      <c r="AH307" s="4">
        <f>VLOOKUP(A307,'SegEnds_NonXtal_Prot#'!A:AL,28,FALSE)-VLOOKUP(A307,'SegEnds_NonXtal_Prot#'!A:AL,25,FALSE)</f>
        <v>19</v>
      </c>
      <c r="AI307" s="1">
        <f>VLOOKUP(A307,'SegEnds_NonXtal_Prot#'!A:AL,28,FALSE)-VLOOKUP(A307,'SegEnds_NonXtal_Prot#'!A:AL,22,FALSE)</f>
        <v>41</v>
      </c>
      <c r="AJ307" s="4">
        <f>VLOOKUP(A307,'SegEnds_NonXtal_Prot#'!A:AL,31,FALSE)-VLOOKUP(A307,'SegEnds_NonXtal_Prot#'!A:AL,28,FALSE)</f>
        <v>52</v>
      </c>
      <c r="AK307" s="4">
        <f>VLOOKUP(A307,'SegEnds_NonXtal_Prot#'!A:AL,34,FALSE)-VLOOKUP(A307,'SegEnds_NonXtal_Prot#'!A:AL,31,FALSE)</f>
        <v>29</v>
      </c>
      <c r="AL307" s="1">
        <f>VLOOKUP(A307,'SegEnds_NonXtal_Prot#'!A:AL,37,FALSE)-VLOOKUP(A307,'SegEnds_NonXtal_Prot#'!A:AL,34,FALSE)</f>
        <v>10</v>
      </c>
      <c r="AM307" s="1" t="str">
        <f>IF(ISERROR(MATCH(A307,'SegEnds_Xtal_Prot#'!B:B, 0)), "NoXtal", "Xtal")</f>
        <v>NoXtal</v>
      </c>
    </row>
    <row r="308" spans="1:39" x14ac:dyDescent="0.2">
      <c r="A308" s="4" t="s">
        <v>412</v>
      </c>
      <c r="B308" s="4" t="str">
        <f>VLOOKUP(A308,Xtal_Templ!A:B,2,FALSE)</f>
        <v>pacr_human</v>
      </c>
      <c r="C308" s="5">
        <f>VLOOKUP($B308&amp;"__wt",'SegEnds_Xtal_BW#'!$A:$Z,3,FALSE)</f>
        <v>21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22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36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58</v>
      </c>
      <c r="AF308" s="4" t="e">
        <f>VLOOKUP(A308,'SegEnds_NonXtal_Prot#'!A:AL,22,FALSE)-VLOOKUP(A308,'SegEnds_NonXtal_Prot#'!A:AL,19,FALSE)</f>
        <v>#VALUE!</v>
      </c>
      <c r="AG308" s="4" t="e">
        <f>VLOOKUP(#REF!,'SegEnds_NonXtal_Prot#'!#REF!,28,FALSE)-VLOOKUP(#REF!,'SegEnds_NonXtal_Prot#'!#REF!,25,FALSE)</f>
        <v>#REF!</v>
      </c>
      <c r="AH308" s="4">
        <f>VLOOKUP(A308,'SegEnds_NonXtal_Prot#'!A:AL,28,FALSE)-VLOOKUP(A308,'SegEnds_NonXtal_Prot#'!A:AL,25,FALSE)</f>
        <v>20</v>
      </c>
      <c r="AI308" s="4">
        <f>VLOOKUP(A308,'SegEnds_NonXtal_Prot#'!A:AL,28,FALSE)-VLOOKUP(A308,'SegEnds_NonXtal_Prot#'!A:AL,22,FALSE)</f>
        <v>42</v>
      </c>
      <c r="AJ308" s="4">
        <f>VLOOKUP(A308,'SegEnds_NonXtal_Prot#'!A:AL,31,FALSE)-VLOOKUP(A308,'SegEnds_NonXtal_Prot#'!A:AL,28,FALSE)</f>
        <v>52</v>
      </c>
      <c r="AK308" s="4">
        <f>VLOOKUP(A308,'SegEnds_NonXtal_Prot#'!A:AL,34,FALSE)-VLOOKUP(A308,'SegEnds_NonXtal_Prot#'!A:AL,31,FALSE)</f>
        <v>29</v>
      </c>
      <c r="AL308" s="1">
        <f>VLOOKUP(A308,'SegEnds_NonXtal_Prot#'!A:AL,37,FALSE)-VLOOKUP(A308,'SegEnds_NonXtal_Prot#'!A:AL,34,FALSE)</f>
        <v>10</v>
      </c>
      <c r="AM308" s="4" t="str">
        <f>IF(ISERROR(MATCH(A308,'SegEnds_Xtal_Prot#'!B:B, 0)), "NoXtal", "Xtal")</f>
        <v>NoXtal</v>
      </c>
    </row>
    <row r="309" spans="1:39" x14ac:dyDescent="0.2">
      <c r="A309" s="4" t="s">
        <v>400</v>
      </c>
      <c r="B309" s="4" t="str">
        <f>VLOOKUP(A309,Xtal_Templ!A:B,2,FALSE)</f>
        <v>calcr_human</v>
      </c>
      <c r="C309" s="5">
        <f>VLOOKUP($B309&amp;"__wt",'SegEnds_Xtal_BW#'!$A:$Z,3,FALSE)</f>
        <v>19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41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">
        <f>VLOOKUP($B309&amp;"__wt",'SegEnds_Xtal_BW#'!$A:$Z,19,FALSE)</f>
        <v>40</v>
      </c>
      <c r="T309" s="1">
        <f>VLOOKUP($B309&amp;"__wt",'SegEnds_Xtal_BW#'!$A:$Z,20,FALSE)</f>
        <v>70</v>
      </c>
      <c r="U309" s="1">
        <f>VLOOKUP($B309&amp;"__wt",'SegEnds_Xtal_BW#'!$A:$Z,21,FALSE)</f>
        <v>30</v>
      </c>
      <c r="V309" s="4">
        <f>VLOOKUP($B309&amp;"__wt",'SegEnds_Xtal_BW#'!$A:$Z,22,FALSE)</f>
        <v>53</v>
      </c>
      <c r="W309" s="115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53</v>
      </c>
      <c r="AF309" s="1" t="e">
        <f>VLOOKUP(A309,'SegEnds_NonXtal_Prot#'!A:AL,22,FALSE)-VLOOKUP(A309,'SegEnds_NonXtal_Prot#'!A:AL,19,FALSE)</f>
        <v>#VALUE!</v>
      </c>
      <c r="AG309" s="4" t="e">
        <f>VLOOKUP(#REF!,'SegEnds_NonXtal_Prot#'!#REF!,28,FALSE)-VLOOKUP(#REF!,'SegEnds_NonXtal_Prot#'!#REF!,25,FALSE)</f>
        <v>#REF!</v>
      </c>
      <c r="AH309" s="4">
        <f>VLOOKUP(A309,'SegEnds_NonXtal_Prot#'!A:AL,28,FALSE)-VLOOKUP(A309,'SegEnds_NonXtal_Prot#'!A:AL,25,FALSE)</f>
        <v>19</v>
      </c>
      <c r="AI309" s="1">
        <f>VLOOKUP(A309,'SegEnds_NonXtal_Prot#'!A:AL,28,FALSE)-VLOOKUP(A309,'SegEnds_NonXtal_Prot#'!A:AL,22,FALSE)</f>
        <v>41</v>
      </c>
      <c r="AJ309" s="4">
        <f>VLOOKUP(A309,'SegEnds_NonXtal_Prot#'!A:AL,31,FALSE)-VLOOKUP(A309,'SegEnds_NonXtal_Prot#'!A:AL,28,FALSE)</f>
        <v>50</v>
      </c>
      <c r="AK309" s="4">
        <f>VLOOKUP(A309,'SegEnds_NonXtal_Prot#'!A:AL,34,FALSE)-VLOOKUP(A309,'SegEnds_NonXtal_Prot#'!A:AL,31,FALSE)</f>
        <v>30</v>
      </c>
      <c r="AL309" s="1">
        <f>VLOOKUP(A309,'SegEnds_NonXtal_Prot#'!A:AL,37,FALSE)-VLOOKUP(A309,'SegEnds_NonXtal_Prot#'!A:AL,34,FALSE)</f>
        <v>10</v>
      </c>
      <c r="AM309" s="1" t="str">
        <f>IF(ISERROR(MATCH(A309,'SegEnds_Xtal_Prot#'!B:B, 0)), "NoXtal", "Xtal")</f>
        <v>Xtal</v>
      </c>
    </row>
    <row r="310" spans="1:39" x14ac:dyDescent="0.2">
      <c r="A310" s="1" t="s">
        <v>401</v>
      </c>
      <c r="B310" s="1" t="str">
        <f>VLOOKUP(A310,Xtal_Templ!A:B,2,FALSE)</f>
        <v>calrl_human</v>
      </c>
      <c r="C310" s="5">
        <f>VLOOKUP($B310&amp;"__wt",'SegEnds_Xtal_BW#'!$A:$Z,3,FALSE)</f>
        <v>24</v>
      </c>
      <c r="D310" s="1">
        <f>VLOOKUP($B310&amp;"__wt",'SegEnds_Xtal_BW#'!$A:$Z,4,FALSE)</f>
        <v>60</v>
      </c>
      <c r="E310" s="1">
        <f>VLOOKUP($B310&amp;"__wt",'SegEnds_Xtal_BW#'!$A:$Z,5,FALSE)</f>
        <v>48</v>
      </c>
      <c r="F310" s="1">
        <f>VLOOKUP($B310&amp;"__wt",'SegEnds_Xtal_BW#'!$A:$Z,6,FALSE)</f>
        <v>51</v>
      </c>
      <c r="G310" s="1">
        <v>37</v>
      </c>
      <c r="H310" s="115">
        <v>64</v>
      </c>
      <c r="I310" s="1" t="str">
        <f>VLOOKUP($B310&amp;"__wt",'SegEnds_Xtal_BW#'!$A:$Z,9,FALSE)</f>
        <v>-</v>
      </c>
      <c r="J310" s="1" t="str">
        <f>VLOOKUP($B310&amp;"__wt",'SegEnds_Xtal_BW#'!$A:$Z,10,FALSE)</f>
        <v>-</v>
      </c>
      <c r="K310" s="108">
        <v>23</v>
      </c>
      <c r="L310" s="1">
        <f>VLOOKUP($B310&amp;"__wt",'SegEnds_Xtal_BW#'!$A:$Z,12,FALSE)</f>
        <v>56</v>
      </c>
      <c r="M310" s="1" t="str">
        <f>VLOOKUP($B310&amp;"__wt",'SegEnds_Xtal_BW#'!$A:$Z,13,FALSE)</f>
        <v>-</v>
      </c>
      <c r="N310" s="12" t="str">
        <f>VLOOKUP($B310&amp;"__wt",'SegEnds_Xtal_BW#'!$A:$Z,14,FALSE)</f>
        <v>-</v>
      </c>
      <c r="O310" s="87">
        <f>VLOOKUP($B310&amp;"__wt",'SegEnds_Xtal_BW#'!$A:$Z,15,FALSE)</f>
        <v>41</v>
      </c>
      <c r="P310" s="1">
        <f>VLOOKUP($B310&amp;"__wt",'SegEnds_Xtal_BW#'!$A:$Z,16,FALSE)</f>
        <v>67</v>
      </c>
      <c r="Q310" s="1">
        <f>VLOOKUP($B310&amp;"__wt",'SegEnds_Xtal_BW#'!$A:$Z,17,FALSE)</f>
        <v>50</v>
      </c>
      <c r="R310" s="1">
        <f>VLOOKUP($B310&amp;"__wt",'SegEnds_Xtal_BW#'!$A:$Z,18,FALSE)</f>
        <v>52</v>
      </c>
      <c r="S310" s="1">
        <f>VLOOKUP($B310&amp;"__wt",'SegEnds_Xtal_BW#'!$A:$Z,19,FALSE)</f>
        <v>39</v>
      </c>
      <c r="T310" s="1">
        <f>VLOOKUP($B310&amp;"__wt",'SegEnds_Xtal_BW#'!$A:$Z,20,FALSE)</f>
        <v>70</v>
      </c>
      <c r="U310" s="1">
        <f>VLOOKUP($B310&amp;"__wt",'SegEnds_Xtal_BW#'!$A:$Z,21,FALSE)</f>
        <v>30</v>
      </c>
      <c r="V310" s="1">
        <f>VLOOKUP($B310&amp;"__wt",'SegEnds_Xtal_BW#'!$A:$Z,22,FALSE)</f>
        <v>53</v>
      </c>
      <c r="W310" s="108">
        <v>28</v>
      </c>
      <c r="X310" s="1">
        <f>VLOOKUP($B310&amp;"__wt",'SegEnds_Xtal_BW#'!$A:$Z,24,FALSE)</f>
        <v>56</v>
      </c>
      <c r="Y310" s="1">
        <f>VLOOKUP($B310&amp;"__wt",'SegEnds_Xtal_BW#'!$A:$Z,25,FALSE)</f>
        <v>47</v>
      </c>
      <c r="Z310" s="1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1">
        <f>VLOOKUP(A310,'SegEnds_NonXtal_Prot#'!A:AL,10,FALSE)-VLOOKUP(A310,'SegEnds_NonXtal_Prot#'!A:AL,7,FALSE)</f>
        <v>15</v>
      </c>
      <c r="AD310" s="1" t="e">
        <f>VLOOKUP(A310,'SegEnds_NonXtal_Prot#'!A:AL,13,FALSE)-VLOOKUP(A310,'SegEnds_NonXtal_Prot#'!A:AL,10,FALSE)</f>
        <v>#VALUE!</v>
      </c>
      <c r="AE310" s="1">
        <f>VLOOKUP(A310,'SegEnds_NonXtal_Prot#'!A:AL,16,FALSE)-VLOOKUP(A310,'SegEnds_NonXtal_Prot#'!A:AL,10,FALSE)</f>
        <v>53</v>
      </c>
      <c r="AF310" s="1" t="e">
        <f>VLOOKUP(A310,'SegEnds_NonXtal_Prot#'!A:AL,22,FALSE)-VLOOKUP(A310,'SegEnds_NonXtal_Prot#'!A:AL,19,FALSE)</f>
        <v>#VALUE!</v>
      </c>
      <c r="AG310" s="1" t="e">
        <f>VLOOKUP(#REF!,'SegEnds_NonXtal_Prot#'!#REF!,28,FALSE)-VLOOKUP(#REF!,'SegEnds_NonXtal_Prot#'!#REF!,25,FALSE)</f>
        <v>#REF!</v>
      </c>
      <c r="AH310" s="1">
        <f>VLOOKUP(A310,'SegEnds_NonXtal_Prot#'!A:AL,28,FALSE)-VLOOKUP(A310,'SegEnds_NonXtal_Prot#'!A:AL,25,FALSE)</f>
        <v>19</v>
      </c>
      <c r="AI310" s="1">
        <f>VLOOKUP(A310,'SegEnds_NonXtal_Prot#'!A:AL,28,FALSE)-VLOOKUP(A310,'SegEnds_NonXtal_Prot#'!A:AL,22,FALSE)</f>
        <v>41</v>
      </c>
      <c r="AJ310" s="1">
        <f>VLOOKUP(A310,'SegEnds_NonXtal_Prot#'!A:AL,31,FALSE)-VLOOKUP(A310,'SegEnds_NonXtal_Prot#'!A:AL,28,FALSE)</f>
        <v>50</v>
      </c>
      <c r="AK310" s="1">
        <f>VLOOKUP(A310,'SegEnds_NonXtal_Prot#'!A:AL,34,FALSE)-VLOOKUP(A310,'SegEnds_NonXtal_Prot#'!A:AL,31,FALSE)</f>
        <v>30</v>
      </c>
      <c r="AL310" s="1">
        <f>VLOOKUP(A310,'SegEnds_NonXtal_Prot#'!A:AL,37,FALSE)-VLOOKUP(A310,'SegEnds_NonXtal_Prot#'!A:AL,34,FALSE)</f>
        <v>10</v>
      </c>
      <c r="AM310" s="1" t="str">
        <f>IF(ISERROR(MATCH(A310,'SegEnds_Xtal_Prot#'!B:B, 0)), "NoXtal", "Xtal")</f>
        <v>Xtal</v>
      </c>
    </row>
    <row r="311" spans="1:39" x14ac:dyDescent="0.2">
      <c r="A311" s="4" t="s">
        <v>38</v>
      </c>
      <c r="B311" s="4" t="str">
        <f>VLOOKUP(A311,Xtal_Templ!A:B,2,FALSE)</f>
        <v>crfr1_human</v>
      </c>
      <c r="C311" s="5">
        <f>VLOOKUP($B311&amp;"__wt",'SegEnds_Xtal_BW#'!$A:$Z,3,FALSE)</f>
        <v>19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">
        <v>63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22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f>VLOOKUP($B311&amp;"__wt",'SegEnds_Xtal_BW#'!$A:$Z,19,FALSE)</f>
        <v>39</v>
      </c>
      <c r="T311" s="4">
        <f>VLOOKUP($B311&amp;"__wt",'SegEnds_Xtal_BW#'!$A:$Z,20,FALSE)</f>
        <v>69</v>
      </c>
      <c r="U311" s="4">
        <f>VLOOKUP($B311&amp;"__wt",'SegEnds_Xtal_BW#'!$A:$Z,21,FALSE)</f>
        <v>25</v>
      </c>
      <c r="V311" s="4">
        <f>VLOOKUP($B311&amp;"__wt",'SegEnds_Xtal_BW#'!$A:$Z,22,FALSE)</f>
        <v>53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51</v>
      </c>
      <c r="AF311" s="4" t="e">
        <f>VLOOKUP(A311,'SegEnds_NonXtal_Prot#'!A:AL,22,FALSE)-VLOOKUP(A311,'SegEnds_NonXtal_Prot#'!A:AL,19,FALSE)</f>
        <v>#VALUE!</v>
      </c>
      <c r="AG311" s="4" t="e">
        <f>VLOOKUP(#REF!,'SegEnds_NonXtal_Prot#'!#REF!,28,FALSE)-VLOOKUP(#REF!,'SegEnds_NonXtal_Prot#'!#REF!,25,FALSE)</f>
        <v>#REF!</v>
      </c>
      <c r="AH311" s="4">
        <f>VLOOKUP(A311,'SegEnds_NonXtal_Prot#'!A:AL,28,FALSE)-VLOOKUP(A311,'SegEnds_NonXtal_Prot#'!A:AL,25,FALSE)</f>
        <v>21</v>
      </c>
      <c r="AI311" s="4">
        <f>VLOOKUP(A311,'SegEnds_NonXtal_Prot#'!A:AL,28,FALSE)-VLOOKUP(A311,'SegEnds_NonXtal_Prot#'!A:AL,22,FALSE)</f>
        <v>43</v>
      </c>
      <c r="AJ311" s="4">
        <f>VLOOKUP(A311,'SegEnds_NonXtal_Prot#'!A:AL,31,FALSE)-VLOOKUP(A311,'SegEnds_NonXtal_Prot#'!A:AL,28,FALSE)</f>
        <v>50</v>
      </c>
      <c r="AK311" s="4">
        <f>VLOOKUP(A311,'SegEnds_NonXtal_Prot#'!A:AL,34,FALSE)-VLOOKUP(A311,'SegEnds_NonXtal_Prot#'!A:AL,31,FALSE)</f>
        <v>31</v>
      </c>
      <c r="AL311" s="1">
        <f>VLOOKUP(A311,'SegEnds_NonXtal_Prot#'!A:AL,37,FALSE)-VLOOKUP(A311,'SegEnds_NonXtal_Prot#'!A:AL,34,FALSE)</f>
        <v>10</v>
      </c>
      <c r="AM311" s="4" t="str">
        <f>IF(ISERROR(MATCH(A311,'SegEnds_Xtal_Prot#'!B:B, 0)), "NoXtal", "Xtal")</f>
        <v>Xtal</v>
      </c>
    </row>
    <row r="312" spans="1:39" x14ac:dyDescent="0.2">
      <c r="A312" s="4" t="s">
        <v>402</v>
      </c>
      <c r="B312" s="4" t="str">
        <f>VLOOKUP(A312,Xtal_Templ!A:B,2,FALSE)</f>
        <v>crfr2_human</v>
      </c>
      <c r="C312" s="5">
        <f>VLOOKUP($B312&amp;"__wt",'SegEnds_Xtal_BW#'!$A:$Z,3,FALSE)</f>
        <v>19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">
        <v>63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22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41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39</v>
      </c>
      <c r="T312" s="4">
        <f>VLOOKUP($B312&amp;"__wt",'SegEnds_Xtal_BW#'!$A:$Z,20,FALSE)</f>
        <v>71</v>
      </c>
      <c r="U312" s="4">
        <f>VLOOKUP($B312&amp;"__wt",'SegEnds_Xtal_BW#'!$A:$Z,21,FALSE)</f>
        <v>25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50</v>
      </c>
      <c r="AF312" s="4" t="e">
        <f>VLOOKUP(A312,'SegEnds_NonXtal_Prot#'!A:AL,22,FALSE)-VLOOKUP(A312,'SegEnds_NonXtal_Prot#'!A:AL,19,FALSE)</f>
        <v>#VALUE!</v>
      </c>
      <c r="AG312" s="4" t="e">
        <f>VLOOKUP(#REF!,'SegEnds_NonXtal_Prot#'!#REF!,28,FALSE)-VLOOKUP(#REF!,'SegEnds_NonXtal_Prot#'!#REF!,25,FALSE)</f>
        <v>#REF!</v>
      </c>
      <c r="AH312" s="4">
        <f>VLOOKUP(A312,'SegEnds_NonXtal_Prot#'!A:AL,28,FALSE)-VLOOKUP(A312,'SegEnds_NonXtal_Prot#'!A:AL,25,FALSE)</f>
        <v>21</v>
      </c>
      <c r="AI312" s="4">
        <f>VLOOKUP(A312,'SegEnds_NonXtal_Prot#'!A:AL,28,FALSE)-VLOOKUP(A312,'SegEnds_NonXtal_Prot#'!A:AL,22,FALSE)</f>
        <v>43</v>
      </c>
      <c r="AJ312" s="4">
        <f>VLOOKUP(A312,'SegEnds_NonXtal_Prot#'!A:AL,31,FALSE)-VLOOKUP(A312,'SegEnds_NonXtal_Prot#'!A:AL,28,FALSE)</f>
        <v>50</v>
      </c>
      <c r="AK312" s="4">
        <f>VLOOKUP(A312,'SegEnds_NonXtal_Prot#'!A:AL,34,FALSE)-VLOOKUP(A312,'SegEnds_NonXtal_Prot#'!A:AL,31,FALSE)</f>
        <v>31</v>
      </c>
      <c r="AL312" s="1">
        <f>VLOOKUP(A312,'SegEnds_NonXtal_Prot#'!A:AL,37,FALSE)-VLOOKUP(A312,'SegEnds_NonXtal_Prot#'!A:AL,34,FALSE)</f>
        <v>10</v>
      </c>
      <c r="AM312" s="4" t="str">
        <f>IF(ISERROR(MATCH(A312,'SegEnds_Xtal_Prot#'!B:B, 0)), "NoXtal", "Xtal")</f>
        <v>Xtal</v>
      </c>
    </row>
    <row r="313" spans="1:39" x14ac:dyDescent="0.2">
      <c r="A313" s="4" t="s">
        <v>409</v>
      </c>
      <c r="B313" s="4" t="str">
        <f>VLOOKUP(A313,Xtal_Templ!A:B,2,FALSE)</f>
        <v>pth1r_human</v>
      </c>
      <c r="C313" s="5">
        <f>VLOOKUP($B313&amp;"__wt",'SegEnds_Xtal_BW#'!$A:$Z,3,FALSE)</f>
        <v>21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37</v>
      </c>
      <c r="T313" s="4">
        <v>69</v>
      </c>
      <c r="U313" s="4">
        <v>25</v>
      </c>
      <c r="V313" s="4">
        <f>VLOOKUP($B313&amp;"__wt",'SegEnds_Xtal_BW#'!$A:$Z,22,FALSE)</f>
        <v>54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74</v>
      </c>
      <c r="AF313" s="4" t="e">
        <f>VLOOKUP(A313,'SegEnds_NonXtal_Prot#'!A:AL,22,FALSE)-VLOOKUP(A313,'SegEnds_NonXtal_Prot#'!A:AL,19,FALSE)</f>
        <v>#VALUE!</v>
      </c>
      <c r="AG313" s="4" t="e">
        <f>VLOOKUP(#REF!,'SegEnds_NonXtal_Prot#'!#REF!,28,FALSE)-VLOOKUP(#REF!,'SegEnds_NonXtal_Prot#'!#REF!,25,FALSE)</f>
        <v>#REF!</v>
      </c>
      <c r="AH313" s="4">
        <f>VLOOKUP(A313,'SegEnds_NonXtal_Prot#'!A:AL,28,FALSE)-VLOOKUP(A313,'SegEnds_NonXtal_Prot#'!A:AL,25,FALSE)</f>
        <v>19</v>
      </c>
      <c r="AI313" s="4">
        <f>VLOOKUP(A313,'SegEnds_NonXtal_Prot#'!A:AL,28,FALSE)-VLOOKUP(A313,'SegEnds_NonXtal_Prot#'!A:AL,22,FALSE)</f>
        <v>41</v>
      </c>
      <c r="AJ313" s="4">
        <f>VLOOKUP(A313,'SegEnds_NonXtal_Prot#'!A:AL,31,FALSE)-VLOOKUP(A313,'SegEnds_NonXtal_Prot#'!A:AL,28,FALSE)</f>
        <v>53</v>
      </c>
      <c r="AK313" s="4">
        <f>VLOOKUP(A313,'SegEnds_NonXtal_Prot#'!A:AL,34,FALSE)-VLOOKUP(A313,'SegEnds_NonXtal_Prot#'!A:AL,31,FALSE)</f>
        <v>32</v>
      </c>
      <c r="AL313" s="1">
        <f>VLOOKUP(A313,'SegEnds_NonXtal_Prot#'!A:AL,37,FALSE)-VLOOKUP(A313,'SegEnds_NonXtal_Prot#'!A:AL,34,FALSE)</f>
        <v>10</v>
      </c>
      <c r="AM313" s="4" t="str">
        <f>IF(ISERROR(MATCH(A313,'SegEnds_Xtal_Prot#'!B:B, 0)), "NoXtal", "Xtal")</f>
        <v>NoXtal</v>
      </c>
    </row>
    <row r="314" spans="1:39" x14ac:dyDescent="0.2">
      <c r="A314" s="4" t="s">
        <v>1414</v>
      </c>
      <c r="B314" s="4" t="str">
        <f>VLOOKUP(A314,Xtal_Templ!A:B,2,FALSE)</f>
        <v>g1sgd4_rabit</v>
      </c>
      <c r="C314" s="5">
        <f>VLOOKUP($B314&amp;"__wt",'SegEnds_Xtal_BW#'!$A:$Z,3,FALSE)</f>
        <v>28</v>
      </c>
      <c r="D314" s="4">
        <f>VLOOKUP($B314&amp;"__wt",'SegEnds_Xtal_BW#'!$A:$Z,4,FALSE)</f>
        <v>60</v>
      </c>
      <c r="E314" s="4">
        <f>VLOOKUP($B314&amp;"__wt",'SegEnds_Xtal_BW#'!$A:$Z,5,FALSE)</f>
        <v>48</v>
      </c>
      <c r="F314" s="4">
        <f>VLOOKUP($B314&amp;"__wt",'SegEnds_Xtal_BW#'!$A:$Z,6,FALSE)</f>
        <v>51</v>
      </c>
      <c r="G314" s="4">
        <v>37</v>
      </c>
      <c r="H314" s="115">
        <v>74</v>
      </c>
      <c r="I314" s="4" t="str">
        <f>VLOOKUP($B314&amp;"__wt",'SegEnds_Xtal_BW#'!$A:$Z,9,FALSE)</f>
        <v>-</v>
      </c>
      <c r="J314" s="4" t="str">
        <f>VLOOKUP($B314&amp;"__wt",'SegEnds_Xtal_BW#'!$A:$Z,10,FALSE)</f>
        <v>-</v>
      </c>
      <c r="K314" s="115">
        <v>23</v>
      </c>
      <c r="L314" s="4">
        <f>VLOOKUP($B314&amp;"__wt",'SegEnds_Xtal_BW#'!$A:$Z,12,FALSE)</f>
        <v>56</v>
      </c>
      <c r="M314" s="4" t="str">
        <f>VLOOKUP($B314&amp;"__wt",'SegEnds_Xtal_BW#'!$A:$Z,13,FALSE)</f>
        <v>-</v>
      </c>
      <c r="N314" s="11" t="str">
        <f>VLOOKUP($B314&amp;"__wt",'SegEnds_Xtal_BW#'!$A:$Z,14,FALSE)</f>
        <v>-</v>
      </c>
      <c r="O314" s="88">
        <f>VLOOKUP($B314&amp;"__wt",'SegEnds_Xtal_BW#'!$A:$Z,15,FALSE)</f>
        <v>37</v>
      </c>
      <c r="P314" s="4">
        <f>VLOOKUP($B314&amp;"__wt",'SegEnds_Xtal_BW#'!$A:$Z,16,FALSE)</f>
        <v>68</v>
      </c>
      <c r="Q314" s="4">
        <f>VLOOKUP($B314&amp;"__wt",'SegEnds_Xtal_BW#'!$A:$Z,17,FALSE)</f>
        <v>50</v>
      </c>
      <c r="R314" s="4">
        <f>VLOOKUP($B314&amp;"__wt",'SegEnds_Xtal_BW#'!$A:$Z,18,FALSE)</f>
        <v>52</v>
      </c>
      <c r="S314" s="1">
        <f>VLOOKUP($B314&amp;"__wt",'SegEnds_Xtal_BW#'!$A:$Z,19,FALSE)</f>
        <v>36</v>
      </c>
      <c r="T314" s="4">
        <f>VLOOKUP($B314&amp;"__wt",'SegEnds_Xtal_BW#'!$A:$Z,20,FALSE)</f>
        <v>71</v>
      </c>
      <c r="U314" s="4">
        <f>VLOOKUP($B314&amp;"__wt",'SegEnds_Xtal_BW#'!$A:$Z,21,FALSE)</f>
        <v>30</v>
      </c>
      <c r="V314" s="4">
        <f>VLOOKUP($B314&amp;"__wt",'SegEnds_Xtal_BW#'!$A:$Z,22,FALSE)</f>
        <v>53</v>
      </c>
      <c r="W314" s="115">
        <v>30</v>
      </c>
      <c r="X314" s="4">
        <f>VLOOKUP($B314&amp;"__wt",'SegEnds_Xtal_BW#'!$A:$Z,24,FALSE)</f>
        <v>56</v>
      </c>
      <c r="Y314" s="4">
        <f>VLOOKUP($B314&amp;"__wt",'SegEnds_Xtal_BW#'!$A:$Z,25,FALSE)</f>
        <v>47</v>
      </c>
      <c r="Z314" s="4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">
        <f>VLOOKUP(A314,'SegEnds_NonXtal_Prot#'!A:AL,10,FALSE)-VLOOKUP(A314,'SegEnds_NonXtal_Prot#'!A:AL,7,FALSE)</f>
        <v>15</v>
      </c>
      <c r="AD314" s="4" t="e">
        <f>VLOOKUP(A314,'SegEnds_NonXtal_Prot#'!A:AL,13,FALSE)-VLOOKUP(A314,'SegEnds_NonXtal_Prot#'!A:AL,10,FALSE)</f>
        <v>#VALUE!</v>
      </c>
      <c r="AE314" s="4">
        <f>VLOOKUP(A314,'SegEnds_NonXtal_Prot#'!A:AL,16,FALSE)-VLOOKUP(A314,'SegEnds_NonXtal_Prot#'!A:AL,10,FALSE)</f>
        <v>64</v>
      </c>
      <c r="AF314" s="4" t="e">
        <f>VLOOKUP(A314,'SegEnds_NonXtal_Prot#'!A:AL,22,FALSE)-VLOOKUP(A314,'SegEnds_NonXtal_Prot#'!A:AL,19,FALSE)</f>
        <v>#VALUE!</v>
      </c>
      <c r="AG314" s="4" t="e">
        <f>VLOOKUP(#REF!,'SegEnds_NonXtal_Prot#'!#REF!,28,FALSE)-VLOOKUP(#REF!,'SegEnds_NonXtal_Prot#'!#REF!,25,FALSE)</f>
        <v>#REF!</v>
      </c>
      <c r="AH314" s="4">
        <f>VLOOKUP(A314,'SegEnds_NonXtal_Prot#'!A:AL,28,FALSE)-VLOOKUP(A314,'SegEnds_NonXtal_Prot#'!A:AL,25,FALSE)</f>
        <v>20</v>
      </c>
      <c r="AI314" s="4">
        <f>VLOOKUP(A314,'SegEnds_NonXtal_Prot#'!A:AL,28,FALSE)-VLOOKUP(A314,'SegEnds_NonXtal_Prot#'!A:AL,22,FALSE)</f>
        <v>42</v>
      </c>
      <c r="AJ314" s="4">
        <f>VLOOKUP(A314,'SegEnds_NonXtal_Prot#'!A:AL,31,FALSE)-VLOOKUP(A314,'SegEnds_NonXtal_Prot#'!A:AL,28,FALSE)</f>
        <v>50</v>
      </c>
      <c r="AK314" s="4">
        <f>VLOOKUP(A314,'SegEnds_NonXtal_Prot#'!A:AL,34,FALSE)-VLOOKUP(A314,'SegEnds_NonXtal_Prot#'!A:AL,31,FALSE)</f>
        <v>33</v>
      </c>
      <c r="AL314" s="1">
        <f>VLOOKUP(A314,'SegEnds_NonXtal_Prot#'!A:AL,37,FALSE)-VLOOKUP(A314,'SegEnds_NonXtal_Prot#'!A:AL,34,FALSE)</f>
        <v>10</v>
      </c>
      <c r="AM314" s="4" t="str">
        <f>IF(ISERROR(MATCH(A314,'SegEnds_Xtal_Prot#'!B:B, 0)), "NoXtal", "Xtal")</f>
        <v>Xtal</v>
      </c>
    </row>
    <row r="315" spans="1:39" x14ac:dyDescent="0.2">
      <c r="A315" s="4" t="s">
        <v>404</v>
      </c>
      <c r="B315" s="4" t="str">
        <f>VLOOKUP(A315,Xtal_Templ!A:B,2,FALSE)</f>
        <v>glr_human</v>
      </c>
      <c r="C315" s="5">
        <f>VLOOKUP($B315&amp;"__wt",'SegEnds_Xtal_BW#'!$A:$Z,3,FALSE)</f>
        <v>25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5">
        <v>64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5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1">
        <f>VLOOKUP($B315&amp;"__wt",'SegEnds_Xtal_BW#'!$A:$Z,19,FALSE)</f>
        <v>40</v>
      </c>
      <c r="T315" s="4">
        <f>VLOOKUP($B315&amp;"__wt",'SegEnds_Xtal_BW#'!$A:$Z,20,FALSE)</f>
        <v>71</v>
      </c>
      <c r="U315" s="115">
        <v>28</v>
      </c>
      <c r="V315" s="4">
        <f>VLOOKUP($B315&amp;"__wt",'SegEnds_Xtal_BW#'!$A:$Z,22,FALSE)</f>
        <v>53</v>
      </c>
      <c r="W315" s="4">
        <v>28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4">
        <f>VLOOKUP(A315,'SegEnds_NonXtal_Prot#'!A:AL,10,FALSE)-VLOOKUP(A315,'SegEnds_NonXtal_Prot#'!A:AL,7,FALSE)</f>
        <v>15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61</v>
      </c>
      <c r="AF315" s="1" t="e">
        <f>VLOOKUP(A315,'SegEnds_NonXtal_Prot#'!A:AL,22,FALSE)-VLOOKUP(A315,'SegEnds_NonXtal_Prot#'!A:AL,19,FALSE)</f>
        <v>#VALUE!</v>
      </c>
      <c r="AG315" s="4" t="e">
        <f>VLOOKUP(#REF!,'SegEnds_NonXtal_Prot#'!#REF!,28,FALSE)-VLOOKUP(#REF!,'SegEnds_NonXtal_Prot#'!#REF!,25,FALSE)</f>
        <v>#REF!</v>
      </c>
      <c r="AH315" s="4">
        <f>VLOOKUP(A315,'SegEnds_NonXtal_Prot#'!A:AL,28,FALSE)-VLOOKUP(A315,'SegEnds_NonXtal_Prot#'!A:AL,25,FALSE)</f>
        <v>20</v>
      </c>
      <c r="AI315" s="1">
        <f>VLOOKUP(A315,'SegEnds_NonXtal_Prot#'!A:AL,28,FALSE)-VLOOKUP(A315,'SegEnds_NonXtal_Prot#'!A:AL,22,FALSE)</f>
        <v>42</v>
      </c>
      <c r="AJ315" s="4">
        <f>VLOOKUP(A315,'SegEnds_NonXtal_Prot#'!A:AL,31,FALSE)-VLOOKUP(A315,'SegEnds_NonXtal_Prot#'!A:AL,28,FALSE)</f>
        <v>50</v>
      </c>
      <c r="AK315" s="4">
        <f>VLOOKUP(A315,'SegEnds_NonXtal_Prot#'!A:AL,34,FALSE)-VLOOKUP(A315,'SegEnds_NonXtal_Prot#'!A:AL,31,FALSE)</f>
        <v>33</v>
      </c>
      <c r="AL315" s="1">
        <f>VLOOKUP(A315,'SegEnds_NonXtal_Prot#'!A:AL,37,FALSE)-VLOOKUP(A315,'SegEnds_NonXtal_Prot#'!A:AL,34,FALSE)</f>
        <v>10</v>
      </c>
      <c r="AM315" s="1" t="str">
        <f>IF(ISERROR(MATCH(A315,'SegEnds_Xtal_Prot#'!B:B, 0)), "NoXtal", "Xtal")</f>
        <v>NoXtal</v>
      </c>
    </row>
    <row r="316" spans="1:39" x14ac:dyDescent="0.2">
      <c r="A316" s="1" t="s">
        <v>405</v>
      </c>
      <c r="B316" s="1" t="str">
        <f>VLOOKUP(A316,Xtal_Templ!A:B,2,FALSE)</f>
        <v>glp1r_human</v>
      </c>
      <c r="C316" s="5">
        <f>VLOOKUP($B316&amp;"__wt",'SegEnds_Xtal_BW#'!$A:$Z,3,FALSE)</f>
        <v>29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08">
        <v>64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08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38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f>VLOOKUP($B316&amp;"__wt",'SegEnds_Xtal_BW#'!$A:$Z,19,FALSE)</f>
        <v>36</v>
      </c>
      <c r="T316" s="1">
        <f>VLOOKUP($B316&amp;"__wt",'SegEnds_Xtal_BW#'!$A:$Z,20,FALSE)</f>
        <v>73</v>
      </c>
      <c r="U316" s="1">
        <f>VLOOKUP($B316&amp;"__wt",'SegEnds_Xtal_BW#'!$A:$Z,21,FALSE)</f>
        <v>25</v>
      </c>
      <c r="V316" s="1">
        <f>VLOOKUP($B316&amp;"__wt",'SegEnds_Xtal_BW#'!$A:$Z,22,FALSE)</f>
        <v>55</v>
      </c>
      <c r="W316" s="1">
        <v>28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1">
        <f>VLOOKUP(A316,'SegEnds_NonXtal_Prot#'!A:AL,10,FALSE)-VLOOKUP(A316,'SegEnds_NonXtal_Prot#'!A:AL,7,FALSE)</f>
        <v>15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64</v>
      </c>
      <c r="AF316" s="1" t="e">
        <f>VLOOKUP(A316,'SegEnds_NonXtal_Prot#'!A:AL,22,FALSE)-VLOOKUP(A316,'SegEnds_NonXtal_Prot#'!A:AL,19,FALSE)</f>
        <v>#VALUE!</v>
      </c>
      <c r="AG316" s="1" t="e">
        <f>VLOOKUP(#REF!,'SegEnds_NonXtal_Prot#'!#REF!,28,FALSE)-VLOOKUP(#REF!,'SegEnds_NonXtal_Prot#'!#REF!,25,FALSE)</f>
        <v>#REF!</v>
      </c>
      <c r="AH316" s="1">
        <f>VLOOKUP(A316,'SegEnds_NonXtal_Prot#'!A:AL,28,FALSE)-VLOOKUP(A316,'SegEnds_NonXtal_Prot#'!A:AL,25,FALSE)</f>
        <v>20</v>
      </c>
      <c r="AI316" s="1">
        <f>VLOOKUP(A316,'SegEnds_NonXtal_Prot#'!A:AL,28,FALSE)-VLOOKUP(A316,'SegEnds_NonXtal_Prot#'!A:AL,22,FALSE)</f>
        <v>42</v>
      </c>
      <c r="AJ316" s="1">
        <f>VLOOKUP(A316,'SegEnds_NonXtal_Prot#'!A:AL,31,FALSE)-VLOOKUP(A316,'SegEnds_NonXtal_Prot#'!A:AL,28,FALSE)</f>
        <v>50</v>
      </c>
      <c r="AK316" s="1">
        <f>VLOOKUP(A316,'SegEnds_NonXtal_Prot#'!A:AL,34,FALSE)-VLOOKUP(A316,'SegEnds_NonXtal_Prot#'!A:AL,31,FALSE)</f>
        <v>33</v>
      </c>
      <c r="AL316" s="1">
        <f>VLOOKUP(A316,'SegEnds_NonXtal_Prot#'!A:AL,37,FALSE)-VLOOKUP(A316,'SegEnds_NonXtal_Prot#'!A:AL,34,FALSE)</f>
        <v>10</v>
      </c>
      <c r="AM316" s="1" t="str">
        <f>IF(ISERROR(MATCH(A316,'SegEnds_Xtal_Prot#'!B:B, 0)), "NoXtal", "Xtal")</f>
        <v>Xtal</v>
      </c>
    </row>
    <row r="317" spans="1:39" x14ac:dyDescent="0.2">
      <c r="A317" s="4" t="s">
        <v>406</v>
      </c>
      <c r="B317" s="4" t="str">
        <f>VLOOKUP(A317,Xtal_Templ!A:B,2,FALSE)</f>
        <v>glr_human</v>
      </c>
      <c r="C317" s="5">
        <f>VLOOKUP($B317&amp;"__wt",'SegEnds_Xtal_BW#'!$A:$Z,3,FALSE)</f>
        <v>25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5">
        <v>64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23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40</v>
      </c>
      <c r="T317" s="4">
        <f>VLOOKUP($B317&amp;"__wt",'SegEnds_Xtal_BW#'!$A:$Z,20,FALSE)</f>
        <v>71</v>
      </c>
      <c r="U317" s="115">
        <v>28</v>
      </c>
      <c r="V317" s="4">
        <f>VLOOKUP($B317&amp;"__wt",'SegEnds_Xtal_BW#'!$A:$Z,22,FALSE)</f>
        <v>53</v>
      </c>
      <c r="W317" s="4">
        <v>28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27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64</v>
      </c>
      <c r="AF317" s="1" t="e">
        <f>VLOOKUP(A317,'SegEnds_NonXtal_Prot#'!A:AL,22,FALSE)-VLOOKUP(A317,'SegEnds_NonXtal_Prot#'!A:AL,19,FALSE)</f>
        <v>#VALUE!</v>
      </c>
      <c r="AG317" s="4" t="e">
        <f>VLOOKUP(#REF!,'SegEnds_NonXtal_Prot#'!#REF!,28,FALSE)-VLOOKUP(#REF!,'SegEnds_NonXtal_Prot#'!#REF!,25,FALSE)</f>
        <v>#REF!</v>
      </c>
      <c r="AH317" s="4">
        <f>VLOOKUP(A317,'SegEnds_NonXtal_Prot#'!A:AL,28,FALSE)-VLOOKUP(A317,'SegEnds_NonXtal_Prot#'!A:AL,25,FALSE)</f>
        <v>20</v>
      </c>
      <c r="AI317" s="1">
        <f>VLOOKUP(A317,'SegEnds_NonXtal_Prot#'!A:AL,28,FALSE)-VLOOKUP(A317,'SegEnds_NonXtal_Prot#'!A:AL,22,FALSE)</f>
        <v>42</v>
      </c>
      <c r="AJ317" s="4">
        <f>VLOOKUP(A317,'SegEnds_NonXtal_Prot#'!A:AL,31,FALSE)-VLOOKUP(A317,'SegEnds_NonXtal_Prot#'!A:AL,28,FALSE)</f>
        <v>50</v>
      </c>
      <c r="AK317" s="4">
        <f>VLOOKUP(A317,'SegEnds_NonXtal_Prot#'!A:AL,34,FALSE)-VLOOKUP(A317,'SegEnds_NonXtal_Prot#'!A:AL,31,FALSE)</f>
        <v>33</v>
      </c>
      <c r="AL317" s="1">
        <f>VLOOKUP(A317,'SegEnds_NonXtal_Prot#'!A:AL,37,FALSE)-VLOOKUP(A317,'SegEnds_NonXtal_Prot#'!A:AL,34,FALSE)</f>
        <v>10</v>
      </c>
      <c r="AM317" s="1" t="str">
        <f>IF(ISERROR(MATCH(A317,'SegEnds_Xtal_Prot#'!B:B, 0)), "NoXtal", "Xtal")</f>
        <v>NoXtal</v>
      </c>
    </row>
    <row r="318" spans="1:39" s="4" customFormat="1" x14ac:dyDescent="0.2">
      <c r="A318" s="4" t="s">
        <v>32</v>
      </c>
      <c r="B318" s="4" t="str">
        <f>VLOOKUP(A318,Xtal_Templ!A:B,2,FALSE)</f>
        <v>glr_human</v>
      </c>
      <c r="C318" s="4">
        <f>VLOOKUP($B318&amp;"__wt",'SegEnds_Xtal_BW#'!$A:$Z,3,FALSE)</f>
        <v>25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5">
        <v>69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5">
        <v>21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40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1">
        <f>VLOOKUP($B318&amp;"__wt",'SegEnds_Xtal_BW#'!$A:$Z,19,FALSE)</f>
        <v>40</v>
      </c>
      <c r="T318" s="4">
        <f>VLOOKUP($B318&amp;"__wt",'SegEnds_Xtal_BW#'!$A:$Z,20,FALSE)</f>
        <v>71</v>
      </c>
      <c r="U318" s="4">
        <f>VLOOKUP($B318&amp;"__wt",'SegEnds_Xtal_BW#'!$A:$Z,21,FALSE)</f>
        <v>28</v>
      </c>
      <c r="V318" s="4">
        <f>VLOOKUP($B318&amp;"__wt",'SegEnds_Xtal_BW#'!$A:$Z,22,FALSE)</f>
        <v>53</v>
      </c>
      <c r="W318" s="115">
        <v>27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f>VLOOKUP($B318&amp;"__wt",'SegEnds_Xtal_BW#'!$A:$Z,26,FALSE)</f>
        <v>72</v>
      </c>
      <c r="AA318" s="50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65</v>
      </c>
      <c r="AF318" s="1" t="e">
        <f>VLOOKUP(A318,'SegEnds_NonXtal_Prot#'!A:AL,22,FALSE)-VLOOKUP(A318,'SegEnds_NonXtal_Prot#'!A:AL,19,FALSE)</f>
        <v>#VALUE!</v>
      </c>
      <c r="AG318" s="4" t="e">
        <f>VLOOKUP(#REF!,'SegEnds_NonXtal_Prot#'!#REF!,28,FALSE)-VLOOKUP(#REF!,'SegEnds_NonXtal_Prot#'!#REF!,25,FALSE)</f>
        <v>#REF!</v>
      </c>
      <c r="AH318" s="4">
        <f>VLOOKUP(A318,'SegEnds_NonXtal_Prot#'!A:AL,28,FALSE)-VLOOKUP(A318,'SegEnds_NonXtal_Prot#'!A:AL,25,FALSE)</f>
        <v>20</v>
      </c>
      <c r="AI318" s="1">
        <f>VLOOKUP(A318,'SegEnds_NonXtal_Prot#'!A:AL,28,FALSE)-VLOOKUP(A318,'SegEnds_NonXtal_Prot#'!A:AL,22,FALSE)</f>
        <v>42</v>
      </c>
      <c r="AJ318" s="4">
        <f>VLOOKUP(A318,'SegEnds_NonXtal_Prot#'!A:AL,31,FALSE)-VLOOKUP(A318,'SegEnds_NonXtal_Prot#'!A:AL,28,FALSE)</f>
        <v>50</v>
      </c>
      <c r="AK318" s="4">
        <f>VLOOKUP(A318,'SegEnds_NonXtal_Prot#'!A:AL,34,FALSE)-VLOOKUP(A318,'SegEnds_NonXtal_Prot#'!A:AL,31,FALSE)</f>
        <v>33</v>
      </c>
      <c r="AL318" s="1">
        <f>VLOOKUP(A318,'SegEnds_NonXtal_Prot#'!A:AL,37,FALSE)-VLOOKUP(A318,'SegEnds_NonXtal_Prot#'!A:AL,34,FALSE)</f>
        <v>10</v>
      </c>
      <c r="AM318" s="1" t="str">
        <f>IF(ISERROR(MATCH(A318,'SegEnds_Xtal_Prot#'!B:B, 0)), "NoXtal", "Xtal")</f>
        <v>Xtal</v>
      </c>
    </row>
    <row r="319" spans="1:39" s="45" customFormat="1" x14ac:dyDescent="0.2">
      <c r="A319" s="45" t="s">
        <v>408</v>
      </c>
      <c r="B319" s="45" t="str">
        <f>VLOOKUP(A319,Xtal_Templ!A:B,2,FALSE)</f>
        <v>pth1r_human</v>
      </c>
      <c r="C319" s="46">
        <f>VLOOKUP($B319&amp;"__wt",'SegEnds_Xtal_BW#'!$A:$Z,3,FALSE)</f>
        <v>21</v>
      </c>
      <c r="D319" s="45">
        <f>VLOOKUP($B319&amp;"__wt",'SegEnds_Xtal_BW#'!$A:$Z,4,FALSE)</f>
        <v>60</v>
      </c>
      <c r="E319" s="45">
        <f>VLOOKUP($B319&amp;"__wt",'SegEnds_Xtal_BW#'!$A:$Z,5,FALSE)</f>
        <v>48</v>
      </c>
      <c r="F319" s="45">
        <f>VLOOKUP($B319&amp;"__wt",'SegEnds_Xtal_BW#'!$A:$Z,6,FALSE)</f>
        <v>51</v>
      </c>
      <c r="G319" s="45">
        <v>37</v>
      </c>
      <c r="H319" s="134">
        <v>69</v>
      </c>
      <c r="I319" s="45" t="str">
        <f>VLOOKUP($B319&amp;"__wt",'SegEnds_Xtal_BW#'!$A:$Z,9,FALSE)</f>
        <v>-</v>
      </c>
      <c r="J319" s="45" t="str">
        <f>VLOOKUP($B319&amp;"__wt",'SegEnds_Xtal_BW#'!$A:$Z,10,FALSE)</f>
        <v>-</v>
      </c>
      <c r="K319" s="115">
        <v>21</v>
      </c>
      <c r="L319" s="45">
        <f>VLOOKUP($B319&amp;"__wt",'SegEnds_Xtal_BW#'!$A:$Z,12,FALSE)</f>
        <v>56</v>
      </c>
      <c r="M319" s="45" t="str">
        <f>VLOOKUP($B319&amp;"__wt",'SegEnds_Xtal_BW#'!$A:$Z,13,FALSE)</f>
        <v>-</v>
      </c>
      <c r="N319" s="102" t="str">
        <f>VLOOKUP($B319&amp;"__wt",'SegEnds_Xtal_BW#'!$A:$Z,14,FALSE)</f>
        <v>-</v>
      </c>
      <c r="O319" s="90">
        <f>VLOOKUP($B319&amp;"__wt",'SegEnds_Xtal_BW#'!$A:$Z,15,FALSE)</f>
        <v>37</v>
      </c>
      <c r="P319" s="45">
        <f>VLOOKUP($B319&amp;"__wt",'SegEnds_Xtal_BW#'!$A:$Z,16,FALSE)</f>
        <v>68</v>
      </c>
      <c r="Q319" s="45">
        <f>VLOOKUP($B319&amp;"__wt",'SegEnds_Xtal_BW#'!$A:$Z,17,FALSE)</f>
        <v>50</v>
      </c>
      <c r="R319" s="45">
        <f>VLOOKUP($B319&amp;"__wt",'SegEnds_Xtal_BW#'!$A:$Z,18,FALSE)</f>
        <v>52</v>
      </c>
      <c r="S319" s="1">
        <f>VLOOKUP($B319&amp;"__wt",'SegEnds_Xtal_BW#'!$A:$Z,19,FALSE)</f>
        <v>37</v>
      </c>
      <c r="T319" s="45">
        <v>69</v>
      </c>
      <c r="U319" s="45">
        <v>25</v>
      </c>
      <c r="V319" s="45">
        <f>VLOOKUP($B319&amp;"__wt",'SegEnds_Xtal_BW#'!$A:$Z,22,FALSE)</f>
        <v>54</v>
      </c>
      <c r="W319" s="45">
        <v>28</v>
      </c>
      <c r="X319" s="45">
        <f>VLOOKUP($B319&amp;"__wt",'SegEnds_Xtal_BW#'!$A:$Z,24,FALSE)</f>
        <v>56</v>
      </c>
      <c r="Y319" s="45">
        <f>VLOOKUP($B319&amp;"__wt",'SegEnds_Xtal_BW#'!$A:$Z,25,FALSE)</f>
        <v>47</v>
      </c>
      <c r="Z319" s="45">
        <f>VLOOKUP($B319&amp;"__wt",'SegEnds_Xtal_BW#'!$A:$Z,26,FALSE)</f>
        <v>72</v>
      </c>
      <c r="AA319" s="47" t="str">
        <f>VLOOKUP(A319,Classification!A:B,2,FALSE)</f>
        <v>B1</v>
      </c>
      <c r="AB319" s="1">
        <f>VLOOKUP(A319,'SegEnds_NonXtal_Prot#'!A:AL,10,FALSE)-VLOOKUP(A319,'SegEnds_NonXtal_Prot#'!A:AL,4,FALSE)</f>
        <v>28</v>
      </c>
      <c r="AC319" s="45">
        <f>VLOOKUP(A319,'SegEnds_NonXtal_Prot#'!A:AL,10,FALSE)-VLOOKUP(A319,'SegEnds_NonXtal_Prot#'!A:AL,7,FALSE)</f>
        <v>15</v>
      </c>
      <c r="AD319" s="45" t="e">
        <f>VLOOKUP(A319,'SegEnds_NonXtal_Prot#'!A:AL,13,FALSE)-VLOOKUP(A319,'SegEnds_NonXtal_Prot#'!A:AL,10,FALSE)</f>
        <v>#VALUE!</v>
      </c>
      <c r="AE319" s="45">
        <f>VLOOKUP(A319,'SegEnds_NonXtal_Prot#'!A:AL,16,FALSE)-VLOOKUP(A319,'SegEnds_NonXtal_Prot#'!A:AL,10,FALSE)</f>
        <v>76</v>
      </c>
      <c r="AF319" s="45" t="e">
        <f>VLOOKUP(A319,'SegEnds_NonXtal_Prot#'!A:AL,22,FALSE)-VLOOKUP(A319,'SegEnds_NonXtal_Prot#'!A:AL,19,FALSE)</f>
        <v>#VALUE!</v>
      </c>
      <c r="AG319" s="45" t="e">
        <f>VLOOKUP(#REF!,'SegEnds_NonXtal_Prot#'!#REF!,28,FALSE)-VLOOKUP(#REF!,'SegEnds_NonXtal_Prot#'!#REF!,25,FALSE)</f>
        <v>#REF!</v>
      </c>
      <c r="AH319" s="45">
        <f>VLOOKUP(A319,'SegEnds_NonXtal_Prot#'!A:AL,28,FALSE)-VLOOKUP(A319,'SegEnds_NonXtal_Prot#'!A:AL,25,FALSE)</f>
        <v>19</v>
      </c>
      <c r="AI319" s="45">
        <f>VLOOKUP(A319,'SegEnds_NonXtal_Prot#'!A:AL,28,FALSE)-VLOOKUP(A319,'SegEnds_NonXtal_Prot#'!A:AL,22,FALSE)</f>
        <v>41</v>
      </c>
      <c r="AJ319" s="45">
        <f>VLOOKUP(A319,'SegEnds_NonXtal_Prot#'!A:AL,31,FALSE)-VLOOKUP(A319,'SegEnds_NonXtal_Prot#'!A:AL,28,FALSE)</f>
        <v>53</v>
      </c>
      <c r="AK319" s="45">
        <f>VLOOKUP(A319,'SegEnds_NonXtal_Prot#'!A:AL,34,FALSE)-VLOOKUP(A319,'SegEnds_NonXtal_Prot#'!A:AL,31,FALSE)</f>
        <v>33</v>
      </c>
      <c r="AL319" s="1">
        <f>VLOOKUP(A319,'SegEnds_NonXtal_Prot#'!A:AL,37,FALSE)-VLOOKUP(A319,'SegEnds_NonXtal_Prot#'!A:AL,34,FALSE)</f>
        <v>10</v>
      </c>
      <c r="AM319" s="45" t="str">
        <f>IF(ISERROR(MATCH(A319,'SegEnds_Xtal_Prot#'!B:B, 0)), "NoXtal", "Xtal")</f>
        <v>Xtal</v>
      </c>
    </row>
    <row r="320" spans="1:39" x14ac:dyDescent="0.2">
      <c r="A320" s="1" t="s">
        <v>1176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v>50</v>
      </c>
      <c r="W320" s="1">
        <v>33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 t="e">
        <f>VLOOKUP(#REF!,'SegEnds_NonXtal_Prot#'!#REF!,28,FALSE)-VLOOKUP(#REF!,'SegEnds_NonXtal_Prot#'!#REF!,25,FALSE)</f>
        <v>#REF!</v>
      </c>
      <c r="AH320" s="1">
        <f>VLOOKUP(A320,'SegEnds_NonXtal_Prot#'!A:AL,28,FALSE)-VLOOKUP(A320,'SegEnds_NonXtal_Prot#'!A:AL,25,FALSE)</f>
        <v>19</v>
      </c>
      <c r="AI320" s="1">
        <f>VLOOKUP(A320,'SegEnds_NonXtal_Prot#'!A:AL,28,FALSE)-VLOOKUP(A320,'SegEnds_NonXtal_Prot#'!A:AL,22,FALSE)</f>
        <v>43</v>
      </c>
      <c r="AJ320" s="1">
        <f>VLOOKUP(A320,'SegEnds_NonXtal_Prot#'!A:AL,31,FALSE)-VLOOKUP(A320,'SegEnds_NonXtal_Prot#'!A:AL,28,FALSE)</f>
        <v>66</v>
      </c>
      <c r="AK320" s="1">
        <f>VLOOKUP(A320,'SegEnds_NonXtal_Prot#'!A:AL,34,FALSE)-VLOOKUP(A320,'SegEnds_NonXtal_Prot#'!A:AL,31,FALSE)</f>
        <v>20</v>
      </c>
      <c r="AL320" s="1">
        <f>VLOOKUP(A320,'SegEnds_NonXtal_Prot#'!A:AL,37,FALSE)-VLOOKUP(A320,'SegEnds_NonXtal_Prot#'!A:AL,34,FALSE)</f>
        <v>10</v>
      </c>
      <c r="AM320" s="1" t="str">
        <f>IF(ISERROR(MATCH(A320,'SegEnds_Xtal_Prot#'!B:B, 0)), "NoXtal", "Xtal")</f>
        <v>NoXtal</v>
      </c>
    </row>
    <row r="321" spans="1:39" x14ac:dyDescent="0.2">
      <c r="A321" s="1" t="s">
        <v>1182</v>
      </c>
      <c r="B321" s="1" t="str">
        <f>VLOOKUP(A321,Xtal_Templ!A:B,2,FALSE)</f>
        <v>calrl_human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41</v>
      </c>
      <c r="P321" s="1">
        <f>VLOOKUP($B321&amp;"__wt",'SegEnds_Xtal_BW#'!$A:$Z,16,FALSE)</f>
        <v>67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08">
        <v>50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31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51</v>
      </c>
      <c r="AF321" s="1" t="e">
        <f>VLOOKUP(A321,'SegEnds_NonXtal_Prot#'!A:AL,22,FALSE)-VLOOKUP(A321,'SegEnds_NonXtal_Prot#'!A:AL,19,FALSE)</f>
        <v>#VALUE!</v>
      </c>
      <c r="AG321" s="1" t="e">
        <f>VLOOKUP(#REF!,'SegEnds_NonXtal_Prot#'!#REF!,28,FALSE)-VLOOKUP(#REF!,'SegEnds_NonXtal_Prot#'!#REF!,25,FALSE)</f>
        <v>#REF!</v>
      </c>
      <c r="AH321" s="1">
        <f>VLOOKUP(A321,'SegEnds_NonXtal_Prot#'!A:AL,28,FALSE)-VLOOKUP(A321,'SegEnds_NonXtal_Prot#'!A:AL,25,FALSE)</f>
        <v>20</v>
      </c>
      <c r="AI321" s="1">
        <f>VLOOKUP(A321,'SegEnds_NonXtal_Prot#'!A:AL,28,FALSE)-VLOOKUP(A321,'SegEnds_NonXtal_Prot#'!A:AL,22,FALSE)</f>
        <v>46</v>
      </c>
      <c r="AJ321" s="1">
        <f>VLOOKUP(A321,'SegEnds_NonXtal_Prot#'!A:AL,31,FALSE)-VLOOKUP(A321,'SegEnds_NonXtal_Prot#'!A:AL,28,FALSE)</f>
        <v>57</v>
      </c>
      <c r="AK321" s="1">
        <f>VLOOKUP(A321,'SegEnds_NonXtal_Prot#'!A:AL,34,FALSE)-VLOOKUP(A321,'SegEnds_NonXtal_Prot#'!A:AL,31,FALSE)</f>
        <v>23</v>
      </c>
      <c r="AL321" s="1" t="e">
        <f>VLOOKUP(A321,'SegEnds_NonXtal_Prot#'!A:AL,37,FALSE)-VLOOKUP(A321,'SegEnds_NonXtal_Prot#'!A:AL,34,FALSE)</f>
        <v>#VALUE!</v>
      </c>
      <c r="AM321" s="1" t="str">
        <f>IF(ISERROR(MATCH(A321,'SegEnds_Xtal_Prot#'!B:B, 0)), "NoXtal", "Xtal")</f>
        <v>NoXtal</v>
      </c>
    </row>
    <row r="322" spans="1:39" x14ac:dyDescent="0.2">
      <c r="A322" s="1" t="s">
        <v>1188</v>
      </c>
      <c r="B322" s="1" t="str">
        <f>VLOOKUP(A322,Xtal_Templ!A:B,2,FALSE)</f>
        <v>pth1r_human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37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v>50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33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47</v>
      </c>
      <c r="AF322" s="1" t="e">
        <f>VLOOKUP(A322,'SegEnds_NonXtal_Prot#'!A:AL,22,FALSE)-VLOOKUP(A322,'SegEnds_NonXtal_Prot#'!A:AL,19,FALSE)</f>
        <v>#VALUE!</v>
      </c>
      <c r="AG322" s="1" t="e">
        <f>VLOOKUP(#REF!,'SegEnds_NonXtal_Prot#'!#REF!,28,FALSE)-VLOOKUP(#REF!,'SegEnds_NonXtal_Prot#'!#REF!,25,FALSE)</f>
        <v>#REF!</v>
      </c>
      <c r="AH322" s="1">
        <f>VLOOKUP(A322,'SegEnds_NonXtal_Prot#'!A:AL,28,FALSE)-VLOOKUP(A322,'SegEnds_NonXtal_Prot#'!A:AL,25,FALSE)</f>
        <v>18</v>
      </c>
      <c r="AI322" s="1">
        <f>VLOOKUP(A322,'SegEnds_NonXtal_Prot#'!A:AL,28,FALSE)-VLOOKUP(A322,'SegEnds_NonXtal_Prot#'!A:AL,22,FALSE)</f>
        <v>51</v>
      </c>
      <c r="AJ322" s="1">
        <f>VLOOKUP(A322,'SegEnds_NonXtal_Prot#'!A:AL,31,FALSE)-VLOOKUP(A322,'SegEnds_NonXtal_Prot#'!A:AL,28,FALSE)</f>
        <v>54</v>
      </c>
      <c r="AK322" s="1">
        <f>VLOOKUP(A322,'SegEnds_NonXtal_Prot#'!A:AL,34,FALSE)-VLOOKUP(A322,'SegEnds_NonXtal_Prot#'!A:AL,31,FALSE)</f>
        <v>26</v>
      </c>
      <c r="AL322" s="1">
        <f>VLOOKUP(A322,'SegEnds_NonXtal_Prot#'!A:AL,37,FALSE)-VLOOKUP(A322,'SegEnds_NonXtal_Prot#'!A:AL,34,FALSE)</f>
        <v>10</v>
      </c>
      <c r="AM322" s="1" t="str">
        <f>IF(ISERROR(MATCH(A322,'SegEnds_Xtal_Prot#'!B:B, 0)), "NoXtal", "Xtal")</f>
        <v>NoXtal</v>
      </c>
    </row>
    <row r="323" spans="1:39" x14ac:dyDescent="0.2">
      <c r="A323" s="1" t="s">
        <v>1175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>
        <f>VLOOKUP(A323,'SegEnds_NonXtal_Prot#'!A:AL,10,FALSE)-VLOOKUP(A323,'SegEnds_NonXtal_Prot#'!A:AL,7,FALSE)</f>
        <v>18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 t="e">
        <f>VLOOKUP(#REF!,'SegEnds_NonXtal_Prot#'!#REF!,28,FALSE)-VLOOKUP(#REF!,'SegEnds_NonXtal_Prot#'!#REF!,25,FALSE)</f>
        <v>#REF!</v>
      </c>
      <c r="AH323" s="1">
        <f>VLOOKUP(A323,'SegEnds_NonXtal_Prot#'!A:AL,28,FALSE)-VLOOKUP(A323,'SegEnds_NonXtal_Prot#'!A:AL,25,FALSE)</f>
        <v>19</v>
      </c>
      <c r="AI323" s="1">
        <f>VLOOKUP(A323,'SegEnds_NonXtal_Prot#'!A:AL,28,FALSE)-VLOOKUP(A323,'SegEnds_NonXtal_Prot#'!A:AL,22,FALSE)</f>
        <v>43</v>
      </c>
      <c r="AJ323" s="1">
        <f>VLOOKUP(A323,'SegEnds_NonXtal_Prot#'!A:AL,31,FALSE)-VLOOKUP(A323,'SegEnds_NonXtal_Prot#'!A:AL,28,FALSE)</f>
        <v>52</v>
      </c>
      <c r="AK323" s="1">
        <f>VLOOKUP(A323,'SegEnds_NonXtal_Prot#'!A:AL,34,FALSE)-VLOOKUP(A323,'SegEnds_NonXtal_Prot#'!A:AL,31,FALSE)</f>
        <v>28</v>
      </c>
      <c r="AL323" s="1">
        <f>VLOOKUP(A323,'SegEnds_NonXtal_Prot#'!A:AL,37,FALSE)-VLOOKUP(A323,'SegEnds_NonXtal_Prot#'!A:AL,34,FALSE)</f>
        <v>10</v>
      </c>
      <c r="AM323" s="1" t="str">
        <f>IF(ISERROR(MATCH(A323,'SegEnds_Xtal_Prot#'!B:B, 0)), "NoXtal", "Xtal")</f>
        <v>NoXtal</v>
      </c>
    </row>
    <row r="324" spans="1:39" x14ac:dyDescent="0.2">
      <c r="A324" s="4" t="s">
        <v>1177</v>
      </c>
      <c r="B324" s="4" t="str">
        <f>VLOOKUP(A324,Xtal_Templ!A:B,2,FALSE)</f>
        <v>pth1r_human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88">
        <f>VLOOKUP($B324&amp;"__wt",'SegEnds_Xtal_BW#'!$A:$Z,15,FALSE)</f>
        <v>37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54</v>
      </c>
      <c r="W324" s="4">
        <v>31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4" t="e">
        <f>VLOOKUP(A324,'SegEnds_NonXtal_Prot#'!A:AL,10,FALSE)-VLOOKUP(A324,'SegEnds_NonXtal_Prot#'!A:AL,7,FALSE)</f>
        <v>#VALUE!</v>
      </c>
      <c r="AD324" s="4" t="e">
        <f>VLOOKUP(A324,'SegEnds_NonXtal_Prot#'!A:AL,13,FALSE)-VLOOKUP(A324,'SegEnds_NonXtal_Prot#'!A:AL,10,FALSE)</f>
        <v>#VALUE!</v>
      </c>
      <c r="AE324" s="4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4" t="e">
        <f>VLOOKUP(#REF!,'SegEnds_NonXtal_Prot#'!#REF!,28,FALSE)-VLOOKUP(#REF!,'SegEnds_NonXtal_Prot#'!#REF!,25,FALSE)</f>
        <v>#REF!</v>
      </c>
      <c r="AH324" s="4">
        <f>VLOOKUP(A324,'SegEnds_NonXtal_Prot#'!A:AL,28,FALSE)-VLOOKUP(A324,'SegEnds_NonXtal_Prot#'!A:AL,25,FALSE)</f>
        <v>19</v>
      </c>
      <c r="AI324" s="1">
        <f>VLOOKUP(A324,'SegEnds_NonXtal_Prot#'!A:AL,28,FALSE)-VLOOKUP(A324,'SegEnds_NonXtal_Prot#'!A:AL,22,FALSE)</f>
        <v>43</v>
      </c>
      <c r="AJ324" s="4">
        <f>VLOOKUP(A324,'SegEnds_NonXtal_Prot#'!A:AL,31,FALSE)-VLOOKUP(A324,'SegEnds_NonXtal_Prot#'!A:AL,28,FALSE)</f>
        <v>52</v>
      </c>
      <c r="AK324" s="4">
        <f>VLOOKUP(A324,'SegEnds_NonXtal_Prot#'!A:AL,34,FALSE)-VLOOKUP(A324,'SegEnds_NonXtal_Prot#'!A:AL,31,FALSE)</f>
        <v>28</v>
      </c>
      <c r="AL324" s="1">
        <f>VLOOKUP(A324,'SegEnds_NonXtal_Prot#'!A:AL,37,FALSE)-VLOOKUP(A324,'SegEnds_NonXtal_Prot#'!A:AL,34,FALSE)</f>
        <v>10</v>
      </c>
      <c r="AM324" s="1" t="str">
        <f>IF(ISERROR(MATCH(A324,'SegEnds_Xtal_Prot#'!B:B, 0)), "NoXtal", "Xtal")</f>
        <v>NoXtal</v>
      </c>
    </row>
    <row r="325" spans="1:39" x14ac:dyDescent="0.2">
      <c r="A325" s="1" t="s">
        <v>1178</v>
      </c>
      <c r="B325" s="1" t="str">
        <f>VLOOKUP(A325,Xtal_Templ!A:B,2,FALSE)</f>
        <v>glp1r_human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38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55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 t="e">
        <f>VLOOKUP(#REF!,'SegEnds_NonXtal_Prot#'!#REF!,28,FALSE)-VLOOKUP(#REF!,'SegEnds_NonXtal_Prot#'!#REF!,25,FALSE)</f>
        <v>#REF!</v>
      </c>
      <c r="AH325" s="1">
        <f>VLOOKUP(A325,'SegEnds_NonXtal_Prot#'!A:AL,28,FALSE)-VLOOKUP(A325,'SegEnds_NonXtal_Prot#'!A:AL,25,FALSE)</f>
        <v>19</v>
      </c>
      <c r="AI325" s="1">
        <f>VLOOKUP(A325,'SegEnds_NonXtal_Prot#'!A:AL,28,FALSE)-VLOOKUP(A325,'SegEnds_NonXtal_Prot#'!A:AL,22,FALSE)</f>
        <v>43</v>
      </c>
      <c r="AJ325" s="1">
        <f>VLOOKUP(A325,'SegEnds_NonXtal_Prot#'!A:AL,31,FALSE)-VLOOKUP(A325,'SegEnds_NonXtal_Prot#'!A:AL,28,FALSE)</f>
        <v>52</v>
      </c>
      <c r="AK325" s="1">
        <f>VLOOKUP(A325,'SegEnds_NonXtal_Prot#'!A:AL,34,FALSE)-VLOOKUP(A325,'SegEnds_NonXtal_Prot#'!A:AL,31,FALSE)</f>
        <v>28</v>
      </c>
      <c r="AL325" s="1">
        <f>VLOOKUP(A325,'SegEnds_NonXtal_Prot#'!A:AL,37,FALSE)-VLOOKUP(A325,'SegEnds_NonXtal_Prot#'!A:AL,34,FALSE)</f>
        <v>10</v>
      </c>
      <c r="AM325" s="1" t="str">
        <f>IF(ISERROR(MATCH(A325,'SegEnds_Xtal_Prot#'!B:B, 0)), "NoXtal", "Xtal")</f>
        <v>NoXtal</v>
      </c>
    </row>
    <row r="326" spans="1:39" x14ac:dyDescent="0.2">
      <c r="A326" s="1" t="s">
        <v>1179</v>
      </c>
      <c r="B326" s="1" t="str">
        <f>VLOOKUP(A326,Xtal_Templ!A:B,2,FALSE)</f>
        <v>sctr_human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 t="e">
        <f>VLOOKUP(#REF!,'SegEnds_NonXtal_Prot#'!#REF!,28,FALSE)-VLOOKUP(#REF!,'SegEnds_NonXtal_Prot#'!#REF!,25,FALSE)</f>
        <v>#REF!</v>
      </c>
      <c r="AH326" s="1">
        <f>VLOOKUP(A326,'SegEnds_NonXtal_Prot#'!A:AL,28,FALSE)-VLOOKUP(A326,'SegEnds_NonXtal_Prot#'!A:AL,25,FALSE)</f>
        <v>19</v>
      </c>
      <c r="AI326" s="1">
        <f>VLOOKUP(A326,'SegEnds_NonXtal_Prot#'!A:AL,28,FALSE)-VLOOKUP(A326,'SegEnds_NonXtal_Prot#'!A:AL,22,FALSE)</f>
        <v>43</v>
      </c>
      <c r="AJ326" s="1">
        <f>VLOOKUP(A326,'SegEnds_NonXtal_Prot#'!A:AL,31,FALSE)-VLOOKUP(A326,'SegEnds_NonXtal_Prot#'!A:AL,28,FALSE)</f>
        <v>52</v>
      </c>
      <c r="AK326" s="1">
        <f>VLOOKUP(A326,'SegEnds_NonXtal_Prot#'!A:AL,34,FALSE)-VLOOKUP(A326,'SegEnds_NonXtal_Prot#'!A:AL,31,FALSE)</f>
        <v>28</v>
      </c>
      <c r="AL326" s="1">
        <f>VLOOKUP(A326,'SegEnds_NonXtal_Prot#'!A:AL,37,FALSE)-VLOOKUP(A326,'SegEnds_NonXtal_Prot#'!A:AL,34,FALSE)</f>
        <v>10</v>
      </c>
      <c r="AM326" s="1" t="str">
        <f>IF(ISERROR(MATCH(A326,'SegEnds_Xtal_Prot#'!B:B, 0)), "NoXtal", "Xtal")</f>
        <v>NoXtal</v>
      </c>
    </row>
    <row r="327" spans="1:39" x14ac:dyDescent="0.2">
      <c r="A327" s="4" t="s">
        <v>1692</v>
      </c>
      <c r="B327" s="4" t="str">
        <f>VLOOKUP(A327,Xtal_Templ!A:B,2,FALSE)</f>
        <v>glp1r_human</v>
      </c>
      <c r="C327" s="5">
        <v>23</v>
      </c>
      <c r="D327" s="4">
        <f>VLOOKUP($B327&amp;"__wt",'SegEnds_Xtal_BW#'!$A:$Z,4,FALSE)</f>
        <v>60</v>
      </c>
      <c r="E327" s="4">
        <f>VLOOKUP($B327&amp;"__wt",'SegEnds_Xtal_BW#'!$A:$Z,5,FALSE)</f>
        <v>48</v>
      </c>
      <c r="F327" s="4">
        <f>VLOOKUP($B327&amp;"__wt",'SegEnds_Xtal_BW#'!$A:$Z,6,FALSE)</f>
        <v>51</v>
      </c>
      <c r="G327" s="4">
        <v>37</v>
      </c>
      <c r="H327" s="11">
        <v>63</v>
      </c>
      <c r="I327" s="4" t="str">
        <f>VLOOKUP($B327&amp;"__wt",'SegEnds_Xtal_BW#'!$A:$Z,9,FALSE)</f>
        <v>-</v>
      </c>
      <c r="J327" s="4" t="str">
        <f>VLOOKUP($B327&amp;"__wt",'SegEnds_Xtal_BW#'!$A:$Z,10,FALSE)</f>
        <v>-</v>
      </c>
      <c r="K327" s="11">
        <v>23</v>
      </c>
      <c r="L327" s="4">
        <f>VLOOKUP($B327&amp;"__wt",'SegEnds_Xtal_BW#'!$A:$Z,12,FALSE)</f>
        <v>56</v>
      </c>
      <c r="M327" s="4" t="str">
        <f>VLOOKUP($B327&amp;"__wt",'SegEnds_Xtal_BW#'!$A:$Z,13,FALSE)</f>
        <v>-</v>
      </c>
      <c r="N327" s="11" t="str">
        <f>VLOOKUP($B327&amp;"__wt",'SegEnds_Xtal_BW#'!$A:$Z,14,FALSE)</f>
        <v>-</v>
      </c>
      <c r="O327" s="88">
        <f>VLOOKUP($B327&amp;"__wt",'SegEnds_Xtal_BW#'!$A:$Z,15,FALSE)</f>
        <v>38</v>
      </c>
      <c r="P327" s="4">
        <f>VLOOKUP($B327&amp;"__wt",'SegEnds_Xtal_BW#'!$A:$Z,16,FALSE)</f>
        <v>68</v>
      </c>
      <c r="Q327" s="4">
        <f>VLOOKUP($B327&amp;"__wt",'SegEnds_Xtal_BW#'!$A:$Z,17,FALSE)</f>
        <v>50</v>
      </c>
      <c r="R327" s="4">
        <f>VLOOKUP($B327&amp;"__wt",'SegEnds_Xtal_BW#'!$A:$Z,18,FALSE)</f>
        <v>52</v>
      </c>
      <c r="S327" s="4">
        <v>36</v>
      </c>
      <c r="T327" s="4">
        <v>69</v>
      </c>
      <c r="U327" s="4">
        <v>29</v>
      </c>
      <c r="V327" s="4">
        <f>VLOOKUP($B327&amp;"__wt",'SegEnds_Xtal_BW#'!$A:$Z,22,FALSE)</f>
        <v>55</v>
      </c>
      <c r="W327" s="4">
        <v>31</v>
      </c>
      <c r="X327" s="4">
        <f>VLOOKUP($B327&amp;"__wt",'SegEnds_Xtal_BW#'!$A:$Z,24,FALSE)</f>
        <v>56</v>
      </c>
      <c r="Y327" s="4">
        <f>VLOOKUP($B327&amp;"__wt",'SegEnds_Xtal_BW#'!$A:$Z,25,FALSE)</f>
        <v>47</v>
      </c>
      <c r="Z327" s="4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4" t="e">
        <f>VLOOKUP(A327,'SegEnds_NonXtal_Prot#'!A:AL,10,FALSE)-VLOOKUP(A327,'SegEnds_NonXtal_Prot#'!A:AL,7,FALSE)</f>
        <v>#VALUE!</v>
      </c>
      <c r="AD327" s="4" t="e">
        <f>VLOOKUP(A327,'SegEnds_NonXtal_Prot#'!A:AL,13,FALSE)-VLOOKUP(A327,'SegEnds_NonXtal_Prot#'!A:AL,10,FALSE)</f>
        <v>#VALUE!</v>
      </c>
      <c r="AE327" s="4">
        <f>VLOOKUP(A327,'SegEnds_NonXtal_Prot#'!A:AL,16,FALSE)-VLOOKUP(A327,'SegEnds_NonXtal_Prot#'!A:AL,10,FALSE)</f>
        <v>47</v>
      </c>
      <c r="AF327" s="1" t="e">
        <f>VLOOKUP(A327,'SegEnds_NonXtal_Prot#'!A:AL,22,FALSE)-VLOOKUP(A327,'SegEnds_NonXtal_Prot#'!A:AL,19,FALSE)</f>
        <v>#VALUE!</v>
      </c>
      <c r="AG327" s="4" t="e">
        <f>VLOOKUP(#REF!,'SegEnds_NonXtal_Prot#'!#REF!,28,FALSE)-VLOOKUP(#REF!,'SegEnds_NonXtal_Prot#'!#REF!,25,FALSE)</f>
        <v>#REF!</v>
      </c>
      <c r="AH327" s="4">
        <f>VLOOKUP(A327,'SegEnds_NonXtal_Prot#'!A:AL,28,FALSE)-VLOOKUP(A327,'SegEnds_NonXtal_Prot#'!A:AL,25,FALSE)</f>
        <v>19</v>
      </c>
      <c r="AI327" s="1">
        <f>VLOOKUP(A327,'SegEnds_NonXtal_Prot#'!A:AL,28,FALSE)-VLOOKUP(A327,'SegEnds_NonXtal_Prot#'!A:AL,22,FALSE)</f>
        <v>43</v>
      </c>
      <c r="AJ327" s="4">
        <f>VLOOKUP(A327,'SegEnds_NonXtal_Prot#'!A:AL,31,FALSE)-VLOOKUP(A327,'SegEnds_NonXtal_Prot#'!A:AL,28,FALSE)</f>
        <v>52</v>
      </c>
      <c r="AK327" s="4">
        <f>VLOOKUP(A327,'SegEnds_NonXtal_Prot#'!A:AL,34,FALSE)-VLOOKUP(A327,'SegEnds_NonXtal_Prot#'!A:AL,31,FALSE)</f>
        <v>28</v>
      </c>
      <c r="AL327" s="1">
        <f>VLOOKUP(A327,'SegEnds_NonXtal_Prot#'!A:AL,37,FALSE)-VLOOKUP(A327,'SegEnds_NonXtal_Prot#'!A:AL,34,FALSE)</f>
        <v>10</v>
      </c>
      <c r="AM327" s="1" t="str">
        <f>IF(ISERROR(MATCH(A327,'SegEnds_Xtal_Prot#'!B:B, 0)), "NoXtal", "Xtal")</f>
        <v>NoXtal</v>
      </c>
    </row>
    <row r="328" spans="1:39" x14ac:dyDescent="0.2">
      <c r="A328" s="4" t="s">
        <v>1187</v>
      </c>
      <c r="B328" s="4" t="str">
        <f>VLOOKUP(A328,Xtal_Templ!A:B,2,FALSE)</f>
        <v>pacr_human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88">
        <f>VLOOKUP($B328&amp;"__wt",'SegEnds_Xtal_BW#'!$A:$Z,15,FALSE)</f>
        <v>40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54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29</v>
      </c>
      <c r="AC328" s="4" t="e">
        <f>VLOOKUP(A328,'SegEnds_NonXtal_Prot#'!A:AL,10,FALSE)-VLOOKUP(A328,'SegEnds_NonXtal_Prot#'!A:AL,7,FALSE)</f>
        <v>#VALUE!</v>
      </c>
      <c r="AD328" s="4" t="e">
        <f>VLOOKUP(A328,'SegEnds_NonXtal_Prot#'!A:AL,13,FALSE)-VLOOKUP(A328,'SegEnds_NonXtal_Prot#'!A:AL,10,FALSE)</f>
        <v>#VALUE!</v>
      </c>
      <c r="AE328" s="4">
        <f>VLOOKUP(A328,'SegEnds_NonXtal_Prot#'!A:AL,16,FALSE)-VLOOKUP(A328,'SegEnds_NonXtal_Prot#'!A:AL,10,FALSE)</f>
        <v>47</v>
      </c>
      <c r="AF328" s="1" t="e">
        <f>VLOOKUP(A328,'SegEnds_NonXtal_Prot#'!A:AL,22,FALSE)-VLOOKUP(A328,'SegEnds_NonXtal_Prot#'!A:AL,19,FALSE)</f>
        <v>#VALUE!</v>
      </c>
      <c r="AG328" s="4" t="e">
        <f>VLOOKUP(#REF!,'SegEnds_NonXtal_Prot#'!#REF!,28,FALSE)-VLOOKUP(#REF!,'SegEnds_NonXtal_Prot#'!#REF!,25,FALSE)</f>
        <v>#REF!</v>
      </c>
      <c r="AH328" s="4">
        <f>VLOOKUP(A328,'SegEnds_NonXtal_Prot#'!A:AL,28,FALSE)-VLOOKUP(A328,'SegEnds_NonXtal_Prot#'!A:AL,25,FALSE)</f>
        <v>19</v>
      </c>
      <c r="AI328" s="1">
        <f>VLOOKUP(A328,'SegEnds_NonXtal_Prot#'!A:AL,28,FALSE)-VLOOKUP(A328,'SegEnds_NonXtal_Prot#'!A:AL,22,FALSE)</f>
        <v>54</v>
      </c>
      <c r="AJ328" s="4">
        <f>VLOOKUP(A328,'SegEnds_NonXtal_Prot#'!A:AL,31,FALSE)-VLOOKUP(A328,'SegEnds_NonXtal_Prot#'!A:AL,28,FALSE)</f>
        <v>51</v>
      </c>
      <c r="AK328" s="4">
        <f>VLOOKUP(A328,'SegEnds_NonXtal_Prot#'!A:AL,34,FALSE)-VLOOKUP(A328,'SegEnds_NonXtal_Prot#'!A:AL,31,FALSE)</f>
        <v>28</v>
      </c>
      <c r="AL328" s="1">
        <f>VLOOKUP(A328,'SegEnds_NonXtal_Prot#'!A:AL,37,FALSE)-VLOOKUP(A328,'SegEnds_NonXtal_Prot#'!A:AL,34,FALSE)</f>
        <v>10</v>
      </c>
      <c r="AM328" s="1" t="str">
        <f>IF(ISERROR(MATCH(A328,'SegEnds_Xtal_Prot#'!B:B, 0)), "NoXtal", "Xtal")</f>
        <v>NoXtal</v>
      </c>
    </row>
    <row r="329" spans="1:39" x14ac:dyDescent="0.2">
      <c r="A329" s="4" t="s">
        <v>1189</v>
      </c>
      <c r="B329" s="4" t="str">
        <f>VLOOKUP(A329,Xtal_Templ!A:B,2,FALSE)</f>
        <v>pth1r_human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88">
        <f>VLOOKUP($B329&amp;"__wt",'SegEnds_Xtal_BW#'!$A:$Z,15,FALSE)</f>
        <v>37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54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29</v>
      </c>
      <c r="AC329" s="4" t="e">
        <f>VLOOKUP(A329,'SegEnds_NonXtal_Prot#'!A:AL,10,FALSE)-VLOOKUP(A329,'SegEnds_NonXtal_Prot#'!A:AL,7,FALSE)</f>
        <v>#VALUE!</v>
      </c>
      <c r="AD329" s="4" t="e">
        <f>VLOOKUP(A329,'SegEnds_NonXtal_Prot#'!A:AL,13,FALSE)-VLOOKUP(A329,'SegEnds_NonXtal_Prot#'!A:AL,10,FALSE)</f>
        <v>#VALUE!</v>
      </c>
      <c r="AE329" s="4">
        <f>VLOOKUP(A329,'SegEnds_NonXtal_Prot#'!A:AL,16,FALSE)-VLOOKUP(A329,'SegEnds_NonXtal_Prot#'!A:AL,10,FALSE)</f>
        <v>47</v>
      </c>
      <c r="AF329" s="1" t="e">
        <f>VLOOKUP(A329,'SegEnds_NonXtal_Prot#'!A:AL,22,FALSE)-VLOOKUP(A329,'SegEnds_NonXtal_Prot#'!A:AL,19,FALSE)</f>
        <v>#VALUE!</v>
      </c>
      <c r="AG329" s="4" t="e">
        <f>VLOOKUP(#REF!,'SegEnds_NonXtal_Prot#'!#REF!,28,FALSE)-VLOOKUP(#REF!,'SegEnds_NonXtal_Prot#'!#REF!,25,FALSE)</f>
        <v>#REF!</v>
      </c>
      <c r="AH329" s="4">
        <f>VLOOKUP(A329,'SegEnds_NonXtal_Prot#'!A:AL,28,FALSE)-VLOOKUP(A329,'SegEnds_NonXtal_Prot#'!A:AL,25,FALSE)</f>
        <v>19</v>
      </c>
      <c r="AI329" s="1">
        <f>VLOOKUP(A329,'SegEnds_NonXtal_Prot#'!A:AL,28,FALSE)-VLOOKUP(A329,'SegEnds_NonXtal_Prot#'!A:AL,22,FALSE)</f>
        <v>47</v>
      </c>
      <c r="AJ329" s="4">
        <f>VLOOKUP(A329,'SegEnds_NonXtal_Prot#'!A:AL,31,FALSE)-VLOOKUP(A329,'SegEnds_NonXtal_Prot#'!A:AL,28,FALSE)</f>
        <v>50</v>
      </c>
      <c r="AK329" s="4">
        <f>VLOOKUP(A329,'SegEnds_NonXtal_Prot#'!A:AL,34,FALSE)-VLOOKUP(A329,'SegEnds_NonXtal_Prot#'!A:AL,31,FALSE)</f>
        <v>28</v>
      </c>
      <c r="AL329" s="1">
        <f>VLOOKUP(A329,'SegEnds_NonXtal_Prot#'!A:AL,37,FALSE)-VLOOKUP(A329,'SegEnds_NonXtal_Prot#'!A:AL,34,FALSE)</f>
        <v>10</v>
      </c>
      <c r="AM329" s="1" t="str">
        <f>IF(ISERROR(MATCH(A329,'SegEnds_Xtal_Prot#'!B:B, 0)), "NoXtal", "Xtal")</f>
        <v>NoXtal</v>
      </c>
    </row>
    <row r="330" spans="1:39" x14ac:dyDescent="0.2">
      <c r="A330" s="1" t="s">
        <v>1190</v>
      </c>
      <c r="B330" s="1" t="str">
        <f>VLOOKUP(A330,Xtal_Templ!A:B,2,FALSE)</f>
        <v>pth1r_human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37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54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 t="e">
        <f>VLOOKUP(A330,'SegEnds_NonXtal_Prot#'!A:AL,10,FALSE)-VLOOKUP(A330,'SegEnds_NonXtal_Prot#'!A:AL,7,FALSE)</f>
        <v>#VALUE!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48</v>
      </c>
      <c r="AF330" s="1" t="e">
        <f>VLOOKUP(A330,'SegEnds_NonXtal_Prot#'!A:AL,22,FALSE)-VLOOKUP(A330,'SegEnds_NonXtal_Prot#'!A:AL,19,FALSE)</f>
        <v>#VALUE!</v>
      </c>
      <c r="AG330" s="1" t="e">
        <f>VLOOKUP(#REF!,'SegEnds_NonXtal_Prot#'!#REF!,28,FALSE)-VLOOKUP(#REF!,'SegEnds_NonXtal_Prot#'!#REF!,25,FALSE)</f>
        <v>#REF!</v>
      </c>
      <c r="AH330" s="1">
        <f>VLOOKUP(A330,'SegEnds_NonXtal_Prot#'!A:AL,28,FALSE)-VLOOKUP(A330,'SegEnds_NonXtal_Prot#'!A:AL,25,FALSE)</f>
        <v>19</v>
      </c>
      <c r="AI330" s="1">
        <f>VLOOKUP(A330,'SegEnds_NonXtal_Prot#'!A:AL,28,FALSE)-VLOOKUP(A330,'SegEnds_NonXtal_Prot#'!A:AL,22,FALSE)</f>
        <v>60</v>
      </c>
      <c r="AJ330" s="1">
        <f>VLOOKUP(A330,'SegEnds_NonXtal_Prot#'!A:AL,31,FALSE)-VLOOKUP(A330,'SegEnds_NonXtal_Prot#'!A:AL,28,FALSE)</f>
        <v>49</v>
      </c>
      <c r="AK330" s="1">
        <f>VLOOKUP(A330,'SegEnds_NonXtal_Prot#'!A:AL,34,FALSE)-VLOOKUP(A330,'SegEnds_NonXtal_Prot#'!A:AL,31,FALSE)</f>
        <v>28</v>
      </c>
      <c r="AL330" s="1">
        <f>VLOOKUP(A330,'SegEnds_NonXtal_Prot#'!A:AL,37,FALSE)-VLOOKUP(A330,'SegEnds_NonXtal_Prot#'!A:AL,34,FALSE)</f>
        <v>10</v>
      </c>
      <c r="AM330" s="1" t="str">
        <f>IF(ISERROR(MATCH(A330,'SegEnds_Xtal_Prot#'!B:B, 0)), "NoXtal", "Xtal")</f>
        <v>NoXtal</v>
      </c>
    </row>
    <row r="331" spans="1:39" x14ac:dyDescent="0.2">
      <c r="A331" s="1" t="s">
        <v>1407</v>
      </c>
      <c r="B331" s="1" t="str">
        <f>VLOOKUP(A331,Xtal_Templ!A:B,2,FALSE)</f>
        <v>crfr2_human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29</v>
      </c>
      <c r="AC331" s="1">
        <f>VLOOKUP(A331,'SegEnds_NonXtal_Prot#'!A:AL,10,FALSE)-VLOOKUP(A331,'SegEnds_NonXtal_Prot#'!A:AL,7,FALSE)</f>
        <v>16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47</v>
      </c>
      <c r="AF331" s="1" t="e">
        <f>VLOOKUP(A331,'SegEnds_NonXtal_Prot#'!A:AL,22,FALSE)-VLOOKUP(A331,'SegEnds_NonXtal_Prot#'!A:AL,19,FALSE)</f>
        <v>#VALUE!</v>
      </c>
      <c r="AG331" s="1" t="e">
        <f>VLOOKUP(#REF!,'SegEnds_NonXtal_Prot#'!#REF!,28,FALSE)-VLOOKUP(#REF!,'SegEnds_NonXtal_Prot#'!#REF!,25,FALSE)</f>
        <v>#REF!</v>
      </c>
      <c r="AH331" s="1">
        <f>VLOOKUP(A331,'SegEnds_NonXtal_Prot#'!A:AL,28,FALSE)-VLOOKUP(A331,'SegEnds_NonXtal_Prot#'!A:AL,25,FALSE)</f>
        <v>19</v>
      </c>
      <c r="AI331" s="1">
        <f>VLOOKUP(A331,'SegEnds_NonXtal_Prot#'!A:AL,28,FALSE)-VLOOKUP(A331,'SegEnds_NonXtal_Prot#'!A:AL,22,FALSE)</f>
        <v>53</v>
      </c>
      <c r="AJ331" s="1">
        <f>VLOOKUP(A331,'SegEnds_NonXtal_Prot#'!A:AL,31,FALSE)-VLOOKUP(A331,'SegEnds_NonXtal_Prot#'!A:AL,28,FALSE)</f>
        <v>51</v>
      </c>
      <c r="AK331" s="1">
        <f>VLOOKUP(A331,'SegEnds_NonXtal_Prot#'!A:AL,34,FALSE)-VLOOKUP(A331,'SegEnds_NonXtal_Prot#'!A:AL,31,FALSE)</f>
        <v>28</v>
      </c>
      <c r="AL331" s="1">
        <f>VLOOKUP(A331,'SegEnds_NonXtal_Prot#'!A:AL,37,FALSE)-VLOOKUP(A331,'SegEnds_NonXtal_Prot#'!A:AL,34,FALSE)</f>
        <v>10</v>
      </c>
      <c r="AM331" s="1" t="str">
        <f>IF(ISERROR(MATCH(A331,'SegEnds_Xtal_Prot#'!B:B, 0)), "NoXtal", "Xtal")</f>
        <v>NoXtal</v>
      </c>
    </row>
    <row r="332" spans="1:39" x14ac:dyDescent="0.2">
      <c r="A332" s="1" t="s">
        <v>1192</v>
      </c>
      <c r="B332" s="1" t="str">
        <f>VLOOKUP(A332,Xtal_Templ!A:B,2,FALSE)</f>
        <v>sctr_human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54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>
        <f>VLOOKUP(A332,'SegEnds_NonXtal_Prot#'!A:AL,10,FALSE)-VLOOKUP(A332,'SegEnds_NonXtal_Prot#'!A:AL,7,FALSE)</f>
        <v>15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 t="e">
        <f>VLOOKUP(#REF!,'SegEnds_NonXtal_Prot#'!#REF!,28,FALSE)-VLOOKUP(#REF!,'SegEnds_NonXtal_Prot#'!#REF!,25,FALSE)</f>
        <v>#REF!</v>
      </c>
      <c r="AH332" s="1">
        <f>VLOOKUP(A332,'SegEnds_NonXtal_Prot#'!A:AL,28,FALSE)-VLOOKUP(A332,'SegEnds_NonXtal_Prot#'!A:AL,25,FALSE)</f>
        <v>19</v>
      </c>
      <c r="AI332" s="1">
        <f>VLOOKUP(A332,'SegEnds_NonXtal_Prot#'!A:AL,28,FALSE)-VLOOKUP(A332,'SegEnds_NonXtal_Prot#'!A:AL,22,FALSE)</f>
        <v>43</v>
      </c>
      <c r="AJ332" s="1">
        <f>VLOOKUP(A332,'SegEnds_NonXtal_Prot#'!A:AL,31,FALSE)-VLOOKUP(A332,'SegEnds_NonXtal_Prot#'!A:AL,28,FALSE)</f>
        <v>52</v>
      </c>
      <c r="AK332" s="1">
        <f>VLOOKUP(A332,'SegEnds_NonXtal_Prot#'!A:AL,34,FALSE)-VLOOKUP(A332,'SegEnds_NonXtal_Prot#'!A:AL,31,FALSE)</f>
        <v>28</v>
      </c>
      <c r="AL332" s="1">
        <f>VLOOKUP(A332,'SegEnds_NonXtal_Prot#'!A:AL,37,FALSE)-VLOOKUP(A332,'SegEnds_NonXtal_Prot#'!A:AL,34,FALSE)</f>
        <v>10</v>
      </c>
      <c r="AM332" s="1" t="str">
        <f>IF(ISERROR(MATCH(A332,'SegEnds_Xtal_Prot#'!B:B, 0)), "NoXtal", "Xtal")</f>
        <v>NoXtal</v>
      </c>
    </row>
    <row r="333" spans="1:39" x14ac:dyDescent="0.2">
      <c r="A333" s="1" t="s">
        <v>1193</v>
      </c>
      <c r="B333" s="1" t="str">
        <f>VLOOKUP(A333,Xtal_Templ!A:B,2,FALSE)</f>
        <v>sctr_human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54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 t="e">
        <f>VLOOKUP(#REF!,'SegEnds_NonXtal_Prot#'!#REF!,28,FALSE)-VLOOKUP(#REF!,'SegEnds_NonXtal_Prot#'!#REF!,25,FALSE)</f>
        <v>#REF!</v>
      </c>
      <c r="AH333" s="1">
        <f>VLOOKUP(A333,'SegEnds_NonXtal_Prot#'!A:AL,28,FALSE)-VLOOKUP(A333,'SegEnds_NonXtal_Prot#'!A:AL,25,FALSE)</f>
        <v>19</v>
      </c>
      <c r="AI333" s="1">
        <f>VLOOKUP(A333,'SegEnds_NonXtal_Prot#'!A:AL,28,FALSE)-VLOOKUP(A333,'SegEnds_NonXtal_Prot#'!A:AL,22,FALSE)</f>
        <v>43</v>
      </c>
      <c r="AJ333" s="1">
        <f>VLOOKUP(A333,'SegEnds_NonXtal_Prot#'!A:AL,31,FALSE)-VLOOKUP(A333,'SegEnds_NonXtal_Prot#'!A:AL,28,FALSE)</f>
        <v>52</v>
      </c>
      <c r="AK333" s="1">
        <f>VLOOKUP(A333,'SegEnds_NonXtal_Prot#'!A:AL,34,FALSE)-VLOOKUP(A333,'SegEnds_NonXtal_Prot#'!A:AL,31,FALSE)</f>
        <v>28</v>
      </c>
      <c r="AL333" s="1">
        <f>VLOOKUP(A333,'SegEnds_NonXtal_Prot#'!A:AL,37,FALSE)-VLOOKUP(A333,'SegEnds_NonXtal_Prot#'!A:AL,34,FALSE)</f>
        <v>10</v>
      </c>
      <c r="AM333" s="1" t="str">
        <f>IF(ISERROR(MATCH(A333,'SegEnds_Xtal_Prot#'!B:B, 0)), "NoXtal", "Xtal")</f>
        <v>NoXtal</v>
      </c>
    </row>
    <row r="334" spans="1:39" x14ac:dyDescent="0.2">
      <c r="A334" s="1" t="s">
        <v>1194</v>
      </c>
      <c r="B334" s="1" t="str">
        <f>VLOOKUP(A334,Xtal_Templ!A:B,2,FALSE)</f>
        <v>crfr2_human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41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1">
        <f>VLOOKUP(A334,'SegEnds_NonXtal_Prot#'!A:AL,10,FALSE)-VLOOKUP(A334,'SegEnds_NonXtal_Prot#'!A:AL,7,FALSE)</f>
        <v>15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1" t="e">
        <f>VLOOKUP(#REF!,'SegEnds_NonXtal_Prot#'!#REF!,28,FALSE)-VLOOKUP(#REF!,'SegEnds_NonXtal_Prot#'!#REF!,25,FALSE)</f>
        <v>#REF!</v>
      </c>
      <c r="AH334" s="1">
        <f>VLOOKUP(A334,'SegEnds_NonXtal_Prot#'!A:AL,28,FALSE)-VLOOKUP(A334,'SegEnds_NonXtal_Prot#'!A:AL,25,FALSE)</f>
        <v>19</v>
      </c>
      <c r="AI334" s="1">
        <f>VLOOKUP(A334,'SegEnds_NonXtal_Prot#'!A:AL,28,FALSE)-VLOOKUP(A334,'SegEnds_NonXtal_Prot#'!A:AL,22,FALSE)</f>
        <v>43</v>
      </c>
      <c r="AJ334" s="1">
        <f>VLOOKUP(A334,'SegEnds_NonXtal_Prot#'!A:AL,31,FALSE)-VLOOKUP(A334,'SegEnds_NonXtal_Prot#'!A:AL,28,FALSE)</f>
        <v>52</v>
      </c>
      <c r="AK334" s="1">
        <f>VLOOKUP(A334,'SegEnds_NonXtal_Prot#'!A:AL,34,FALSE)-VLOOKUP(A334,'SegEnds_NonXtal_Prot#'!A:AL,31,FALSE)</f>
        <v>28</v>
      </c>
      <c r="AL334" s="1">
        <f>VLOOKUP(A334,'SegEnds_NonXtal_Prot#'!A:AL,37,FALSE)-VLOOKUP(A334,'SegEnds_NonXtal_Prot#'!A:AL,34,FALSE)</f>
        <v>10</v>
      </c>
      <c r="AM334" s="1" t="str">
        <f>IF(ISERROR(MATCH(A334,'SegEnds_Xtal_Prot#'!B:B, 0)), "NoXtal", "Xtal")</f>
        <v>NoXtal</v>
      </c>
    </row>
    <row r="335" spans="1:39" x14ac:dyDescent="0.2">
      <c r="A335" s="1" t="s">
        <v>1195</v>
      </c>
      <c r="B335" s="1" t="str">
        <f>VLOOKUP(A335,Xtal_Templ!A:B,2,FALSE)</f>
        <v>sctr_human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54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 t="e">
        <f>VLOOKUP(#REF!,'SegEnds_NonXtal_Prot#'!#REF!,28,FALSE)-VLOOKUP(#REF!,'SegEnds_NonXtal_Prot#'!#REF!,25,FALSE)</f>
        <v>#REF!</v>
      </c>
      <c r="AH335" s="1">
        <f>VLOOKUP(A335,'SegEnds_NonXtal_Prot#'!A:AL,28,FALSE)-VLOOKUP(A335,'SegEnds_NonXtal_Prot#'!A:AL,25,FALSE)</f>
        <v>19</v>
      </c>
      <c r="AI335" s="1">
        <f>VLOOKUP(A335,'SegEnds_NonXtal_Prot#'!A:AL,28,FALSE)-VLOOKUP(A335,'SegEnds_NonXtal_Prot#'!A:AL,22,FALSE)</f>
        <v>43</v>
      </c>
      <c r="AJ335" s="1">
        <f>VLOOKUP(A335,'SegEnds_NonXtal_Prot#'!A:AL,31,FALSE)-VLOOKUP(A335,'SegEnds_NonXtal_Prot#'!A:AL,28,FALSE)</f>
        <v>52</v>
      </c>
      <c r="AK335" s="1">
        <f>VLOOKUP(A335,'SegEnds_NonXtal_Prot#'!A:AL,34,FALSE)-VLOOKUP(A335,'SegEnds_NonXtal_Prot#'!A:AL,31,FALSE)</f>
        <v>28</v>
      </c>
      <c r="AL335" s="1">
        <f>VLOOKUP(A335,'SegEnds_NonXtal_Prot#'!A:AL,37,FALSE)-VLOOKUP(A335,'SegEnds_NonXtal_Prot#'!A:AL,34,FALSE)</f>
        <v>10</v>
      </c>
      <c r="AM335" s="1" t="str">
        <f>IF(ISERROR(MATCH(A335,'SegEnds_Xtal_Prot#'!B:B, 0)), "NoXtal", "Xtal")</f>
        <v>NoXtal</v>
      </c>
    </row>
    <row r="336" spans="1:39" x14ac:dyDescent="0.2">
      <c r="A336" s="1" t="s">
        <v>1693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26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 t="e">
        <f>VLOOKUP(#REF!,'SegEnds_NonXtal_Prot#'!#REF!,28,FALSE)-VLOOKUP(#REF!,'SegEnds_NonXtal_Prot#'!#REF!,25,FALSE)</f>
        <v>#REF!</v>
      </c>
      <c r="AH336" s="1">
        <f>VLOOKUP(A336,'SegEnds_NonXtal_Prot#'!A:AL,28,FALSE)-VLOOKUP(A336,'SegEnds_NonXtal_Prot#'!A:AL,25,FALSE)</f>
        <v>20</v>
      </c>
      <c r="AI336" s="1">
        <f>VLOOKUP(A336,'SegEnds_NonXtal_Prot#'!A:AL,28,FALSE)-VLOOKUP(A336,'SegEnds_NonXtal_Prot#'!A:AL,22,FALSE)</f>
        <v>54</v>
      </c>
      <c r="AJ336" s="1">
        <f>VLOOKUP(A336,'SegEnds_NonXtal_Prot#'!A:AL,31,FALSE)-VLOOKUP(A336,'SegEnds_NonXtal_Prot#'!A:AL,28,FALSE)</f>
        <v>49</v>
      </c>
      <c r="AK336" s="1">
        <f>VLOOKUP(A336,'SegEnds_NonXtal_Prot#'!A:AL,34,FALSE)-VLOOKUP(A336,'SegEnds_NonXtal_Prot#'!A:AL,31,FALSE)</f>
        <v>28</v>
      </c>
      <c r="AL336" s="1">
        <f>VLOOKUP(A336,'SegEnds_NonXtal_Prot#'!A:AL,37,FALSE)-VLOOKUP(A336,'SegEnds_NonXtal_Prot#'!A:AL,34,FALSE)</f>
        <v>10</v>
      </c>
      <c r="AM336" s="1" t="str">
        <f>IF(ISERROR(MATCH(A336,'SegEnds_Xtal_Prot#'!B:B, 0)), "NoXtal", "Xtal")</f>
        <v>NoXtal</v>
      </c>
    </row>
    <row r="337" spans="1:39" x14ac:dyDescent="0.2">
      <c r="A337" s="1" t="s">
        <v>415</v>
      </c>
      <c r="B337" s="1" t="str">
        <f>VLOOKUP(A337,Xtal_Templ!A:B,2,FALSE)</f>
        <v>sctr_human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54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28</v>
      </c>
      <c r="AC337" s="1">
        <f>VLOOKUP(A337,'SegEnds_NonXtal_Prot#'!A:AL,10,FALSE)-VLOOKUP(A337,'SegEnds_NonXtal_Prot#'!A:AL,7,FALSE)</f>
        <v>15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 t="e">
        <f>VLOOKUP(#REF!,'SegEnds_NonXtal_Prot#'!#REF!,28,FALSE)-VLOOKUP(#REF!,'SegEnds_NonXtal_Prot#'!#REF!,25,FALSE)</f>
        <v>#REF!</v>
      </c>
      <c r="AH337" s="1">
        <f>VLOOKUP(A337,'SegEnds_NonXtal_Prot#'!A:AL,28,FALSE)-VLOOKUP(A337,'SegEnds_NonXtal_Prot#'!A:AL,25,FALSE)</f>
        <v>19</v>
      </c>
      <c r="AI337" s="1">
        <f>VLOOKUP(A337,'SegEnds_NonXtal_Prot#'!A:AL,28,FALSE)-VLOOKUP(A337,'SegEnds_NonXtal_Prot#'!A:AL,22,FALSE)</f>
        <v>43</v>
      </c>
      <c r="AJ337" s="1">
        <f>VLOOKUP(A337,'SegEnds_NonXtal_Prot#'!A:AL,31,FALSE)-VLOOKUP(A337,'SegEnds_NonXtal_Prot#'!A:AL,28,FALSE)</f>
        <v>48</v>
      </c>
      <c r="AK337" s="1">
        <f>VLOOKUP(A337,'SegEnds_NonXtal_Prot#'!A:AL,34,FALSE)-VLOOKUP(A337,'SegEnds_NonXtal_Prot#'!A:AL,31,FALSE)</f>
        <v>28</v>
      </c>
      <c r="AL337" s="1">
        <f>VLOOKUP(A337,'SegEnds_NonXtal_Prot#'!A:AL,37,FALSE)-VLOOKUP(A337,'SegEnds_NonXtal_Prot#'!A:AL,34,FALSE)</f>
        <v>10</v>
      </c>
      <c r="AM337" s="1" t="str">
        <f>IF(ISERROR(MATCH(A337,'SegEnds_Xtal_Prot#'!B:B, 0)), "NoXtal", "Xtal")</f>
        <v>NoXtal</v>
      </c>
    </row>
    <row r="338" spans="1:39" x14ac:dyDescent="0.2">
      <c r="A338" s="4" t="s">
        <v>416</v>
      </c>
      <c r="B338" s="4" t="str">
        <f>VLOOKUP(A338,Xtal_Templ!A:B,2,FALSE)</f>
        <v>calrl_human</v>
      </c>
      <c r="C338" s="5">
        <v>23</v>
      </c>
      <c r="D338" s="4">
        <f>VLOOKUP($B338&amp;"__wt",'SegEnds_Xtal_BW#'!$A:$Z,4,FALSE)</f>
        <v>60</v>
      </c>
      <c r="E338" s="4">
        <f>VLOOKUP($B338&amp;"__wt",'SegEnds_Xtal_BW#'!$A:$Z,5,FALSE)</f>
        <v>48</v>
      </c>
      <c r="F338" s="4">
        <f>VLOOKUP($B338&amp;"__wt",'SegEnds_Xtal_BW#'!$A:$Z,6,FALSE)</f>
        <v>51</v>
      </c>
      <c r="G338" s="4">
        <v>37</v>
      </c>
      <c r="H338" s="11">
        <v>63</v>
      </c>
      <c r="I338" s="4" t="str">
        <f>VLOOKUP($B338&amp;"__wt",'SegEnds_Xtal_BW#'!$A:$Z,9,FALSE)</f>
        <v>-</v>
      </c>
      <c r="J338" s="4" t="str">
        <f>VLOOKUP($B338&amp;"__wt",'SegEnds_Xtal_BW#'!$A:$Z,10,FALSE)</f>
        <v>-</v>
      </c>
      <c r="K338" s="11">
        <v>23</v>
      </c>
      <c r="L338" s="4">
        <f>VLOOKUP($B338&amp;"__wt",'SegEnds_Xtal_BW#'!$A:$Z,12,FALSE)</f>
        <v>56</v>
      </c>
      <c r="M338" s="4" t="str">
        <f>VLOOKUP($B338&amp;"__wt",'SegEnds_Xtal_BW#'!$A:$Z,13,FALSE)</f>
        <v>-</v>
      </c>
      <c r="N338" s="11" t="str">
        <f>VLOOKUP($B338&amp;"__wt",'SegEnds_Xtal_BW#'!$A:$Z,14,FALSE)</f>
        <v>-</v>
      </c>
      <c r="O338" s="88">
        <f>VLOOKUP($B338&amp;"__wt",'SegEnds_Xtal_BW#'!$A:$Z,15,FALSE)</f>
        <v>41</v>
      </c>
      <c r="P338" s="4">
        <f>VLOOKUP($B338&amp;"__wt",'SegEnds_Xtal_BW#'!$A:$Z,16,FALSE)</f>
        <v>67</v>
      </c>
      <c r="Q338" s="4">
        <f>VLOOKUP($B338&amp;"__wt",'SegEnds_Xtal_BW#'!$A:$Z,17,FALSE)</f>
        <v>50</v>
      </c>
      <c r="R338" s="4">
        <f>VLOOKUP($B338&amp;"__wt",'SegEnds_Xtal_BW#'!$A:$Z,18,FALSE)</f>
        <v>52</v>
      </c>
      <c r="S338" s="4">
        <v>36</v>
      </c>
      <c r="T338" s="4">
        <v>69</v>
      </c>
      <c r="U338" s="4">
        <v>29</v>
      </c>
      <c r="V338" s="4">
        <f>VLOOKUP($B338&amp;"__wt",'SegEnds_Xtal_BW#'!$A:$Z,22,FALSE)</f>
        <v>53</v>
      </c>
      <c r="W338" s="4">
        <v>31</v>
      </c>
      <c r="X338" s="4">
        <f>VLOOKUP($B338&amp;"__wt",'SegEnds_Xtal_BW#'!$A:$Z,24,FALSE)</f>
        <v>56</v>
      </c>
      <c r="Y338" s="4">
        <f>VLOOKUP($B338&amp;"__wt",'SegEnds_Xtal_BW#'!$A:$Z,25,FALSE)</f>
        <v>47</v>
      </c>
      <c r="Z338" s="4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4">
        <f>VLOOKUP(A338,'SegEnds_NonXtal_Prot#'!A:AL,10,FALSE)-VLOOKUP(A338,'SegEnds_NonXtal_Prot#'!A:AL,7,FALSE)</f>
        <v>15</v>
      </c>
      <c r="AD338" s="4" t="e">
        <f>VLOOKUP(A338,'SegEnds_NonXtal_Prot#'!A:AL,13,FALSE)-VLOOKUP(A338,'SegEnds_NonXtal_Prot#'!A:AL,10,FALSE)</f>
        <v>#VALUE!</v>
      </c>
      <c r="AE338" s="4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4" t="e">
        <f>VLOOKUP(#REF!,'SegEnds_NonXtal_Prot#'!#REF!,28,FALSE)-VLOOKUP(#REF!,'SegEnds_NonXtal_Prot#'!#REF!,25,FALSE)</f>
        <v>#REF!</v>
      </c>
      <c r="AH338" s="4">
        <f>VLOOKUP(A338,'SegEnds_NonXtal_Prot#'!A:AL,28,FALSE)-VLOOKUP(A338,'SegEnds_NonXtal_Prot#'!A:AL,25,FALSE)</f>
        <v>19</v>
      </c>
      <c r="AI338" s="1">
        <f>VLOOKUP(A338,'SegEnds_NonXtal_Prot#'!A:AL,28,FALSE)-VLOOKUP(A338,'SegEnds_NonXtal_Prot#'!A:AL,22,FALSE)</f>
        <v>43</v>
      </c>
      <c r="AJ338" s="4">
        <f>VLOOKUP(A338,'SegEnds_NonXtal_Prot#'!A:AL,31,FALSE)-VLOOKUP(A338,'SegEnds_NonXtal_Prot#'!A:AL,28,FALSE)</f>
        <v>48</v>
      </c>
      <c r="AK338" s="4">
        <f>VLOOKUP(A338,'SegEnds_NonXtal_Prot#'!A:AL,34,FALSE)-VLOOKUP(A338,'SegEnds_NonXtal_Prot#'!A:AL,31,FALSE)</f>
        <v>28</v>
      </c>
      <c r="AL338" s="1">
        <f>VLOOKUP(A338,'SegEnds_NonXtal_Prot#'!A:AL,37,FALSE)-VLOOKUP(A338,'SegEnds_NonXtal_Prot#'!A:AL,34,FALSE)</f>
        <v>10</v>
      </c>
      <c r="AM338" s="1" t="str">
        <f>IF(ISERROR(MATCH(A338,'SegEnds_Xtal_Prot#'!B:B, 0)), "NoXtal", "Xtal")</f>
        <v>NoXtal</v>
      </c>
    </row>
    <row r="339" spans="1:39" x14ac:dyDescent="0.2">
      <c r="A339" s="1" t="s">
        <v>417</v>
      </c>
      <c r="B339" s="1" t="str">
        <f>VLOOKUP(A339,Xtal_Templ!A:B,2,FALSE)</f>
        <v>crfr2_human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41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1">
        <f>VLOOKUP(A339,'SegEnds_NonXtal_Prot#'!A:AL,10,FALSE)-VLOOKUP(A339,'SegEnds_NonXtal_Prot#'!A:AL,7,FALSE)</f>
        <v>15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45</v>
      </c>
      <c r="AF339" s="1" t="e">
        <f>VLOOKUP(A339,'SegEnds_NonXtal_Prot#'!A:AL,22,FALSE)-VLOOKUP(A339,'SegEnds_NonXtal_Prot#'!A:AL,19,FALSE)</f>
        <v>#VALUE!</v>
      </c>
      <c r="AG339" s="1" t="e">
        <f>VLOOKUP(#REF!,'SegEnds_NonXtal_Prot#'!#REF!,28,FALSE)-VLOOKUP(#REF!,'SegEnds_NonXtal_Prot#'!#REF!,25,FALSE)</f>
        <v>#REF!</v>
      </c>
      <c r="AH339" s="1">
        <f>VLOOKUP(A339,'SegEnds_NonXtal_Prot#'!A:AL,28,FALSE)-VLOOKUP(A339,'SegEnds_NonXtal_Prot#'!A:AL,25,FALSE)</f>
        <v>19</v>
      </c>
      <c r="AI339" s="1">
        <f>VLOOKUP(A339,'SegEnds_NonXtal_Prot#'!A:AL,28,FALSE)-VLOOKUP(A339,'SegEnds_NonXtal_Prot#'!A:AL,22,FALSE)</f>
        <v>43</v>
      </c>
      <c r="AJ339" s="1">
        <f>VLOOKUP(A339,'SegEnds_NonXtal_Prot#'!A:AL,31,FALSE)-VLOOKUP(A339,'SegEnds_NonXtal_Prot#'!A:AL,28,FALSE)</f>
        <v>47</v>
      </c>
      <c r="AK339" s="1">
        <f>VLOOKUP(A339,'SegEnds_NonXtal_Prot#'!A:AL,34,FALSE)-VLOOKUP(A339,'SegEnds_NonXtal_Prot#'!A:AL,31,FALSE)</f>
        <v>28</v>
      </c>
      <c r="AL339" s="1">
        <f>VLOOKUP(A339,'SegEnds_NonXtal_Prot#'!A:AL,37,FALSE)-VLOOKUP(A339,'SegEnds_NonXtal_Prot#'!A:AL,34,FALSE)</f>
        <v>10</v>
      </c>
      <c r="AM339" s="1" t="str">
        <f>IF(ISERROR(MATCH(A339,'SegEnds_Xtal_Prot#'!B:B, 0)), "NoXtal", "Xtal")</f>
        <v>NoXtal</v>
      </c>
    </row>
    <row r="340" spans="1:39" x14ac:dyDescent="0.2">
      <c r="A340" s="1" t="s">
        <v>1691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29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45</v>
      </c>
      <c r="AF340" s="1" t="e">
        <f>VLOOKUP(A340,'SegEnds_NonXtal_Prot#'!A:AL,22,FALSE)-VLOOKUP(A340,'SegEnds_NonXtal_Prot#'!A:AL,19,FALSE)</f>
        <v>#VALUE!</v>
      </c>
      <c r="AG340" s="1" t="e">
        <f>VLOOKUP(#REF!,'SegEnds_NonXtal_Prot#'!#REF!,28,FALSE)-VLOOKUP(#REF!,'SegEnds_NonXtal_Prot#'!#REF!,25,FALSE)</f>
        <v>#REF!</v>
      </c>
      <c r="AH340" s="1">
        <f>VLOOKUP(A340,'SegEnds_NonXtal_Prot#'!A:AL,28,FALSE)-VLOOKUP(A340,'SegEnds_NonXtal_Prot#'!A:AL,25,FALSE)</f>
        <v>19</v>
      </c>
      <c r="AI340" s="1">
        <f>VLOOKUP(A340,'SegEnds_NonXtal_Prot#'!A:AL,28,FALSE)-VLOOKUP(A340,'SegEnds_NonXtal_Prot#'!A:AL,22,FALSE)</f>
        <v>44</v>
      </c>
      <c r="AJ340" s="1">
        <f>VLOOKUP(A340,'SegEnds_NonXtal_Prot#'!A:AL,31,FALSE)-VLOOKUP(A340,'SegEnds_NonXtal_Prot#'!A:AL,28,FALSE)</f>
        <v>50</v>
      </c>
      <c r="AK340" s="1">
        <f>VLOOKUP(A340,'SegEnds_NonXtal_Prot#'!A:AL,34,FALSE)-VLOOKUP(A340,'SegEnds_NonXtal_Prot#'!A:AL,31,FALSE)</f>
        <v>29</v>
      </c>
      <c r="AL340" s="1">
        <f>VLOOKUP(A340,'SegEnds_NonXtal_Prot#'!A:AL,37,FALSE)-VLOOKUP(A340,'SegEnds_NonXtal_Prot#'!A:AL,34,FALSE)</f>
        <v>10</v>
      </c>
      <c r="AM340" s="1" t="str">
        <f>IF(ISERROR(MATCH(A340,'SegEnds_Xtal_Prot#'!B:B, 0)), "NoXtal", "Xtal")</f>
        <v>NoXtal</v>
      </c>
    </row>
    <row r="341" spans="1:39" x14ac:dyDescent="0.2">
      <c r="A341" s="1" t="s">
        <v>1173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45</v>
      </c>
      <c r="AF341" s="1" t="e">
        <f>VLOOKUP(A341,'SegEnds_NonXtal_Prot#'!A:AL,22,FALSE)-VLOOKUP(A341,'SegEnds_NonXtal_Prot#'!A:AL,19,FALSE)</f>
        <v>#VALUE!</v>
      </c>
      <c r="AG341" s="1" t="e">
        <f>VLOOKUP(#REF!,'SegEnds_NonXtal_Prot#'!#REF!,28,FALSE)-VLOOKUP(#REF!,'SegEnds_NonXtal_Prot#'!#REF!,25,FALSE)</f>
        <v>#REF!</v>
      </c>
      <c r="AH341" s="1">
        <f>VLOOKUP(A341,'SegEnds_NonXtal_Prot#'!A:AL,28,FALSE)-VLOOKUP(A341,'SegEnds_NonXtal_Prot#'!A:AL,25,FALSE)</f>
        <v>19</v>
      </c>
      <c r="AI341" s="1">
        <f>VLOOKUP(A341,'SegEnds_NonXtal_Prot#'!A:AL,28,FALSE)-VLOOKUP(A341,'SegEnds_NonXtal_Prot#'!A:AL,22,FALSE)</f>
        <v>44</v>
      </c>
      <c r="AJ341" s="1">
        <f>VLOOKUP(A341,'SegEnds_NonXtal_Prot#'!A:AL,31,FALSE)-VLOOKUP(A341,'SegEnds_NonXtal_Prot#'!A:AL,28,FALSE)</f>
        <v>83</v>
      </c>
      <c r="AK341" s="1">
        <f>VLOOKUP(A341,'SegEnds_NonXtal_Prot#'!A:AL,34,FALSE)-VLOOKUP(A341,'SegEnds_NonXtal_Prot#'!A:AL,31,FALSE)</f>
        <v>29</v>
      </c>
      <c r="AL341" s="1">
        <f>VLOOKUP(A341,'SegEnds_NonXtal_Prot#'!A:AL,37,FALSE)-VLOOKUP(A341,'SegEnds_NonXtal_Prot#'!A:AL,34,FALSE)</f>
        <v>10</v>
      </c>
      <c r="AM341" s="1" t="str">
        <f>IF(ISERROR(MATCH(A341,'SegEnds_Xtal_Prot#'!B:B, 0)), "NoXtal", "Xtal")</f>
        <v>NoXtal</v>
      </c>
    </row>
    <row r="342" spans="1:39" x14ac:dyDescent="0.2">
      <c r="A342" s="1" t="s">
        <v>1174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29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 t="e">
        <f>VLOOKUP(#REF!,'SegEnds_NonXtal_Prot#'!#REF!,28,FALSE)-VLOOKUP(#REF!,'SegEnds_NonXtal_Prot#'!#REF!,25,FALSE)</f>
        <v>#REF!</v>
      </c>
      <c r="AH342" s="1">
        <f>VLOOKUP(A342,'SegEnds_NonXtal_Prot#'!A:AL,28,FALSE)-VLOOKUP(A342,'SegEnds_NonXtal_Prot#'!A:AL,25,FALSE)</f>
        <v>19</v>
      </c>
      <c r="AI342" s="1">
        <f>VLOOKUP(A342,'SegEnds_NonXtal_Prot#'!A:AL,28,FALSE)-VLOOKUP(A342,'SegEnds_NonXtal_Prot#'!A:AL,22,FALSE)</f>
        <v>44</v>
      </c>
      <c r="AJ342" s="1">
        <f>VLOOKUP(A342,'SegEnds_NonXtal_Prot#'!A:AL,31,FALSE)-VLOOKUP(A342,'SegEnds_NonXtal_Prot#'!A:AL,28,FALSE)</f>
        <v>83</v>
      </c>
      <c r="AK342" s="1">
        <f>VLOOKUP(A342,'SegEnds_NonXtal_Prot#'!A:AL,34,FALSE)-VLOOKUP(A342,'SegEnds_NonXtal_Prot#'!A:AL,31,FALSE)</f>
        <v>29</v>
      </c>
      <c r="AL342" s="1">
        <f>VLOOKUP(A342,'SegEnds_NonXtal_Prot#'!A:AL,37,FALSE)-VLOOKUP(A342,'SegEnds_NonXtal_Prot#'!A:AL,34,FALSE)</f>
        <v>10</v>
      </c>
      <c r="AM342" s="1" t="str">
        <f>IF(ISERROR(MATCH(A342,'SegEnds_Xtal_Prot#'!B:B, 0)), "NoXtal", "Xtal")</f>
        <v>NoXtal</v>
      </c>
    </row>
    <row r="343" spans="1:39" x14ac:dyDescent="0.2">
      <c r="A343" s="1" t="s">
        <v>1181</v>
      </c>
      <c r="B343" s="1" t="str">
        <f>VLOOKUP(A343,Xtal_Templ!A:B,2,FALSE)</f>
        <v>pth1r_human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37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54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31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51</v>
      </c>
      <c r="AF343" s="1" t="e">
        <f>VLOOKUP(A343,'SegEnds_NonXtal_Prot#'!A:AL,22,FALSE)-VLOOKUP(A343,'SegEnds_NonXtal_Prot#'!A:AL,19,FALSE)</f>
        <v>#VALUE!</v>
      </c>
      <c r="AG343" s="1" t="e">
        <f>VLOOKUP(#REF!,'SegEnds_NonXtal_Prot#'!#REF!,28,FALSE)-VLOOKUP(#REF!,'SegEnds_NonXtal_Prot#'!#REF!,25,FALSE)</f>
        <v>#REF!</v>
      </c>
      <c r="AH343" s="1">
        <f>VLOOKUP(A343,'SegEnds_NonXtal_Prot#'!A:AL,28,FALSE)-VLOOKUP(A343,'SegEnds_NonXtal_Prot#'!A:AL,25,FALSE)</f>
        <v>21</v>
      </c>
      <c r="AI343" s="1">
        <f>VLOOKUP(A343,'SegEnds_NonXtal_Prot#'!A:AL,28,FALSE)-VLOOKUP(A343,'SegEnds_NonXtal_Prot#'!A:AL,22,FALSE)</f>
        <v>47</v>
      </c>
      <c r="AJ343" s="1">
        <f>VLOOKUP(A343,'SegEnds_NonXtal_Prot#'!A:AL,31,FALSE)-VLOOKUP(A343,'SegEnds_NonXtal_Prot#'!A:AL,28,FALSE)</f>
        <v>52</v>
      </c>
      <c r="AK343" s="1">
        <f>VLOOKUP(A343,'SegEnds_NonXtal_Prot#'!A:AL,34,FALSE)-VLOOKUP(A343,'SegEnds_NonXtal_Prot#'!A:AL,31,FALSE)</f>
        <v>29</v>
      </c>
      <c r="AL343" s="1">
        <f>VLOOKUP(A343,'SegEnds_NonXtal_Prot#'!A:AL,37,FALSE)-VLOOKUP(A343,'SegEnds_NonXtal_Prot#'!A:AL,34,FALSE)</f>
        <v>10</v>
      </c>
      <c r="AM343" s="1" t="str">
        <f>IF(ISERROR(MATCH(A343,'SegEnds_Xtal_Prot#'!B:B, 0)), "NoXtal", "Xtal")</f>
        <v>NoXtal</v>
      </c>
    </row>
    <row r="344" spans="1:39" x14ac:dyDescent="0.2">
      <c r="A344" s="1" t="s">
        <v>1183</v>
      </c>
      <c r="B344" s="1" t="str">
        <f>VLOOKUP(A344,Xtal_Templ!A:B,2,FALSE)</f>
        <v>calrl_human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41</v>
      </c>
      <c r="P344" s="1">
        <f>VLOOKUP($B344&amp;"__wt",'SegEnds_Xtal_BW#'!$A:$Z,16,FALSE)</f>
        <v>67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31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50</v>
      </c>
      <c r="AF344" s="1" t="e">
        <f>VLOOKUP(A344,'SegEnds_NonXtal_Prot#'!A:AL,22,FALSE)-VLOOKUP(A344,'SegEnds_NonXtal_Prot#'!A:AL,19,FALSE)</f>
        <v>#VALUE!</v>
      </c>
      <c r="AG344" s="1" t="e">
        <f>VLOOKUP(#REF!,'SegEnds_NonXtal_Prot#'!#REF!,28,FALSE)-VLOOKUP(#REF!,'SegEnds_NonXtal_Prot#'!#REF!,25,FALSE)</f>
        <v>#REF!</v>
      </c>
      <c r="AH344" s="1">
        <f>VLOOKUP(A344,'SegEnds_NonXtal_Prot#'!A:AL,28,FALSE)-VLOOKUP(A344,'SegEnds_NonXtal_Prot#'!A:AL,25,FALSE)</f>
        <v>19</v>
      </c>
      <c r="AI344" s="1">
        <f>VLOOKUP(A344,'SegEnds_NonXtal_Prot#'!A:AL,28,FALSE)-VLOOKUP(A344,'SegEnds_NonXtal_Prot#'!A:AL,22,FALSE)</f>
        <v>45</v>
      </c>
      <c r="AJ344" s="1">
        <f>VLOOKUP(A344,'SegEnds_NonXtal_Prot#'!A:AL,31,FALSE)-VLOOKUP(A344,'SegEnds_NonXtal_Prot#'!A:AL,28,FALSE)</f>
        <v>52</v>
      </c>
      <c r="AK344" s="1">
        <f>VLOOKUP(A344,'SegEnds_NonXtal_Prot#'!A:AL,34,FALSE)-VLOOKUP(A344,'SegEnds_NonXtal_Prot#'!A:AL,31,FALSE)</f>
        <v>29</v>
      </c>
      <c r="AL344" s="1">
        <f>VLOOKUP(A344,'SegEnds_NonXtal_Prot#'!A:AL,37,FALSE)-VLOOKUP(A344,'SegEnds_NonXtal_Prot#'!A:AL,34,FALSE)</f>
        <v>10</v>
      </c>
      <c r="AM344" s="1" t="str">
        <f>IF(ISERROR(MATCH(A344,'SegEnds_Xtal_Prot#'!B:B, 0)), "NoXtal", "Xtal")</f>
        <v>NoXtal</v>
      </c>
    </row>
    <row r="345" spans="1:39" x14ac:dyDescent="0.2">
      <c r="A345" s="1" t="s">
        <v>1184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31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51</v>
      </c>
      <c r="AF345" s="1" t="e">
        <f>VLOOKUP(A345,'SegEnds_NonXtal_Prot#'!A:AL,22,FALSE)-VLOOKUP(A345,'SegEnds_NonXtal_Prot#'!A:AL,19,FALSE)</f>
        <v>#VALUE!</v>
      </c>
      <c r="AG345" s="1" t="e">
        <f>VLOOKUP(#REF!,'SegEnds_NonXtal_Prot#'!#REF!,28,FALSE)-VLOOKUP(#REF!,'SegEnds_NonXtal_Prot#'!#REF!,25,FALSE)</f>
        <v>#REF!</v>
      </c>
      <c r="AH345" s="1">
        <f>VLOOKUP(A345,'SegEnds_NonXtal_Prot#'!A:AL,28,FALSE)-VLOOKUP(A345,'SegEnds_NonXtal_Prot#'!A:AL,25,FALSE)</f>
        <v>20</v>
      </c>
      <c r="AI345" s="1">
        <f>VLOOKUP(A345,'SegEnds_NonXtal_Prot#'!A:AL,28,FALSE)-VLOOKUP(A345,'SegEnds_NonXtal_Prot#'!A:AL,22,FALSE)</f>
        <v>46</v>
      </c>
      <c r="AJ345" s="1">
        <f>VLOOKUP(A345,'SegEnds_NonXtal_Prot#'!A:AL,31,FALSE)-VLOOKUP(A345,'SegEnds_NonXtal_Prot#'!A:AL,28,FALSE)</f>
        <v>51</v>
      </c>
      <c r="AK345" s="1">
        <f>VLOOKUP(A345,'SegEnds_NonXtal_Prot#'!A:AL,34,FALSE)-VLOOKUP(A345,'SegEnds_NonXtal_Prot#'!A:AL,31,FALSE)</f>
        <v>29</v>
      </c>
      <c r="AL345" s="1">
        <f>VLOOKUP(A345,'SegEnds_NonXtal_Prot#'!A:AL,37,FALSE)-VLOOKUP(A345,'SegEnds_NonXtal_Prot#'!A:AL,34,FALSE)</f>
        <v>10</v>
      </c>
      <c r="AM345" s="1" t="str">
        <f>IF(ISERROR(MATCH(A345,'SegEnds_Xtal_Prot#'!B:B, 0)), "NoXtal", "Xtal")</f>
        <v>NoXtal</v>
      </c>
    </row>
    <row r="346" spans="1:39" x14ac:dyDescent="0.2">
      <c r="A346" s="1" t="s">
        <v>1185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31</v>
      </c>
      <c r="AC346" s="1">
        <f>VLOOKUP(A346,'SegEnds_NonXtal_Prot#'!A:AL,10,FALSE)-VLOOKUP(A346,'SegEnds_NonXtal_Prot#'!A:AL,7,FALSE)</f>
        <v>17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53</v>
      </c>
      <c r="AF346" s="1" t="e">
        <f>VLOOKUP(A346,'SegEnds_NonXtal_Prot#'!A:AL,22,FALSE)-VLOOKUP(A346,'SegEnds_NonXtal_Prot#'!A:AL,19,FALSE)</f>
        <v>#VALUE!</v>
      </c>
      <c r="AG346" s="1" t="e">
        <f>VLOOKUP(#REF!,'SegEnds_NonXtal_Prot#'!#REF!,28,FALSE)-VLOOKUP(#REF!,'SegEnds_NonXtal_Prot#'!#REF!,25,FALSE)</f>
        <v>#REF!</v>
      </c>
      <c r="AH346" s="1">
        <f>VLOOKUP(A346,'SegEnds_NonXtal_Prot#'!A:AL,28,FALSE)-VLOOKUP(A346,'SegEnds_NonXtal_Prot#'!A:AL,25,FALSE)</f>
        <v>20</v>
      </c>
      <c r="AI346" s="1">
        <f>VLOOKUP(A346,'SegEnds_NonXtal_Prot#'!A:AL,28,FALSE)-VLOOKUP(A346,'SegEnds_NonXtal_Prot#'!A:AL,22,FALSE)</f>
        <v>46</v>
      </c>
      <c r="AJ346" s="1">
        <f>VLOOKUP(A346,'SegEnds_NonXtal_Prot#'!A:AL,31,FALSE)-VLOOKUP(A346,'SegEnds_NonXtal_Prot#'!A:AL,28,FALSE)</f>
        <v>52</v>
      </c>
      <c r="AK346" s="1">
        <f>VLOOKUP(A346,'SegEnds_NonXtal_Prot#'!A:AL,34,FALSE)-VLOOKUP(A346,'SegEnds_NonXtal_Prot#'!A:AL,31,FALSE)</f>
        <v>29</v>
      </c>
      <c r="AL346" s="1">
        <f>VLOOKUP(A346,'SegEnds_NonXtal_Prot#'!A:AL,37,FALSE)-VLOOKUP(A346,'SegEnds_NonXtal_Prot#'!A:AL,34,FALSE)</f>
        <v>10</v>
      </c>
      <c r="AM346" s="1" t="str">
        <f>IF(ISERROR(MATCH(A346,'SegEnds_Xtal_Prot#'!B:B, 0)), "NoXtal", "Xtal")</f>
        <v>NoXtal</v>
      </c>
    </row>
    <row r="347" spans="1:39" x14ac:dyDescent="0.2">
      <c r="A347" s="4" t="s">
        <v>1186</v>
      </c>
      <c r="B347" s="4" t="str">
        <f>VLOOKUP(A347,Xtal_Templ!A:B,2,FALSE)</f>
        <v>glr_human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53</v>
      </c>
      <c r="W347" s="115">
        <v>28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35</v>
      </c>
      <c r="AC347" s="4">
        <f>VLOOKUP(A347,'SegEnds_NonXtal_Prot#'!A:AL,10,FALSE)-VLOOKUP(A347,'SegEnds_NonXtal_Prot#'!A:AL,7,FALSE)</f>
        <v>21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 t="e">
        <f>VLOOKUP(#REF!,'SegEnds_NonXtal_Prot#'!#REF!,28,FALSE)-VLOOKUP(#REF!,'SegEnds_NonXtal_Prot#'!#REF!,25,FALSE)</f>
        <v>#REF!</v>
      </c>
      <c r="AH347" s="4">
        <f>VLOOKUP(A347,'SegEnds_NonXtal_Prot#'!A:AL,28,FALSE)-VLOOKUP(A347,'SegEnds_NonXtal_Prot#'!A:AL,25,FALSE)</f>
        <v>19</v>
      </c>
      <c r="AI347" s="1">
        <f>VLOOKUP(A347,'SegEnds_NonXtal_Prot#'!A:AL,28,FALSE)-VLOOKUP(A347,'SegEnds_NonXtal_Prot#'!A:AL,22,FALSE)</f>
        <v>57</v>
      </c>
      <c r="AJ347" s="4">
        <f>VLOOKUP(A347,'SegEnds_NonXtal_Prot#'!A:AL,31,FALSE)-VLOOKUP(A347,'SegEnds_NonXtal_Prot#'!A:AL,28,FALSE)</f>
        <v>44</v>
      </c>
      <c r="AK347" s="4">
        <f>VLOOKUP(A347,'SegEnds_NonXtal_Prot#'!A:AL,34,FALSE)-VLOOKUP(A347,'SegEnds_NonXtal_Prot#'!A:AL,31,FALSE)</f>
        <v>30</v>
      </c>
      <c r="AL347" s="1">
        <f>VLOOKUP(A347,'SegEnds_NonXtal_Prot#'!A:AL,37,FALSE)-VLOOKUP(A347,'SegEnds_NonXtal_Prot#'!A:AL,34,FALSE)</f>
        <v>10</v>
      </c>
      <c r="AM347" s="1" t="str">
        <f>IF(ISERROR(MATCH(A347,'SegEnds_Xtal_Prot#'!B:B, 0)), "NoXtal", "Xtal")</f>
        <v>NoXtal</v>
      </c>
    </row>
    <row r="348" spans="1:39" x14ac:dyDescent="0.2">
      <c r="A348" s="1" t="s">
        <v>1170</v>
      </c>
      <c r="B348" s="1" t="str">
        <f>VLOOKUP(A348,Xtal_Templ!A:B,2,FALSE)</f>
        <v>pacr_human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40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54</v>
      </c>
      <c r="W348" s="1">
        <v>29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26</v>
      </c>
      <c r="AC348" s="1" t="e">
        <f>VLOOKUP(A348,'SegEnds_NonXtal_Prot#'!A:AL,10,FALSE)-VLOOKUP(A348,'SegEnds_NonXtal_Prot#'!A:AL,7,FALSE)</f>
        <v>#VALUE!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47</v>
      </c>
      <c r="AF348" s="1" t="e">
        <f>VLOOKUP(A348,'SegEnds_NonXtal_Prot#'!A:AL,22,FALSE)-VLOOKUP(A348,'SegEnds_NonXtal_Prot#'!A:AL,19,FALSE)</f>
        <v>#VALUE!</v>
      </c>
      <c r="AG348" s="1" t="e">
        <f>VLOOKUP(#REF!,'SegEnds_NonXtal_Prot#'!#REF!,28,FALSE)-VLOOKUP(#REF!,'SegEnds_NonXtal_Prot#'!#REF!,25,FALSE)</f>
        <v>#REF!</v>
      </c>
      <c r="AH348" s="1">
        <f>VLOOKUP(A348,'SegEnds_NonXtal_Prot#'!A:AL,28,FALSE)-VLOOKUP(A348,'SegEnds_NonXtal_Prot#'!A:AL,25,FALSE)</f>
        <v>18</v>
      </c>
      <c r="AI348" s="1">
        <f>VLOOKUP(A348,'SegEnds_NonXtal_Prot#'!A:AL,28,FALSE)-VLOOKUP(A348,'SegEnds_NonXtal_Prot#'!A:AL,22,FALSE)</f>
        <v>46</v>
      </c>
      <c r="AJ348" s="1">
        <f>VLOOKUP(A348,'SegEnds_NonXtal_Prot#'!A:AL,31,FALSE)-VLOOKUP(A348,'SegEnds_NonXtal_Prot#'!A:AL,28,FALSE)</f>
        <v>86</v>
      </c>
      <c r="AK348" s="1">
        <f>VLOOKUP(A348,'SegEnds_NonXtal_Prot#'!A:AL,34,FALSE)-VLOOKUP(A348,'SegEnds_NonXtal_Prot#'!A:AL,31,FALSE)</f>
        <v>31</v>
      </c>
      <c r="AL348" s="1">
        <f>VLOOKUP(A348,'SegEnds_NonXtal_Prot#'!A:AL,37,FALSE)-VLOOKUP(A348,'SegEnds_NonXtal_Prot#'!A:AL,34,FALSE)</f>
        <v>10</v>
      </c>
      <c r="AM348" s="1" t="str">
        <f>IF(ISERROR(MATCH(A348,'SegEnds_Xtal_Prot#'!B:B, 0)), "NoXtal", "Xtal")</f>
        <v>NoXtal</v>
      </c>
    </row>
    <row r="349" spans="1:39" x14ac:dyDescent="0.2">
      <c r="A349" s="4" t="s">
        <v>1171</v>
      </c>
      <c r="B349" s="4" t="str">
        <f>VLOOKUP(A349,Xtal_Templ!A:B,2,FALSE)</f>
        <v>crfr1_human</v>
      </c>
      <c r="C349" s="5">
        <v>23</v>
      </c>
      <c r="D349" s="4">
        <f>VLOOKUP($B349&amp;"__wt",'SegEnds_Xtal_BW#'!$A:$Z,4,FALSE)</f>
        <v>60</v>
      </c>
      <c r="E349" s="4">
        <f>VLOOKUP($B349&amp;"__wt",'SegEnds_Xtal_BW#'!$A:$Z,5,FALSE)</f>
        <v>48</v>
      </c>
      <c r="F349" s="4">
        <f>VLOOKUP($B349&amp;"__wt",'SegEnds_Xtal_BW#'!$A:$Z,6,FALSE)</f>
        <v>51</v>
      </c>
      <c r="G349" s="4">
        <v>37</v>
      </c>
      <c r="H349" s="11">
        <v>63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v>23</v>
      </c>
      <c r="L349" s="4">
        <f>VLOOKUP($B349&amp;"__wt",'SegEnds_Xtal_BW#'!$A:$Z,12,FALSE)</f>
        <v>56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40</v>
      </c>
      <c r="P349" s="4">
        <f>VLOOKUP($B349&amp;"__wt",'SegEnds_Xtal_BW#'!$A:$Z,16,FALSE)</f>
        <v>68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v>36</v>
      </c>
      <c r="T349" s="4">
        <v>69</v>
      </c>
      <c r="U349" s="4">
        <v>29</v>
      </c>
      <c r="V349" s="4">
        <f>VLOOKUP($B349&amp;"__wt",'SegEnds_Xtal_BW#'!$A:$Z,22,FALSE)</f>
        <v>53</v>
      </c>
      <c r="W349" s="4">
        <v>29</v>
      </c>
      <c r="X349" s="4">
        <f>VLOOKUP($B349&amp;"__wt",'SegEnds_Xtal_BW#'!$A:$Z,24,FALSE)</f>
        <v>56</v>
      </c>
      <c r="Y349" s="4">
        <f>VLOOKUP($B349&amp;"__wt",'SegEnds_Xtal_BW#'!$A:$Z,25,FALSE)</f>
        <v>47</v>
      </c>
      <c r="Z349" s="4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26</v>
      </c>
      <c r="AC349" s="4" t="e">
        <f>VLOOKUP(A349,'SegEnds_NonXtal_Prot#'!A:AL,10,FALSE)-VLOOKUP(A349,'SegEnds_NonXtal_Prot#'!A:AL,7,FALSE)</f>
        <v>#VALUE!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47</v>
      </c>
      <c r="AF349" s="1" t="e">
        <f>VLOOKUP(A349,'SegEnds_NonXtal_Prot#'!A:AL,22,FALSE)-VLOOKUP(A349,'SegEnds_NonXtal_Prot#'!A:AL,19,FALSE)</f>
        <v>#VALUE!</v>
      </c>
      <c r="AG349" s="4" t="e">
        <f>VLOOKUP(#REF!,'SegEnds_NonXtal_Prot#'!#REF!,28,FALSE)-VLOOKUP(#REF!,'SegEnds_NonXtal_Prot#'!#REF!,25,FALSE)</f>
        <v>#REF!</v>
      </c>
      <c r="AH349" s="4">
        <f>VLOOKUP(A349,'SegEnds_NonXtal_Prot#'!A:AL,28,FALSE)-VLOOKUP(A349,'SegEnds_NonXtal_Prot#'!A:AL,25,FALSE)</f>
        <v>18</v>
      </c>
      <c r="AI349" s="1">
        <f>VLOOKUP(A349,'SegEnds_NonXtal_Prot#'!A:AL,28,FALSE)-VLOOKUP(A349,'SegEnds_NonXtal_Prot#'!A:AL,22,FALSE)</f>
        <v>43</v>
      </c>
      <c r="AJ349" s="4">
        <f>VLOOKUP(A349,'SegEnds_NonXtal_Prot#'!A:AL,31,FALSE)-VLOOKUP(A349,'SegEnds_NonXtal_Prot#'!A:AL,28,FALSE)</f>
        <v>100</v>
      </c>
      <c r="AK349" s="4">
        <f>VLOOKUP(A349,'SegEnds_NonXtal_Prot#'!A:AL,34,FALSE)-VLOOKUP(A349,'SegEnds_NonXtal_Prot#'!A:AL,31,FALSE)</f>
        <v>31</v>
      </c>
      <c r="AL349" s="1">
        <f>VLOOKUP(A349,'SegEnds_NonXtal_Prot#'!A:AL,37,FALSE)-VLOOKUP(A349,'SegEnds_NonXtal_Prot#'!A:AL,34,FALSE)</f>
        <v>10</v>
      </c>
      <c r="AM349" s="1" t="str">
        <f>IF(ISERROR(MATCH(A349,'SegEnds_Xtal_Prot#'!B:B, 0)), "NoXtal", "Xtal")</f>
        <v>NoXtal</v>
      </c>
    </row>
    <row r="350" spans="1:39" x14ac:dyDescent="0.2">
      <c r="A350" s="1" t="s">
        <v>1172</v>
      </c>
      <c r="B350" s="1" t="str">
        <f>VLOOKUP(A350,Xtal_Templ!A:B,2,FALSE)</f>
        <v>sctr_human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40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54</v>
      </c>
      <c r="W350" s="1">
        <v>29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26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47</v>
      </c>
      <c r="AF350" s="1" t="e">
        <f>VLOOKUP(A350,'SegEnds_NonXtal_Prot#'!A:AL,22,FALSE)-VLOOKUP(A350,'SegEnds_NonXtal_Prot#'!A:AL,19,FALSE)</f>
        <v>#VALUE!</v>
      </c>
      <c r="AG350" s="1" t="e">
        <f>VLOOKUP(#REF!,'SegEnds_NonXtal_Prot#'!#REF!,28,FALSE)-VLOOKUP(#REF!,'SegEnds_NonXtal_Prot#'!#REF!,25,FALSE)</f>
        <v>#REF!</v>
      </c>
      <c r="AH350" s="1">
        <f>VLOOKUP(A350,'SegEnds_NonXtal_Prot#'!A:AL,28,FALSE)-VLOOKUP(A350,'SegEnds_NonXtal_Prot#'!A:AL,25,FALSE)</f>
        <v>18</v>
      </c>
      <c r="AI350" s="1">
        <f>VLOOKUP(A350,'SegEnds_NonXtal_Prot#'!A:AL,28,FALSE)-VLOOKUP(A350,'SegEnds_NonXtal_Prot#'!A:AL,22,FALSE)</f>
        <v>45</v>
      </c>
      <c r="AJ350" s="1">
        <f>VLOOKUP(A350,'SegEnds_NonXtal_Prot#'!A:AL,31,FALSE)-VLOOKUP(A350,'SegEnds_NonXtal_Prot#'!A:AL,28,FALSE)</f>
        <v>85</v>
      </c>
      <c r="AK350" s="1">
        <f>VLOOKUP(A350,'SegEnds_NonXtal_Prot#'!A:AL,34,FALSE)-VLOOKUP(A350,'SegEnds_NonXtal_Prot#'!A:AL,31,FALSE)</f>
        <v>31</v>
      </c>
      <c r="AL350" s="1">
        <f>VLOOKUP(A350,'SegEnds_NonXtal_Prot#'!A:AL,37,FALSE)-VLOOKUP(A350,'SegEnds_NonXtal_Prot#'!A:AL,34,FALSE)</f>
        <v>10</v>
      </c>
      <c r="AM350" s="1" t="str">
        <f>IF(ISERROR(MATCH(A350,'SegEnds_Xtal_Prot#'!B:B, 0)), "NoXtal", "Xtal")</f>
        <v>NoXtal</v>
      </c>
    </row>
    <row r="351" spans="1:39" x14ac:dyDescent="0.2">
      <c r="A351" s="1" t="s">
        <v>1191</v>
      </c>
      <c r="B351" s="1" t="str">
        <f>VLOOKUP(A351,Xtal_Templ!A:B,2,FALSE)</f>
        <v>pth1r_human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65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18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37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54</v>
      </c>
      <c r="W351" s="1">
        <v>29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29</v>
      </c>
      <c r="AC351" s="1" t="e">
        <f>VLOOKUP(A351,'SegEnds_NonXtal_Prot#'!A:AL,10,FALSE)-VLOOKUP(A351,'SegEnds_NonXtal_Prot#'!A:AL,7,FALSE)</f>
        <v>#VALUE!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73</v>
      </c>
      <c r="AF351" s="1" t="e">
        <f>VLOOKUP(A351,'SegEnds_NonXtal_Prot#'!A:AL,22,FALSE)-VLOOKUP(A351,'SegEnds_NonXtal_Prot#'!A:AL,19,FALSE)</f>
        <v>#VALUE!</v>
      </c>
      <c r="AG351" s="1" t="e">
        <f>VLOOKUP(#REF!,'SegEnds_NonXtal_Prot#'!#REF!,28,FALSE)-VLOOKUP(#REF!,'SegEnds_NonXtal_Prot#'!#REF!,25,FALSE)</f>
        <v>#REF!</v>
      </c>
      <c r="AH351" s="1">
        <f>VLOOKUP(A351,'SegEnds_NonXtal_Prot#'!A:AL,28,FALSE)-VLOOKUP(A351,'SegEnds_NonXtal_Prot#'!A:AL,25,FALSE)</f>
        <v>26</v>
      </c>
      <c r="AI351" s="1">
        <f>VLOOKUP(A351,'SegEnds_NonXtal_Prot#'!A:AL,28,FALSE)-VLOOKUP(A351,'SegEnds_NonXtal_Prot#'!A:AL,22,FALSE)</f>
        <v>60</v>
      </c>
      <c r="AJ351" s="1">
        <f>VLOOKUP(A351,'SegEnds_NonXtal_Prot#'!A:AL,31,FALSE)-VLOOKUP(A351,'SegEnds_NonXtal_Prot#'!A:AL,28,FALSE)</f>
        <v>51</v>
      </c>
      <c r="AK351" s="1">
        <f>VLOOKUP(A351,'SegEnds_NonXtal_Prot#'!A:AL,34,FALSE)-VLOOKUP(A351,'SegEnds_NonXtal_Prot#'!A:AL,31,FALSE)</f>
        <v>31</v>
      </c>
      <c r="AL351" s="1">
        <f>VLOOKUP(A351,'SegEnds_NonXtal_Prot#'!A:AL,37,FALSE)-VLOOKUP(A351,'SegEnds_NonXtal_Prot#'!A:AL,34,FALSE)</f>
        <v>10</v>
      </c>
      <c r="AM351" s="1" t="str">
        <f>IF(ISERROR(MATCH(A351,'SegEnds_Xtal_Prot#'!B:B, 0)), "NoXtal", "Xtal")</f>
        <v>NoXtal</v>
      </c>
    </row>
    <row r="352" spans="1:39" x14ac:dyDescent="0.2">
      <c r="A352" s="1" t="s">
        <v>1180</v>
      </c>
      <c r="B352" s="1" t="str">
        <f>VLOOKUP(A352,Xtal_Templ!A:B,2,FALSE)</f>
        <v>sctr_human</v>
      </c>
      <c r="C352" s="5">
        <v>23</v>
      </c>
      <c r="D352" s="1">
        <f>VLOOKUP($B352&amp;"__wt",'SegEnds_Xtal_BW#'!$A:$Z,4,FALSE)</f>
        <v>60</v>
      </c>
      <c r="E352" s="1">
        <f>VLOOKUP($B352&amp;"__wt",'SegEnds_Xtal_BW#'!$A:$Z,5,FALSE)</f>
        <v>48</v>
      </c>
      <c r="F352" s="1">
        <f>VLOOKUP($B352&amp;"__wt",'SegEnds_Xtal_BW#'!$A:$Z,6,FALSE)</f>
        <v>51</v>
      </c>
      <c r="G352" s="1">
        <v>37</v>
      </c>
      <c r="H352" s="12">
        <v>63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v>23</v>
      </c>
      <c r="L352" s="1">
        <f>VLOOKUP($B352&amp;"__wt",'SegEnds_Xtal_BW#'!$A:$Z,12,FALSE)</f>
        <v>56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40</v>
      </c>
      <c r="P352" s="1">
        <f>VLOOKUP($B352&amp;"__wt",'SegEnds_Xtal_BW#'!$A:$Z,16,FALSE)</f>
        <v>68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v>36</v>
      </c>
      <c r="T352" s="1">
        <v>69</v>
      </c>
      <c r="U352" s="1">
        <v>29</v>
      </c>
      <c r="V352" s="1">
        <f>VLOOKUP($B352&amp;"__wt",'SegEnds_Xtal_BW#'!$A:$Z,22,FALSE)</f>
        <v>54</v>
      </c>
      <c r="W352" s="1">
        <v>28</v>
      </c>
      <c r="X352" s="1">
        <f>VLOOKUP($B352&amp;"__wt",'SegEnds_Xtal_BW#'!$A:$Z,24,FALSE)</f>
        <v>56</v>
      </c>
      <c r="Y352" s="1">
        <f>VLOOKUP($B352&amp;"__wt",'SegEnds_Xtal_BW#'!$A:$Z,25,FALSE)</f>
        <v>47</v>
      </c>
      <c r="Z352" s="1">
        <v>63</v>
      </c>
      <c r="AA352" s="27" t="str">
        <f>VLOOKUP(A352,Classification!A:B,2,FALSE)</f>
        <v>B2</v>
      </c>
      <c r="AB352" s="1">
        <f>VLOOKUP(A352,'SegEnds_NonXtal_Prot#'!A:AL,10,FALSE)-VLOOKUP(A352,'SegEnds_NonXtal_Prot#'!A:AL,4,FALSE)</f>
        <v>28</v>
      </c>
      <c r="AC352" s="1">
        <f>VLOOKUP(A352,'SegEnds_NonXtal_Prot#'!A:AL,10,FALSE)-VLOOKUP(A352,'SegEnds_NonXtal_Prot#'!A:AL,7,FALSE)</f>
        <v>15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45</v>
      </c>
      <c r="AF352" s="1" t="e">
        <f>VLOOKUP(A352,'SegEnds_NonXtal_Prot#'!A:AL,22,FALSE)-VLOOKUP(A352,'SegEnds_NonXtal_Prot#'!A:AL,19,FALSE)</f>
        <v>#VALUE!</v>
      </c>
      <c r="AG352" s="1" t="e">
        <f>VLOOKUP(#REF!,'SegEnds_NonXtal_Prot#'!#REF!,28,FALSE)-VLOOKUP(#REF!,'SegEnds_NonXtal_Prot#'!#REF!,25,FALSE)</f>
        <v>#REF!</v>
      </c>
      <c r="AH352" s="1">
        <f>VLOOKUP(A352,'SegEnds_NonXtal_Prot#'!A:AL,28,FALSE)-VLOOKUP(A352,'SegEnds_NonXtal_Prot#'!A:AL,25,FALSE)</f>
        <v>19</v>
      </c>
      <c r="AI352" s="1">
        <f>VLOOKUP(A352,'SegEnds_NonXtal_Prot#'!A:AL,28,FALSE)-VLOOKUP(A352,'SegEnds_NonXtal_Prot#'!A:AL,22,FALSE)</f>
        <v>42</v>
      </c>
      <c r="AJ352" s="1">
        <f>VLOOKUP(A352,'SegEnds_NonXtal_Prot#'!A:AL,31,FALSE)-VLOOKUP(A352,'SegEnds_NonXtal_Prot#'!A:AL,28,FALSE)</f>
        <v>52</v>
      </c>
      <c r="AK352" s="1">
        <f>VLOOKUP(A352,'SegEnds_NonXtal_Prot#'!A:AL,34,FALSE)-VLOOKUP(A352,'SegEnds_NonXtal_Prot#'!A:AL,31,FALSE)</f>
        <v>32</v>
      </c>
      <c r="AL352" s="1">
        <f>VLOOKUP(A352,'SegEnds_NonXtal_Prot#'!A:AL,37,FALSE)-VLOOKUP(A352,'SegEnds_NonXtal_Prot#'!A:AL,34,FALSE)</f>
        <v>10</v>
      </c>
      <c r="AM352" s="1" t="str">
        <f>IF(ISERROR(MATCH(A352,'SegEnds_Xtal_Prot#'!B:B, 0)), "NoXtal", "Xtal")</f>
        <v>NoXtal</v>
      </c>
    </row>
    <row r="353" spans="1:39" s="42" customFormat="1" x14ac:dyDescent="0.2">
      <c r="A353" s="42" t="s">
        <v>40</v>
      </c>
      <c r="B353" s="42" t="str">
        <f>VLOOKUP(A353,Xtal_Templ!A:B,2,FALSE)</f>
        <v>grm1_human</v>
      </c>
      <c r="C353" s="43">
        <f>VLOOKUP($B353&amp;"__wt",'SegEnds_Xtal_BW#'!$A:$Z,3,FALSE)</f>
        <v>34</v>
      </c>
      <c r="D353" s="42">
        <f>VLOOKUP($B353&amp;"__wt",'SegEnds_Xtal_BW#'!$A:$Z,4,FALSE)</f>
        <v>60</v>
      </c>
      <c r="E353" s="42">
        <f>VLOOKUP($B353&amp;"__wt",'SegEnds_Xtal_BW#'!$A:$Z,5,FALSE)</f>
        <v>47</v>
      </c>
      <c r="F353" s="42">
        <f>VLOOKUP($B353&amp;"__wt",'SegEnds_Xtal_BW#'!$A:$Z,6,FALSE)</f>
        <v>53</v>
      </c>
      <c r="G353" s="42">
        <v>39</v>
      </c>
      <c r="H353" s="101">
        <f>VLOOKUP($B353&amp;"__wt",'SegEnds_Xtal_BW#'!$A:$Z,8,FALSE)</f>
        <v>61</v>
      </c>
      <c r="I353" s="42" t="str">
        <f>VLOOKUP($B353&amp;"__wt",'SegEnds_Xtal_BW#'!$A:$Z,9,FALSE)</f>
        <v>-</v>
      </c>
      <c r="J353" s="42" t="str">
        <f>VLOOKUP($B353&amp;"__wt",'SegEnds_Xtal_BW#'!$A:$Z,10,FALSE)</f>
        <v>-</v>
      </c>
      <c r="K353" s="101">
        <f>VLOOKUP($B353&amp;"__wt",'SegEnds_Xtal_BW#'!$A:$Z,11,FALSE)</f>
        <v>22</v>
      </c>
      <c r="L353" s="42">
        <f>VLOOKUP($B353&amp;"__wt",'SegEnds_Xtal_BW#'!$A:$Z,12,FALSE)</f>
        <v>54</v>
      </c>
      <c r="M353" s="42" t="str">
        <f>VLOOKUP($B353&amp;"__wt",'SegEnds_Xtal_BW#'!$A:$Z,13,FALSE)</f>
        <v>-</v>
      </c>
      <c r="N353" s="101" t="str">
        <f>VLOOKUP($B353&amp;"__wt",'SegEnds_Xtal_BW#'!$A:$Z,14,FALSE)</f>
        <v>-</v>
      </c>
      <c r="O353" s="89">
        <f>VLOOKUP($B353&amp;"__wt",'SegEnds_Xtal_BW#'!$A:$Z,15,FALSE)</f>
        <v>38</v>
      </c>
      <c r="P353" s="42">
        <f>VLOOKUP($B353&amp;"__wt",'SegEnds_Xtal_BW#'!$A:$Z,16,FALSE)</f>
        <v>64</v>
      </c>
      <c r="Q353" s="42">
        <f>VLOOKUP($B353&amp;"__wt",'SegEnds_Xtal_BW#'!$A:$Z,17,FALSE)</f>
        <v>50</v>
      </c>
      <c r="R353" s="42">
        <f>VLOOKUP($B353&amp;"__wt",'SegEnds_Xtal_BW#'!$A:$Z,18,FALSE)</f>
        <v>52</v>
      </c>
      <c r="S353" s="42">
        <f>VLOOKUP($B353&amp;"__wt",'SegEnds_Xtal_BW#'!$A:$Z,19,FALSE)</f>
        <v>36</v>
      </c>
      <c r="T353" s="42">
        <f>VLOOKUP($B353&amp;"__wt",'SegEnds_Xtal_BW#'!$A:$Z,20,FALSE)</f>
        <v>61</v>
      </c>
      <c r="U353" s="42">
        <f>VLOOKUP($B353&amp;"__wt",'SegEnds_Xtal_BW#'!$A:$Z,21,FALSE)</f>
        <v>33</v>
      </c>
      <c r="V353" s="42">
        <f>VLOOKUP($B353&amp;"__wt",'SegEnds_Xtal_BW#'!$A:$Z,22,FALSE)</f>
        <v>57</v>
      </c>
      <c r="W353" s="42">
        <f>VLOOKUP($B353&amp;"__wt",'SegEnds_Xtal_BW#'!$A:$Z,23,FALSE)</f>
        <v>33</v>
      </c>
      <c r="X353" s="42">
        <f>VLOOKUP($B353&amp;"__wt",'SegEnds_Xtal_BW#'!$A:$Z,24,FALSE)</f>
        <v>64</v>
      </c>
      <c r="Y353" s="42">
        <f>VLOOKUP($B353&amp;"__wt",'SegEnds_Xtal_BW#'!$A:$Z,25,FALSE)</f>
        <v>46</v>
      </c>
      <c r="Z353" s="42">
        <f>VLOOKUP($B353&amp;"__wt",'SegEnds_Xtal_BW#'!$A:$Z,26,FALSE)</f>
        <v>57</v>
      </c>
      <c r="AA353" s="44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42">
        <f>VLOOKUP(A353,'SegEnds_NonXtal_Prot#'!A:AL,10,FALSE)-VLOOKUP(A353,'SegEnds_NonXtal_Prot#'!A:AL,7,FALSE)</f>
        <v>15</v>
      </c>
      <c r="AD353" s="42" t="e">
        <f>VLOOKUP(A353,'SegEnds_NonXtal_Prot#'!A:AL,13,FALSE)-VLOOKUP(A353,'SegEnds_NonXtal_Prot#'!A:AL,10,FALSE)</f>
        <v>#VALUE!</v>
      </c>
      <c r="AE353" s="42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2" t="e">
        <f>VLOOKUP(#REF!,'SegEnds_NonXtal_Prot#'!#REF!,28,FALSE)-VLOOKUP(#REF!,'SegEnds_NonXtal_Prot#'!#REF!,25,FALSE)</f>
        <v>#REF!</v>
      </c>
      <c r="AH353" s="42">
        <f>VLOOKUP(A353,'SegEnds_NonXtal_Prot#'!A:AL,28,FALSE)-VLOOKUP(A353,'SegEnds_NonXtal_Prot#'!A:AL,25,FALSE)</f>
        <v>17</v>
      </c>
      <c r="AI353" s="1">
        <f>VLOOKUP(A353,'SegEnds_NonXtal_Prot#'!A:AL,28,FALSE)-VLOOKUP(A353,'SegEnds_NonXtal_Prot#'!A:AL,22,FALSE)</f>
        <v>49</v>
      </c>
      <c r="AJ353" s="42">
        <f>VLOOKUP(A353,'SegEnds_NonXtal_Prot#'!A:AL,31,FALSE)-VLOOKUP(A353,'SegEnds_NonXtal_Prot#'!A:AL,28,FALSE)</f>
        <v>37</v>
      </c>
      <c r="AK353" s="42">
        <f>VLOOKUP(A353,'SegEnds_NonXtal_Prot#'!A:AL,34,FALSE)-VLOOKUP(A353,'SegEnds_NonXtal_Prot#'!A:AL,31,FALSE)</f>
        <v>27</v>
      </c>
      <c r="AL353" s="1">
        <f>VLOOKUP(A353,'SegEnds_NonXtal_Prot#'!A:AL,37,FALSE)-VLOOKUP(A353,'SegEnds_NonXtal_Prot#'!A:AL,34,FALSE)</f>
        <v>19</v>
      </c>
      <c r="AM353" s="1" t="str">
        <f>IF(ISERROR(MATCH(A353,'SegEnds_Xtal_Prot#'!B:B, 0)), "NoXtal", "Xtal")</f>
        <v>Xtal</v>
      </c>
    </row>
    <row r="354" spans="1:39" x14ac:dyDescent="0.2">
      <c r="A354" s="1" t="s">
        <v>41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21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 t="e">
        <f>VLOOKUP(#REF!,'SegEnds_NonXtal_Prot#'!#REF!,28,FALSE)-VLOOKUP(#REF!,'SegEnds_NonXtal_Prot#'!#REF!,25,FALSE)</f>
        <v>#REF!</v>
      </c>
      <c r="AH354" s="1">
        <f>VLOOKUP(A354,'SegEnds_NonXtal_Prot#'!A:AL,28,FALSE)-VLOOKUP(A354,'SegEnds_NonXtal_Prot#'!A:AL,25,FALSE)</f>
        <v>17</v>
      </c>
      <c r="AI354" s="1">
        <f>VLOOKUP(A354,'SegEnds_NonXtal_Prot#'!A:AL,28,FALSE)-VLOOKUP(A354,'SegEnds_NonXtal_Prot#'!A:AL,22,FALSE)</f>
        <v>49</v>
      </c>
      <c r="AJ354" s="1">
        <f>VLOOKUP(A354,'SegEnds_NonXtal_Prot#'!A:AL,31,FALSE)-VLOOKUP(A354,'SegEnds_NonXtal_Prot#'!A:AL,28,FALSE)</f>
        <v>37</v>
      </c>
      <c r="AK354" s="1">
        <f>VLOOKUP(A354,'SegEnds_NonXtal_Prot#'!A:AL,34,FALSE)-VLOOKUP(A354,'SegEnds_NonXtal_Prot#'!A:AL,31,FALSE)</f>
        <v>27</v>
      </c>
      <c r="AL354" s="1">
        <f>VLOOKUP(A354,'SegEnds_NonXtal_Prot#'!A:AL,37,FALSE)-VLOOKUP(A354,'SegEnds_NonXtal_Prot#'!A:AL,34,FALSE)</f>
        <v>19</v>
      </c>
      <c r="AM354" s="1" t="str">
        <f>IF(ISERROR(MATCH(A354,'SegEnds_Xtal_Prot#'!B:B, 0)), "NoXtal", "Xtal")</f>
        <v>Xtal</v>
      </c>
    </row>
    <row r="355" spans="1:39" x14ac:dyDescent="0.2">
      <c r="A355" s="4" t="s">
        <v>105</v>
      </c>
      <c r="B355" s="4" t="str">
        <f>VLOOKUP(A355,Xtal_Templ!A:B,2,FALSE)</f>
        <v>grm5_human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21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88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36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33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4">
        <f>VLOOKUP(A355,'SegEnds_NonXtal_Prot#'!A:AL,10,FALSE)-VLOOKUP(A355,'SegEnds_NonXtal_Prot#'!A:AL,7,FALSE)</f>
        <v>15</v>
      </c>
      <c r="AD355" s="4" t="e">
        <f>VLOOKUP(A355,'SegEnds_NonXtal_Prot#'!A:AL,13,FALSE)-VLOOKUP(A355,'SegEnds_NonXtal_Prot#'!A:AL,10,FALSE)</f>
        <v>#VALUE!</v>
      </c>
      <c r="AE355" s="4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4" t="e">
        <f>VLOOKUP(#REF!,'SegEnds_NonXtal_Prot#'!#REF!,28,FALSE)-VLOOKUP(#REF!,'SegEnds_NonXtal_Prot#'!#REF!,25,FALSE)</f>
        <v>#REF!</v>
      </c>
      <c r="AH355" s="4">
        <f>VLOOKUP(A355,'SegEnds_NonXtal_Prot#'!A:AL,28,FALSE)-VLOOKUP(A355,'SegEnds_NonXtal_Prot#'!A:AL,25,FALSE)</f>
        <v>18</v>
      </c>
      <c r="AI355" s="1">
        <f>VLOOKUP(A355,'SegEnds_NonXtal_Prot#'!A:AL,28,FALSE)-VLOOKUP(A355,'SegEnds_NonXtal_Prot#'!A:AL,22,FALSE)</f>
        <v>51</v>
      </c>
      <c r="AJ355" s="4">
        <f>VLOOKUP(A355,'SegEnds_NonXtal_Prot#'!A:AL,31,FALSE)-VLOOKUP(A355,'SegEnds_NonXtal_Prot#'!A:AL,28,FALSE)</f>
        <v>37</v>
      </c>
      <c r="AK355" s="4">
        <f>VLOOKUP(A355,'SegEnds_NonXtal_Prot#'!A:AL,34,FALSE)-VLOOKUP(A355,'SegEnds_NonXtal_Prot#'!A:AL,31,FALSE)</f>
        <v>29</v>
      </c>
      <c r="AL355" s="1">
        <f>VLOOKUP(A355,'SegEnds_NonXtal_Prot#'!A:AL,37,FALSE)-VLOOKUP(A355,'SegEnds_NonXtal_Prot#'!A:AL,34,FALSE)</f>
        <v>19</v>
      </c>
      <c r="AM355" s="1" t="str">
        <f>IF(ISERROR(MATCH(A355,'SegEnds_Xtal_Prot#'!B:B, 0)), "NoXtal", "Xtal")</f>
        <v>NoXtal</v>
      </c>
    </row>
    <row r="356" spans="1:39" x14ac:dyDescent="0.2">
      <c r="A356" s="4" t="s">
        <v>114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32</v>
      </c>
      <c r="AC356" s="4">
        <f>VLOOKUP(A356,'SegEnds_NonXtal_Prot#'!A:AL,10,FALSE)-VLOOKUP(A356,'SegEnds_NonXtal_Prot#'!A:AL,7,FALSE)</f>
        <v>16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4" t="e">
        <f>VLOOKUP(#REF!,'SegEnds_NonXtal_Prot#'!#REF!,28,FALSE)-VLOOKUP(#REF!,'SegEnds_NonXtal_Prot#'!#REF!,25,FALSE)</f>
        <v>#REF!</v>
      </c>
      <c r="AH356" s="4">
        <f>VLOOKUP(A356,'SegEnds_NonXtal_Prot#'!A:AL,28,FALSE)-VLOOKUP(A356,'SegEnds_NonXtal_Prot#'!A:AL,25,FALSE)</f>
        <v>18</v>
      </c>
      <c r="AI356" s="1">
        <f>VLOOKUP(A356,'SegEnds_NonXtal_Prot#'!A:AL,28,FALSE)-VLOOKUP(A356,'SegEnds_NonXtal_Prot#'!A:AL,22,FALSE)</f>
        <v>50</v>
      </c>
      <c r="AJ356" s="4">
        <f>VLOOKUP(A356,'SegEnds_NonXtal_Prot#'!A:AL,31,FALSE)-VLOOKUP(A356,'SegEnds_NonXtal_Prot#'!A:AL,28,FALSE)</f>
        <v>35</v>
      </c>
      <c r="AK356" s="4">
        <f>VLOOKUP(A356,'SegEnds_NonXtal_Prot#'!A:AL,34,FALSE)-VLOOKUP(A356,'SegEnds_NonXtal_Prot#'!A:AL,31,FALSE)</f>
        <v>29</v>
      </c>
      <c r="AL356" s="1">
        <f>VLOOKUP(A356,'SegEnds_NonXtal_Prot#'!A:AL,37,FALSE)-VLOOKUP(A356,'SegEnds_NonXtal_Prot#'!A:AL,34,FALSE)</f>
        <v>19</v>
      </c>
      <c r="AM356" s="1" t="str">
        <f>IF(ISERROR(MATCH(A356,'SegEnds_Xtal_Prot#'!B:B, 0)), "NoXtal", "Xtal")</f>
        <v>NoXtal</v>
      </c>
    </row>
    <row r="357" spans="1:39" x14ac:dyDescent="0.2">
      <c r="A357" s="1" t="s">
        <v>122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 t="e">
        <f>VLOOKUP(#REF!,'SegEnds_NonXtal_Prot#'!#REF!,28,FALSE)-VLOOKUP(#REF!,'SegEnds_NonXtal_Prot#'!#REF!,25,FALSE)</f>
        <v>#REF!</v>
      </c>
      <c r="AH357" s="1">
        <f>VLOOKUP(A357,'SegEnds_NonXtal_Prot#'!A:AL,28,FALSE)-VLOOKUP(A357,'SegEnds_NonXtal_Prot#'!A:AL,25,FALSE)</f>
        <v>18</v>
      </c>
      <c r="AI357" s="1">
        <f>VLOOKUP(A357,'SegEnds_NonXtal_Prot#'!A:AL,28,FALSE)-VLOOKUP(A357,'SegEnds_NonXtal_Prot#'!A:AL,22,FALSE)</f>
        <v>51</v>
      </c>
      <c r="AJ357" s="1">
        <f>VLOOKUP(A357,'SegEnds_NonXtal_Prot#'!A:AL,31,FALSE)-VLOOKUP(A357,'SegEnds_NonXtal_Prot#'!A:AL,28,FALSE)</f>
        <v>37</v>
      </c>
      <c r="AK357" s="1">
        <f>VLOOKUP(A357,'SegEnds_NonXtal_Prot#'!A:AL,34,FALSE)-VLOOKUP(A357,'SegEnds_NonXtal_Prot#'!A:AL,31,FALSE)</f>
        <v>29</v>
      </c>
      <c r="AL357" s="1">
        <f>VLOOKUP(A357,'SegEnds_NonXtal_Prot#'!A:AL,37,FALSE)-VLOOKUP(A357,'SegEnds_NonXtal_Prot#'!A:AL,34,FALSE)</f>
        <v>19</v>
      </c>
      <c r="AM357" s="1" t="str">
        <f>IF(ISERROR(MATCH(A357,'SegEnds_Xtal_Prot#'!B:B, 0)), "NoXtal", "Xtal")</f>
        <v>NoXtal</v>
      </c>
    </row>
    <row r="358" spans="1:39" x14ac:dyDescent="0.2">
      <c r="A358" s="1" t="s">
        <v>123</v>
      </c>
      <c r="B358" s="1" t="str">
        <f>VLOOKUP(A358,Xtal_Templ!A:B,2,FALSE)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 t="e">
        <f>VLOOKUP(#REF!,'SegEnds_NonXtal_Prot#'!#REF!,28,FALSE)-VLOOKUP(#REF!,'SegEnds_NonXtal_Prot#'!#REF!,25,FALSE)</f>
        <v>#REF!</v>
      </c>
      <c r="AH358" s="1">
        <f>VLOOKUP(A358,'SegEnds_NonXtal_Prot#'!A:AL,28,FALSE)-VLOOKUP(A358,'SegEnds_NonXtal_Prot#'!A:AL,25,FALSE)</f>
        <v>18</v>
      </c>
      <c r="AI358" s="1">
        <f>VLOOKUP(A358,'SegEnds_NonXtal_Prot#'!A:AL,28,FALSE)-VLOOKUP(A358,'SegEnds_NonXtal_Prot#'!A:AL,22,FALSE)</f>
        <v>52</v>
      </c>
      <c r="AJ358" s="1">
        <f>VLOOKUP(A358,'SegEnds_NonXtal_Prot#'!A:AL,31,FALSE)-VLOOKUP(A358,'SegEnds_NonXtal_Prot#'!A:AL,28,FALSE)</f>
        <v>37</v>
      </c>
      <c r="AK358" s="1">
        <f>VLOOKUP(A358,'SegEnds_NonXtal_Prot#'!A:AL,34,FALSE)-VLOOKUP(A358,'SegEnds_NonXtal_Prot#'!A:AL,31,FALSE)</f>
        <v>29</v>
      </c>
      <c r="AL358" s="1">
        <f>VLOOKUP(A358,'SegEnds_NonXtal_Prot#'!A:AL,37,FALSE)-VLOOKUP(A358,'SegEnds_NonXtal_Prot#'!A:AL,34,FALSE)</f>
        <v>19</v>
      </c>
      <c r="AM358" s="1" t="str">
        <f>IF(ISERROR(MATCH(A358,'SegEnds_Xtal_Prot#'!B:B, 0)), "NoXtal", "Xtal")</f>
        <v>NoXtal</v>
      </c>
    </row>
    <row r="359" spans="1:39" x14ac:dyDescent="0.2">
      <c r="A359" s="1" t="s">
        <v>124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 t="e">
        <f>VLOOKUP(#REF!,'SegEnds_NonXtal_Prot#'!#REF!,28,FALSE)-VLOOKUP(#REF!,'SegEnds_NonXtal_Prot#'!#REF!,25,FALSE)</f>
        <v>#REF!</v>
      </c>
      <c r="AH359" s="1">
        <f>VLOOKUP(A359,'SegEnds_NonXtal_Prot#'!A:AL,28,FALSE)-VLOOKUP(A359,'SegEnds_NonXtal_Prot#'!A:AL,25,FALSE)</f>
        <v>18</v>
      </c>
      <c r="AI359" s="1">
        <f>VLOOKUP(A359,'SegEnds_NonXtal_Prot#'!A:AL,28,FALSE)-VLOOKUP(A359,'SegEnds_NonXtal_Prot#'!A:AL,22,FALSE)</f>
        <v>51</v>
      </c>
      <c r="AJ359" s="1">
        <f>VLOOKUP(A359,'SegEnds_NonXtal_Prot#'!A:AL,31,FALSE)-VLOOKUP(A359,'SegEnds_NonXtal_Prot#'!A:AL,28,FALSE)</f>
        <v>37</v>
      </c>
      <c r="AK359" s="1">
        <f>VLOOKUP(A359,'SegEnds_NonXtal_Prot#'!A:AL,34,FALSE)-VLOOKUP(A359,'SegEnds_NonXtal_Prot#'!A:AL,31,FALSE)</f>
        <v>29</v>
      </c>
      <c r="AL359" s="1">
        <f>VLOOKUP(A359,'SegEnds_NonXtal_Prot#'!A:AL,37,FALSE)-VLOOKUP(A359,'SegEnds_NonXtal_Prot#'!A:AL,34,FALSE)</f>
        <v>19</v>
      </c>
      <c r="AM359" s="1" t="str">
        <f>IF(ISERROR(MATCH(A359,'SegEnds_Xtal_Prot#'!B:B, 0)), "NoXtal", "Xtal")</f>
        <v>NoXtal</v>
      </c>
    </row>
    <row r="360" spans="1:39" x14ac:dyDescent="0.2">
      <c r="A360" s="1" t="s">
        <v>108</v>
      </c>
      <c r="B360" s="1" t="str">
        <f>VLOOKUP(A360,Xtal_Templ!A:B,2,FALSE)</f>
        <v>gabr2_human</v>
      </c>
      <c r="C360" s="5">
        <f>VLOOKUP($B360&amp;"__wt",'SegEnds_Xtal_BW#'!$A:$Z,3,FALSE)</f>
        <v>32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17</v>
      </c>
      <c r="L360" s="1">
        <f>VLOOKUP($B360&amp;"__wt",'SegEnds_Xtal_BW#'!$A:$Z,12,FALSE)</f>
        <v>55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35</v>
      </c>
      <c r="T360" s="1">
        <f>VLOOKUP($B360&amp;"__wt",'SegEnds_Xtal_BW#'!$A:$Z,20,FALSE)</f>
        <v>64</v>
      </c>
      <c r="U360" s="1">
        <f>VLOOKUP($B360&amp;"__wt",'SegEnds_Xtal_BW#'!$A:$Z,21,FALSE)</f>
        <v>33</v>
      </c>
      <c r="V360" s="1">
        <f>VLOOKUP($B360&amp;"__wt",'SegEnds_Xtal_BW#'!$A:$Z,22,FALSE)</f>
        <v>58</v>
      </c>
      <c r="W360" s="1">
        <f>VLOOKUP($B360&amp;"__wt",'SegEnds_Xtal_BW#'!$A:$Z,23,FALSE)</f>
        <v>30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50</v>
      </c>
      <c r="AF360" s="1" t="e">
        <f>VLOOKUP(A360,'SegEnds_NonXtal_Prot#'!A:AL,22,FALSE)-VLOOKUP(A360,'SegEnds_NonXtal_Prot#'!A:AL,19,FALSE)</f>
        <v>#VALUE!</v>
      </c>
      <c r="AG360" s="1" t="e">
        <f>VLOOKUP(#REF!,'SegEnds_NonXtal_Prot#'!#REF!,28,FALSE)-VLOOKUP(#REF!,'SegEnds_NonXtal_Prot#'!#REF!,25,FALSE)</f>
        <v>#REF!</v>
      </c>
      <c r="AH360" s="1">
        <f>VLOOKUP(A360,'SegEnds_NonXtal_Prot#'!A:AL,28,FALSE)-VLOOKUP(A360,'SegEnds_NonXtal_Prot#'!A:AL,25,FALSE)</f>
        <v>19</v>
      </c>
      <c r="AI360" s="1">
        <f>VLOOKUP(A360,'SegEnds_NonXtal_Prot#'!A:AL,28,FALSE)-VLOOKUP(A360,'SegEnds_NonXtal_Prot#'!A:AL,22,FALSE)</f>
        <v>62</v>
      </c>
      <c r="AJ360" s="1">
        <f>VLOOKUP(A360,'SegEnds_NonXtal_Prot#'!A:AL,31,FALSE)-VLOOKUP(A360,'SegEnds_NonXtal_Prot#'!A:AL,28,FALSE)</f>
        <v>39</v>
      </c>
      <c r="AK360" s="1">
        <f>VLOOKUP(A360,'SegEnds_NonXtal_Prot#'!A:AL,34,FALSE)-VLOOKUP(A360,'SegEnds_NonXtal_Prot#'!A:AL,31,FALSE)</f>
        <v>30</v>
      </c>
      <c r="AL360" s="1">
        <f>VLOOKUP(A360,'SegEnds_NonXtal_Prot#'!A:AL,37,FALSE)-VLOOKUP(A360,'SegEnds_NonXtal_Prot#'!A:AL,34,FALSE)</f>
        <v>19</v>
      </c>
      <c r="AM360" s="1" t="str">
        <f>IF(ISERROR(MATCH(A360,'SegEnds_Xtal_Prot#'!B:B, 0)), "NoXtal", "Xtal")</f>
        <v>NoXtal</v>
      </c>
    </row>
    <row r="361" spans="1:39" x14ac:dyDescent="0.2">
      <c r="A361" s="4" t="s">
        <v>106</v>
      </c>
      <c r="B361" s="4" t="str">
        <f>VLOOKUP(A361,Xtal_Templ!A:B,2,FALSE)</f>
        <v>gabr1_human</v>
      </c>
      <c r="C361" s="5">
        <f>VLOOKUP($B361&amp;"__wt",'SegEnds_Xtal_BW#'!$A:$Z,3,FALSE)</f>
        <v>34</v>
      </c>
      <c r="D361" s="4">
        <f>VLOOKUP($B361&amp;"__wt",'SegEnds_Xtal_BW#'!$A:$Z,4,FALSE)</f>
        <v>60</v>
      </c>
      <c r="E361" s="4">
        <f>VLOOKUP($B361&amp;"__wt",'SegEnds_Xtal_BW#'!$A:$Z,5,FALSE)</f>
        <v>47</v>
      </c>
      <c r="F361" s="4">
        <f>VLOOKUP($B361&amp;"__wt",'SegEnds_Xtal_BW#'!$A:$Z,6,FALSE)</f>
        <v>53</v>
      </c>
      <c r="G361" s="4">
        <v>39</v>
      </c>
      <c r="H361" s="11">
        <f>VLOOKUP($B361&amp;"__wt",'SegEnds_Xtal_BW#'!$A:$Z,8,FALSE)</f>
        <v>62</v>
      </c>
      <c r="I361" s="4" t="str">
        <f>VLOOKUP($B361&amp;"__wt",'SegEnds_Xtal_BW#'!$A:$Z,9,FALSE)</f>
        <v>-</v>
      </c>
      <c r="J361" s="4" t="str">
        <f>VLOOKUP($B361&amp;"__wt",'SegEnds_Xtal_BW#'!$A:$Z,10,FALSE)</f>
        <v>-</v>
      </c>
      <c r="K361" s="11">
        <f>VLOOKUP($B361&amp;"__wt",'SegEnds_Xtal_BW#'!$A:$Z,11,FALSE)</f>
        <v>20</v>
      </c>
      <c r="L361" s="4">
        <f>VLOOKUP($B361&amp;"__wt",'SegEnds_Xtal_BW#'!$A:$Z,12,FALSE)</f>
        <v>54</v>
      </c>
      <c r="M361" s="4" t="str">
        <f>VLOOKUP($B361&amp;"__wt",'SegEnds_Xtal_BW#'!$A:$Z,13,FALSE)</f>
        <v>-</v>
      </c>
      <c r="N361" s="11" t="str">
        <f>VLOOKUP($B361&amp;"__wt",'SegEnds_Xtal_BW#'!$A:$Z,14,FALSE)</f>
        <v>-</v>
      </c>
      <c r="O361" s="88">
        <f>VLOOKUP($B361&amp;"__wt",'SegEnds_Xtal_BW#'!$A:$Z,15,FALSE)</f>
        <v>38</v>
      </c>
      <c r="P361" s="4">
        <f>VLOOKUP($B361&amp;"__wt",'SegEnds_Xtal_BW#'!$A:$Z,16,FALSE)</f>
        <v>64</v>
      </c>
      <c r="Q361" s="4">
        <f>VLOOKUP($B361&amp;"__wt",'SegEnds_Xtal_BW#'!$A:$Z,17,FALSE)</f>
        <v>50</v>
      </c>
      <c r="R361" s="4">
        <f>VLOOKUP($B361&amp;"__wt",'SegEnds_Xtal_BW#'!$A:$Z,18,FALSE)</f>
        <v>52</v>
      </c>
      <c r="S361" s="4">
        <f>VLOOKUP($B361&amp;"__wt",'SegEnds_Xtal_BW#'!$A:$Z,19,FALSE)</f>
        <v>35</v>
      </c>
      <c r="T361" s="4">
        <f>VLOOKUP($B361&amp;"__wt",'SegEnds_Xtal_BW#'!$A:$Z,20,FALSE)</f>
        <v>62</v>
      </c>
      <c r="U361" s="4">
        <f>VLOOKUP($B361&amp;"__wt",'SegEnds_Xtal_BW#'!$A:$Z,21,FALSE)</f>
        <v>33</v>
      </c>
      <c r="V361" s="4">
        <f>VLOOKUP($B361&amp;"__wt",'SegEnds_Xtal_BW#'!$A:$Z,22,FALSE)</f>
        <v>58</v>
      </c>
      <c r="W361" s="4">
        <f>VLOOKUP($B361&amp;"__wt",'SegEnds_Xtal_BW#'!$A:$Z,23,FALSE)</f>
        <v>33</v>
      </c>
      <c r="X361" s="4">
        <f>VLOOKUP($B361&amp;"__wt",'SegEnds_Xtal_BW#'!$A:$Z,24,FALSE)</f>
        <v>64</v>
      </c>
      <c r="Y361" s="4">
        <f>VLOOKUP($B361&amp;"__wt",'SegEnds_Xtal_BW#'!$A:$Z,25,FALSE)</f>
        <v>46</v>
      </c>
      <c r="Z361" s="4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4">
        <f>VLOOKUP(A361,'SegEnds_NonXtal_Prot#'!A:AL,10,FALSE)-VLOOKUP(A361,'SegEnds_NonXtal_Prot#'!A:AL,7,FALSE)</f>
        <v>15</v>
      </c>
      <c r="AD361" s="4" t="e">
        <f>VLOOKUP(A361,'SegEnds_NonXtal_Prot#'!A:AL,13,FALSE)-VLOOKUP(A361,'SegEnds_NonXtal_Prot#'!A:AL,10,FALSE)</f>
        <v>#VALUE!</v>
      </c>
      <c r="AE361" s="4">
        <f>VLOOKUP(A361,'SegEnds_NonXtal_Prot#'!A:AL,16,FALSE)-VLOOKUP(A361,'SegEnds_NonXtal_Prot#'!A:AL,10,FALSE)</f>
        <v>51</v>
      </c>
      <c r="AF361" s="1" t="e">
        <f>VLOOKUP(A361,'SegEnds_NonXtal_Prot#'!A:AL,22,FALSE)-VLOOKUP(A361,'SegEnds_NonXtal_Prot#'!A:AL,19,FALSE)</f>
        <v>#VALUE!</v>
      </c>
      <c r="AG361" s="4" t="e">
        <f>VLOOKUP(#REF!,'SegEnds_NonXtal_Prot#'!#REF!,28,FALSE)-VLOOKUP(#REF!,'SegEnds_NonXtal_Prot#'!#REF!,25,FALSE)</f>
        <v>#REF!</v>
      </c>
      <c r="AH361" s="4">
        <f>VLOOKUP(A361,'SegEnds_NonXtal_Prot#'!A:AL,28,FALSE)-VLOOKUP(A361,'SegEnds_NonXtal_Prot#'!A:AL,25,FALSE)</f>
        <v>19</v>
      </c>
      <c r="AI361" s="1">
        <f>VLOOKUP(A361,'SegEnds_NonXtal_Prot#'!A:AL,28,FALSE)-VLOOKUP(A361,'SegEnds_NonXtal_Prot#'!A:AL,22,FALSE)</f>
        <v>62</v>
      </c>
      <c r="AJ361" s="4">
        <f>VLOOKUP(A361,'SegEnds_NonXtal_Prot#'!A:AL,31,FALSE)-VLOOKUP(A361,'SegEnds_NonXtal_Prot#'!A:AL,28,FALSE)</f>
        <v>38</v>
      </c>
      <c r="AK361" s="4">
        <f>VLOOKUP(A361,'SegEnds_NonXtal_Prot#'!A:AL,34,FALSE)-VLOOKUP(A361,'SegEnds_NonXtal_Prot#'!A:AL,31,FALSE)</f>
        <v>31</v>
      </c>
      <c r="AL361" s="1">
        <f>VLOOKUP(A361,'SegEnds_NonXtal_Prot#'!A:AL,37,FALSE)-VLOOKUP(A361,'SegEnds_NonXtal_Prot#'!A:AL,34,FALSE)</f>
        <v>19</v>
      </c>
      <c r="AM361" s="1" t="str">
        <f>IF(ISERROR(MATCH(A361,'SegEnds_Xtal_Prot#'!B:B, 0)), "NoXtal", "Xtal")</f>
        <v>Xtal</v>
      </c>
    </row>
    <row r="362" spans="1:39" x14ac:dyDescent="0.2">
      <c r="A362" s="1" t="s">
        <v>107</v>
      </c>
      <c r="B362" s="1" t="str">
        <f>VLOOKUP(A362,Xtal_Templ!A:B,2,FALSE)</f>
        <v>gabr2_human</v>
      </c>
      <c r="C362" s="5">
        <f>VLOOKUP($B362&amp;"__wt",'SegEnds_Xtal_BW#'!$A:$Z,3,FALSE)</f>
        <v>32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17</v>
      </c>
      <c r="L362" s="1">
        <f>VLOOKUP($B362&amp;"__wt",'SegEnds_Xtal_BW#'!$A:$Z,12,FALSE)</f>
        <v>55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35</v>
      </c>
      <c r="T362" s="1">
        <f>VLOOKUP($B362&amp;"__wt",'SegEnds_Xtal_BW#'!$A:$Z,20,FALSE)</f>
        <v>64</v>
      </c>
      <c r="U362" s="1">
        <f>VLOOKUP($B362&amp;"__wt",'SegEnds_Xtal_BW#'!$A:$Z,21,FALSE)</f>
        <v>33</v>
      </c>
      <c r="V362" s="1">
        <f>VLOOKUP($B362&amp;"__wt",'SegEnds_Xtal_BW#'!$A:$Z,22,FALSE)</f>
        <v>58</v>
      </c>
      <c r="W362" s="1">
        <f>VLOOKUP($B362&amp;"__wt",'SegEnds_Xtal_BW#'!$A:$Z,23,FALSE)</f>
        <v>30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51</v>
      </c>
      <c r="AF362" s="1" t="e">
        <f>VLOOKUP(A362,'SegEnds_NonXtal_Prot#'!A:AL,22,FALSE)-VLOOKUP(A362,'SegEnds_NonXtal_Prot#'!A:AL,19,FALSE)</f>
        <v>#VALUE!</v>
      </c>
      <c r="AG362" s="1" t="e">
        <f>VLOOKUP(#REF!,'SegEnds_NonXtal_Prot#'!#REF!,28,FALSE)-VLOOKUP(#REF!,'SegEnds_NonXtal_Prot#'!#REF!,25,FALSE)</f>
        <v>#REF!</v>
      </c>
      <c r="AH362" s="1">
        <f>VLOOKUP(A362,'SegEnds_NonXtal_Prot#'!A:AL,28,FALSE)-VLOOKUP(A362,'SegEnds_NonXtal_Prot#'!A:AL,25,FALSE)</f>
        <v>19</v>
      </c>
      <c r="AI362" s="1">
        <f>VLOOKUP(A362,'SegEnds_NonXtal_Prot#'!A:AL,28,FALSE)-VLOOKUP(A362,'SegEnds_NonXtal_Prot#'!A:AL,22,FALSE)</f>
        <v>62</v>
      </c>
      <c r="AJ362" s="1">
        <f>VLOOKUP(A362,'SegEnds_NonXtal_Prot#'!A:AL,31,FALSE)-VLOOKUP(A362,'SegEnds_NonXtal_Prot#'!A:AL,28,FALSE)</f>
        <v>38</v>
      </c>
      <c r="AK362" s="1">
        <f>VLOOKUP(A362,'SegEnds_NonXtal_Prot#'!A:AL,34,FALSE)-VLOOKUP(A362,'SegEnds_NonXtal_Prot#'!A:AL,31,FALSE)</f>
        <v>31</v>
      </c>
      <c r="AL362" s="1">
        <f>VLOOKUP(A362,'SegEnds_NonXtal_Prot#'!A:AL,37,FALSE)-VLOOKUP(A362,'SegEnds_NonXtal_Prot#'!A:AL,34,FALSE)</f>
        <v>19</v>
      </c>
      <c r="AM362" s="1" t="str">
        <f>IF(ISERROR(MATCH(A362,'SegEnds_Xtal_Prot#'!B:B, 0)), "NoXtal", "Xtal")</f>
        <v>Xtal</v>
      </c>
    </row>
    <row r="363" spans="1:39" x14ac:dyDescent="0.2">
      <c r="A363" s="1" t="s">
        <v>115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 t="e">
        <f>VLOOKUP(#REF!,'SegEnds_NonXtal_Prot#'!#REF!,28,FALSE)-VLOOKUP(#REF!,'SegEnds_NonXtal_Prot#'!#REF!,25,FALSE)</f>
        <v>#REF!</v>
      </c>
      <c r="AH363" s="1">
        <f>VLOOKUP(A363,'SegEnds_NonXtal_Prot#'!A:AL,28,FALSE)-VLOOKUP(A363,'SegEnds_NonXtal_Prot#'!A:AL,25,FALSE)</f>
        <v>17</v>
      </c>
      <c r="AI363" s="1">
        <f>VLOOKUP(A363,'SegEnds_NonXtal_Prot#'!A:AL,28,FALSE)-VLOOKUP(A363,'SegEnds_NonXtal_Prot#'!A:AL,22,FALSE)</f>
        <v>51</v>
      </c>
      <c r="AJ363" s="1">
        <f>VLOOKUP(A363,'SegEnds_NonXtal_Prot#'!A:AL,31,FALSE)-VLOOKUP(A363,'SegEnds_NonXtal_Prot#'!A:AL,28,FALSE)</f>
        <v>37</v>
      </c>
      <c r="AK363" s="1">
        <f>VLOOKUP(A363,'SegEnds_NonXtal_Prot#'!A:AL,34,FALSE)-VLOOKUP(A363,'SegEnds_NonXtal_Prot#'!A:AL,31,FALSE)</f>
        <v>31</v>
      </c>
      <c r="AL363" s="1">
        <f>VLOOKUP(A363,'SegEnds_NonXtal_Prot#'!A:AL,37,FALSE)-VLOOKUP(A363,'SegEnds_NonXtal_Prot#'!A:AL,34,FALSE)</f>
        <v>19</v>
      </c>
      <c r="AM363" s="1" t="str">
        <f>IF(ISERROR(MATCH(A363,'SegEnds_Xtal_Prot#'!B:B, 0)), "NoXtal", "Xtal")</f>
        <v>NoXtal</v>
      </c>
    </row>
    <row r="364" spans="1:39" x14ac:dyDescent="0.2">
      <c r="A364" s="1" t="s">
        <v>116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 t="e">
        <f>VLOOKUP(#REF!,'SegEnds_NonXtal_Prot#'!#REF!,28,FALSE)-VLOOKUP(#REF!,'SegEnds_NonXtal_Prot#'!#REF!,25,FALSE)</f>
        <v>#REF!</v>
      </c>
      <c r="AH364" s="1">
        <f>VLOOKUP(A364,'SegEnds_NonXtal_Prot#'!A:AL,28,FALSE)-VLOOKUP(A364,'SegEnds_NonXtal_Prot#'!A:AL,25,FALSE)</f>
        <v>17</v>
      </c>
      <c r="AI364" s="1">
        <f>VLOOKUP(A364,'SegEnds_NonXtal_Prot#'!A:AL,28,FALSE)-VLOOKUP(A364,'SegEnds_NonXtal_Prot#'!A:AL,22,FALSE)</f>
        <v>51</v>
      </c>
      <c r="AJ364" s="1">
        <f>VLOOKUP(A364,'SegEnds_NonXtal_Prot#'!A:AL,31,FALSE)-VLOOKUP(A364,'SegEnds_NonXtal_Prot#'!A:AL,28,FALSE)</f>
        <v>37</v>
      </c>
      <c r="AK364" s="1">
        <f>VLOOKUP(A364,'SegEnds_NonXtal_Prot#'!A:AL,34,FALSE)-VLOOKUP(A364,'SegEnds_NonXtal_Prot#'!A:AL,31,FALSE)</f>
        <v>31</v>
      </c>
      <c r="AL364" s="1">
        <f>VLOOKUP(A364,'SegEnds_NonXtal_Prot#'!A:AL,37,FALSE)-VLOOKUP(A364,'SegEnds_NonXtal_Prot#'!A:AL,34,FALSE)</f>
        <v>19</v>
      </c>
      <c r="AM364" s="1" t="str">
        <f>IF(ISERROR(MATCH(A364,'SegEnds_Xtal_Prot#'!B:B, 0)), "NoXtal", "Xtal")</f>
        <v>NoXtal</v>
      </c>
    </row>
    <row r="365" spans="1:39" x14ac:dyDescent="0.2">
      <c r="A365" s="1" t="s">
        <v>121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33</v>
      </c>
      <c r="AC365" s="1">
        <f>VLOOKUP(A365,'SegEnds_NonXtal_Prot#'!A:AL,10,FALSE)-VLOOKUP(A365,'SegEnds_NonXtal_Prot#'!A:AL,7,FALSE)</f>
        <v>19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 t="e">
        <f>VLOOKUP(#REF!,'SegEnds_NonXtal_Prot#'!#REF!,28,FALSE)-VLOOKUP(#REF!,'SegEnds_NonXtal_Prot#'!#REF!,25,FALSE)</f>
        <v>#REF!</v>
      </c>
      <c r="AH365" s="1" t="e">
        <f>VLOOKUP(A365,'SegEnds_NonXtal_Prot#'!A:AL,28,FALSE)-VLOOKUP(A365,'SegEnds_NonXtal_Prot#'!A:AL,25,FALSE)</f>
        <v>#VALUE!</v>
      </c>
      <c r="AI365" s="1">
        <f>VLOOKUP(A365,'SegEnds_NonXtal_Prot#'!A:AL,28,FALSE)-VLOOKUP(A365,'SegEnds_NonXtal_Prot#'!A:AL,22,FALSE)</f>
        <v>45</v>
      </c>
      <c r="AJ365" s="1">
        <f>VLOOKUP(A365,'SegEnds_NonXtal_Prot#'!A:AL,31,FALSE)-VLOOKUP(A365,'SegEnds_NonXtal_Prot#'!A:AL,28,FALSE)</f>
        <v>39</v>
      </c>
      <c r="AK365" s="1">
        <f>VLOOKUP(A365,'SegEnds_NonXtal_Prot#'!A:AL,34,FALSE)-VLOOKUP(A365,'SegEnds_NonXtal_Prot#'!A:AL,31,FALSE)</f>
        <v>31</v>
      </c>
      <c r="AL365" s="1">
        <f>VLOOKUP(A365,'SegEnds_NonXtal_Prot#'!A:AL,37,FALSE)-VLOOKUP(A365,'SegEnds_NonXtal_Prot#'!A:AL,34,FALSE)</f>
        <v>21</v>
      </c>
      <c r="AM365" s="1" t="str">
        <f>IF(ISERROR(MATCH(A365,'SegEnds_Xtal_Prot#'!B:B, 0)), "NoXtal", "Xtal")</f>
        <v>NoXtal</v>
      </c>
    </row>
    <row r="366" spans="1:39" x14ac:dyDescent="0.2">
      <c r="A366" s="4" t="s">
        <v>109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4">
        <f>VLOOKUP(A366,'SegEnds_NonXtal_Prot#'!A:AL,10,FALSE)-VLOOKUP(A366,'SegEnds_NonXtal_Prot#'!A:AL,7,FALSE)</f>
        <v>15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 t="e">
        <f>VLOOKUP(#REF!,'SegEnds_NonXtal_Prot#'!#REF!,28,FALSE)-VLOOKUP(#REF!,'SegEnds_NonXtal_Prot#'!#REF!,25,FALSE)</f>
        <v>#REF!</v>
      </c>
      <c r="AH366" s="4">
        <f>VLOOKUP(A366,'SegEnds_NonXtal_Prot#'!A:AL,28,FALSE)-VLOOKUP(A366,'SegEnds_NonXtal_Prot#'!A:AL,25,FALSE)</f>
        <v>16</v>
      </c>
      <c r="AI366" s="1">
        <f>VLOOKUP(A366,'SegEnds_NonXtal_Prot#'!A:AL,28,FALSE)-VLOOKUP(A366,'SegEnds_NonXtal_Prot#'!A:AL,22,FALSE)</f>
        <v>65</v>
      </c>
      <c r="AJ366" s="4">
        <f>VLOOKUP(A366,'SegEnds_NonXtal_Prot#'!A:AL,31,FALSE)-VLOOKUP(A366,'SegEnds_NonXtal_Prot#'!A:AL,28,FALSE)</f>
        <v>37</v>
      </c>
      <c r="AK366" s="4">
        <f>VLOOKUP(A366,'SegEnds_NonXtal_Prot#'!A:AL,34,FALSE)-VLOOKUP(A366,'SegEnds_NonXtal_Prot#'!A:AL,31,FALSE)</f>
        <v>33</v>
      </c>
      <c r="AL366" s="1">
        <f>VLOOKUP(A366,'SegEnds_NonXtal_Prot#'!A:AL,37,FALSE)-VLOOKUP(A366,'SegEnds_NonXtal_Prot#'!A:AL,34,FALSE)</f>
        <v>19</v>
      </c>
      <c r="AM366" s="1" t="str">
        <f>IF(ISERROR(MATCH(A366,'SegEnds_Xtal_Prot#'!B:B, 0)), "NoXtal", "Xtal")</f>
        <v>NoXtal</v>
      </c>
    </row>
    <row r="367" spans="1:39" x14ac:dyDescent="0.2">
      <c r="A367" s="1" t="s">
        <v>110</v>
      </c>
      <c r="B367" s="1" t="str">
        <f>VLOOKUP(A367,Xtal_Templ!A:B,2,FALSE)</f>
        <v>gabr2_human</v>
      </c>
      <c r="C367" s="5">
        <f>VLOOKUP($B367&amp;"__wt",'SegEnds_Xtal_BW#'!$A:$Z,3,FALSE)</f>
        <v>32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08">
        <v>22</v>
      </c>
      <c r="L367" s="1">
        <f>VLOOKUP($B367&amp;"__wt",'SegEnds_Xtal_BW#'!$A:$Z,12,FALSE)</f>
        <v>55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35</v>
      </c>
      <c r="T367" s="1">
        <f>VLOOKUP($B367&amp;"__wt",'SegEnds_Xtal_BW#'!$A:$Z,20,FALSE)</f>
        <v>64</v>
      </c>
      <c r="U367" s="1">
        <f>VLOOKUP($B367&amp;"__wt",'SegEnds_Xtal_BW#'!$A:$Z,21,FALSE)</f>
        <v>33</v>
      </c>
      <c r="V367" s="1">
        <f>VLOOKUP($B367&amp;"__wt",'SegEnds_Xtal_BW#'!$A:$Z,22,FALSE)</f>
        <v>58</v>
      </c>
      <c r="W367" s="1">
        <f>VLOOKUP($B367&amp;"__wt",'SegEnds_Xtal_BW#'!$A:$Z,23,FALSE)</f>
        <v>30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 t="e">
        <f>VLOOKUP(#REF!,'SegEnds_NonXtal_Prot#'!#REF!,28,FALSE)-VLOOKUP(#REF!,'SegEnds_NonXtal_Prot#'!#REF!,25,FALSE)</f>
        <v>#REF!</v>
      </c>
      <c r="AH367" s="1">
        <f>VLOOKUP(A367,'SegEnds_NonXtal_Prot#'!A:AL,28,FALSE)-VLOOKUP(A367,'SegEnds_NonXtal_Prot#'!A:AL,25,FALSE)</f>
        <v>16</v>
      </c>
      <c r="AI367" s="1">
        <f>VLOOKUP(A367,'SegEnds_NonXtal_Prot#'!A:AL,28,FALSE)-VLOOKUP(A367,'SegEnds_NonXtal_Prot#'!A:AL,22,FALSE)</f>
        <v>65</v>
      </c>
      <c r="AJ367" s="1">
        <f>VLOOKUP(A367,'SegEnds_NonXtal_Prot#'!A:AL,31,FALSE)-VLOOKUP(A367,'SegEnds_NonXtal_Prot#'!A:AL,28,FALSE)</f>
        <v>37</v>
      </c>
      <c r="AK367" s="1">
        <f>VLOOKUP(A367,'SegEnds_NonXtal_Prot#'!A:AL,34,FALSE)-VLOOKUP(A367,'SegEnds_NonXtal_Prot#'!A:AL,31,FALSE)</f>
        <v>33</v>
      </c>
      <c r="AL367" s="1">
        <f>VLOOKUP(A367,'SegEnds_NonXtal_Prot#'!A:AL,37,FALSE)-VLOOKUP(A367,'SegEnds_NonXtal_Prot#'!A:AL,34,FALSE)</f>
        <v>19</v>
      </c>
      <c r="AM367" s="1" t="str">
        <f>IF(ISERROR(MATCH(A367,'SegEnds_Xtal_Prot#'!B:B, 0)), "NoXtal", "Xtal")</f>
        <v>NoXtal</v>
      </c>
    </row>
    <row r="368" spans="1:39" x14ac:dyDescent="0.2">
      <c r="A368" s="1" t="s">
        <v>112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1">
        <f>VLOOKUP(A368,'SegEnds_NonXtal_Prot#'!A:AL,10,FALSE)-VLOOKUP(A368,'SegEnds_NonXtal_Prot#'!A:AL,7,FALSE)</f>
        <v>19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 t="e">
        <f>VLOOKUP(#REF!,'SegEnds_NonXtal_Prot#'!#REF!,28,FALSE)-VLOOKUP(#REF!,'SegEnds_NonXtal_Prot#'!#REF!,25,FALSE)</f>
        <v>#REF!</v>
      </c>
      <c r="AH368" s="1">
        <f>VLOOKUP(A368,'SegEnds_NonXtal_Prot#'!A:AL,28,FALSE)-VLOOKUP(A368,'SegEnds_NonXtal_Prot#'!A:AL,25,FALSE)</f>
        <v>17</v>
      </c>
      <c r="AI368" s="1">
        <f>VLOOKUP(A368,'SegEnds_NonXtal_Prot#'!A:AL,28,FALSE)-VLOOKUP(A368,'SegEnds_NonXtal_Prot#'!A:AL,22,FALSE)</f>
        <v>55</v>
      </c>
      <c r="AJ368" s="1">
        <f>VLOOKUP(A368,'SegEnds_NonXtal_Prot#'!A:AL,31,FALSE)-VLOOKUP(A368,'SegEnds_NonXtal_Prot#'!A:AL,28,FALSE)</f>
        <v>39</v>
      </c>
      <c r="AK368" s="1">
        <f>VLOOKUP(A368,'SegEnds_NonXtal_Prot#'!A:AL,34,FALSE)-VLOOKUP(A368,'SegEnds_NonXtal_Prot#'!A:AL,31,FALSE)</f>
        <v>34</v>
      </c>
      <c r="AL368" s="1">
        <f>VLOOKUP(A368,'SegEnds_NonXtal_Prot#'!A:AL,37,FALSE)-VLOOKUP(A368,'SegEnds_NonXtal_Prot#'!A:AL,34,FALSE)</f>
        <v>20</v>
      </c>
      <c r="AM368" s="1" t="str">
        <f>IF(ISERROR(MATCH(A368,'SegEnds_Xtal_Prot#'!B:B, 0)), "NoXtal", "Xtal")</f>
        <v>NoXtal</v>
      </c>
    </row>
    <row r="369" spans="1:39" x14ac:dyDescent="0.2">
      <c r="A369" s="1" t="s">
        <v>117</v>
      </c>
      <c r="B369" s="1" t="str">
        <f>VLOOKUP(A369,Xtal_Templ!A:B,2,FALSE)</f>
        <v>grm5_human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21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VLOOKUP(#REF!,'SegEnds_NonXtal_Prot#'!#REF!,28,FALSE)-VLOOKUP(#REF!,'SegEnds_NonXtal_Prot#'!#REF!,25,FALSE)</f>
        <v>#REF!</v>
      </c>
      <c r="AH369" s="1">
        <f>VLOOKUP(A369,'SegEnds_NonXtal_Prot#'!A:AL,28,FALSE)-VLOOKUP(A369,'SegEnds_NonXtal_Prot#'!A:AL,25,FALSE)</f>
        <v>17</v>
      </c>
      <c r="AI369" s="1">
        <f>VLOOKUP(A369,'SegEnds_NonXtal_Prot#'!A:AL,28,FALSE)-VLOOKUP(A369,'SegEnds_NonXtal_Prot#'!A:AL,22,FALSE)</f>
        <v>56</v>
      </c>
      <c r="AJ369" s="1">
        <f>VLOOKUP(A369,'SegEnds_NonXtal_Prot#'!A:AL,31,FALSE)-VLOOKUP(A369,'SegEnds_NonXtal_Prot#'!A:AL,28,FALSE)</f>
        <v>37</v>
      </c>
      <c r="AK369" s="1">
        <f>VLOOKUP(A369,'SegEnds_NonXtal_Prot#'!A:AL,34,FALSE)-VLOOKUP(A369,'SegEnds_NonXtal_Prot#'!A:AL,31,FALSE)</f>
        <v>34</v>
      </c>
      <c r="AL369" s="1">
        <f>VLOOKUP(A369,'SegEnds_NonXtal_Prot#'!A:AL,37,FALSE)-VLOOKUP(A369,'SegEnds_NonXtal_Prot#'!A:AL,34,FALSE)</f>
        <v>19</v>
      </c>
      <c r="AM369" s="1" t="str">
        <f>IF(ISERROR(MATCH(A369,'SegEnds_Xtal_Prot#'!B:B, 0)), "NoXtal", "Xtal")</f>
        <v>NoXtal</v>
      </c>
    </row>
    <row r="370" spans="1:39" x14ac:dyDescent="0.2">
      <c r="A370" s="1" t="s">
        <v>118</v>
      </c>
      <c r="B370" s="1" t="str">
        <f>VLOOKUP(A370,Xtal_Templ!A:B,2,FALSE)</f>
        <v>grm5_human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21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1" t="e">
        <f>VLOOKUP(#REF!,'SegEnds_NonXtal_Prot#'!#REF!,28,FALSE)-VLOOKUP(#REF!,'SegEnds_NonXtal_Prot#'!#REF!,25,FALSE)</f>
        <v>#REF!</v>
      </c>
      <c r="AH370" s="1">
        <f>VLOOKUP(A370,'SegEnds_NonXtal_Prot#'!A:AL,28,FALSE)-VLOOKUP(A370,'SegEnds_NonXtal_Prot#'!A:AL,25,FALSE)</f>
        <v>17</v>
      </c>
      <c r="AI370" s="1">
        <f>VLOOKUP(A370,'SegEnds_NonXtal_Prot#'!A:AL,28,FALSE)-VLOOKUP(A370,'SegEnds_NonXtal_Prot#'!A:AL,22,FALSE)</f>
        <v>56</v>
      </c>
      <c r="AJ370" s="1">
        <f>VLOOKUP(A370,'SegEnds_NonXtal_Prot#'!A:AL,31,FALSE)-VLOOKUP(A370,'SegEnds_NonXtal_Prot#'!A:AL,28,FALSE)</f>
        <v>37</v>
      </c>
      <c r="AK370" s="1">
        <f>VLOOKUP(A370,'SegEnds_NonXtal_Prot#'!A:AL,34,FALSE)-VLOOKUP(A370,'SegEnds_NonXtal_Prot#'!A:AL,31,FALSE)</f>
        <v>34</v>
      </c>
      <c r="AL370" s="1">
        <f>VLOOKUP(A370,'SegEnds_NonXtal_Prot#'!A:AL,37,FALSE)-VLOOKUP(A370,'SegEnds_NonXtal_Prot#'!A:AL,34,FALSE)</f>
        <v>19</v>
      </c>
      <c r="AM370" s="1" t="str">
        <f>IF(ISERROR(MATCH(A370,'SegEnds_Xtal_Prot#'!B:B, 0)), "NoXtal", "Xtal")</f>
        <v>NoXtal</v>
      </c>
    </row>
    <row r="371" spans="1:39" x14ac:dyDescent="0.2">
      <c r="A371" s="1" t="s">
        <v>119</v>
      </c>
      <c r="B371" s="1" t="str">
        <f>VLOOKUP(A371,Xtal_Templ!A:B,2,FALSE)</f>
        <v>grm5_human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21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44</v>
      </c>
      <c r="AF371" s="1" t="e">
        <f>VLOOKUP(A371,'SegEnds_NonXtal_Prot#'!A:AL,22,FALSE)-VLOOKUP(A371,'SegEnds_NonXtal_Prot#'!A:AL,19,FALSE)</f>
        <v>#VALUE!</v>
      </c>
      <c r="AG371" s="1" t="e">
        <f>VLOOKUP(#REF!,'SegEnds_NonXtal_Prot#'!#REF!,28,FALSE)-VLOOKUP(#REF!,'SegEnds_NonXtal_Prot#'!#REF!,25,FALSE)</f>
        <v>#REF!</v>
      </c>
      <c r="AH371" s="1">
        <f>VLOOKUP(A371,'SegEnds_NonXtal_Prot#'!A:AL,28,FALSE)-VLOOKUP(A371,'SegEnds_NonXtal_Prot#'!A:AL,25,FALSE)</f>
        <v>17</v>
      </c>
      <c r="AI371" s="1">
        <f>VLOOKUP(A371,'SegEnds_NonXtal_Prot#'!A:AL,28,FALSE)-VLOOKUP(A371,'SegEnds_NonXtal_Prot#'!A:AL,22,FALSE)</f>
        <v>56</v>
      </c>
      <c r="AJ371" s="1">
        <f>VLOOKUP(A371,'SegEnds_NonXtal_Prot#'!A:AL,31,FALSE)-VLOOKUP(A371,'SegEnds_NonXtal_Prot#'!A:AL,28,FALSE)</f>
        <v>37</v>
      </c>
      <c r="AK371" s="1">
        <f>VLOOKUP(A371,'SegEnds_NonXtal_Prot#'!A:AL,34,FALSE)-VLOOKUP(A371,'SegEnds_NonXtal_Prot#'!A:AL,31,FALSE)</f>
        <v>34</v>
      </c>
      <c r="AL371" s="1">
        <f>VLOOKUP(A371,'SegEnds_NonXtal_Prot#'!A:AL,37,FALSE)-VLOOKUP(A371,'SegEnds_NonXtal_Prot#'!A:AL,34,FALSE)</f>
        <v>19</v>
      </c>
      <c r="AM371" s="1" t="str">
        <f>IF(ISERROR(MATCH(A371,'SegEnds_Xtal_Prot#'!B:B, 0)), "NoXtal", "Xtal")</f>
        <v>NoXtal</v>
      </c>
    </row>
    <row r="372" spans="1:39" x14ac:dyDescent="0.2">
      <c r="A372" s="1" t="s">
        <v>120</v>
      </c>
      <c r="B372" s="1" t="str">
        <f>VLOOKUP(A372,Xtal_Templ!A:B,2,FALSE)</f>
        <v>grm5_human</v>
      </c>
      <c r="C372" s="5">
        <f>VLOOKUP($B372&amp;"__wt",'SegEnds_Xtal_BW#'!$A:$Z,3,FALSE)</f>
        <v>34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53</v>
      </c>
      <c r="G372" s="1">
        <v>39</v>
      </c>
      <c r="H372" s="12">
        <f>VLOOKUP($B372&amp;"__wt",'SegEnds_Xtal_BW#'!$A:$Z,8,FALSE)</f>
        <v>61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21</v>
      </c>
      <c r="L372" s="1">
        <f>VLOOKUP($B372&amp;"__wt",'SegEnds_Xtal_BW#'!$A:$Z,12,FALSE)</f>
        <v>54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61</v>
      </c>
      <c r="U372" s="1">
        <f>VLOOKUP($B372&amp;"__wt",'SegEnds_Xtal_BW#'!$A:$Z,21,FALSE)</f>
        <v>33</v>
      </c>
      <c r="V372" s="1">
        <f>VLOOKUP($B372&amp;"__wt",'SegEnds_Xtal_BW#'!$A:$Z,22,FALSE)</f>
        <v>57</v>
      </c>
      <c r="W372" s="1">
        <f>VLOOKUP($B372&amp;"__wt",'SegEnds_Xtal_BW#'!$A:$Z,23,FALSE)</f>
        <v>33</v>
      </c>
      <c r="X372" s="1">
        <f>VLOOKUP($B372&amp;"__wt",'SegEnds_Xtal_BW#'!$A:$Z,24,FALSE)</f>
        <v>64</v>
      </c>
      <c r="Y372" s="1">
        <f>VLOOKUP($B372&amp;"__wt",'SegEnds_Xtal_BW#'!$A:$Z,25,FALSE)</f>
        <v>46</v>
      </c>
      <c r="Z372" s="1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1">
        <f>VLOOKUP(A372,'SegEnds_NonXtal_Prot#'!A:AL,10,FALSE)-VLOOKUP(A372,'SegEnds_NonXtal_Prot#'!A:AL,7,FALSE)</f>
        <v>15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44</v>
      </c>
      <c r="AF372" s="1" t="e">
        <f>VLOOKUP(A372,'SegEnds_NonXtal_Prot#'!A:AL,22,FALSE)-VLOOKUP(A372,'SegEnds_NonXtal_Prot#'!A:AL,19,FALSE)</f>
        <v>#VALUE!</v>
      </c>
      <c r="AG372" s="1" t="e">
        <f>VLOOKUP(#REF!,'SegEnds_NonXtal_Prot#'!#REF!,28,FALSE)-VLOOKUP(#REF!,'SegEnds_NonXtal_Prot#'!#REF!,25,FALSE)</f>
        <v>#REF!</v>
      </c>
      <c r="AH372" s="1">
        <f>VLOOKUP(A372,'SegEnds_NonXtal_Prot#'!A:AL,28,FALSE)-VLOOKUP(A372,'SegEnds_NonXtal_Prot#'!A:AL,25,FALSE)</f>
        <v>17</v>
      </c>
      <c r="AI372" s="1">
        <f>VLOOKUP(A372,'SegEnds_NonXtal_Prot#'!A:AL,28,FALSE)-VLOOKUP(A372,'SegEnds_NonXtal_Prot#'!A:AL,22,FALSE)</f>
        <v>56</v>
      </c>
      <c r="AJ372" s="1">
        <f>VLOOKUP(A372,'SegEnds_NonXtal_Prot#'!A:AL,31,FALSE)-VLOOKUP(A372,'SegEnds_NonXtal_Prot#'!A:AL,28,FALSE)</f>
        <v>37</v>
      </c>
      <c r="AK372" s="1">
        <f>VLOOKUP(A372,'SegEnds_NonXtal_Prot#'!A:AL,34,FALSE)-VLOOKUP(A372,'SegEnds_NonXtal_Prot#'!A:AL,31,FALSE)</f>
        <v>34</v>
      </c>
      <c r="AL372" s="1">
        <f>VLOOKUP(A372,'SegEnds_NonXtal_Prot#'!A:AL,37,FALSE)-VLOOKUP(A372,'SegEnds_NonXtal_Prot#'!A:AL,34,FALSE)</f>
        <v>19</v>
      </c>
      <c r="AM372" s="1" t="str">
        <f>IF(ISERROR(MATCH(A372,'SegEnds_Xtal_Prot#'!B:B, 0)), "NoXtal", "Xtal")</f>
        <v>NoXtal</v>
      </c>
    </row>
    <row r="373" spans="1:39" x14ac:dyDescent="0.2">
      <c r="A373" s="4" t="s">
        <v>111</v>
      </c>
      <c r="B373" s="4" t="str">
        <f>VLOOKUP(A373,Xtal_Templ!A:B,2,FALSE)</f>
        <v>grm1_human</v>
      </c>
      <c r="C373" s="5">
        <f>VLOOKUP($B373&amp;"__wt",'SegEnds_Xtal_BW#'!$A:$Z,3,FALSE)</f>
        <v>34</v>
      </c>
      <c r="D373" s="4">
        <f>VLOOKUP($B373&amp;"__wt",'SegEnds_Xtal_BW#'!$A:$Z,4,FALSE)</f>
        <v>60</v>
      </c>
      <c r="E373" s="4">
        <f>VLOOKUP($B373&amp;"__wt",'SegEnds_Xtal_BW#'!$A:$Z,5,FALSE)</f>
        <v>47</v>
      </c>
      <c r="F373" s="4">
        <f>VLOOKUP($B373&amp;"__wt",'SegEnds_Xtal_BW#'!$A:$Z,6,FALSE)</f>
        <v>53</v>
      </c>
      <c r="G373" s="4">
        <v>39</v>
      </c>
      <c r="H373" s="11">
        <f>VLOOKUP($B373&amp;"__wt",'SegEnds_Xtal_BW#'!$A:$Z,8,FALSE)</f>
        <v>61</v>
      </c>
      <c r="I373" s="4" t="str">
        <f>VLOOKUP($B373&amp;"__wt",'SegEnds_Xtal_BW#'!$A:$Z,9,FALSE)</f>
        <v>-</v>
      </c>
      <c r="J373" s="4" t="str">
        <f>VLOOKUP($B373&amp;"__wt",'SegEnds_Xtal_BW#'!$A:$Z,10,FALSE)</f>
        <v>-</v>
      </c>
      <c r="K373" s="11">
        <f>VLOOKUP($B373&amp;"__wt",'SegEnds_Xtal_BW#'!$A:$Z,11,FALSE)</f>
        <v>22</v>
      </c>
      <c r="L373" s="4">
        <f>VLOOKUP($B373&amp;"__wt",'SegEnds_Xtal_BW#'!$A:$Z,12,FALSE)</f>
        <v>54</v>
      </c>
      <c r="M373" s="4" t="str">
        <f>VLOOKUP($B373&amp;"__wt",'SegEnds_Xtal_BW#'!$A:$Z,13,FALSE)</f>
        <v>-</v>
      </c>
      <c r="N373" s="11" t="str">
        <f>VLOOKUP($B373&amp;"__wt",'SegEnds_Xtal_BW#'!$A:$Z,14,FALSE)</f>
        <v>-</v>
      </c>
      <c r="O373" s="88">
        <f>VLOOKUP($B373&amp;"__wt",'SegEnds_Xtal_BW#'!$A:$Z,15,FALSE)</f>
        <v>38</v>
      </c>
      <c r="P373" s="4">
        <f>VLOOKUP($B373&amp;"__wt",'SegEnds_Xtal_BW#'!$A:$Z,16,FALSE)</f>
        <v>64</v>
      </c>
      <c r="Q373" s="4">
        <f>VLOOKUP($B373&amp;"__wt",'SegEnds_Xtal_BW#'!$A:$Z,17,FALSE)</f>
        <v>50</v>
      </c>
      <c r="R373" s="4">
        <f>VLOOKUP($B373&amp;"__wt",'SegEnds_Xtal_BW#'!$A:$Z,18,FALSE)</f>
        <v>52</v>
      </c>
      <c r="S373" s="4">
        <f>VLOOKUP($B373&amp;"__wt",'SegEnds_Xtal_BW#'!$A:$Z,19,FALSE)</f>
        <v>36</v>
      </c>
      <c r="T373" s="4">
        <f>VLOOKUP($B373&amp;"__wt",'SegEnds_Xtal_BW#'!$A:$Z,20,FALSE)</f>
        <v>61</v>
      </c>
      <c r="U373" s="4">
        <f>VLOOKUP($B373&amp;"__wt",'SegEnds_Xtal_BW#'!$A:$Z,21,FALSE)</f>
        <v>33</v>
      </c>
      <c r="V373" s="4">
        <f>VLOOKUP($B373&amp;"__wt",'SegEnds_Xtal_BW#'!$A:$Z,22,FALSE)</f>
        <v>57</v>
      </c>
      <c r="W373" s="4">
        <f>VLOOKUP($B373&amp;"__wt",'SegEnds_Xtal_BW#'!$A:$Z,23,FALSE)</f>
        <v>33</v>
      </c>
      <c r="X373" s="4">
        <f>VLOOKUP($B373&amp;"__wt",'SegEnds_Xtal_BW#'!$A:$Z,24,FALSE)</f>
        <v>64</v>
      </c>
      <c r="Y373" s="4">
        <f>VLOOKUP($B373&amp;"__wt",'SegEnds_Xtal_BW#'!$A:$Z,25,FALSE)</f>
        <v>46</v>
      </c>
      <c r="Z373" s="4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33</v>
      </c>
      <c r="AC373" s="4">
        <f>VLOOKUP(A373,'SegEnds_NonXtal_Prot#'!A:AL,10,FALSE)-VLOOKUP(A373,'SegEnds_NonXtal_Prot#'!A:AL,7,FALSE)</f>
        <v>19</v>
      </c>
      <c r="AD373" s="4" t="e">
        <f>VLOOKUP(A373,'SegEnds_NonXtal_Prot#'!A:AL,13,FALSE)-VLOOKUP(A373,'SegEnds_NonXtal_Prot#'!A:AL,10,FALSE)</f>
        <v>#VALUE!</v>
      </c>
      <c r="AE373" s="4">
        <f>VLOOKUP(A373,'SegEnds_NonXtal_Prot#'!A:AL,16,FALSE)-VLOOKUP(A373,'SegEnds_NonXtal_Prot#'!A:AL,10,FALSE)</f>
        <v>44</v>
      </c>
      <c r="AF373" s="1" t="e">
        <f>VLOOKUP(A373,'SegEnds_NonXtal_Prot#'!A:AL,22,FALSE)-VLOOKUP(A373,'SegEnds_NonXtal_Prot#'!A:AL,19,FALSE)</f>
        <v>#VALUE!</v>
      </c>
      <c r="AG373" s="4" t="e">
        <f>VLOOKUP(#REF!,'SegEnds_NonXtal_Prot#'!#REF!,28,FALSE)-VLOOKUP(#REF!,'SegEnds_NonXtal_Prot#'!#REF!,25,FALSE)</f>
        <v>#REF!</v>
      </c>
      <c r="AH373" s="4">
        <f>VLOOKUP(A373,'SegEnds_NonXtal_Prot#'!A:AL,28,FALSE)-VLOOKUP(A373,'SegEnds_NonXtal_Prot#'!A:AL,25,FALSE)</f>
        <v>17</v>
      </c>
      <c r="AI373" s="1">
        <f>VLOOKUP(A373,'SegEnds_NonXtal_Prot#'!A:AL,28,FALSE)-VLOOKUP(A373,'SegEnds_NonXtal_Prot#'!A:AL,22,FALSE)</f>
        <v>40</v>
      </c>
      <c r="AJ373" s="4">
        <f>VLOOKUP(A373,'SegEnds_NonXtal_Prot#'!A:AL,31,FALSE)-VLOOKUP(A373,'SegEnds_NonXtal_Prot#'!A:AL,28,FALSE)</f>
        <v>39</v>
      </c>
      <c r="AK373" s="4">
        <f>VLOOKUP(A373,'SegEnds_NonXtal_Prot#'!A:AL,34,FALSE)-VLOOKUP(A373,'SegEnds_NonXtal_Prot#'!A:AL,31,FALSE)</f>
        <v>35</v>
      </c>
      <c r="AL373" s="1">
        <f>VLOOKUP(A373,'SegEnds_NonXtal_Prot#'!A:AL,37,FALSE)-VLOOKUP(A373,'SegEnds_NonXtal_Prot#'!A:AL,34,FALSE)</f>
        <v>20</v>
      </c>
      <c r="AM373" s="1" t="str">
        <f>IF(ISERROR(MATCH(A373,'SegEnds_Xtal_Prot#'!B:B, 0)), "NoXtal", "Xtal")</f>
        <v>NoXtal</v>
      </c>
    </row>
    <row r="374" spans="1:39" x14ac:dyDescent="0.2">
      <c r="A374" s="4" t="s">
        <v>113</v>
      </c>
      <c r="B374" s="4" t="str">
        <f>VLOOKUP(A374,Xtal_Templ!A:B,2,FALSE)</f>
        <v>grm1_human</v>
      </c>
      <c r="C374" s="5">
        <f>VLOOKUP($B374&amp;"__wt",'SegEnds_Xtal_BW#'!$A:$Z,3,FALSE)</f>
        <v>34</v>
      </c>
      <c r="D374" s="4">
        <f>VLOOKUP($B374&amp;"__wt",'SegEnds_Xtal_BW#'!$A:$Z,4,FALSE)</f>
        <v>60</v>
      </c>
      <c r="E374" s="4">
        <f>VLOOKUP($B374&amp;"__wt",'SegEnds_Xtal_BW#'!$A:$Z,5,FALSE)</f>
        <v>47</v>
      </c>
      <c r="F374" s="4">
        <f>VLOOKUP($B374&amp;"__wt",'SegEnds_Xtal_BW#'!$A:$Z,6,FALSE)</f>
        <v>53</v>
      </c>
      <c r="G374" s="4">
        <v>39</v>
      </c>
      <c r="H374" s="11">
        <f>VLOOKUP($B374&amp;"__wt",'SegEnds_Xtal_BW#'!$A:$Z,8,FALSE)</f>
        <v>61</v>
      </c>
      <c r="I374" s="4" t="str">
        <f>VLOOKUP($B374&amp;"__wt",'SegEnds_Xtal_BW#'!$A:$Z,9,FALSE)</f>
        <v>-</v>
      </c>
      <c r="J374" s="4" t="str">
        <f>VLOOKUP($B374&amp;"__wt",'SegEnds_Xtal_BW#'!$A:$Z,10,FALSE)</f>
        <v>-</v>
      </c>
      <c r="K374" s="11">
        <f>VLOOKUP($B374&amp;"__wt",'SegEnds_Xtal_BW#'!$A:$Z,11,FALSE)</f>
        <v>22</v>
      </c>
      <c r="L374" s="4">
        <f>VLOOKUP($B374&amp;"__wt",'SegEnds_Xtal_BW#'!$A:$Z,12,FALSE)</f>
        <v>54</v>
      </c>
      <c r="M374" s="4" t="str">
        <f>VLOOKUP($B374&amp;"__wt",'SegEnds_Xtal_BW#'!$A:$Z,13,FALSE)</f>
        <v>-</v>
      </c>
      <c r="N374" s="11" t="str">
        <f>VLOOKUP($B374&amp;"__wt",'SegEnds_Xtal_BW#'!$A:$Z,14,FALSE)</f>
        <v>-</v>
      </c>
      <c r="O374" s="88">
        <f>VLOOKUP($B374&amp;"__wt",'SegEnds_Xtal_BW#'!$A:$Z,15,FALSE)</f>
        <v>38</v>
      </c>
      <c r="P374" s="4">
        <f>VLOOKUP($B374&amp;"__wt",'SegEnds_Xtal_BW#'!$A:$Z,16,FALSE)</f>
        <v>64</v>
      </c>
      <c r="Q374" s="4">
        <f>VLOOKUP($B374&amp;"__wt",'SegEnds_Xtal_BW#'!$A:$Z,17,FALSE)</f>
        <v>50</v>
      </c>
      <c r="R374" s="4">
        <f>VLOOKUP($B374&amp;"__wt",'SegEnds_Xtal_BW#'!$A:$Z,18,FALSE)</f>
        <v>52</v>
      </c>
      <c r="S374" s="4">
        <f>VLOOKUP($B374&amp;"__wt",'SegEnds_Xtal_BW#'!$A:$Z,19,FALSE)</f>
        <v>36</v>
      </c>
      <c r="T374" s="4">
        <f>VLOOKUP($B374&amp;"__wt",'SegEnds_Xtal_BW#'!$A:$Z,20,FALSE)</f>
        <v>61</v>
      </c>
      <c r="U374" s="4">
        <f>VLOOKUP($B374&amp;"__wt",'SegEnds_Xtal_BW#'!$A:$Z,21,FALSE)</f>
        <v>33</v>
      </c>
      <c r="V374" s="4">
        <f>VLOOKUP($B374&amp;"__wt",'SegEnds_Xtal_BW#'!$A:$Z,22,FALSE)</f>
        <v>57</v>
      </c>
      <c r="W374" s="4">
        <f>VLOOKUP($B374&amp;"__wt",'SegEnds_Xtal_BW#'!$A:$Z,23,FALSE)</f>
        <v>33</v>
      </c>
      <c r="X374" s="4">
        <f>VLOOKUP($B374&amp;"__wt",'SegEnds_Xtal_BW#'!$A:$Z,24,FALSE)</f>
        <v>64</v>
      </c>
      <c r="Y374" s="4">
        <f>VLOOKUP($B374&amp;"__wt",'SegEnds_Xtal_BW#'!$A:$Z,25,FALSE)</f>
        <v>46</v>
      </c>
      <c r="Z374" s="4">
        <f>VLOOKUP($B374&amp;"__wt",'SegEnds_Xtal_BW#'!$A:$Z,26,FALSE)</f>
        <v>57</v>
      </c>
      <c r="AA374" s="27" t="str">
        <f>VLOOKUP(A374,Classification!A:B,2,FALSE)</f>
        <v>C</v>
      </c>
      <c r="AB374" s="1">
        <f>VLOOKUP(A374,'SegEnds_NonXtal_Prot#'!A:AL,10,FALSE)-VLOOKUP(A374,'SegEnds_NonXtal_Prot#'!A:AL,4,FALSE)</f>
        <v>33</v>
      </c>
      <c r="AC374" s="4">
        <f>VLOOKUP(A374,'SegEnds_NonXtal_Prot#'!A:AL,10,FALSE)-VLOOKUP(A374,'SegEnds_NonXtal_Prot#'!A:AL,7,FALSE)</f>
        <v>19</v>
      </c>
      <c r="AD374" s="4" t="e">
        <f>VLOOKUP(A374,'SegEnds_NonXtal_Prot#'!A:AL,13,FALSE)-VLOOKUP(A374,'SegEnds_NonXtal_Prot#'!A:AL,10,FALSE)</f>
        <v>#VALUE!</v>
      </c>
      <c r="AE374" s="4">
        <f>VLOOKUP(A374,'SegEnds_NonXtal_Prot#'!A:AL,16,FALSE)-VLOOKUP(A374,'SegEnds_NonXtal_Prot#'!A:AL,10,FALSE)</f>
        <v>44</v>
      </c>
      <c r="AF374" s="1" t="e">
        <f>VLOOKUP(A374,'SegEnds_NonXtal_Prot#'!A:AL,22,FALSE)-VLOOKUP(A374,'SegEnds_NonXtal_Prot#'!A:AL,19,FALSE)</f>
        <v>#VALUE!</v>
      </c>
      <c r="AG374" s="4" t="e">
        <f>VLOOKUP(#REF!,'SegEnds_NonXtal_Prot#'!#REF!,28,FALSE)-VLOOKUP(#REF!,'SegEnds_NonXtal_Prot#'!#REF!,25,FALSE)</f>
        <v>#REF!</v>
      </c>
      <c r="AH374" s="4">
        <f>VLOOKUP(A374,'SegEnds_NonXtal_Prot#'!A:AL,28,FALSE)-VLOOKUP(A374,'SegEnds_NonXtal_Prot#'!A:AL,25,FALSE)</f>
        <v>16</v>
      </c>
      <c r="AI374" s="1">
        <f>VLOOKUP(A374,'SegEnds_NonXtal_Prot#'!A:AL,28,FALSE)-VLOOKUP(A374,'SegEnds_NonXtal_Prot#'!A:AL,22,FALSE)</f>
        <v>43</v>
      </c>
      <c r="AJ374" s="4">
        <f>VLOOKUP(A374,'SegEnds_NonXtal_Prot#'!A:AL,31,FALSE)-VLOOKUP(A374,'SegEnds_NonXtal_Prot#'!A:AL,28,FALSE)</f>
        <v>39</v>
      </c>
      <c r="AK374" s="4">
        <f>VLOOKUP(A374,'SegEnds_NonXtal_Prot#'!A:AL,34,FALSE)-VLOOKUP(A374,'SegEnds_NonXtal_Prot#'!A:AL,31,FALSE)</f>
        <v>35</v>
      </c>
      <c r="AL374" s="1">
        <f>VLOOKUP(A374,'SegEnds_NonXtal_Prot#'!A:AL,37,FALSE)-VLOOKUP(A374,'SegEnds_NonXtal_Prot#'!A:AL,34,FALSE)</f>
        <v>21</v>
      </c>
      <c r="AM374" s="1" t="str">
        <f>IF(ISERROR(MATCH(A374,'SegEnds_Xtal_Prot#'!B:B, 0)), "NoXtal", "Xtal")</f>
        <v>NoXtal</v>
      </c>
    </row>
    <row r="375" spans="1:39" x14ac:dyDescent="0.2">
      <c r="A375" s="1" t="s">
        <v>446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64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31</v>
      </c>
      <c r="V375" s="1">
        <f>VLOOKUP($B375&amp;"__wt",'SegEnds_Xtal_BW#'!$A:$Z,22,FALSE)</f>
        <v>61</v>
      </c>
      <c r="W375" s="1">
        <f>VLOOKUP($B375&amp;"__wt",'SegEnds_Xtal_BW#'!$A:$Z,23,FALSE)</f>
        <v>31</v>
      </c>
      <c r="X375" s="1">
        <f>VLOOKUP($B375&amp;"__wt",'SegEnds_Xtal_BW#'!$A:$Z,24,FALSE)</f>
        <v>54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28</v>
      </c>
      <c r="AC375" s="1">
        <f>VLOOKUP(A375,'SegEnds_NonXtal_Prot#'!A:AL,10,FALSE)-VLOOKUP(A375,'SegEnds_NonXtal_Prot#'!A:AL,7,FALSE)</f>
        <v>14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65</v>
      </c>
      <c r="AF375" s="1" t="e">
        <f>VLOOKUP(A375,'SegEnds_NonXtal_Prot#'!A:AL,22,FALSE)-VLOOKUP(A375,'SegEnds_NonXtal_Prot#'!A:AL,19,FALSE)</f>
        <v>#VALUE!</v>
      </c>
      <c r="AG375" s="1" t="e">
        <f>VLOOKUP(#REF!,'SegEnds_NonXtal_Prot#'!#REF!,28,FALSE)-VLOOKUP(#REF!,'SegEnds_NonXtal_Prot#'!#REF!,25,FALSE)</f>
        <v>#REF!</v>
      </c>
      <c r="AH375" s="1">
        <f>VLOOKUP(A375,'SegEnds_NonXtal_Prot#'!A:AL,28,FALSE)-VLOOKUP(A375,'SegEnds_NonXtal_Prot#'!A:AL,25,FALSE)</f>
        <v>21</v>
      </c>
      <c r="AI375" s="1">
        <f>VLOOKUP(A375,'SegEnds_NonXtal_Prot#'!A:AL,28,FALSE)-VLOOKUP(A375,'SegEnds_NonXtal_Prot#'!A:AL,22,FALSE)</f>
        <v>46</v>
      </c>
      <c r="AJ375" s="1">
        <f>VLOOKUP(A375,'SegEnds_NonXtal_Prot#'!A:AL,31,FALSE)-VLOOKUP(A375,'SegEnds_NonXtal_Prot#'!A:AL,28,FALSE)</f>
        <v>52</v>
      </c>
      <c r="AK375" s="1">
        <f>VLOOKUP(A375,'SegEnds_NonXtal_Prot#'!A:AL,34,FALSE)-VLOOKUP(A375,'SegEnds_NonXtal_Prot#'!A:AL,31,FALSE)</f>
        <v>42</v>
      </c>
      <c r="AL375" s="1">
        <f>VLOOKUP(A375,'SegEnds_NonXtal_Prot#'!A:AL,37,FALSE)-VLOOKUP(A375,'SegEnds_NonXtal_Prot#'!A:AL,34,FALSE)</f>
        <v>8</v>
      </c>
      <c r="AM375" s="1" t="str">
        <f>IF(ISERROR(MATCH(A375,'SegEnds_Xtal_Prot#'!B:B, 0)), "NoXtal", "Xtal")</f>
        <v>Xtal</v>
      </c>
    </row>
    <row r="376" spans="1:39" x14ac:dyDescent="0.2">
      <c r="A376" s="1" t="s">
        <v>447</v>
      </c>
      <c r="B376" s="1" t="str">
        <f>VLOOKUP(A376,Xtal_Templ!A:B,2,FALSE)</f>
        <v>fzd5_human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64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24</v>
      </c>
      <c r="L376" s="1">
        <f>VLOOKUP($B376&amp;"__wt",'SegEnds_Xtal_BW#'!$A:$Z,12,FALSE)</f>
        <v>57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34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31</v>
      </c>
      <c r="V376" s="1">
        <f>VLOOKUP($B376&amp;"__wt",'SegEnds_Xtal_BW#'!$A:$Z,22,FALSE)</f>
        <v>66</v>
      </c>
      <c r="W376" s="1">
        <f>VLOOKUP($B376&amp;"__wt",'SegEnds_Xtal_BW#'!$A:$Z,23,FALSE)</f>
        <v>31</v>
      </c>
      <c r="X376" s="1">
        <f>VLOOKUP($B376&amp;"__wt",'SegEnds_Xtal_BW#'!$A:$Z,24,FALSE)</f>
        <v>54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28</v>
      </c>
      <c r="AC376" s="1">
        <f>VLOOKUP(A376,'SegEnds_NonXtal_Prot#'!A:AL,10,FALSE)-VLOOKUP(A376,'SegEnds_NonXtal_Prot#'!A:AL,7,FALSE)</f>
        <v>14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62</v>
      </c>
      <c r="AF376" s="1" t="e">
        <f>VLOOKUP(A376,'SegEnds_NonXtal_Prot#'!A:AL,22,FALSE)-VLOOKUP(A376,'SegEnds_NonXtal_Prot#'!A:AL,19,FALSE)</f>
        <v>#VALUE!</v>
      </c>
      <c r="AG376" s="1" t="e">
        <f>VLOOKUP(#REF!,'SegEnds_NonXtal_Prot#'!#REF!,28,FALSE)-VLOOKUP(#REF!,'SegEnds_NonXtal_Prot#'!#REF!,25,FALSE)</f>
        <v>#REF!</v>
      </c>
      <c r="AH376" s="1">
        <f>VLOOKUP(A376,'SegEnds_NonXtal_Prot#'!A:AL,28,FALSE)-VLOOKUP(A376,'SegEnds_NonXtal_Prot#'!A:AL,25,FALSE)</f>
        <v>21</v>
      </c>
      <c r="AI376" s="1">
        <f>VLOOKUP(A376,'SegEnds_NonXtal_Prot#'!A:AL,28,FALSE)-VLOOKUP(A376,'SegEnds_NonXtal_Prot#'!A:AL,22,FALSE)</f>
        <v>46</v>
      </c>
      <c r="AJ376" s="1">
        <f>VLOOKUP(A376,'SegEnds_NonXtal_Prot#'!A:AL,31,FALSE)-VLOOKUP(A376,'SegEnds_NonXtal_Prot#'!A:AL,28,FALSE)</f>
        <v>52</v>
      </c>
      <c r="AK376" s="1">
        <f>VLOOKUP(A376,'SegEnds_NonXtal_Prot#'!A:AL,34,FALSE)-VLOOKUP(A376,'SegEnds_NonXtal_Prot#'!A:AL,31,FALSE)</f>
        <v>55</v>
      </c>
      <c r="AL376" s="1">
        <f>VLOOKUP(A376,'SegEnds_NonXtal_Prot#'!A:AL,37,FALSE)-VLOOKUP(A376,'SegEnds_NonXtal_Prot#'!A:AL,34,FALSE)</f>
        <v>8</v>
      </c>
      <c r="AM376" s="1" t="str">
        <f>IF(ISERROR(MATCH(A376,'SegEnds_Xtal_Prot#'!B:B, 0)), "NoXtal", "Xtal")</f>
        <v>Xtal</v>
      </c>
    </row>
    <row r="377" spans="1:39" x14ac:dyDescent="0.2">
      <c r="A377" s="1" t="s">
        <v>450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64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31</v>
      </c>
      <c r="V377" s="108">
        <v>66</v>
      </c>
      <c r="W377" s="1">
        <f>VLOOKUP($B377&amp;"__wt",'SegEnds_Xtal_BW#'!$A:$Z,23,FALSE)</f>
        <v>31</v>
      </c>
      <c r="X377" s="1">
        <f>VLOOKUP($B377&amp;"__wt",'SegEnds_Xtal_BW#'!$A:$Z,24,FALSE)</f>
        <v>54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28</v>
      </c>
      <c r="AC377" s="1">
        <f>VLOOKUP(A377,'SegEnds_NonXtal_Prot#'!A:AL,10,FALSE)-VLOOKUP(A377,'SegEnds_NonXtal_Prot#'!A:AL,7,FALSE)</f>
        <v>14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101</v>
      </c>
      <c r="AF377" s="1" t="e">
        <f>VLOOKUP(A377,'SegEnds_NonXtal_Prot#'!A:AL,22,FALSE)-VLOOKUP(A377,'SegEnds_NonXtal_Prot#'!A:AL,19,FALSE)</f>
        <v>#VALUE!</v>
      </c>
      <c r="AG377" s="1" t="e">
        <f>VLOOKUP(#REF!,'SegEnds_NonXtal_Prot#'!#REF!,28,FALSE)-VLOOKUP(#REF!,'SegEnds_NonXtal_Prot#'!#REF!,25,FALSE)</f>
        <v>#REF!</v>
      </c>
      <c r="AH377" s="1">
        <f>VLOOKUP(A377,'SegEnds_NonXtal_Prot#'!A:AL,28,FALSE)-VLOOKUP(A377,'SegEnds_NonXtal_Prot#'!A:AL,25,FALSE)</f>
        <v>21</v>
      </c>
      <c r="AI377" s="1">
        <f>VLOOKUP(A377,'SegEnds_NonXtal_Prot#'!A:AL,28,FALSE)-VLOOKUP(A377,'SegEnds_NonXtal_Prot#'!A:AL,22,FALSE)</f>
        <v>46</v>
      </c>
      <c r="AJ377" s="1">
        <f>VLOOKUP(A377,'SegEnds_NonXtal_Prot#'!A:AL,31,FALSE)-VLOOKUP(A377,'SegEnds_NonXtal_Prot#'!A:AL,28,FALSE)</f>
        <v>54</v>
      </c>
      <c r="AK377" s="1">
        <f>VLOOKUP(A377,'SegEnds_NonXtal_Prot#'!A:AL,34,FALSE)-VLOOKUP(A377,'SegEnds_NonXtal_Prot#'!A:AL,31,FALSE)</f>
        <v>55</v>
      </c>
      <c r="AL377" s="1">
        <f>VLOOKUP(A377,'SegEnds_NonXtal_Prot#'!A:AL,37,FALSE)-VLOOKUP(A377,'SegEnds_NonXtal_Prot#'!A:AL,34,FALSE)</f>
        <v>8</v>
      </c>
      <c r="AM377" s="1" t="str">
        <f>IF(ISERROR(MATCH(A377,'SegEnds_Xtal_Prot#'!B:B, 0)), "NoXtal", "Xtal")</f>
        <v>NoXtal</v>
      </c>
    </row>
    <row r="378" spans="1:39" x14ac:dyDescent="0.2">
      <c r="A378" s="1" t="s">
        <v>444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64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31</v>
      </c>
      <c r="V378" s="108">
        <v>78</v>
      </c>
      <c r="W378" s="1">
        <f>VLOOKUP($B378&amp;"__wt",'SegEnds_Xtal_BW#'!$A:$Z,23,FALSE)</f>
        <v>31</v>
      </c>
      <c r="X378" s="1">
        <f>VLOOKUP($B378&amp;"__wt",'SegEnds_Xtal_BW#'!$A:$Z,24,FALSE)</f>
        <v>54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28</v>
      </c>
      <c r="AC378" s="1">
        <f>VLOOKUP(A378,'SegEnds_NonXtal_Prot#'!A:AL,10,FALSE)-VLOOKUP(A378,'SegEnds_NonXtal_Prot#'!A:AL,7,FALSE)</f>
        <v>14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65</v>
      </c>
      <c r="AF378" s="1" t="e">
        <f>VLOOKUP(A378,'SegEnds_NonXtal_Prot#'!A:AL,22,FALSE)-VLOOKUP(A378,'SegEnds_NonXtal_Prot#'!A:AL,19,FALSE)</f>
        <v>#VALUE!</v>
      </c>
      <c r="AG378" s="1" t="e">
        <f>VLOOKUP(#REF!,'SegEnds_NonXtal_Prot#'!#REF!,28,FALSE)-VLOOKUP(#REF!,'SegEnds_NonXtal_Prot#'!#REF!,25,FALSE)</f>
        <v>#REF!</v>
      </c>
      <c r="AH378" s="1">
        <f>VLOOKUP(A378,'SegEnds_NonXtal_Prot#'!A:AL,28,FALSE)-VLOOKUP(A378,'SegEnds_NonXtal_Prot#'!A:AL,25,FALSE)</f>
        <v>21</v>
      </c>
      <c r="AI378" s="1">
        <f>VLOOKUP(A378,'SegEnds_NonXtal_Prot#'!A:AL,28,FALSE)-VLOOKUP(A378,'SegEnds_NonXtal_Prot#'!A:AL,22,FALSE)</f>
        <v>46</v>
      </c>
      <c r="AJ378" s="1">
        <f>VLOOKUP(A378,'SegEnds_NonXtal_Prot#'!A:AL,31,FALSE)-VLOOKUP(A378,'SegEnds_NonXtal_Prot#'!A:AL,28,FALSE)</f>
        <v>52</v>
      </c>
      <c r="AK378" s="1">
        <f>VLOOKUP(A378,'SegEnds_NonXtal_Prot#'!A:AL,34,FALSE)-VLOOKUP(A378,'SegEnds_NonXtal_Prot#'!A:AL,31,FALSE)</f>
        <v>61</v>
      </c>
      <c r="AL378" s="1">
        <f>VLOOKUP(A378,'SegEnds_NonXtal_Prot#'!A:AL,37,FALSE)-VLOOKUP(A378,'SegEnds_NonXtal_Prot#'!A:AL,34,FALSE)</f>
        <v>8</v>
      </c>
      <c r="AM378" s="1" t="str">
        <f>IF(ISERROR(MATCH(A378,'SegEnds_Xtal_Prot#'!B:B, 0)), "NoXtal", "Xtal")</f>
        <v>NoXtal</v>
      </c>
    </row>
    <row r="379" spans="1:39" x14ac:dyDescent="0.2">
      <c r="A379" s="1" t="s">
        <v>445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64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31</v>
      </c>
      <c r="V379" s="108">
        <v>78</v>
      </c>
      <c r="W379" s="1">
        <f>VLOOKUP($B379&amp;"__wt",'SegEnds_Xtal_BW#'!$A:$Z,23,FALSE)</f>
        <v>31</v>
      </c>
      <c r="X379" s="1">
        <f>VLOOKUP($B379&amp;"__wt",'SegEnds_Xtal_BW#'!$A:$Z,24,FALSE)</f>
        <v>54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28</v>
      </c>
      <c r="AC379" s="1">
        <f>VLOOKUP(A379,'SegEnds_NonXtal_Prot#'!A:AL,10,FALSE)-VLOOKUP(A379,'SegEnds_NonXtal_Prot#'!A:AL,7,FALSE)</f>
        <v>14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66</v>
      </c>
      <c r="AF379" s="1" t="e">
        <f>VLOOKUP(A379,'SegEnds_NonXtal_Prot#'!A:AL,22,FALSE)-VLOOKUP(A379,'SegEnds_NonXtal_Prot#'!A:AL,19,FALSE)</f>
        <v>#VALUE!</v>
      </c>
      <c r="AG379" s="1" t="e">
        <f>VLOOKUP(#REF!,'SegEnds_NonXtal_Prot#'!#REF!,28,FALSE)-VLOOKUP(#REF!,'SegEnds_NonXtal_Prot#'!#REF!,25,FALSE)</f>
        <v>#REF!</v>
      </c>
      <c r="AH379" s="1">
        <f>VLOOKUP(A379,'SegEnds_NonXtal_Prot#'!A:AL,28,FALSE)-VLOOKUP(A379,'SegEnds_NonXtal_Prot#'!A:AL,25,FALSE)</f>
        <v>21</v>
      </c>
      <c r="AI379" s="1">
        <f>VLOOKUP(A379,'SegEnds_NonXtal_Prot#'!A:AL,28,FALSE)-VLOOKUP(A379,'SegEnds_NonXtal_Prot#'!A:AL,22,FALSE)</f>
        <v>46</v>
      </c>
      <c r="AJ379" s="1">
        <f>VLOOKUP(A379,'SegEnds_NonXtal_Prot#'!A:AL,31,FALSE)-VLOOKUP(A379,'SegEnds_NonXtal_Prot#'!A:AL,28,FALSE)</f>
        <v>52</v>
      </c>
      <c r="AK379" s="1">
        <f>VLOOKUP(A379,'SegEnds_NonXtal_Prot#'!A:AL,34,FALSE)-VLOOKUP(A379,'SegEnds_NonXtal_Prot#'!A:AL,31,FALSE)</f>
        <v>61</v>
      </c>
      <c r="AL379" s="1">
        <f>VLOOKUP(A379,'SegEnds_NonXtal_Prot#'!A:AL,37,FALSE)-VLOOKUP(A379,'SegEnds_NonXtal_Prot#'!A:AL,34,FALSE)</f>
        <v>8</v>
      </c>
      <c r="AM379" s="1" t="str">
        <f>IF(ISERROR(MATCH(A379,'SegEnds_Xtal_Prot#'!B:B, 0)), "NoXtal", "Xtal")</f>
        <v>NoXtal</v>
      </c>
    </row>
    <row r="380" spans="1:39" x14ac:dyDescent="0.2">
      <c r="A380" s="1" t="s">
        <v>448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64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31</v>
      </c>
      <c r="V380" s="108">
        <v>78</v>
      </c>
      <c r="W380" s="1">
        <f>VLOOKUP($B380&amp;"__wt",'SegEnds_Xtal_BW#'!$A:$Z,23,FALSE)</f>
        <v>31</v>
      </c>
      <c r="X380" s="1">
        <f>VLOOKUP($B380&amp;"__wt",'SegEnds_Xtal_BW#'!$A:$Z,24,FALSE)</f>
        <v>54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28</v>
      </c>
      <c r="AC380" s="1">
        <f>VLOOKUP(A380,'SegEnds_NonXtal_Prot#'!A:AL,10,FALSE)-VLOOKUP(A380,'SegEnds_NonXtal_Prot#'!A:AL,7,FALSE)</f>
        <v>14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66</v>
      </c>
      <c r="AF380" s="1" t="e">
        <f>VLOOKUP(A380,'SegEnds_NonXtal_Prot#'!A:AL,22,FALSE)-VLOOKUP(A380,'SegEnds_NonXtal_Prot#'!A:AL,19,FALSE)</f>
        <v>#VALUE!</v>
      </c>
      <c r="AG380" s="1" t="e">
        <f>VLOOKUP(#REF!,'SegEnds_NonXtal_Prot#'!#REF!,28,FALSE)-VLOOKUP(#REF!,'SegEnds_NonXtal_Prot#'!#REF!,25,FALSE)</f>
        <v>#REF!</v>
      </c>
      <c r="AH380" s="1">
        <f>VLOOKUP(A380,'SegEnds_NonXtal_Prot#'!A:AL,28,FALSE)-VLOOKUP(A380,'SegEnds_NonXtal_Prot#'!A:AL,25,FALSE)</f>
        <v>21</v>
      </c>
      <c r="AI380" s="1">
        <f>VLOOKUP(A380,'SegEnds_NonXtal_Prot#'!A:AL,28,FALSE)-VLOOKUP(A380,'SegEnds_NonXtal_Prot#'!A:AL,22,FALSE)</f>
        <v>46</v>
      </c>
      <c r="AJ380" s="1">
        <f>VLOOKUP(A380,'SegEnds_NonXtal_Prot#'!A:AL,31,FALSE)-VLOOKUP(A380,'SegEnds_NonXtal_Prot#'!A:AL,28,FALSE)</f>
        <v>52</v>
      </c>
      <c r="AK380" s="1">
        <f>VLOOKUP(A380,'SegEnds_NonXtal_Prot#'!A:AL,34,FALSE)-VLOOKUP(A380,'SegEnds_NonXtal_Prot#'!A:AL,31,FALSE)</f>
        <v>61</v>
      </c>
      <c r="AL380" s="1">
        <f>VLOOKUP(A380,'SegEnds_NonXtal_Prot#'!A:AL,37,FALSE)-VLOOKUP(A380,'SegEnds_NonXtal_Prot#'!A:AL,34,FALSE)</f>
        <v>8</v>
      </c>
      <c r="AM380" s="1" t="str">
        <f>IF(ISERROR(MATCH(A380,'SegEnds_Xtal_Prot#'!B:B, 0)), "NoXtal", "Xtal")</f>
        <v>NoXtal</v>
      </c>
    </row>
    <row r="381" spans="1:39" x14ac:dyDescent="0.2">
      <c r="A381" s="1" t="s">
        <v>449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64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31</v>
      </c>
      <c r="V381" s="108">
        <v>78</v>
      </c>
      <c r="W381" s="1">
        <f>VLOOKUP($B381&amp;"__wt",'SegEnds_Xtal_BW#'!$A:$Z,23,FALSE)</f>
        <v>31</v>
      </c>
      <c r="X381" s="1">
        <f>VLOOKUP($B381&amp;"__wt",'SegEnds_Xtal_BW#'!$A:$Z,24,FALSE)</f>
        <v>54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28</v>
      </c>
      <c r="AC381" s="1">
        <f>VLOOKUP(A381,'SegEnds_NonXtal_Prot#'!A:AL,10,FALSE)-VLOOKUP(A381,'SegEnds_NonXtal_Prot#'!A:AL,7,FALSE)</f>
        <v>14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65</v>
      </c>
      <c r="AF381" s="1" t="e">
        <f>VLOOKUP(A381,'SegEnds_NonXtal_Prot#'!A:AL,22,FALSE)-VLOOKUP(A381,'SegEnds_NonXtal_Prot#'!A:AL,19,FALSE)</f>
        <v>#VALUE!</v>
      </c>
      <c r="AG381" s="1" t="e">
        <f>VLOOKUP(#REF!,'SegEnds_NonXtal_Prot#'!#REF!,28,FALSE)-VLOOKUP(#REF!,'SegEnds_NonXtal_Prot#'!#REF!,25,FALSE)</f>
        <v>#REF!</v>
      </c>
      <c r="AH381" s="1">
        <f>VLOOKUP(A381,'SegEnds_NonXtal_Prot#'!A:AL,28,FALSE)-VLOOKUP(A381,'SegEnds_NonXtal_Prot#'!A:AL,25,FALSE)</f>
        <v>21</v>
      </c>
      <c r="AI381" s="1">
        <f>VLOOKUP(A381,'SegEnds_NonXtal_Prot#'!A:AL,28,FALSE)-VLOOKUP(A381,'SegEnds_NonXtal_Prot#'!A:AL,22,FALSE)</f>
        <v>46</v>
      </c>
      <c r="AJ381" s="1">
        <f>VLOOKUP(A381,'SegEnds_NonXtal_Prot#'!A:AL,31,FALSE)-VLOOKUP(A381,'SegEnds_NonXtal_Prot#'!A:AL,28,FALSE)</f>
        <v>52</v>
      </c>
      <c r="AK381" s="1">
        <f>VLOOKUP(A381,'SegEnds_NonXtal_Prot#'!A:AL,34,FALSE)-VLOOKUP(A381,'SegEnds_NonXtal_Prot#'!A:AL,31,FALSE)</f>
        <v>61</v>
      </c>
      <c r="AL381" s="1">
        <f>VLOOKUP(A381,'SegEnds_NonXtal_Prot#'!A:AL,37,FALSE)-VLOOKUP(A381,'SegEnds_NonXtal_Prot#'!A:AL,34,FALSE)</f>
        <v>8</v>
      </c>
      <c r="AM381" s="1" t="str">
        <f>IF(ISERROR(MATCH(A381,'SegEnds_Xtal_Prot#'!B:B, 0)), "NoXtal", "Xtal")</f>
        <v>NoXtal</v>
      </c>
    </row>
    <row r="382" spans="1:39" x14ac:dyDescent="0.2">
      <c r="A382" s="1" t="s">
        <v>443</v>
      </c>
      <c r="B382" s="1" t="str">
        <f>VLOOKUP(A382,Xtal_Templ!A:B,2,FALSE)</f>
        <v>fzd4_human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39</v>
      </c>
      <c r="H382" s="12">
        <f>VLOOKUP($B382&amp;"__wt",'SegEnds_Xtal_BW#'!$A:$Z,8,FALSE)</f>
        <v>64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22</v>
      </c>
      <c r="L382" s="1">
        <f>VLOOKUP($B382&amp;"__wt",'SegEnds_Xtal_BW#'!$A:$Z,12,FALSE)</f>
        <v>55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41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31</v>
      </c>
      <c r="V382" s="108">
        <v>78</v>
      </c>
      <c r="W382" s="1">
        <f>VLOOKUP($B382&amp;"__wt",'SegEnds_Xtal_BW#'!$A:$Z,23,FALSE)</f>
        <v>31</v>
      </c>
      <c r="X382" s="1">
        <f>VLOOKUP($B382&amp;"__wt",'SegEnds_Xtal_BW#'!$A:$Z,24,FALSE)</f>
        <v>54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28</v>
      </c>
      <c r="AC382" s="1">
        <f>VLOOKUP(A382,'SegEnds_NonXtal_Prot#'!A:AL,10,FALSE)-VLOOKUP(A382,'SegEnds_NonXtal_Prot#'!A:AL,7,FALSE)</f>
        <v>14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64</v>
      </c>
      <c r="AF382" s="1" t="e">
        <f>VLOOKUP(A382,'SegEnds_NonXtal_Prot#'!A:AL,22,FALSE)-VLOOKUP(A382,'SegEnds_NonXtal_Prot#'!A:AL,19,FALSE)</f>
        <v>#VALUE!</v>
      </c>
      <c r="AG382" s="1" t="e">
        <f>VLOOKUP(#REF!,'SegEnds_NonXtal_Prot#'!#REF!,28,FALSE)-VLOOKUP(#REF!,'SegEnds_NonXtal_Prot#'!#REF!,25,FALSE)</f>
        <v>#REF!</v>
      </c>
      <c r="AH382" s="1">
        <f>VLOOKUP(A382,'SegEnds_NonXtal_Prot#'!A:AL,28,FALSE)-VLOOKUP(A382,'SegEnds_NonXtal_Prot#'!A:AL,25,FALSE)</f>
        <v>21</v>
      </c>
      <c r="AI382" s="1">
        <f>VLOOKUP(A382,'SegEnds_NonXtal_Prot#'!A:AL,28,FALSE)-VLOOKUP(A382,'SegEnds_NonXtal_Prot#'!A:AL,22,FALSE)</f>
        <v>46</v>
      </c>
      <c r="AJ382" s="1">
        <f>VLOOKUP(A382,'SegEnds_NonXtal_Prot#'!A:AL,31,FALSE)-VLOOKUP(A382,'SegEnds_NonXtal_Prot#'!A:AL,28,FALSE)</f>
        <v>52</v>
      </c>
      <c r="AK382" s="1">
        <f>VLOOKUP(A382,'SegEnds_NonXtal_Prot#'!A:AL,34,FALSE)-VLOOKUP(A382,'SegEnds_NonXtal_Prot#'!A:AL,31,FALSE)</f>
        <v>62</v>
      </c>
      <c r="AL382" s="1">
        <f>VLOOKUP(A382,'SegEnds_NonXtal_Prot#'!A:AL,37,FALSE)-VLOOKUP(A382,'SegEnds_NonXtal_Prot#'!A:AL,34,FALSE)</f>
        <v>8</v>
      </c>
      <c r="AM382" s="1" t="str">
        <f>IF(ISERROR(MATCH(A382,'SegEnds_Xtal_Prot#'!B:B, 0)), "NoXtal", "Xtal")</f>
        <v>NoXtal</v>
      </c>
    </row>
    <row r="383" spans="1:39" x14ac:dyDescent="0.2">
      <c r="A383" s="1" t="s">
        <v>451</v>
      </c>
      <c r="B383" s="1" t="str">
        <f>VLOOKUP(A383,Xtal_Templ!A:B,2,FALSE)</f>
        <v>fzd4_human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39</v>
      </c>
      <c r="H383" s="12">
        <f>VLOOKUP($B383&amp;"__wt",'SegEnds_Xtal_BW#'!$A:$Z,8,FALSE)</f>
        <v>64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22</v>
      </c>
      <c r="L383" s="1">
        <f>VLOOKUP($B383&amp;"__wt",'SegEnds_Xtal_BW#'!$A:$Z,12,FALSE)</f>
        <v>55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31</v>
      </c>
      <c r="V383" s="108">
        <v>78</v>
      </c>
      <c r="W383" s="1">
        <f>VLOOKUP($B383&amp;"__wt",'SegEnds_Xtal_BW#'!$A:$Z,23,FALSE)</f>
        <v>31</v>
      </c>
      <c r="X383" s="1">
        <f>VLOOKUP($B383&amp;"__wt",'SegEnds_Xtal_BW#'!$A:$Z,24,FALSE)</f>
        <v>54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28</v>
      </c>
      <c r="AC383" s="1">
        <f>VLOOKUP(A383,'SegEnds_NonXtal_Prot#'!A:AL,10,FALSE)-VLOOKUP(A383,'SegEnds_NonXtal_Prot#'!A:AL,7,FALSE)</f>
        <v>14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64</v>
      </c>
      <c r="AF383" s="1" t="e">
        <f>VLOOKUP(A383,'SegEnds_NonXtal_Prot#'!A:AL,22,FALSE)-VLOOKUP(A383,'SegEnds_NonXtal_Prot#'!A:AL,19,FALSE)</f>
        <v>#VALUE!</v>
      </c>
      <c r="AG383" s="1" t="e">
        <f>VLOOKUP(#REF!,'SegEnds_NonXtal_Prot#'!#REF!,28,FALSE)-VLOOKUP(#REF!,'SegEnds_NonXtal_Prot#'!#REF!,25,FALSE)</f>
        <v>#REF!</v>
      </c>
      <c r="AH383" s="1">
        <f>VLOOKUP(A383,'SegEnds_NonXtal_Prot#'!A:AL,28,FALSE)-VLOOKUP(A383,'SegEnds_NonXtal_Prot#'!A:AL,25,FALSE)</f>
        <v>21</v>
      </c>
      <c r="AI383" s="1">
        <f>VLOOKUP(A383,'SegEnds_NonXtal_Prot#'!A:AL,28,FALSE)-VLOOKUP(A383,'SegEnds_NonXtal_Prot#'!A:AL,22,FALSE)</f>
        <v>46</v>
      </c>
      <c r="AJ383" s="1">
        <f>VLOOKUP(A383,'SegEnds_NonXtal_Prot#'!A:AL,31,FALSE)-VLOOKUP(A383,'SegEnds_NonXtal_Prot#'!A:AL,28,FALSE)</f>
        <v>52</v>
      </c>
      <c r="AK383" s="1">
        <f>VLOOKUP(A383,'SegEnds_NonXtal_Prot#'!A:AL,34,FALSE)-VLOOKUP(A383,'SegEnds_NonXtal_Prot#'!A:AL,31,FALSE)</f>
        <v>64</v>
      </c>
      <c r="AL383" s="1">
        <f>VLOOKUP(A383,'SegEnds_NonXtal_Prot#'!A:AL,37,FALSE)-VLOOKUP(A383,'SegEnds_NonXtal_Prot#'!A:AL,34,FALSE)</f>
        <v>8</v>
      </c>
      <c r="AM383" s="1" t="str">
        <f>IF(ISERROR(MATCH(A383,'SegEnds_Xtal_Prot#'!B:B, 0)), "NoXtal", "Xtal")</f>
        <v>NoXtal</v>
      </c>
    </row>
    <row r="384" spans="1:39" x14ac:dyDescent="0.2">
      <c r="A384" s="1" t="s">
        <v>442</v>
      </c>
      <c r="B384" s="1" t="str">
        <f>VLOOKUP(A384,Xtal_Templ!A:B,2,FALSE)</f>
        <v>fzd4_human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39</v>
      </c>
      <c r="H384" s="12">
        <f>VLOOKUP($B384&amp;"__wt",'SegEnds_Xtal_BW#'!$A:$Z,8,FALSE)</f>
        <v>64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22</v>
      </c>
      <c r="L384" s="1">
        <f>VLOOKUP($B384&amp;"__wt",'SegEnds_Xtal_BW#'!$A:$Z,12,FALSE)</f>
        <v>55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41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31</v>
      </c>
      <c r="V384" s="108">
        <v>81</v>
      </c>
      <c r="W384" s="1">
        <f>VLOOKUP($B384&amp;"__wt",'SegEnds_Xtal_BW#'!$A:$Z,23,FALSE)</f>
        <v>31</v>
      </c>
      <c r="X384" s="1">
        <f>VLOOKUP($B384&amp;"__wt",'SegEnds_Xtal_BW#'!$A:$Z,24,FALSE)</f>
        <v>54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28</v>
      </c>
      <c r="AC384" s="1">
        <f>VLOOKUP(A384,'SegEnds_NonXtal_Prot#'!A:AL,10,FALSE)-VLOOKUP(A384,'SegEnds_NonXtal_Prot#'!A:AL,7,FALSE)</f>
        <v>14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65</v>
      </c>
      <c r="AF384" s="1" t="e">
        <f>VLOOKUP(A384,'SegEnds_NonXtal_Prot#'!A:AL,22,FALSE)-VLOOKUP(A384,'SegEnds_NonXtal_Prot#'!A:AL,19,FALSE)</f>
        <v>#VALUE!</v>
      </c>
      <c r="AG384" s="1" t="e">
        <f>VLOOKUP(#REF!,'SegEnds_NonXtal_Prot#'!#REF!,28,FALSE)-VLOOKUP(#REF!,'SegEnds_NonXtal_Prot#'!#REF!,25,FALSE)</f>
        <v>#REF!</v>
      </c>
      <c r="AH384" s="1">
        <f>VLOOKUP(A384,'SegEnds_NonXtal_Prot#'!A:AL,28,FALSE)-VLOOKUP(A384,'SegEnds_NonXtal_Prot#'!A:AL,25,FALSE)</f>
        <v>21</v>
      </c>
      <c r="AI384" s="1">
        <f>VLOOKUP(A384,'SegEnds_NonXtal_Prot#'!A:AL,28,FALSE)-VLOOKUP(A384,'SegEnds_NonXtal_Prot#'!A:AL,22,FALSE)</f>
        <v>46</v>
      </c>
      <c r="AJ384" s="1">
        <f>VLOOKUP(A384,'SegEnds_NonXtal_Prot#'!A:AL,31,FALSE)-VLOOKUP(A384,'SegEnds_NonXtal_Prot#'!A:AL,28,FALSE)</f>
        <v>52</v>
      </c>
      <c r="AK384" s="1">
        <f>VLOOKUP(A384,'SegEnds_NonXtal_Prot#'!A:AL,34,FALSE)-VLOOKUP(A384,'SegEnds_NonXtal_Prot#'!A:AL,31,FALSE)</f>
        <v>68</v>
      </c>
      <c r="AL384" s="1">
        <f>VLOOKUP(A384,'SegEnds_NonXtal_Prot#'!A:AL,37,FALSE)-VLOOKUP(A384,'SegEnds_NonXtal_Prot#'!A:AL,34,FALSE)</f>
        <v>8</v>
      </c>
      <c r="AM384" s="1" t="str">
        <f>IF(ISERROR(MATCH(A384,'SegEnds_Xtal_Prot#'!B:B, 0)), "NoXtal", "Xtal")</f>
        <v>NoXtal</v>
      </c>
    </row>
    <row r="385" spans="1:39" x14ac:dyDescent="0.2">
      <c r="A385" s="121" t="s">
        <v>1489</v>
      </c>
      <c r="B385" s="1" t="str">
        <f>VLOOKUP(A385,Xtal_Templ!A:B,2,FALSE)</f>
        <v>q98sw5_xenla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40</v>
      </c>
      <c r="H385" s="12">
        <f>VLOOKUP($B385&amp;"__wt",'SegEnds_Xtal_BW#'!$A:$Z,8,FALSE)</f>
        <v>59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23</v>
      </c>
      <c r="L385" s="1">
        <f>VLOOKUP($B385&amp;"__wt",'SegEnds_Xtal_BW#'!$A:$Z,12,FALSE)</f>
        <v>59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38</v>
      </c>
      <c r="P385" s="1">
        <f>VLOOKUP($B385&amp;"__wt",'SegEnds_Xtal_BW#'!$A:$Z,16,FALSE)</f>
        <v>63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27</v>
      </c>
      <c r="V385" s="1">
        <f>VLOOKUP($B385&amp;"__wt",'SegEnds_Xtal_BW#'!$A:$Z,22,FALSE)</f>
        <v>84</v>
      </c>
      <c r="W385" s="1">
        <f>VLOOKUP($B385&amp;"__wt",'SegEnds_Xtal_BW#'!$A:$Z,23,FALSE)</f>
        <v>31</v>
      </c>
      <c r="X385" s="1">
        <f>VLOOKUP($B385&amp;"__wt",'SegEnds_Xtal_BW#'!$A:$Z,24,FALSE)</f>
        <v>54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29</v>
      </c>
      <c r="AC385" s="1">
        <f>VLOOKUP(A385,'SegEnds_NonXtal_Prot#'!A:AL,10,FALSE)-VLOOKUP(A385,'SegEnds_NonXtal_Prot#'!A:AL,7,FALSE)</f>
        <v>15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65</v>
      </c>
      <c r="AF385" s="1" t="e">
        <f>VLOOKUP(A385,'SegEnds_NonXtal_Prot#'!A:AL,22,FALSE)-VLOOKUP(A385,'SegEnds_NonXtal_Prot#'!A:AL,19,FALSE)</f>
        <v>#VALUE!</v>
      </c>
      <c r="AG385" s="1" t="e">
        <f>VLOOKUP(#REF!,'SegEnds_NonXtal_Prot#'!#REF!,28,FALSE)-VLOOKUP(#REF!,'SegEnds_NonXtal_Prot#'!#REF!,25,FALSE)</f>
        <v>#REF!</v>
      </c>
      <c r="AH385" s="1">
        <f>VLOOKUP(A385,'SegEnds_NonXtal_Prot#'!A:AL,28,FALSE)-VLOOKUP(A385,'SegEnds_NonXtal_Prot#'!A:AL,25,FALSE)</f>
        <v>21</v>
      </c>
      <c r="AI385" s="1">
        <f>VLOOKUP(A385,'SegEnds_NonXtal_Prot#'!A:AL,28,FALSE)-VLOOKUP(A385,'SegEnds_NonXtal_Prot#'!A:AL,22,FALSE)</f>
        <v>46</v>
      </c>
      <c r="AJ385" s="1">
        <f>VLOOKUP(A385,'SegEnds_NonXtal_Prot#'!A:AL,31,FALSE)-VLOOKUP(A385,'SegEnds_NonXtal_Prot#'!A:AL,28,FALSE)</f>
        <v>54</v>
      </c>
      <c r="AK385" s="1">
        <f>VLOOKUP(A385,'SegEnds_NonXtal_Prot#'!A:AL,34,FALSE)-VLOOKUP(A385,'SegEnds_NonXtal_Prot#'!A:AL,31,FALSE)</f>
        <v>68</v>
      </c>
      <c r="AL385" s="1">
        <f>VLOOKUP(A385,'SegEnds_NonXtal_Prot#'!A:AL,37,FALSE)-VLOOKUP(A385,'SegEnds_NonXtal_Prot#'!A:AL,34,FALSE)</f>
        <v>8</v>
      </c>
      <c r="AM385" s="1" t="str">
        <f>IF(ISERROR(MATCH(A385,'SegEnds_Xtal_Prot#'!B:B, 0)), "NoXtal", "Xtal")</f>
        <v>Xtal</v>
      </c>
    </row>
    <row r="386" spans="1:39" x14ac:dyDescent="0.2">
      <c r="A386" s="1" t="s">
        <v>33</v>
      </c>
      <c r="B386" s="1" t="str">
        <f>VLOOKUP(A386,Xtal_Templ!A:B,2,FALSE)</f>
        <v>smo_human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40</v>
      </c>
      <c r="H386" s="12">
        <f>VLOOKUP($B386&amp;"__wt",'SegEnds_Xtal_BW#'!$A:$Z,8,FALSE)</f>
        <v>61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23</v>
      </c>
      <c r="L386" s="1">
        <f>VLOOKUP($B386&amp;"__wt",'SegEnds_Xtal_BW#'!$A:$Z,12,FALSE)</f>
        <v>56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23</v>
      </c>
      <c r="V386" s="1">
        <f>VLOOKUP($B386&amp;"__wt",'SegEnds_Xtal_BW#'!$A:$Z,22,FALSE)</f>
        <v>81</v>
      </c>
      <c r="W386" s="1">
        <f>VLOOKUP($B386&amp;"__wt",'SegEnds_Xtal_BW#'!$A:$Z,23,FALSE)</f>
        <v>31</v>
      </c>
      <c r="X386" s="1">
        <f>VLOOKUP($B386&amp;"__wt",'SegEnds_Xtal_BW#'!$A:$Z,24,FALSE)</f>
        <v>54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29</v>
      </c>
      <c r="AC386" s="1">
        <f>VLOOKUP(A386,'SegEnds_NonXtal_Prot#'!A:AL,10,FALSE)-VLOOKUP(A386,'SegEnds_NonXtal_Prot#'!A:AL,7,FALSE)</f>
        <v>15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65</v>
      </c>
      <c r="AF386" s="1" t="e">
        <f>VLOOKUP(A386,'SegEnds_NonXtal_Prot#'!A:AL,22,FALSE)-VLOOKUP(A386,'SegEnds_NonXtal_Prot#'!A:AL,19,FALSE)</f>
        <v>#VALUE!</v>
      </c>
      <c r="AG386" s="1" t="e">
        <f>VLOOKUP(#REF!,'SegEnds_NonXtal_Prot#'!#REF!,28,FALSE)-VLOOKUP(#REF!,'SegEnds_NonXtal_Prot#'!#REF!,25,FALSE)</f>
        <v>#REF!</v>
      </c>
      <c r="AH386" s="1">
        <f>VLOOKUP(A386,'SegEnds_NonXtal_Prot#'!A:AL,28,FALSE)-VLOOKUP(A386,'SegEnds_NonXtal_Prot#'!A:AL,25,FALSE)</f>
        <v>21</v>
      </c>
      <c r="AI386" s="1">
        <f>VLOOKUP(A386,'SegEnds_NonXtal_Prot#'!A:AL,28,FALSE)-VLOOKUP(A386,'SegEnds_NonXtal_Prot#'!A:AL,22,FALSE)</f>
        <v>46</v>
      </c>
      <c r="AJ386" s="1">
        <f>VLOOKUP(A386,'SegEnds_NonXtal_Prot#'!A:AL,31,FALSE)-VLOOKUP(A386,'SegEnds_NonXtal_Prot#'!A:AL,28,FALSE)</f>
        <v>54</v>
      </c>
      <c r="AK386" s="1">
        <f>VLOOKUP(A386,'SegEnds_NonXtal_Prot#'!A:AL,34,FALSE)-VLOOKUP(A386,'SegEnds_NonXtal_Prot#'!A:AL,31,FALSE)</f>
        <v>68</v>
      </c>
      <c r="AL386" s="1">
        <f>VLOOKUP(A386,'SegEnds_NonXtal_Prot#'!A:AL,37,FALSE)-VLOOKUP(A386,'SegEnds_NonXtal_Prot#'!A:AL,34,FALSE)</f>
        <v>8</v>
      </c>
      <c r="AM386" s="1" t="str">
        <f>IF(ISERROR(MATCH(A386,'SegEnds_Xtal_Prot#'!B:B, 0)), "NoXtal", "Xtal")</f>
        <v>Xtal</v>
      </c>
    </row>
    <row r="387" spans="1:39" x14ac:dyDescent="0.2">
      <c r="A387" s="1" t="s">
        <v>1588</v>
      </c>
      <c r="B387" s="1" t="str">
        <f>VLOOKUP(A387,Xtal_Templ!A:B,2,FALSE)</f>
        <v>smo_mouse</v>
      </c>
      <c r="C387" s="5">
        <f>VLOOKUP($B387&amp;"__wt",'SegEnds_Xtal_BW#'!$A:$Z,3,FALSE)</f>
        <v>28</v>
      </c>
      <c r="D387" s="1">
        <f>VLOOKUP($B387&amp;"__wt",'SegEnds_Xtal_BW#'!$A:$Z,4,FALSE)</f>
        <v>60</v>
      </c>
      <c r="E387" s="1">
        <f>VLOOKUP($B387&amp;"__wt",'SegEnds_Xtal_BW#'!$A:$Z,5,FALSE)</f>
        <v>47</v>
      </c>
      <c r="F387" s="1">
        <f>VLOOKUP($B387&amp;"__wt",'SegEnds_Xtal_BW#'!$A:$Z,6,FALSE)</f>
        <v>51</v>
      </c>
      <c r="G387" s="1">
        <v>41</v>
      </c>
      <c r="H387" s="12">
        <f>VLOOKUP($B387&amp;"__wt",'SegEnds_Xtal_BW#'!$A:$Z,8,FALSE)</f>
        <v>61</v>
      </c>
      <c r="I387" s="1" t="str">
        <f>VLOOKUP($B387&amp;"__wt",'SegEnds_Xtal_BW#'!$A:$Z,9,FALSE)</f>
        <v>-</v>
      </c>
      <c r="J387" s="1" t="str">
        <f>VLOOKUP($B387&amp;"__wt",'SegEnds_Xtal_BW#'!$A:$Z,10,FALSE)</f>
        <v>-</v>
      </c>
      <c r="K387" s="12">
        <f>VLOOKUP($B387&amp;"__wt",'SegEnds_Xtal_BW#'!$A:$Z,11,FALSE)</f>
        <v>23</v>
      </c>
      <c r="L387" s="1">
        <f>VLOOKUP($B387&amp;"__wt",'SegEnds_Xtal_BW#'!$A:$Z,12,FALSE)</f>
        <v>56</v>
      </c>
      <c r="M387" s="1" t="str">
        <f>VLOOKUP($B387&amp;"__wt",'SegEnds_Xtal_BW#'!$A:$Z,13,FALSE)</f>
        <v>-</v>
      </c>
      <c r="N387" s="12" t="str">
        <f>VLOOKUP($B387&amp;"__wt",'SegEnds_Xtal_BW#'!$A:$Z,14,FALSE)</f>
        <v>-</v>
      </c>
      <c r="O387" s="87">
        <f>VLOOKUP($B387&amp;"__wt",'SegEnds_Xtal_BW#'!$A:$Z,15,FALSE)</f>
        <v>41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f>VLOOKUP($B387&amp;"__wt",'SegEnds_Xtal_BW#'!$A:$Z,19,FALSE)</f>
        <v>35</v>
      </c>
      <c r="T387" s="1">
        <f>VLOOKUP($B387&amp;"__wt",'SegEnds_Xtal_BW#'!$A:$Z,20,FALSE)</f>
        <v>72</v>
      </c>
      <c r="U387" s="1">
        <f>VLOOKUP($B387&amp;"__wt",'SegEnds_Xtal_BW#'!$A:$Z,21,FALSE)</f>
        <v>23</v>
      </c>
      <c r="V387" s="1">
        <f>VLOOKUP($B387&amp;"__wt",'SegEnds_Xtal_BW#'!$A:$Z,22,FALSE)</f>
        <v>81</v>
      </c>
      <c r="W387" s="1">
        <f>VLOOKUP($B387&amp;"__wt",'SegEnds_Xtal_BW#'!$A:$Z,23,FALSE)</f>
        <v>31</v>
      </c>
      <c r="X387" s="1">
        <f>VLOOKUP($B387&amp;"__wt",'SegEnds_Xtal_BW#'!$A:$Z,24,FALSE)</f>
        <v>54</v>
      </c>
      <c r="Y387" s="1">
        <f>VLOOKUP($B387&amp;"__wt",'SegEnds_Xtal_BW#'!$A:$Z,25,FALSE)</f>
        <v>47</v>
      </c>
      <c r="Z387" s="1">
        <f>VLOOKUP($B387&amp;"__wt",'SegEnds_Xtal_BW#'!$A:$Z,26,FALSE)</f>
        <v>62</v>
      </c>
      <c r="AA387" s="27" t="str">
        <f>VLOOKUP(A387,Classification!A:B,2,FALSE)</f>
        <v>F</v>
      </c>
      <c r="AB387" s="1">
        <f>VLOOKUP(A387,'SegEnds_NonXtal_Prot#'!A:AL,10,FALSE)-VLOOKUP(A387,'SegEnds_NonXtal_Prot#'!A:AL,4,FALSE)</f>
        <v>29</v>
      </c>
      <c r="AC387" s="1">
        <f>VLOOKUP(A387,'SegEnds_NonXtal_Prot#'!A:AL,10,FALSE)-VLOOKUP(A387,'SegEnds_NonXtal_Prot#'!A:AL,7,FALSE)</f>
        <v>15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65</v>
      </c>
      <c r="AF387" s="1" t="e">
        <f>VLOOKUP(A387,'SegEnds_NonXtal_Prot#'!A:AL,22,FALSE)-VLOOKUP(A387,'SegEnds_NonXtal_Prot#'!A:AL,19,FALSE)</f>
        <v>#VALUE!</v>
      </c>
      <c r="AG387" s="1" t="e">
        <f>VLOOKUP(#REF!,'SegEnds_NonXtal_Prot#'!#REF!,28,FALSE)-VLOOKUP(#REF!,'SegEnds_NonXtal_Prot#'!#REF!,25,FALSE)</f>
        <v>#REF!</v>
      </c>
      <c r="AH387" s="1">
        <f>VLOOKUP(A387,'SegEnds_NonXtal_Prot#'!A:AL,28,FALSE)-VLOOKUP(A387,'SegEnds_NonXtal_Prot#'!A:AL,25,FALSE)</f>
        <v>21</v>
      </c>
      <c r="AI387" s="1">
        <f>VLOOKUP(A387,'SegEnds_NonXtal_Prot#'!A:AL,28,FALSE)-VLOOKUP(A387,'SegEnds_NonXtal_Prot#'!A:AL,22,FALSE)</f>
        <v>46</v>
      </c>
      <c r="AJ387" s="1">
        <f>VLOOKUP(A387,'SegEnds_NonXtal_Prot#'!A:AL,31,FALSE)-VLOOKUP(A387,'SegEnds_NonXtal_Prot#'!A:AL,28,FALSE)</f>
        <v>54</v>
      </c>
      <c r="AK387" s="1">
        <f>VLOOKUP(A387,'SegEnds_NonXtal_Prot#'!A:AL,34,FALSE)-VLOOKUP(A387,'SegEnds_NonXtal_Prot#'!A:AL,31,FALSE)</f>
        <v>68</v>
      </c>
      <c r="AL387" s="1">
        <f>VLOOKUP(A387,'SegEnds_NonXtal_Prot#'!A:AL,37,FALSE)-VLOOKUP(A387,'SegEnds_NonXtal_Prot#'!A:AL,34,FALSE)</f>
        <v>8</v>
      </c>
      <c r="AM387" s="1" t="str">
        <f>IF(ISERROR(MATCH(A387,'SegEnds_Xtal_Prot#'!B:B, 0)), "NoXtal", "Xtal")</f>
        <v>Xtal</v>
      </c>
    </row>
    <row r="388" spans="1:39" x14ac:dyDescent="0.2">
      <c r="A388" s="1" t="s">
        <v>477</v>
      </c>
      <c r="B388" s="1" t="str">
        <f>VLOOKUP(A388,Xtal_Templ!A:B,2,FALSE)</f>
        <v>fpr2_human</v>
      </c>
      <c r="C388" s="5">
        <f>VLOOKUP($B388&amp;"__wt",'SegEnds_Xtal_BW#'!$A:$Z,3,FALSE)</f>
        <v>25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">
        <f>VLOOKUP($B388&amp;"__wt",'SegEnds_Xtal_BW#'!$A:$Z,16,FALSE)</f>
        <v>64</v>
      </c>
      <c r="Q388" s="1" t="s">
        <v>23</v>
      </c>
      <c r="R388" s="1" t="s">
        <v>23</v>
      </c>
      <c r="S388" s="1">
        <v>39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18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81</v>
      </c>
      <c r="AF388" s="1" t="e">
        <f>VLOOKUP(A388,'SegEnds_NonXtal_Prot#'!A:AL,22,FALSE)-VLOOKUP(A388,'SegEnds_NonXtal_Prot#'!A:AL,19,FALSE)</f>
        <v>#VALUE!</v>
      </c>
      <c r="AG388" s="1" t="e">
        <f>VLOOKUP(#REF!,'SegEnds_NonXtal_Prot#'!#REF!,28,FALSE)-VLOOKUP(#REF!,'SegEnds_NonXtal_Prot#'!#REF!,25,FALSE)</f>
        <v>#REF!</v>
      </c>
      <c r="AH388" s="1" t="e">
        <f>VLOOKUP(A388,'SegEnds_NonXtal_Prot#'!A:AL,28,FALSE)-VLOOKUP(A388,'SegEnds_NonXtal_Prot#'!A:AL,25,FALSE)</f>
        <v>#VALUE!</v>
      </c>
      <c r="AI388" s="1">
        <f>VLOOKUP(A388,'SegEnds_NonXtal_Prot#'!A:AL,28,FALSE)-VLOOKUP(A388,'SegEnds_NonXtal_Prot#'!A:AL,22,FALSE)</f>
        <v>83</v>
      </c>
      <c r="AJ388" s="1">
        <f>VLOOKUP(A388,'SegEnds_NonXtal_Prot#'!A:AL,31,FALSE)-VLOOKUP(A388,'SegEnds_NonXtal_Prot#'!A:AL,28,FALSE)</f>
        <v>79</v>
      </c>
      <c r="AK388" s="1">
        <f>VLOOKUP(A388,'SegEnds_NonXtal_Prot#'!A:AL,34,FALSE)-VLOOKUP(A388,'SegEnds_NonXtal_Prot#'!A:AL,31,FALSE)</f>
        <v>33</v>
      </c>
      <c r="AL388" s="1">
        <f>VLOOKUP(A388,'SegEnds_NonXtal_Prot#'!A:AL,37,FALSE)-VLOOKUP(A388,'SegEnds_NonXtal_Prot#'!A:AL,34,FALSE)</f>
        <v>10</v>
      </c>
      <c r="AM388" s="1" t="str">
        <f>IF(ISERROR(MATCH(A388,'SegEnds_Xtal_Prot#'!B:B, 0)), "NoXtal", "Xtal")</f>
        <v>NoXtal</v>
      </c>
    </row>
    <row r="389" spans="1:39" x14ac:dyDescent="0.2">
      <c r="A389" s="1" t="s">
        <v>480</v>
      </c>
      <c r="B389" s="1" t="str">
        <f>VLOOKUP(A389,Xtal_Templ!A:B,2,FALSE)</f>
        <v>pe2r4_human</v>
      </c>
      <c r="C389" s="5">
        <f>VLOOKUP($B389&amp;"__wt",'SegEnds_Xtal_BW#'!$A:$Z,3,FALSE)</f>
        <v>33</v>
      </c>
      <c r="D389" s="1">
        <v>60</v>
      </c>
      <c r="E389" s="1" t="s">
        <v>23</v>
      </c>
      <c r="F389" s="1" t="s">
        <v>23</v>
      </c>
      <c r="G389" s="1">
        <v>39</v>
      </c>
      <c r="H389" s="12">
        <v>63</v>
      </c>
      <c r="I389" s="1" t="s">
        <v>23</v>
      </c>
      <c r="J389" s="1" t="s">
        <v>23</v>
      </c>
      <c r="K389" s="12">
        <v>23</v>
      </c>
      <c r="L389" s="1">
        <v>56</v>
      </c>
      <c r="M389" s="1" t="s">
        <v>23</v>
      </c>
      <c r="N389" s="12" t="s">
        <v>23</v>
      </c>
      <c r="O389" s="87">
        <v>40</v>
      </c>
      <c r="P389" s="108">
        <v>61</v>
      </c>
      <c r="Q389" s="1" t="s">
        <v>23</v>
      </c>
      <c r="R389" s="1" t="s">
        <v>23</v>
      </c>
      <c r="S389" s="108">
        <v>40</v>
      </c>
      <c r="T389" s="1">
        <v>61</v>
      </c>
      <c r="U389" s="1">
        <v>29</v>
      </c>
      <c r="V389" s="1">
        <v>53</v>
      </c>
      <c r="W389" s="1">
        <v>35</v>
      </c>
      <c r="X389" s="1">
        <v>56</v>
      </c>
      <c r="Y389" s="1">
        <v>47</v>
      </c>
      <c r="Z389" s="1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32</v>
      </c>
      <c r="AC389" s="1" t="e">
        <f>VLOOKUP(A389,'SegEnds_NonXtal_Prot#'!A:AL,10,FALSE)-VLOOKUP(A389,'SegEnds_NonXtal_Prot#'!A:AL,7,FALSE)</f>
        <v>#VALUE!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45</v>
      </c>
      <c r="AF389" s="1" t="e">
        <f>VLOOKUP(A389,'SegEnds_NonXtal_Prot#'!A:AL,22,FALSE)-VLOOKUP(A389,'SegEnds_NonXtal_Prot#'!A:AL,19,FALSE)</f>
        <v>#VALUE!</v>
      </c>
      <c r="AG389" s="1" t="e">
        <f>VLOOKUP(#REF!,'SegEnds_NonXtal_Prot#'!#REF!,28,FALSE)-VLOOKUP(#REF!,'SegEnds_NonXtal_Prot#'!#REF!,25,FALSE)</f>
        <v>#REF!</v>
      </c>
      <c r="AH389" s="1" t="e">
        <f>VLOOKUP(A389,'SegEnds_NonXtal_Prot#'!A:AL,28,FALSE)-VLOOKUP(A389,'SegEnds_NonXtal_Prot#'!A:AL,25,FALSE)</f>
        <v>#VALUE!</v>
      </c>
      <c r="AI389" s="1">
        <f>VLOOKUP(A389,'SegEnds_NonXtal_Prot#'!A:AL,28,FALSE)-VLOOKUP(A389,'SegEnds_NonXtal_Prot#'!A:AL,22,FALSE)</f>
        <v>25</v>
      </c>
      <c r="AJ389" s="1">
        <f>VLOOKUP(A389,'SegEnds_NonXtal_Prot#'!A:AL,31,FALSE)-VLOOKUP(A389,'SegEnds_NonXtal_Prot#'!A:AL,28,FALSE)</f>
        <v>76</v>
      </c>
      <c r="AK389" s="1">
        <f>VLOOKUP(A389,'SegEnds_NonXtal_Prot#'!A:AL,34,FALSE)-VLOOKUP(A389,'SegEnds_NonXtal_Prot#'!A:AL,31,FALSE)</f>
        <v>36</v>
      </c>
      <c r="AL389" s="1">
        <f>VLOOKUP(A389,'SegEnds_NonXtal_Prot#'!A:AL,37,FALSE)-VLOOKUP(A389,'SegEnds_NonXtal_Prot#'!A:AL,34,FALSE)</f>
        <v>24</v>
      </c>
      <c r="AM389" s="1" t="str">
        <f>IF(ISERROR(MATCH(A389,'SegEnds_Xtal_Prot#'!B:B, 0)), "NoXtal", "Xtal")</f>
        <v>NoXtal</v>
      </c>
    </row>
    <row r="390" spans="1:39" x14ac:dyDescent="0.2">
      <c r="A390" s="1" t="s">
        <v>478</v>
      </c>
      <c r="B390" s="1" t="str">
        <f>VLOOKUP(A390,Xtal_Templ!A:B,2,FALSE)</f>
        <v>ccr9_human</v>
      </c>
      <c r="C390" s="5">
        <f>VLOOKUP($B390&amp;"__wt",'SegEnds_Xtal_BW#'!$A:$Z,3,FALSE)</f>
        <v>27</v>
      </c>
      <c r="D390" s="1">
        <v>60</v>
      </c>
      <c r="E390" s="1" t="s">
        <v>23</v>
      </c>
      <c r="F390" s="1" t="s">
        <v>23</v>
      </c>
      <c r="G390" s="1">
        <v>39</v>
      </c>
      <c r="H390" s="12">
        <v>63</v>
      </c>
      <c r="I390" s="1" t="s">
        <v>23</v>
      </c>
      <c r="J390" s="1" t="s">
        <v>23</v>
      </c>
      <c r="K390" s="12">
        <v>23</v>
      </c>
      <c r="L390" s="1">
        <v>56</v>
      </c>
      <c r="M390" s="1" t="s">
        <v>23</v>
      </c>
      <c r="N390" s="12" t="s">
        <v>23</v>
      </c>
      <c r="O390" s="87">
        <v>40</v>
      </c>
      <c r="P390" s="1">
        <v>64</v>
      </c>
      <c r="Q390" s="1" t="s">
        <v>23</v>
      </c>
      <c r="R390" s="1" t="s">
        <v>23</v>
      </c>
      <c r="S390" s="1">
        <v>39</v>
      </c>
      <c r="T390" s="1">
        <v>61</v>
      </c>
      <c r="U390" s="1">
        <v>29</v>
      </c>
      <c r="V390" s="1">
        <v>53</v>
      </c>
      <c r="W390" s="1">
        <v>35</v>
      </c>
      <c r="X390" s="1">
        <v>56</v>
      </c>
      <c r="Y390" s="1">
        <v>47</v>
      </c>
      <c r="Z390" s="1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49</v>
      </c>
      <c r="AC390" s="1" t="e">
        <f>VLOOKUP(A390,'SegEnds_NonXtal_Prot#'!A:AL,10,FALSE)-VLOOKUP(A390,'SegEnds_NonXtal_Prot#'!A:AL,7,FALSE)</f>
        <v>#VALUE!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74</v>
      </c>
      <c r="AF390" s="1" t="e">
        <f>VLOOKUP(A390,'SegEnds_NonXtal_Prot#'!A:AL,22,FALSE)-VLOOKUP(A390,'SegEnds_NonXtal_Prot#'!A:AL,19,FALSE)</f>
        <v>#VALUE!</v>
      </c>
      <c r="AG390" s="1" t="e">
        <f>VLOOKUP(#REF!,'SegEnds_NonXtal_Prot#'!#REF!,28,FALSE)-VLOOKUP(#REF!,'SegEnds_NonXtal_Prot#'!#REF!,25,FALSE)</f>
        <v>#REF!</v>
      </c>
      <c r="AH390" s="1" t="e">
        <f>VLOOKUP(A390,'SegEnds_NonXtal_Prot#'!A:AL,28,FALSE)-VLOOKUP(A390,'SegEnds_NonXtal_Prot#'!A:AL,25,FALSE)</f>
        <v>#VALUE!</v>
      </c>
      <c r="AI390" s="1">
        <f>VLOOKUP(A390,'SegEnds_NonXtal_Prot#'!A:AL,28,FALSE)-VLOOKUP(A390,'SegEnds_NonXtal_Prot#'!A:AL,22,FALSE)</f>
        <v>81</v>
      </c>
      <c r="AJ390" s="1">
        <f>VLOOKUP(A390,'SegEnds_NonXtal_Prot#'!A:AL,31,FALSE)-VLOOKUP(A390,'SegEnds_NonXtal_Prot#'!A:AL,28,FALSE)</f>
        <v>37</v>
      </c>
      <c r="AK390" s="1">
        <f>VLOOKUP(A390,'SegEnds_NonXtal_Prot#'!A:AL,34,FALSE)-VLOOKUP(A390,'SegEnds_NonXtal_Prot#'!A:AL,31,FALSE)</f>
        <v>44</v>
      </c>
      <c r="AL390" s="1">
        <f>VLOOKUP(A390,'SegEnds_NonXtal_Prot#'!A:AL,37,FALSE)-VLOOKUP(A390,'SegEnds_NonXtal_Prot#'!A:AL,34,FALSE)</f>
        <v>11</v>
      </c>
      <c r="AM390" s="1" t="str">
        <f>IF(ISERROR(MATCH(A390,'SegEnds_Xtal_Prot#'!B:B, 0)), "NoXtal", "Xtal")</f>
        <v>NoXtal</v>
      </c>
    </row>
    <row r="391" spans="1:39" x14ac:dyDescent="0.2">
      <c r="A391" s="1" t="s">
        <v>482</v>
      </c>
      <c r="B391" s="1" t="str">
        <f>VLOOKUP(A391,Xtal_Templ!A:B,2,FALSE)</f>
        <v>5ht2c_human</v>
      </c>
      <c r="C391" s="5">
        <f>VLOOKUP($B391&amp;"__wt",'SegEnds_Xtal_BW#'!$A:$Z,3,FALSE)</f>
        <v>33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28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47</v>
      </c>
      <c r="AF391" s="1" t="e">
        <f>VLOOKUP(A391,'SegEnds_NonXtal_Prot#'!A:AL,22,FALSE)-VLOOKUP(A391,'SegEnds_NonXtal_Prot#'!A:AL,19,FALSE)</f>
        <v>#VALUE!</v>
      </c>
      <c r="AG391" s="1" t="e">
        <f>VLOOKUP(#REF!,'SegEnds_NonXtal_Prot#'!#REF!,28,FALSE)-VLOOKUP(#REF!,'SegEnds_NonXtal_Prot#'!#REF!,25,FALSE)</f>
        <v>#REF!</v>
      </c>
      <c r="AH391" s="1" t="e">
        <f>VLOOKUP(A391,'SegEnds_NonXtal_Prot#'!A:AL,28,FALSE)-VLOOKUP(A391,'SegEnds_NonXtal_Prot#'!A:AL,25,FALSE)</f>
        <v>#VALUE!</v>
      </c>
      <c r="AI391" s="1">
        <f>VLOOKUP(A391,'SegEnds_NonXtal_Prot#'!A:AL,28,FALSE)-VLOOKUP(A391,'SegEnds_NonXtal_Prot#'!A:AL,22,FALSE)</f>
        <v>29</v>
      </c>
      <c r="AJ391" s="1">
        <f>VLOOKUP(A391,'SegEnds_NonXtal_Prot#'!A:AL,31,FALSE)-VLOOKUP(A391,'SegEnds_NonXtal_Prot#'!A:AL,28,FALSE)</f>
        <v>67</v>
      </c>
      <c r="AK391" s="1">
        <f>VLOOKUP(A391,'SegEnds_NonXtal_Prot#'!A:AL,34,FALSE)-VLOOKUP(A391,'SegEnds_NonXtal_Prot#'!A:AL,31,FALSE)</f>
        <v>45</v>
      </c>
      <c r="AL391" s="1">
        <f>VLOOKUP(A391,'SegEnds_NonXtal_Prot#'!A:AL,37,FALSE)-VLOOKUP(A391,'SegEnds_NonXtal_Prot#'!A:AL,34,FALSE)</f>
        <v>18</v>
      </c>
      <c r="AM391" s="1" t="str">
        <f>IF(ISERROR(MATCH(A391,'SegEnds_Xtal_Prot#'!B:B, 0)), "NoXtal", "Xtal")</f>
        <v>NoXtal</v>
      </c>
    </row>
    <row r="392" spans="1:39" x14ac:dyDescent="0.2">
      <c r="A392" s="4" t="s">
        <v>481</v>
      </c>
      <c r="B392" s="4" t="str">
        <f>VLOOKUP(A392,Xtal_Templ!A:B,2,FALSE)</f>
        <v>aa2ar_human</v>
      </c>
      <c r="C392" s="5">
        <f>VLOOKUP($B392&amp;"__wt",'SegEnds_Xtal_BW#'!$A:$Z,3,FALSE)</f>
        <v>27</v>
      </c>
      <c r="D392" s="4">
        <v>60</v>
      </c>
      <c r="E392" s="4" t="s">
        <v>23</v>
      </c>
      <c r="F392" s="4" t="s">
        <v>23</v>
      </c>
      <c r="G392" s="4">
        <v>39</v>
      </c>
      <c r="H392" s="11">
        <v>63</v>
      </c>
      <c r="I392" s="4" t="s">
        <v>23</v>
      </c>
      <c r="J392" s="4" t="s">
        <v>23</v>
      </c>
      <c r="K392" s="11">
        <v>23</v>
      </c>
      <c r="L392" s="4">
        <v>56</v>
      </c>
      <c r="M392" s="4" t="s">
        <v>23</v>
      </c>
      <c r="N392" s="11" t="s">
        <v>23</v>
      </c>
      <c r="O392" s="88">
        <v>40</v>
      </c>
      <c r="P392" s="4">
        <v>64</v>
      </c>
      <c r="Q392" s="4" t="s">
        <v>23</v>
      </c>
      <c r="R392" s="4" t="s">
        <v>23</v>
      </c>
      <c r="S392" s="4">
        <v>39</v>
      </c>
      <c r="T392" s="4">
        <v>61</v>
      </c>
      <c r="U392" s="4">
        <v>29</v>
      </c>
      <c r="V392" s="4">
        <v>53</v>
      </c>
      <c r="W392" s="4">
        <v>35</v>
      </c>
      <c r="X392" s="4">
        <v>56</v>
      </c>
      <c r="Y392" s="4">
        <v>47</v>
      </c>
      <c r="Z392" s="4">
        <v>57</v>
      </c>
      <c r="AA392" s="27" t="str">
        <f>VLOOKUP(A392,Classification!A:B,2,FALSE)</f>
        <v>O</v>
      </c>
      <c r="AB392" s="1">
        <f>VLOOKUP(A392,'SegEnds_NonXtal_Prot#'!A:AL,10,FALSE)-VLOOKUP(A392,'SegEnds_NonXtal_Prot#'!A:AL,4,FALSE)</f>
        <v>36</v>
      </c>
      <c r="AC392" s="4" t="e">
        <f>VLOOKUP(A392,'SegEnds_NonXtal_Prot#'!A:AL,10,FALSE)-VLOOKUP(A392,'SegEnds_NonXtal_Prot#'!A:AL,7,FALSE)</f>
        <v>#VALUE!</v>
      </c>
      <c r="AD392" s="4" t="e">
        <f>VLOOKUP(A392,'SegEnds_NonXtal_Prot#'!A:AL,13,FALSE)-VLOOKUP(A392,'SegEnds_NonXtal_Prot#'!A:AL,10,FALSE)</f>
        <v>#VALUE!</v>
      </c>
      <c r="AE392" s="4">
        <f>VLOOKUP(A392,'SegEnds_NonXtal_Prot#'!A:AL,16,FALSE)-VLOOKUP(A392,'SegEnds_NonXtal_Prot#'!A:AL,10,FALSE)</f>
        <v>63</v>
      </c>
      <c r="AF392" s="1" t="e">
        <f>VLOOKUP(A392,'SegEnds_NonXtal_Prot#'!A:AL,22,FALSE)-VLOOKUP(A392,'SegEnds_NonXtal_Prot#'!A:AL,19,FALSE)</f>
        <v>#VALUE!</v>
      </c>
      <c r="AG392" s="4" t="e">
        <f>VLOOKUP(#REF!,'SegEnds_NonXtal_Prot#'!#REF!,28,FALSE)-VLOOKUP(#REF!,'SegEnds_NonXtal_Prot#'!#REF!,25,FALSE)</f>
        <v>#REF!</v>
      </c>
      <c r="AH392" s="4" t="e">
        <f>VLOOKUP(A392,'SegEnds_NonXtal_Prot#'!A:AL,28,FALSE)-VLOOKUP(A392,'SegEnds_NonXtal_Prot#'!A:AL,25,FALSE)</f>
        <v>#VALUE!</v>
      </c>
      <c r="AI392" s="1">
        <f>VLOOKUP(A392,'SegEnds_NonXtal_Prot#'!A:AL,28,FALSE)-VLOOKUP(A392,'SegEnds_NonXtal_Prot#'!A:AL,22,FALSE)</f>
        <v>39</v>
      </c>
      <c r="AJ392" s="4">
        <f>VLOOKUP(A392,'SegEnds_NonXtal_Prot#'!A:AL,31,FALSE)-VLOOKUP(A392,'SegEnds_NonXtal_Prot#'!A:AL,28,FALSE)</f>
        <v>58</v>
      </c>
      <c r="AK392" s="4">
        <f>VLOOKUP(A392,'SegEnds_NonXtal_Prot#'!A:AL,34,FALSE)-VLOOKUP(A392,'SegEnds_NonXtal_Prot#'!A:AL,31,FALSE)</f>
        <v>49</v>
      </c>
      <c r="AL392" s="1">
        <f>VLOOKUP(A392,'SegEnds_NonXtal_Prot#'!A:AL,37,FALSE)-VLOOKUP(A392,'SegEnds_NonXtal_Prot#'!A:AL,34,FALSE)</f>
        <v>10</v>
      </c>
      <c r="AM392" s="1" t="str">
        <f>IF(ISERROR(MATCH(A392,'SegEnds_Xtal_Prot#'!B:B, 0)), "NoXtal", "Xtal")</f>
        <v>NoXtal</v>
      </c>
    </row>
    <row r="393" spans="1:39" x14ac:dyDescent="0.2">
      <c r="A393" s="1" t="s">
        <v>923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33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VLOOKUP(#REF!,'SegEnds_NonXtal_Prot#'!#REF!,28,FALSE)-VLOOKUP(#REF!,'SegEnds_NonXtal_Prot#'!#REF!,25,FALSE)</f>
        <v>#REF!</v>
      </c>
      <c r="AH393" s="1" t="e">
        <f>VLOOKUP(A393,'SegEnds_NonXtal_Prot#'!A:AL,28,FALSE)-VLOOKUP(A393,'SegEnds_NonXtal_Prot#'!A:AL,25,FALSE)</f>
        <v>#VALUE!</v>
      </c>
      <c r="AI393" s="1">
        <f>VLOOKUP(A393,'SegEnds_NonXtal_Prot#'!A:AL,28,FALSE)-VLOOKUP(A393,'SegEnds_NonXtal_Prot#'!A:AL,22,FALSE)</f>
        <v>52</v>
      </c>
      <c r="AJ393" s="1">
        <f>VLOOKUP(A393,'SegEnds_NonXtal_Prot#'!A:AL,31,FALSE)-VLOOKUP(A393,'SegEnds_NonXtal_Prot#'!A:AL,28,FALSE)</f>
        <v>56</v>
      </c>
      <c r="AK393" s="1">
        <f>VLOOKUP(A393,'SegEnds_NonXtal_Prot#'!A:AL,34,FALSE)-VLOOKUP(A393,'SegEnds_NonXtal_Prot#'!A:AL,31,FALSE)</f>
        <v>33</v>
      </c>
      <c r="AL393" s="1">
        <f>VLOOKUP(A393,'SegEnds_NonXtal_Prot#'!A:AL,37,FALSE)-VLOOKUP(A393,'SegEnds_NonXtal_Prot#'!A:AL,34,FALSE)</f>
        <v>10</v>
      </c>
      <c r="AM393" s="1" t="str">
        <f>IF(ISERROR(MATCH(A393,'SegEnds_Xtal_Prot#'!B:B, 0)), "NoXtal", "Xtal")</f>
        <v>NoXtal</v>
      </c>
    </row>
    <row r="394" spans="1:39" x14ac:dyDescent="0.2">
      <c r="A394" s="1" t="s">
        <v>453</v>
      </c>
      <c r="B394" s="1" t="str">
        <f>VLOOKUP(A394,Xtal_Templ!A:B,2,FALSE)</f>
        <v>5ht2a_human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67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52</v>
      </c>
      <c r="AF394" s="1">
        <f>VLOOKUP(A394,'SegEnds_NonXtal_Prot#'!A:AL,22,FALSE)-VLOOKUP(A394,'SegEnds_NonXtal_Prot#'!A:AL,19,FALSE)</f>
        <v>20</v>
      </c>
      <c r="AG394" s="1" t="e">
        <f>VLOOKUP(#REF!,'SegEnds_NonXtal_Prot#'!#REF!,28,FALSE)-VLOOKUP(#REF!,'SegEnds_NonXtal_Prot#'!#REF!,25,FALSE)</f>
        <v>#REF!</v>
      </c>
      <c r="AH394" s="1" t="e">
        <f>VLOOKUP(A394,'SegEnds_NonXtal_Prot#'!A:AL,28,FALSE)-VLOOKUP(A394,'SegEnds_NonXtal_Prot#'!A:AL,25,FALSE)</f>
        <v>#VALUE!</v>
      </c>
      <c r="AI394" s="1">
        <f>VLOOKUP(A394,'SegEnds_NonXtal_Prot#'!A:AL,28,FALSE)-VLOOKUP(A394,'SegEnds_NonXtal_Prot#'!A:AL,22,FALSE)</f>
        <v>54</v>
      </c>
      <c r="AJ394" s="1">
        <f>VLOOKUP(A394,'SegEnds_NonXtal_Prot#'!A:AL,31,FALSE)-VLOOKUP(A394,'SegEnds_NonXtal_Prot#'!A:AL,28,FALSE)</f>
        <v>53</v>
      </c>
      <c r="AK394" s="1">
        <f>VLOOKUP(A394,'SegEnds_NonXtal_Prot#'!A:AL,34,FALSE)-VLOOKUP(A394,'SegEnds_NonXtal_Prot#'!A:AL,31,FALSE)</f>
        <v>35</v>
      </c>
      <c r="AL394" s="1">
        <f>VLOOKUP(A394,'SegEnds_NonXtal_Prot#'!A:AL,37,FALSE)-VLOOKUP(A394,'SegEnds_NonXtal_Prot#'!A:AL,34,FALSE)</f>
        <v>10</v>
      </c>
      <c r="AM394" s="1" t="str">
        <f>IF(ISERROR(MATCH(A394,'SegEnds_Xtal_Prot#'!B:B, 0)), "NoXtal", "Xtal")</f>
        <v>NoXtal</v>
      </c>
    </row>
    <row r="395" spans="1:39" x14ac:dyDescent="0.2">
      <c r="A395" s="1" t="s">
        <v>454</v>
      </c>
      <c r="B395" s="1" t="str">
        <f>VLOOKUP(A395,Xtal_Templ!A:B,2,FALSE)</f>
        <v>5ht2c_human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67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52</v>
      </c>
      <c r="AF395" s="1">
        <f>VLOOKUP(A395,'SegEnds_NonXtal_Prot#'!A:AL,22,FALSE)-VLOOKUP(A395,'SegEnds_NonXtal_Prot#'!A:AL,19,FALSE)</f>
        <v>20</v>
      </c>
      <c r="AG395" s="1" t="e">
        <f>VLOOKUP(#REF!,'SegEnds_NonXtal_Prot#'!#REF!,28,FALSE)-VLOOKUP(#REF!,'SegEnds_NonXtal_Prot#'!#REF!,25,FALSE)</f>
        <v>#REF!</v>
      </c>
      <c r="AH395" s="1" t="e">
        <f>VLOOKUP(A395,'SegEnds_NonXtal_Prot#'!A:AL,28,FALSE)-VLOOKUP(A395,'SegEnds_NonXtal_Prot#'!A:AL,25,FALSE)</f>
        <v>#VALUE!</v>
      </c>
      <c r="AI395" s="1">
        <f>VLOOKUP(A395,'SegEnds_NonXtal_Prot#'!A:AL,28,FALSE)-VLOOKUP(A395,'SegEnds_NonXtal_Prot#'!A:AL,22,FALSE)</f>
        <v>54</v>
      </c>
      <c r="AJ395" s="1">
        <f>VLOOKUP(A395,'SegEnds_NonXtal_Prot#'!A:AL,31,FALSE)-VLOOKUP(A395,'SegEnds_NonXtal_Prot#'!A:AL,28,FALSE)</f>
        <v>52</v>
      </c>
      <c r="AK395" s="1">
        <f>VLOOKUP(A395,'SegEnds_NonXtal_Prot#'!A:AL,34,FALSE)-VLOOKUP(A395,'SegEnds_NonXtal_Prot#'!A:AL,31,FALSE)</f>
        <v>35</v>
      </c>
      <c r="AL395" s="1">
        <f>VLOOKUP(A395,'SegEnds_NonXtal_Prot#'!A:AL,37,FALSE)-VLOOKUP(A395,'SegEnds_NonXtal_Prot#'!A:AL,34,FALSE)</f>
        <v>10</v>
      </c>
      <c r="AM395" s="1" t="str">
        <f>IF(ISERROR(MATCH(A395,'SegEnds_Xtal_Prot#'!B:B, 0)), "NoXtal", "Xtal")</f>
        <v>NoXtal</v>
      </c>
    </row>
    <row r="396" spans="1:39" x14ac:dyDescent="0.2">
      <c r="A396" s="1" t="s">
        <v>455</v>
      </c>
      <c r="B396" s="1" t="str">
        <f>VLOOKUP(A396,Xtal_Templ!A:B,2,FALSE)</f>
        <v>pd2r2_human</v>
      </c>
      <c r="C396" s="5">
        <v>32</v>
      </c>
      <c r="D396" s="1">
        <v>62</v>
      </c>
      <c r="E396" s="1" t="str">
        <f>VLOOKUP($B396&amp;"__wt",'SegEnds_Xtal_BW#'!$A:$Z,5,FALSE)</f>
        <v>-</v>
      </c>
      <c r="F396" s="1" t="str">
        <f>VLOOKUP($B396&amp;"__wt",'SegEnds_Xtal_BW#'!$A:$Z,6,FALSE)</f>
        <v>-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24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7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47</v>
      </c>
      <c r="AF396" s="1">
        <f>VLOOKUP(A396,'SegEnds_NonXtal_Prot#'!A:AL,22,FALSE)-VLOOKUP(A396,'SegEnds_NonXtal_Prot#'!A:AL,19,FALSE)</f>
        <v>20</v>
      </c>
      <c r="AG396" s="1" t="e">
        <f>VLOOKUP(#REF!,'SegEnds_NonXtal_Prot#'!#REF!,28,FALSE)-VLOOKUP(#REF!,'SegEnds_NonXtal_Prot#'!#REF!,25,FALSE)</f>
        <v>#REF!</v>
      </c>
      <c r="AH396" s="1" t="e">
        <f>VLOOKUP(A396,'SegEnds_NonXtal_Prot#'!A:AL,28,FALSE)-VLOOKUP(A396,'SegEnds_NonXtal_Prot#'!A:AL,25,FALSE)</f>
        <v>#VALUE!</v>
      </c>
      <c r="AI396" s="1">
        <f>VLOOKUP(A396,'SegEnds_NonXtal_Prot#'!A:AL,28,FALSE)-VLOOKUP(A396,'SegEnds_NonXtal_Prot#'!A:AL,22,FALSE)</f>
        <v>56</v>
      </c>
      <c r="AJ396" s="1">
        <f>VLOOKUP(A396,'SegEnds_NonXtal_Prot#'!A:AL,31,FALSE)-VLOOKUP(A396,'SegEnds_NonXtal_Prot#'!A:AL,28,FALSE)</f>
        <v>50</v>
      </c>
      <c r="AK396" s="1">
        <f>VLOOKUP(A396,'SegEnds_NonXtal_Prot#'!A:AL,34,FALSE)-VLOOKUP(A396,'SegEnds_NonXtal_Prot#'!A:AL,31,FALSE)</f>
        <v>35</v>
      </c>
      <c r="AL396" s="1">
        <f>VLOOKUP(A396,'SegEnds_NonXtal_Prot#'!A:AL,37,FALSE)-VLOOKUP(A396,'SegEnds_NonXtal_Prot#'!A:AL,34,FALSE)</f>
        <v>10</v>
      </c>
      <c r="AM396" s="1" t="str">
        <f>IF(ISERROR(MATCH(A396,'SegEnds_Xtal_Prot#'!B:B, 0)), "NoXtal", "Xtal")</f>
        <v>NoXtal</v>
      </c>
    </row>
    <row r="397" spans="1:39" x14ac:dyDescent="0.2">
      <c r="A397" s="1" t="s">
        <v>461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8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VLOOKUP(#REF!,'SegEnds_NonXtal_Prot#'!#REF!,28,FALSE)-VLOOKUP(#REF!,'SegEnds_NonXtal_Prot#'!#REF!,25,FALSE)</f>
        <v>#REF!</v>
      </c>
      <c r="AH397" s="1" t="e">
        <f>VLOOKUP(A397,'SegEnds_NonXtal_Prot#'!A:AL,28,FALSE)-VLOOKUP(A397,'SegEnds_NonXtal_Prot#'!A:AL,25,FALSE)</f>
        <v>#VALUE!</v>
      </c>
      <c r="AI397" s="1">
        <f>VLOOKUP(A397,'SegEnds_NonXtal_Prot#'!A:AL,28,FALSE)-VLOOKUP(A397,'SegEnds_NonXtal_Prot#'!A:AL,22,FALSE)</f>
        <v>56</v>
      </c>
      <c r="AJ397" s="1">
        <f>VLOOKUP(A397,'SegEnds_NonXtal_Prot#'!A:AL,31,FALSE)-VLOOKUP(A397,'SegEnds_NonXtal_Prot#'!A:AL,28,FALSE)</f>
        <v>53</v>
      </c>
      <c r="AK397" s="1">
        <f>VLOOKUP(A397,'SegEnds_NonXtal_Prot#'!A:AL,34,FALSE)-VLOOKUP(A397,'SegEnds_NonXtal_Prot#'!A:AL,31,FALSE)</f>
        <v>35</v>
      </c>
      <c r="AL397" s="1">
        <f>VLOOKUP(A397,'SegEnds_NonXtal_Prot#'!A:AL,37,FALSE)-VLOOKUP(A397,'SegEnds_NonXtal_Prot#'!A:AL,34,FALSE)</f>
        <v>10</v>
      </c>
      <c r="AM397" s="1" t="str">
        <f>IF(ISERROR(MATCH(A397,'SegEnds_Xtal_Prot#'!B:B, 0)), "NoXtal", "Xtal")</f>
        <v>NoXtal</v>
      </c>
    </row>
    <row r="398" spans="1:39" x14ac:dyDescent="0.2">
      <c r="A398" s="1" t="s">
        <v>462</v>
      </c>
      <c r="B398" s="1" t="str">
        <f>VLOOKUP(A398,Xtal_Templ!A:B,2,FALSE)</f>
        <v>5ht2a_human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18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7">
        <v>38</v>
      </c>
      <c r="P398" s="1">
        <f>VLOOKUP($B398&amp;"__wt",'SegEnds_Xtal_BW#'!$A:$Z,16,FALSE)</f>
        <v>67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VLOOKUP(#REF!,'SegEnds_NonXtal_Prot#'!#REF!,28,FALSE)-VLOOKUP(#REF!,'SegEnds_NonXtal_Prot#'!#REF!,25,FALSE)</f>
        <v>#REF!</v>
      </c>
      <c r="AH398" s="1" t="e">
        <f>VLOOKUP(A398,'SegEnds_NonXtal_Prot#'!A:AL,28,FALSE)-VLOOKUP(A398,'SegEnds_NonXtal_Prot#'!A:AL,25,FALSE)</f>
        <v>#VALUE!</v>
      </c>
      <c r="AI398" s="1">
        <f>VLOOKUP(A398,'SegEnds_NonXtal_Prot#'!A:AL,28,FALSE)-VLOOKUP(A398,'SegEnds_NonXtal_Prot#'!A:AL,22,FALSE)</f>
        <v>57</v>
      </c>
      <c r="AJ398" s="1">
        <f>VLOOKUP(A398,'SegEnds_NonXtal_Prot#'!A:AL,31,FALSE)-VLOOKUP(A398,'SegEnds_NonXtal_Prot#'!A:AL,28,FALSE)</f>
        <v>53</v>
      </c>
      <c r="AK398" s="1">
        <f>VLOOKUP(A398,'SegEnds_NonXtal_Prot#'!A:AL,34,FALSE)-VLOOKUP(A398,'SegEnds_NonXtal_Prot#'!A:AL,31,FALSE)</f>
        <v>35</v>
      </c>
      <c r="AL398" s="1">
        <f>VLOOKUP(A398,'SegEnds_NonXtal_Prot#'!A:AL,37,FALSE)-VLOOKUP(A398,'SegEnds_NonXtal_Prot#'!A:AL,34,FALSE)</f>
        <v>10</v>
      </c>
      <c r="AM398" s="1" t="str">
        <f>IF(ISERROR(MATCH(A398,'SegEnds_Xtal_Prot#'!B:B, 0)), "NoXtal", "Xtal")</f>
        <v>NoXtal</v>
      </c>
    </row>
    <row r="399" spans="1:39" x14ac:dyDescent="0.2">
      <c r="A399" s="1" t="s">
        <v>463</v>
      </c>
      <c r="B399" s="1" t="str">
        <f>VLOOKUP(A399,Xtal_Templ!A:B,2,FALSE)</f>
        <v>drd2_human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VLOOKUP(#REF!,'SegEnds_NonXtal_Prot#'!#REF!,28,FALSE)-VLOOKUP(#REF!,'SegEnds_NonXtal_Prot#'!#REF!,25,FALSE)</f>
        <v>#REF!</v>
      </c>
      <c r="AH399" s="1" t="e">
        <f>VLOOKUP(A399,'SegEnds_NonXtal_Prot#'!A:AL,28,FALSE)-VLOOKUP(A399,'SegEnds_NonXtal_Prot#'!A:AL,25,FALSE)</f>
        <v>#VALUE!</v>
      </c>
      <c r="AI399" s="1">
        <f>VLOOKUP(A399,'SegEnds_NonXtal_Prot#'!A:AL,28,FALSE)-VLOOKUP(A399,'SegEnds_NonXtal_Prot#'!A:AL,22,FALSE)</f>
        <v>56</v>
      </c>
      <c r="AJ399" s="1">
        <f>VLOOKUP(A399,'SegEnds_NonXtal_Prot#'!A:AL,31,FALSE)-VLOOKUP(A399,'SegEnds_NonXtal_Prot#'!A:AL,28,FALSE)</f>
        <v>53</v>
      </c>
      <c r="AK399" s="1">
        <f>VLOOKUP(A399,'SegEnds_NonXtal_Prot#'!A:AL,34,FALSE)-VLOOKUP(A399,'SegEnds_NonXtal_Prot#'!A:AL,31,FALSE)</f>
        <v>35</v>
      </c>
      <c r="AL399" s="1">
        <f>VLOOKUP(A399,'SegEnds_NonXtal_Prot#'!A:AL,37,FALSE)-VLOOKUP(A399,'SegEnds_NonXtal_Prot#'!A:AL,34,FALSE)</f>
        <v>10</v>
      </c>
      <c r="AM399" s="1" t="str">
        <f>IF(ISERROR(MATCH(A399,'SegEnds_Xtal_Prot#'!B:B, 0)), "NoXtal", "Xtal")</f>
        <v>NoXtal</v>
      </c>
    </row>
    <row r="400" spans="1:39" x14ac:dyDescent="0.2">
      <c r="A400" s="1" t="s">
        <v>468</v>
      </c>
      <c r="B400" s="1" t="str">
        <f>VLOOKUP(A400,Xtal_Templ!A:B,2,FALSE)</f>
        <v>oprk_human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18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52</v>
      </c>
      <c r="AF400" s="1">
        <f>VLOOKUP(A400,'SegEnds_NonXtal_Prot#'!A:AL,22,FALSE)-VLOOKUP(A400,'SegEnds_NonXtal_Prot#'!A:AL,19,FALSE)</f>
        <v>20</v>
      </c>
      <c r="AG400" s="1" t="e">
        <f>VLOOKUP(#REF!,'SegEnds_NonXtal_Prot#'!#REF!,28,FALSE)-VLOOKUP(#REF!,'SegEnds_NonXtal_Prot#'!#REF!,25,FALSE)</f>
        <v>#REF!</v>
      </c>
      <c r="AH400" s="1" t="e">
        <f>VLOOKUP(A400,'SegEnds_NonXtal_Prot#'!A:AL,28,FALSE)-VLOOKUP(A400,'SegEnds_NonXtal_Prot#'!A:AL,25,FALSE)</f>
        <v>#VALUE!</v>
      </c>
      <c r="AI400" s="1">
        <f>VLOOKUP(A400,'SegEnds_NonXtal_Prot#'!A:AL,28,FALSE)-VLOOKUP(A400,'SegEnds_NonXtal_Prot#'!A:AL,22,FALSE)</f>
        <v>58</v>
      </c>
      <c r="AJ400" s="1">
        <f>VLOOKUP(A400,'SegEnds_NonXtal_Prot#'!A:AL,31,FALSE)-VLOOKUP(A400,'SegEnds_NonXtal_Prot#'!A:AL,28,FALSE)</f>
        <v>53</v>
      </c>
      <c r="AK400" s="1">
        <f>VLOOKUP(A400,'SegEnds_NonXtal_Prot#'!A:AL,34,FALSE)-VLOOKUP(A400,'SegEnds_NonXtal_Prot#'!A:AL,31,FALSE)</f>
        <v>35</v>
      </c>
      <c r="AL400" s="1">
        <f>VLOOKUP(A400,'SegEnds_NonXtal_Prot#'!A:AL,37,FALSE)-VLOOKUP(A400,'SegEnds_NonXtal_Prot#'!A:AL,34,FALSE)</f>
        <v>10</v>
      </c>
      <c r="AM400" s="1" t="str">
        <f>IF(ISERROR(MATCH(A400,'SegEnds_Xtal_Prot#'!B:B, 0)), "NoXtal", "Xtal")</f>
        <v>NoXtal</v>
      </c>
    </row>
    <row r="401" spans="1:39" x14ac:dyDescent="0.2">
      <c r="A401" s="4" t="s">
        <v>470</v>
      </c>
      <c r="B401" s="4" t="str">
        <f>VLOOKUP(A401,Xtal_Templ!A:B,2,FALSE)</f>
        <v>cxcr4_human</v>
      </c>
      <c r="C401" s="5">
        <v>32</v>
      </c>
      <c r="D401" s="4">
        <v>62</v>
      </c>
      <c r="E401" s="4">
        <f>VLOOKUP($B401&amp;"__wt",'SegEnds_Xtal_BW#'!$A:$Z,5,FALSE)</f>
        <v>48</v>
      </c>
      <c r="F401" s="4">
        <f>VLOOKUP($B401&amp;"__wt",'SegEnds_Xtal_BW#'!$A:$Z,6,FALSE)</f>
        <v>51</v>
      </c>
      <c r="G401" s="4">
        <v>39</v>
      </c>
      <c r="H401" s="11">
        <v>66</v>
      </c>
      <c r="I401" s="4" t="s">
        <v>23</v>
      </c>
      <c r="J401" s="4" t="s">
        <v>23</v>
      </c>
      <c r="K401" s="11">
        <v>24</v>
      </c>
      <c r="L401" s="4">
        <f>VLOOKUP($B401&amp;"__wt",'SegEnds_Xtal_BW#'!$A:$Z,12,FALSE)</f>
        <v>56</v>
      </c>
      <c r="M401" s="4">
        <f>VLOOKUP($B401&amp;"__wt",'SegEnds_Xtal_BW#'!$A:$Z,13,FALSE)</f>
        <v>50</v>
      </c>
      <c r="N401" s="11">
        <v>57</v>
      </c>
      <c r="O401" s="88">
        <v>38</v>
      </c>
      <c r="P401" s="4">
        <f>VLOOKUP($B401&amp;"__wt",'SegEnds_Xtal_BW#'!$A:$Z,16,FALSE)</f>
        <v>64</v>
      </c>
      <c r="Q401" s="4">
        <f>VLOOKUP($B401&amp;"__wt",'SegEnds_Xtal_BW#'!$A:$Z,17,FALSE)</f>
        <v>50</v>
      </c>
      <c r="R401" s="4">
        <f>VLOOKUP($B401&amp;"__wt",'SegEnds_Xtal_BW#'!$A:$Z,18,FALSE)</f>
        <v>52</v>
      </c>
      <c r="S401" s="4">
        <v>32</v>
      </c>
      <c r="T401" s="4">
        <v>72</v>
      </c>
      <c r="U401" s="4">
        <v>29</v>
      </c>
      <c r="V401" s="4">
        <v>61</v>
      </c>
      <c r="W401" s="4">
        <v>31</v>
      </c>
      <c r="X401" s="4">
        <f>VLOOKUP($B401&amp;"__wt",'SegEnds_Xtal_BW#'!$A:$Z,24,FALSE)</f>
        <v>56</v>
      </c>
      <c r="Y401" s="4">
        <f>VLOOKUP($B401&amp;"__wt",'SegEnds_Xtal_BW#'!$A:$Z,25,FALSE)</f>
        <v>47</v>
      </c>
      <c r="Z401" s="4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4">
        <f>VLOOKUP(A401,'SegEnds_NonXtal_Prot#'!A:AL,10,FALSE)-VLOOKUP(A401,'SegEnds_NonXtal_Prot#'!A:AL,7,FALSE)</f>
        <v>16</v>
      </c>
      <c r="AD401" s="4" t="e">
        <f>VLOOKUP(A401,'SegEnds_NonXtal_Prot#'!A:AL,13,FALSE)-VLOOKUP(A401,'SegEnds_NonXtal_Prot#'!A:AL,10,FALSE)</f>
        <v>#VALUE!</v>
      </c>
      <c r="AE401" s="4">
        <f>VLOOKUP(A401,'SegEnds_NonXtal_Prot#'!A:AL,16,FALSE)-VLOOKUP(A401,'SegEnds_NonXtal_Prot#'!A:AL,10,FALSE)</f>
        <v>48</v>
      </c>
      <c r="AF401" s="1">
        <f>VLOOKUP(A401,'SegEnds_NonXtal_Prot#'!A:AL,22,FALSE)-VLOOKUP(A401,'SegEnds_NonXtal_Prot#'!A:AL,19,FALSE)</f>
        <v>20</v>
      </c>
      <c r="AG401" s="4" t="e">
        <f>VLOOKUP(#REF!,'SegEnds_NonXtal_Prot#'!#REF!,28,FALSE)-VLOOKUP(#REF!,'SegEnds_NonXtal_Prot#'!#REF!,25,FALSE)</f>
        <v>#REF!</v>
      </c>
      <c r="AH401" s="4" t="e">
        <f>VLOOKUP(A401,'SegEnds_NonXtal_Prot#'!A:AL,28,FALSE)-VLOOKUP(A401,'SegEnds_NonXtal_Prot#'!A:AL,25,FALSE)</f>
        <v>#VALUE!</v>
      </c>
      <c r="AI401" s="1">
        <f>VLOOKUP(A401,'SegEnds_NonXtal_Prot#'!A:AL,28,FALSE)-VLOOKUP(A401,'SegEnds_NonXtal_Prot#'!A:AL,22,FALSE)</f>
        <v>54</v>
      </c>
      <c r="AJ401" s="4">
        <f>VLOOKUP(A401,'SegEnds_NonXtal_Prot#'!A:AL,31,FALSE)-VLOOKUP(A401,'SegEnds_NonXtal_Prot#'!A:AL,28,FALSE)</f>
        <v>53</v>
      </c>
      <c r="AK401" s="4">
        <f>VLOOKUP(A401,'SegEnds_NonXtal_Prot#'!A:AL,34,FALSE)-VLOOKUP(A401,'SegEnds_NonXtal_Prot#'!A:AL,31,FALSE)</f>
        <v>35</v>
      </c>
      <c r="AL401" s="1">
        <f>VLOOKUP(A401,'SegEnds_NonXtal_Prot#'!A:AL,37,FALSE)-VLOOKUP(A401,'SegEnds_NonXtal_Prot#'!A:AL,34,FALSE)</f>
        <v>10</v>
      </c>
      <c r="AM401" s="1" t="str">
        <f>IF(ISERROR(MATCH(A401,'SegEnds_Xtal_Prot#'!B:B, 0)), "NoXtal", "Xtal")</f>
        <v>NoXtal</v>
      </c>
    </row>
    <row r="402" spans="1:39" x14ac:dyDescent="0.2">
      <c r="A402" s="1" t="s">
        <v>452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f>VLOOKUP($B402&amp;"__wt",'SegEnds_Xtal_BW#'!$A:$Z,14,FALSE)</f>
        <v>58</v>
      </c>
      <c r="O402" s="88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30</v>
      </c>
      <c r="AC402" s="1">
        <f>VLOOKUP(A402,'SegEnds_NonXtal_Prot#'!A:AL,10,FALSE)-VLOOKUP(A402,'SegEnds_NonXtal_Prot#'!A:AL,7,FALSE)</f>
        <v>15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52</v>
      </c>
      <c r="AF402" s="1">
        <f>VLOOKUP(A402,'SegEnds_NonXtal_Prot#'!A:AL,22,FALSE)-VLOOKUP(A402,'SegEnds_NonXtal_Prot#'!A:AL,19,FALSE)</f>
        <v>20</v>
      </c>
      <c r="AG402" s="1" t="e">
        <f>VLOOKUP(#REF!,'SegEnds_NonXtal_Prot#'!#REF!,28,FALSE)-VLOOKUP(#REF!,'SegEnds_NonXtal_Prot#'!#REF!,25,FALSE)</f>
        <v>#REF!</v>
      </c>
      <c r="AH402" s="1" t="e">
        <f>VLOOKUP(A402,'SegEnds_NonXtal_Prot#'!A:AL,28,FALSE)-VLOOKUP(A402,'SegEnds_NonXtal_Prot#'!A:AL,25,FALSE)</f>
        <v>#VALUE!</v>
      </c>
      <c r="AI402" s="1">
        <f>VLOOKUP(A402,'SegEnds_NonXtal_Prot#'!A:AL,28,FALSE)-VLOOKUP(A402,'SegEnds_NonXtal_Prot#'!A:AL,22,FALSE)</f>
        <v>50</v>
      </c>
      <c r="AJ402" s="1">
        <f>VLOOKUP(A402,'SegEnds_NonXtal_Prot#'!A:AL,31,FALSE)-VLOOKUP(A402,'SegEnds_NonXtal_Prot#'!A:AL,28,FALSE)</f>
        <v>53</v>
      </c>
      <c r="AK402" s="1">
        <f>VLOOKUP(A402,'SegEnds_NonXtal_Prot#'!A:AL,34,FALSE)-VLOOKUP(A402,'SegEnds_NonXtal_Prot#'!A:AL,31,FALSE)</f>
        <v>36</v>
      </c>
      <c r="AL402" s="1">
        <f>VLOOKUP(A402,'SegEnds_NonXtal_Prot#'!A:AL,37,FALSE)-VLOOKUP(A402,'SegEnds_NonXtal_Prot#'!A:AL,34,FALSE)</f>
        <v>10</v>
      </c>
      <c r="AM402" s="1" t="str">
        <f>IF(ISERROR(MATCH(A402,'SegEnds_Xtal_Prot#'!B:B, 0)), "NoXtal", "Xtal")</f>
        <v>NoXtal</v>
      </c>
    </row>
    <row r="403" spans="1:39" x14ac:dyDescent="0.2">
      <c r="A403" s="1" t="s">
        <v>456</v>
      </c>
      <c r="B403" s="1" t="str">
        <f>VLOOKUP(A403,Xtal_Templ!A:B,2,FALSE)</f>
        <v>5ht2c_human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67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VLOOKUP(#REF!,'SegEnds_NonXtal_Prot#'!#REF!,28,FALSE)-VLOOKUP(#REF!,'SegEnds_NonXtal_Prot#'!#REF!,25,FALSE)</f>
        <v>#REF!</v>
      </c>
      <c r="AH403" s="1" t="e">
        <f>VLOOKUP(A403,'SegEnds_NonXtal_Prot#'!A:AL,28,FALSE)-VLOOKUP(A403,'SegEnds_NonXtal_Prot#'!A:AL,25,FALSE)</f>
        <v>#VALUE!</v>
      </c>
      <c r="AI403" s="1">
        <f>VLOOKUP(A403,'SegEnds_NonXtal_Prot#'!A:AL,28,FALSE)-VLOOKUP(A403,'SegEnds_NonXtal_Prot#'!A:AL,22,FALSE)</f>
        <v>52</v>
      </c>
      <c r="AJ403" s="1">
        <f>VLOOKUP(A403,'SegEnds_NonXtal_Prot#'!A:AL,31,FALSE)-VLOOKUP(A403,'SegEnds_NonXtal_Prot#'!A:AL,28,FALSE)</f>
        <v>53</v>
      </c>
      <c r="AK403" s="1">
        <f>VLOOKUP(A403,'SegEnds_NonXtal_Prot#'!A:AL,34,FALSE)-VLOOKUP(A403,'SegEnds_NonXtal_Prot#'!A:AL,31,FALSE)</f>
        <v>36</v>
      </c>
      <c r="AL403" s="1">
        <f>VLOOKUP(A403,'SegEnds_NonXtal_Prot#'!A:AL,37,FALSE)-VLOOKUP(A403,'SegEnds_NonXtal_Prot#'!A:AL,34,FALSE)</f>
        <v>10</v>
      </c>
      <c r="AM403" s="1" t="str">
        <f>IF(ISERROR(MATCH(A403,'SegEnds_Xtal_Prot#'!B:B, 0)), "NoXtal", "Xtal")</f>
        <v>NoXtal</v>
      </c>
    </row>
    <row r="404" spans="1:39" x14ac:dyDescent="0.2">
      <c r="A404" s="1" t="s">
        <v>457</v>
      </c>
      <c r="B404" s="1" t="str">
        <f>VLOOKUP(A404,Xtal_Templ!A:B,2,FALSE)</f>
        <v>5ht2c_human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67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VLOOKUP(#REF!,'SegEnds_NonXtal_Prot#'!#REF!,28,FALSE)-VLOOKUP(#REF!,'SegEnds_NonXtal_Prot#'!#REF!,25,FALSE)</f>
        <v>#REF!</v>
      </c>
      <c r="AH404" s="1" t="e">
        <f>VLOOKUP(A404,'SegEnds_NonXtal_Prot#'!A:AL,28,FALSE)-VLOOKUP(A404,'SegEnds_NonXtal_Prot#'!A:AL,25,FALSE)</f>
        <v>#VALUE!</v>
      </c>
      <c r="AI404" s="1">
        <f>VLOOKUP(A404,'SegEnds_NonXtal_Prot#'!A:AL,28,FALSE)-VLOOKUP(A404,'SegEnds_NonXtal_Prot#'!A:AL,22,FALSE)</f>
        <v>52</v>
      </c>
      <c r="AJ404" s="1">
        <f>VLOOKUP(A404,'SegEnds_NonXtal_Prot#'!A:AL,31,FALSE)-VLOOKUP(A404,'SegEnds_NonXtal_Prot#'!A:AL,28,FALSE)</f>
        <v>53</v>
      </c>
      <c r="AK404" s="1">
        <f>VLOOKUP(A404,'SegEnds_NonXtal_Prot#'!A:AL,34,FALSE)-VLOOKUP(A404,'SegEnds_NonXtal_Prot#'!A:AL,31,FALSE)</f>
        <v>36</v>
      </c>
      <c r="AL404" s="1">
        <f>VLOOKUP(A404,'SegEnds_NonXtal_Prot#'!A:AL,37,FALSE)-VLOOKUP(A404,'SegEnds_NonXtal_Prot#'!A:AL,34,FALSE)</f>
        <v>10</v>
      </c>
      <c r="AM404" s="1" t="str">
        <f>IF(ISERROR(MATCH(A404,'SegEnds_Xtal_Prot#'!B:B, 0)), "NoXtal", "Xtal")</f>
        <v>NoXtal</v>
      </c>
    </row>
    <row r="405" spans="1:39" x14ac:dyDescent="0.2">
      <c r="A405" s="1" t="s">
        <v>458</v>
      </c>
      <c r="B405" s="1" t="str">
        <f>VLOOKUP(A405,Xtal_Templ!A:B,2,FALSE)</f>
        <v>5ht2c_human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67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51</v>
      </c>
      <c r="AF405" s="1">
        <f>VLOOKUP(A405,'SegEnds_NonXtal_Prot#'!A:AL,22,FALSE)-VLOOKUP(A405,'SegEnds_NonXtal_Prot#'!A:AL,19,FALSE)</f>
        <v>20</v>
      </c>
      <c r="AG405" s="1" t="e">
        <f>VLOOKUP(#REF!,'SegEnds_NonXtal_Prot#'!#REF!,28,FALSE)-VLOOKUP(#REF!,'SegEnds_NonXtal_Prot#'!#REF!,25,FALSE)</f>
        <v>#REF!</v>
      </c>
      <c r="AH405" s="1" t="e">
        <f>VLOOKUP(A405,'SegEnds_NonXtal_Prot#'!A:AL,28,FALSE)-VLOOKUP(A405,'SegEnds_NonXtal_Prot#'!A:AL,25,FALSE)</f>
        <v>#VALUE!</v>
      </c>
      <c r="AI405" s="1">
        <f>VLOOKUP(A405,'SegEnds_NonXtal_Prot#'!A:AL,28,FALSE)-VLOOKUP(A405,'SegEnds_NonXtal_Prot#'!A:AL,22,FALSE)</f>
        <v>52</v>
      </c>
      <c r="AJ405" s="1">
        <f>VLOOKUP(A405,'SegEnds_NonXtal_Prot#'!A:AL,31,FALSE)-VLOOKUP(A405,'SegEnds_NonXtal_Prot#'!A:AL,28,FALSE)</f>
        <v>53</v>
      </c>
      <c r="AK405" s="1">
        <f>VLOOKUP(A405,'SegEnds_NonXtal_Prot#'!A:AL,34,FALSE)-VLOOKUP(A405,'SegEnds_NonXtal_Prot#'!A:AL,31,FALSE)</f>
        <v>36</v>
      </c>
      <c r="AL405" s="1">
        <f>VLOOKUP(A405,'SegEnds_NonXtal_Prot#'!A:AL,37,FALSE)-VLOOKUP(A405,'SegEnds_NonXtal_Prot#'!A:AL,34,FALSE)</f>
        <v>10</v>
      </c>
      <c r="AM405" s="1" t="str">
        <f>IF(ISERROR(MATCH(A405,'SegEnds_Xtal_Prot#'!B:B, 0)), "NoXtal", "Xtal")</f>
        <v>NoXtal</v>
      </c>
    </row>
    <row r="406" spans="1:39" x14ac:dyDescent="0.2">
      <c r="A406" s="1" t="s">
        <v>459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51</v>
      </c>
      <c r="AF406" s="1">
        <f>VLOOKUP(A406,'SegEnds_NonXtal_Prot#'!A:AL,22,FALSE)-VLOOKUP(A406,'SegEnds_NonXtal_Prot#'!A:AL,19,FALSE)</f>
        <v>20</v>
      </c>
      <c r="AG406" s="1" t="e">
        <f>VLOOKUP(#REF!,'SegEnds_NonXtal_Prot#'!#REF!,28,FALSE)-VLOOKUP(#REF!,'SegEnds_NonXtal_Prot#'!#REF!,25,FALSE)</f>
        <v>#REF!</v>
      </c>
      <c r="AH406" s="1" t="e">
        <f>VLOOKUP(A406,'SegEnds_NonXtal_Prot#'!A:AL,28,FALSE)-VLOOKUP(A406,'SegEnds_NonXtal_Prot#'!A:AL,25,FALSE)</f>
        <v>#VALUE!</v>
      </c>
      <c r="AI406" s="1">
        <f>VLOOKUP(A406,'SegEnds_NonXtal_Prot#'!A:AL,28,FALSE)-VLOOKUP(A406,'SegEnds_NonXtal_Prot#'!A:AL,22,FALSE)</f>
        <v>52</v>
      </c>
      <c r="AJ406" s="1">
        <f>VLOOKUP(A406,'SegEnds_NonXtal_Prot#'!A:AL,31,FALSE)-VLOOKUP(A406,'SegEnds_NonXtal_Prot#'!A:AL,28,FALSE)</f>
        <v>53</v>
      </c>
      <c r="AK406" s="1">
        <f>VLOOKUP(A406,'SegEnds_NonXtal_Prot#'!A:AL,34,FALSE)-VLOOKUP(A406,'SegEnds_NonXtal_Prot#'!A:AL,31,FALSE)</f>
        <v>36</v>
      </c>
      <c r="AL406" s="1">
        <f>VLOOKUP(A406,'SegEnds_NonXtal_Prot#'!A:AL,37,FALSE)-VLOOKUP(A406,'SegEnds_NonXtal_Prot#'!A:AL,34,FALSE)</f>
        <v>10</v>
      </c>
      <c r="AM406" s="1" t="str">
        <f>IF(ISERROR(MATCH(A406,'SegEnds_Xtal_Prot#'!B:B, 0)), "NoXtal", "Xtal")</f>
        <v>NoXtal</v>
      </c>
    </row>
    <row r="407" spans="1:39" x14ac:dyDescent="0.2">
      <c r="A407" s="1" t="s">
        <v>460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53</v>
      </c>
      <c r="AF407" s="1">
        <f>VLOOKUP(A407,'SegEnds_NonXtal_Prot#'!A:AL,22,FALSE)-VLOOKUP(A407,'SegEnds_NonXtal_Prot#'!A:AL,19,FALSE)</f>
        <v>20</v>
      </c>
      <c r="AG407" s="1" t="e">
        <f>VLOOKUP(#REF!,'SegEnds_NonXtal_Prot#'!#REF!,28,FALSE)-VLOOKUP(#REF!,'SegEnds_NonXtal_Prot#'!#REF!,25,FALSE)</f>
        <v>#REF!</v>
      </c>
      <c r="AH407" s="1" t="e">
        <f>VLOOKUP(A407,'SegEnds_NonXtal_Prot#'!A:AL,28,FALSE)-VLOOKUP(A407,'SegEnds_NonXtal_Prot#'!A:AL,25,FALSE)</f>
        <v>#VALUE!</v>
      </c>
      <c r="AI407" s="1">
        <f>VLOOKUP(A407,'SegEnds_NonXtal_Prot#'!A:AL,28,FALSE)-VLOOKUP(A407,'SegEnds_NonXtal_Prot#'!A:AL,22,FALSE)</f>
        <v>59</v>
      </c>
      <c r="AJ407" s="1">
        <f>VLOOKUP(A407,'SegEnds_NonXtal_Prot#'!A:AL,31,FALSE)-VLOOKUP(A407,'SegEnds_NonXtal_Prot#'!A:AL,28,FALSE)</f>
        <v>53</v>
      </c>
      <c r="AK407" s="1">
        <f>VLOOKUP(A407,'SegEnds_NonXtal_Prot#'!A:AL,34,FALSE)-VLOOKUP(A407,'SegEnds_NonXtal_Prot#'!A:AL,31,FALSE)</f>
        <v>36</v>
      </c>
      <c r="AL407" s="1">
        <f>VLOOKUP(A407,'SegEnds_NonXtal_Prot#'!A:AL,37,FALSE)-VLOOKUP(A407,'SegEnds_NonXtal_Prot#'!A:AL,34,FALSE)</f>
        <v>10</v>
      </c>
      <c r="AM407" s="1" t="str">
        <f>IF(ISERROR(MATCH(A407,'SegEnds_Xtal_Prot#'!B:B, 0)), "NoXtal", "Xtal")</f>
        <v>NoXtal</v>
      </c>
    </row>
    <row r="408" spans="1:39" x14ac:dyDescent="0.2">
      <c r="A408" s="1" t="s">
        <v>464</v>
      </c>
      <c r="B408" s="1" t="str">
        <f>VLOOKUP(A408,Xtal_Templ!A:B,2,FALSE)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21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VLOOKUP(#REF!,'SegEnds_NonXtal_Prot#'!#REF!,28,FALSE)-VLOOKUP(#REF!,'SegEnds_NonXtal_Prot#'!#REF!,25,FALSE)</f>
        <v>#REF!</v>
      </c>
      <c r="AH408" s="1" t="e">
        <f>VLOOKUP(A408,'SegEnds_NonXtal_Prot#'!A:AL,28,FALSE)-VLOOKUP(A408,'SegEnds_NonXtal_Prot#'!A:AL,25,FALSE)</f>
        <v>#VALUE!</v>
      </c>
      <c r="AI408" s="1">
        <f>VLOOKUP(A408,'SegEnds_NonXtal_Prot#'!A:AL,28,FALSE)-VLOOKUP(A408,'SegEnds_NonXtal_Prot#'!A:AL,22,FALSE)</f>
        <v>56</v>
      </c>
      <c r="AJ408" s="1">
        <f>VLOOKUP(A408,'SegEnds_NonXtal_Prot#'!A:AL,31,FALSE)-VLOOKUP(A408,'SegEnds_NonXtal_Prot#'!A:AL,28,FALSE)</f>
        <v>53</v>
      </c>
      <c r="AK408" s="1">
        <f>VLOOKUP(A408,'SegEnds_NonXtal_Prot#'!A:AL,34,FALSE)-VLOOKUP(A408,'SegEnds_NonXtal_Prot#'!A:AL,31,FALSE)</f>
        <v>36</v>
      </c>
      <c r="AL408" s="1">
        <f>VLOOKUP(A408,'SegEnds_NonXtal_Prot#'!A:AL,37,FALSE)-VLOOKUP(A408,'SegEnds_NonXtal_Prot#'!A:AL,34,FALSE)</f>
        <v>10</v>
      </c>
      <c r="AM408" s="1" t="str">
        <f>IF(ISERROR(MATCH(A408,'SegEnds_Xtal_Prot#'!B:B, 0)), "NoXtal", "Xtal")</f>
        <v>NoXtal</v>
      </c>
    </row>
    <row r="409" spans="1:39" x14ac:dyDescent="0.2">
      <c r="A409" s="1" t="s">
        <v>465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51</v>
      </c>
      <c r="AF409" s="1">
        <f>VLOOKUP(A409,'SegEnds_NonXtal_Prot#'!A:AL,22,FALSE)-VLOOKUP(A409,'SegEnds_NonXtal_Prot#'!A:AL,19,FALSE)</f>
        <v>20</v>
      </c>
      <c r="AG409" s="1" t="e">
        <f>VLOOKUP(#REF!,'SegEnds_NonXtal_Prot#'!#REF!,28,FALSE)-VLOOKUP(#REF!,'SegEnds_NonXtal_Prot#'!#REF!,25,FALSE)</f>
        <v>#REF!</v>
      </c>
      <c r="AH409" s="1" t="e">
        <f>VLOOKUP(A409,'SegEnds_NonXtal_Prot#'!A:AL,28,FALSE)-VLOOKUP(A409,'SegEnds_NonXtal_Prot#'!A:AL,25,FALSE)</f>
        <v>#VALUE!</v>
      </c>
      <c r="AI409" s="1">
        <f>VLOOKUP(A409,'SegEnds_NonXtal_Prot#'!A:AL,28,FALSE)-VLOOKUP(A409,'SegEnds_NonXtal_Prot#'!A:AL,22,FALSE)</f>
        <v>52</v>
      </c>
      <c r="AJ409" s="1">
        <f>VLOOKUP(A409,'SegEnds_NonXtal_Prot#'!A:AL,31,FALSE)-VLOOKUP(A409,'SegEnds_NonXtal_Prot#'!A:AL,28,FALSE)</f>
        <v>53</v>
      </c>
      <c r="AK409" s="1">
        <f>VLOOKUP(A409,'SegEnds_NonXtal_Prot#'!A:AL,34,FALSE)-VLOOKUP(A409,'SegEnds_NonXtal_Prot#'!A:AL,31,FALSE)</f>
        <v>36</v>
      </c>
      <c r="AL409" s="1">
        <f>VLOOKUP(A409,'SegEnds_NonXtal_Prot#'!A:AL,37,FALSE)-VLOOKUP(A409,'SegEnds_NonXtal_Prot#'!A:AL,34,FALSE)</f>
        <v>10</v>
      </c>
      <c r="AM409" s="1" t="str">
        <f>IF(ISERROR(MATCH(A409,'SegEnds_Xtal_Prot#'!B:B, 0)), "NoXtal", "Xtal")</f>
        <v>NoXtal</v>
      </c>
    </row>
    <row r="410" spans="1:39" x14ac:dyDescent="0.2">
      <c r="A410" s="1" t="s">
        <v>466</v>
      </c>
      <c r="B410" s="1" t="str">
        <f>VLOOKUP(A410,Xtal_Templ!A:B,2,FALSE)</f>
        <v>5ht2c_human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67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51</v>
      </c>
      <c r="AF410" s="1">
        <f>VLOOKUP(A410,'SegEnds_NonXtal_Prot#'!A:AL,22,FALSE)-VLOOKUP(A410,'SegEnds_NonXtal_Prot#'!A:AL,19,FALSE)</f>
        <v>20</v>
      </c>
      <c r="AG410" s="1" t="e">
        <f>VLOOKUP(#REF!,'SegEnds_NonXtal_Prot#'!#REF!,28,FALSE)-VLOOKUP(#REF!,'SegEnds_NonXtal_Prot#'!#REF!,25,FALSE)</f>
        <v>#REF!</v>
      </c>
      <c r="AH410" s="1" t="e">
        <f>VLOOKUP(A410,'SegEnds_NonXtal_Prot#'!A:AL,28,FALSE)-VLOOKUP(A410,'SegEnds_NonXtal_Prot#'!A:AL,25,FALSE)</f>
        <v>#VALUE!</v>
      </c>
      <c r="AI410" s="1">
        <f>VLOOKUP(A410,'SegEnds_NonXtal_Prot#'!A:AL,28,FALSE)-VLOOKUP(A410,'SegEnds_NonXtal_Prot#'!A:AL,22,FALSE)</f>
        <v>52</v>
      </c>
      <c r="AJ410" s="1">
        <f>VLOOKUP(A410,'SegEnds_NonXtal_Prot#'!A:AL,31,FALSE)-VLOOKUP(A410,'SegEnds_NonXtal_Prot#'!A:AL,28,FALSE)</f>
        <v>53</v>
      </c>
      <c r="AK410" s="1">
        <f>VLOOKUP(A410,'SegEnds_NonXtal_Prot#'!A:AL,34,FALSE)-VLOOKUP(A410,'SegEnds_NonXtal_Prot#'!A:AL,31,FALSE)</f>
        <v>36</v>
      </c>
      <c r="AL410" s="1">
        <f>VLOOKUP(A410,'SegEnds_NonXtal_Prot#'!A:AL,37,FALSE)-VLOOKUP(A410,'SegEnds_NonXtal_Prot#'!A:AL,34,FALSE)</f>
        <v>10</v>
      </c>
      <c r="AM410" s="1" t="str">
        <f>IF(ISERROR(MATCH(A410,'SegEnds_Xtal_Prot#'!B:B, 0)), "NoXtal", "Xtal")</f>
        <v>NoXtal</v>
      </c>
    </row>
    <row r="411" spans="1:39" x14ac:dyDescent="0.2">
      <c r="A411" s="1" t="s">
        <v>467</v>
      </c>
      <c r="B411" s="1" t="str">
        <f>VLOOKUP(A411,Xtal_Templ!A:B,2,FALSE)</f>
        <v>drd2_human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62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51</v>
      </c>
      <c r="AF411" s="1">
        <f>VLOOKUP(A411,'SegEnds_NonXtal_Prot#'!A:AL,22,FALSE)-VLOOKUP(A411,'SegEnds_NonXtal_Prot#'!A:AL,19,FALSE)</f>
        <v>20</v>
      </c>
      <c r="AG411" s="1" t="e">
        <f>VLOOKUP(#REF!,'SegEnds_NonXtal_Prot#'!#REF!,28,FALSE)-VLOOKUP(#REF!,'SegEnds_NonXtal_Prot#'!#REF!,25,FALSE)</f>
        <v>#REF!</v>
      </c>
      <c r="AH411" s="1" t="e">
        <f>VLOOKUP(A411,'SegEnds_NonXtal_Prot#'!A:AL,28,FALSE)-VLOOKUP(A411,'SegEnds_NonXtal_Prot#'!A:AL,25,FALSE)</f>
        <v>#VALUE!</v>
      </c>
      <c r="AI411" s="1">
        <f>VLOOKUP(A411,'SegEnds_NonXtal_Prot#'!A:AL,28,FALSE)-VLOOKUP(A411,'SegEnds_NonXtal_Prot#'!A:AL,22,FALSE)</f>
        <v>52</v>
      </c>
      <c r="AJ411" s="1">
        <f>VLOOKUP(A411,'SegEnds_NonXtal_Prot#'!A:AL,31,FALSE)-VLOOKUP(A411,'SegEnds_NonXtal_Prot#'!A:AL,28,FALSE)</f>
        <v>53</v>
      </c>
      <c r="AK411" s="1">
        <f>VLOOKUP(A411,'SegEnds_NonXtal_Prot#'!A:AL,34,FALSE)-VLOOKUP(A411,'SegEnds_NonXtal_Prot#'!A:AL,31,FALSE)</f>
        <v>36</v>
      </c>
      <c r="AL411" s="1">
        <f>VLOOKUP(A411,'SegEnds_NonXtal_Prot#'!A:AL,37,FALSE)-VLOOKUP(A411,'SegEnds_NonXtal_Prot#'!A:AL,34,FALSE)</f>
        <v>10</v>
      </c>
      <c r="AM411" s="1" t="str">
        <f>IF(ISERROR(MATCH(A411,'SegEnds_Xtal_Prot#'!B:B, 0)), "NoXtal", "Xtal")</f>
        <v>NoXtal</v>
      </c>
    </row>
    <row r="412" spans="1:39" x14ac:dyDescent="0.2">
      <c r="A412" s="1" t="s">
        <v>471</v>
      </c>
      <c r="B412" s="1" t="str">
        <f>VLOOKUP(A412,Xtal_Templ!A:B,2,FALSE)</f>
        <v>cxcr4_human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67</v>
      </c>
      <c r="I412" s="1" t="s">
        <v>23</v>
      </c>
      <c r="J412" s="1" t="s">
        <v>23</v>
      </c>
      <c r="K412" s="12">
        <v>21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7">
        <v>38</v>
      </c>
      <c r="P412" s="1">
        <f>VLOOKUP($B412&amp;"__wt",'SegEnds_Xtal_BW#'!$A:$Z,16,FALSE)</f>
        <v>64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VLOOKUP(#REF!,'SegEnds_NonXtal_Prot#'!#REF!,28,FALSE)-VLOOKUP(#REF!,'SegEnds_NonXtal_Prot#'!#REF!,25,FALSE)</f>
        <v>#REF!</v>
      </c>
      <c r="AH412" s="1" t="e">
        <f>VLOOKUP(A412,'SegEnds_NonXtal_Prot#'!A:AL,28,FALSE)-VLOOKUP(A412,'SegEnds_NonXtal_Prot#'!A:AL,25,FALSE)</f>
        <v>#VALUE!</v>
      </c>
      <c r="AI412" s="1">
        <f>VLOOKUP(A412,'SegEnds_NonXtal_Prot#'!A:AL,28,FALSE)-VLOOKUP(A412,'SegEnds_NonXtal_Prot#'!A:AL,22,FALSE)</f>
        <v>56</v>
      </c>
      <c r="AJ412" s="1">
        <f>VLOOKUP(A412,'SegEnds_NonXtal_Prot#'!A:AL,31,FALSE)-VLOOKUP(A412,'SegEnds_NonXtal_Prot#'!A:AL,28,FALSE)</f>
        <v>53</v>
      </c>
      <c r="AK412" s="1">
        <f>VLOOKUP(A412,'SegEnds_NonXtal_Prot#'!A:AL,34,FALSE)-VLOOKUP(A412,'SegEnds_NonXtal_Prot#'!A:AL,31,FALSE)</f>
        <v>36</v>
      </c>
      <c r="AL412" s="1">
        <f>VLOOKUP(A412,'SegEnds_NonXtal_Prot#'!A:AL,37,FALSE)-VLOOKUP(A412,'SegEnds_NonXtal_Prot#'!A:AL,34,FALSE)</f>
        <v>10</v>
      </c>
      <c r="AM412" s="1" t="str">
        <f>IF(ISERROR(MATCH(A412,'SegEnds_Xtal_Prot#'!B:B, 0)), "NoXtal", "Xtal")</f>
        <v>NoXtal</v>
      </c>
    </row>
    <row r="413" spans="1:39" x14ac:dyDescent="0.2">
      <c r="A413" s="1" t="s">
        <v>472</v>
      </c>
      <c r="B413" s="1" t="str">
        <f>VLOOKUP(A413,Xtal_Templ!A:B,2,FALSE)</f>
        <v>5ht1b_human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66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7">
        <v>38</v>
      </c>
      <c r="P413" s="1">
        <f>VLOOKUP($B413&amp;"__wt",'SegEnds_Xtal_BW#'!$A:$Z,16,FALSE)</f>
        <v>63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51</v>
      </c>
      <c r="AF413" s="1">
        <f>VLOOKUP(A413,'SegEnds_NonXtal_Prot#'!A:AL,22,FALSE)-VLOOKUP(A413,'SegEnds_NonXtal_Prot#'!A:AL,19,FALSE)</f>
        <v>20</v>
      </c>
      <c r="AG413" s="1" t="e">
        <f>VLOOKUP(#REF!,'SegEnds_NonXtal_Prot#'!#REF!,28,FALSE)-VLOOKUP(#REF!,'SegEnds_NonXtal_Prot#'!#REF!,25,FALSE)</f>
        <v>#REF!</v>
      </c>
      <c r="AH413" s="1" t="e">
        <f>VLOOKUP(A413,'SegEnds_NonXtal_Prot#'!A:AL,28,FALSE)-VLOOKUP(A413,'SegEnds_NonXtal_Prot#'!A:AL,25,FALSE)</f>
        <v>#VALUE!</v>
      </c>
      <c r="AI413" s="1">
        <f>VLOOKUP(A413,'SegEnds_NonXtal_Prot#'!A:AL,28,FALSE)-VLOOKUP(A413,'SegEnds_NonXtal_Prot#'!A:AL,22,FALSE)</f>
        <v>53</v>
      </c>
      <c r="AJ413" s="1">
        <f>VLOOKUP(A413,'SegEnds_NonXtal_Prot#'!A:AL,31,FALSE)-VLOOKUP(A413,'SegEnds_NonXtal_Prot#'!A:AL,28,FALSE)</f>
        <v>53</v>
      </c>
      <c r="AK413" s="1">
        <f>VLOOKUP(A413,'SegEnds_NonXtal_Prot#'!A:AL,34,FALSE)-VLOOKUP(A413,'SegEnds_NonXtal_Prot#'!A:AL,31,FALSE)</f>
        <v>36</v>
      </c>
      <c r="AL413" s="1">
        <f>VLOOKUP(A413,'SegEnds_NonXtal_Prot#'!A:AL,37,FALSE)-VLOOKUP(A413,'SegEnds_NonXtal_Prot#'!A:AL,34,FALSE)</f>
        <v>10</v>
      </c>
      <c r="AM413" s="1" t="str">
        <f>IF(ISERROR(MATCH(A413,'SegEnds_Xtal_Prot#'!B:B, 0)), "NoXtal", "Xtal")</f>
        <v>NoXtal</v>
      </c>
    </row>
    <row r="414" spans="1:39" x14ac:dyDescent="0.2">
      <c r="A414" s="1" t="s">
        <v>473</v>
      </c>
      <c r="B414" s="1" t="str">
        <f>VLOOKUP(A414,Xtal_Templ!A:B,2,FALSE)</f>
        <v>hrh1_human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66</v>
      </c>
      <c r="I414" s="1" t="s">
        <v>23</v>
      </c>
      <c r="J414" s="1" t="s">
        <v>23</v>
      </c>
      <c r="K414" s="12">
        <v>24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f>VLOOKUP($B414&amp;"__wt",'SegEnds_Xtal_BW#'!$A:$Z,14,FALSE)</f>
        <v>57</v>
      </c>
      <c r="O414" s="87">
        <v>38</v>
      </c>
      <c r="P414" s="1">
        <f>VLOOKUP($B414&amp;"__wt",'SegEnds_Xtal_BW#'!$A:$Z,16,FALSE)</f>
        <v>62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48</v>
      </c>
      <c r="AF414" s="1">
        <f>VLOOKUP(A414,'SegEnds_NonXtal_Prot#'!A:AL,22,FALSE)-VLOOKUP(A414,'SegEnds_NonXtal_Prot#'!A:AL,19,FALSE)</f>
        <v>20</v>
      </c>
      <c r="AG414" s="1" t="e">
        <f>VLOOKUP(#REF!,'SegEnds_NonXtal_Prot#'!#REF!,28,FALSE)-VLOOKUP(#REF!,'SegEnds_NonXtal_Prot#'!#REF!,25,FALSE)</f>
        <v>#REF!</v>
      </c>
      <c r="AH414" s="1" t="e">
        <f>VLOOKUP(A414,'SegEnds_NonXtal_Prot#'!A:AL,28,FALSE)-VLOOKUP(A414,'SegEnds_NonXtal_Prot#'!A:AL,25,FALSE)</f>
        <v>#VALUE!</v>
      </c>
      <c r="AI414" s="1">
        <f>VLOOKUP(A414,'SegEnds_NonXtal_Prot#'!A:AL,28,FALSE)-VLOOKUP(A414,'SegEnds_NonXtal_Prot#'!A:AL,22,FALSE)</f>
        <v>48</v>
      </c>
      <c r="AJ414" s="1">
        <f>VLOOKUP(A414,'SegEnds_NonXtal_Prot#'!A:AL,31,FALSE)-VLOOKUP(A414,'SegEnds_NonXtal_Prot#'!A:AL,28,FALSE)</f>
        <v>53</v>
      </c>
      <c r="AK414" s="1">
        <f>VLOOKUP(A414,'SegEnds_NonXtal_Prot#'!A:AL,34,FALSE)-VLOOKUP(A414,'SegEnds_NonXtal_Prot#'!A:AL,31,FALSE)</f>
        <v>36</v>
      </c>
      <c r="AL414" s="1">
        <f>VLOOKUP(A414,'SegEnds_NonXtal_Prot#'!A:AL,37,FALSE)-VLOOKUP(A414,'SegEnds_NonXtal_Prot#'!A:AL,34,FALSE)</f>
        <v>10</v>
      </c>
      <c r="AM414" s="1" t="str">
        <f>IF(ISERROR(MATCH(A414,'SegEnds_Xtal_Prot#'!B:B, 0)), "NoXtal", "Xtal")</f>
        <v>NoXtal</v>
      </c>
    </row>
    <row r="415" spans="1:39" x14ac:dyDescent="0.2">
      <c r="A415" s="1" t="s">
        <v>474</v>
      </c>
      <c r="B415" s="1" t="str">
        <f>VLOOKUP(A415,Xtal_Templ!A:B,2,FALSE)</f>
        <v>drd2_human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67</v>
      </c>
      <c r="I415" s="1" t="s">
        <v>23</v>
      </c>
      <c r="J415" s="1" t="s">
        <v>23</v>
      </c>
      <c r="K415" s="12">
        <v>21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v>57</v>
      </c>
      <c r="O415" s="88">
        <v>38</v>
      </c>
      <c r="P415" s="1">
        <f>VLOOKUP($B415&amp;"__wt",'SegEnds_Xtal_BW#'!$A:$Z,16,FALSE)</f>
        <v>62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52</v>
      </c>
      <c r="AF415" s="1">
        <f>VLOOKUP(A415,'SegEnds_NonXtal_Prot#'!A:AL,22,FALSE)-VLOOKUP(A415,'SegEnds_NonXtal_Prot#'!A:AL,19,FALSE)</f>
        <v>20</v>
      </c>
      <c r="AG415" s="1" t="e">
        <f>VLOOKUP(#REF!,'SegEnds_NonXtal_Prot#'!#REF!,28,FALSE)-VLOOKUP(#REF!,'SegEnds_NonXtal_Prot#'!#REF!,25,FALSE)</f>
        <v>#REF!</v>
      </c>
      <c r="AH415" s="1" t="e">
        <f>VLOOKUP(A415,'SegEnds_NonXtal_Prot#'!A:AL,28,FALSE)-VLOOKUP(A415,'SegEnds_NonXtal_Prot#'!A:AL,25,FALSE)</f>
        <v>#VALUE!</v>
      </c>
      <c r="AI415" s="1">
        <f>VLOOKUP(A415,'SegEnds_NonXtal_Prot#'!A:AL,28,FALSE)-VLOOKUP(A415,'SegEnds_NonXtal_Prot#'!A:AL,22,FALSE)</f>
        <v>57</v>
      </c>
      <c r="AJ415" s="1">
        <f>VLOOKUP(A415,'SegEnds_NonXtal_Prot#'!A:AL,31,FALSE)-VLOOKUP(A415,'SegEnds_NonXtal_Prot#'!A:AL,28,FALSE)</f>
        <v>53</v>
      </c>
      <c r="AK415" s="1">
        <f>VLOOKUP(A415,'SegEnds_NonXtal_Prot#'!A:AL,34,FALSE)-VLOOKUP(A415,'SegEnds_NonXtal_Prot#'!A:AL,31,FALSE)</f>
        <v>36</v>
      </c>
      <c r="AL415" s="1">
        <f>VLOOKUP(A415,'SegEnds_NonXtal_Prot#'!A:AL,37,FALSE)-VLOOKUP(A415,'SegEnds_NonXtal_Prot#'!A:AL,34,FALSE)</f>
        <v>10</v>
      </c>
      <c r="AM415" s="1" t="str">
        <f>IF(ISERROR(MATCH(A415,'SegEnds_Xtal_Prot#'!B:B, 0)), "NoXtal", "Xtal")</f>
        <v>NoXtal</v>
      </c>
    </row>
    <row r="416" spans="1:39" x14ac:dyDescent="0.2">
      <c r="A416" s="1" t="s">
        <v>475</v>
      </c>
      <c r="B416" s="1" t="str">
        <f>VLOOKUP(A416,Xtal_Templ!A:B,2,FALSE)</f>
        <v>drd2_human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66</v>
      </c>
      <c r="I416" s="1" t="s">
        <v>23</v>
      </c>
      <c r="J416" s="1" t="s">
        <v>23</v>
      </c>
      <c r="K416" s="12">
        <v>18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7">
        <v>38</v>
      </c>
      <c r="P416" s="1">
        <f>VLOOKUP($B416&amp;"__wt",'SegEnds_Xtal_BW#'!$A:$Z,16,FALSE)</f>
        <v>62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52</v>
      </c>
      <c r="AF416" s="1">
        <f>VLOOKUP(A416,'SegEnds_NonXtal_Prot#'!A:AL,22,FALSE)-VLOOKUP(A416,'SegEnds_NonXtal_Prot#'!A:AL,19,FALSE)</f>
        <v>20</v>
      </c>
      <c r="AG416" s="1" t="e">
        <f>VLOOKUP(#REF!,'SegEnds_NonXtal_Prot#'!#REF!,28,FALSE)-VLOOKUP(#REF!,'SegEnds_NonXtal_Prot#'!#REF!,25,FALSE)</f>
        <v>#REF!</v>
      </c>
      <c r="AH416" s="1" t="e">
        <f>VLOOKUP(A416,'SegEnds_NonXtal_Prot#'!A:AL,28,FALSE)-VLOOKUP(A416,'SegEnds_NonXtal_Prot#'!A:AL,25,FALSE)</f>
        <v>#VALUE!</v>
      </c>
      <c r="AI416" s="1">
        <f>VLOOKUP(A416,'SegEnds_NonXtal_Prot#'!A:AL,28,FALSE)-VLOOKUP(A416,'SegEnds_NonXtal_Prot#'!A:AL,22,FALSE)</f>
        <v>57</v>
      </c>
      <c r="AJ416" s="1">
        <f>VLOOKUP(A416,'SegEnds_NonXtal_Prot#'!A:AL,31,FALSE)-VLOOKUP(A416,'SegEnds_NonXtal_Prot#'!A:AL,28,FALSE)</f>
        <v>53</v>
      </c>
      <c r="AK416" s="1">
        <f>VLOOKUP(A416,'SegEnds_NonXtal_Prot#'!A:AL,34,FALSE)-VLOOKUP(A416,'SegEnds_NonXtal_Prot#'!A:AL,31,FALSE)</f>
        <v>36</v>
      </c>
      <c r="AL416" s="1">
        <f>VLOOKUP(A416,'SegEnds_NonXtal_Prot#'!A:AL,37,FALSE)-VLOOKUP(A416,'SegEnds_NonXtal_Prot#'!A:AL,34,FALSE)</f>
        <v>10</v>
      </c>
      <c r="AM416" s="1" t="str">
        <f>IF(ISERROR(MATCH(A416,'SegEnds_Xtal_Prot#'!B:B, 0)), "NoXtal", "Xtal")</f>
        <v>NoXtal</v>
      </c>
    </row>
    <row r="417" spans="1:39" x14ac:dyDescent="0.2">
      <c r="A417" s="1" t="s">
        <v>476</v>
      </c>
      <c r="B417" s="1" t="str">
        <f>VLOOKUP(A417,Xtal_Templ!A:B,2,FALSE)</f>
        <v>agtr1_human</v>
      </c>
      <c r="C417" s="5">
        <v>32</v>
      </c>
      <c r="D417" s="1">
        <v>62</v>
      </c>
      <c r="E417" s="1">
        <f>VLOOKUP($B417&amp;"__wt",'SegEnds_Xtal_BW#'!$A:$Z,5,FALSE)</f>
        <v>48</v>
      </c>
      <c r="F417" s="1">
        <f>VLOOKUP($B417&amp;"__wt",'SegEnds_Xtal_BW#'!$A:$Z,6,FALSE)</f>
        <v>51</v>
      </c>
      <c r="G417" s="1">
        <v>39</v>
      </c>
      <c r="H417" s="12">
        <v>66</v>
      </c>
      <c r="I417" s="1" t="s">
        <v>23</v>
      </c>
      <c r="J417" s="1" t="s">
        <v>23</v>
      </c>
      <c r="K417" s="12">
        <v>18</v>
      </c>
      <c r="L417" s="1">
        <f>VLOOKUP($B417&amp;"__wt",'SegEnds_Xtal_BW#'!$A:$Z,12,FALSE)</f>
        <v>56</v>
      </c>
      <c r="M417" s="1">
        <f>VLOOKUP($B417&amp;"__wt",'SegEnds_Xtal_BW#'!$A:$Z,13,FALSE)</f>
        <v>50</v>
      </c>
      <c r="N417" s="12">
        <v>57</v>
      </c>
      <c r="O417" s="88">
        <v>38</v>
      </c>
      <c r="P417" s="1">
        <f>VLOOKUP($B417&amp;"__wt",'SegEnds_Xtal_BW#'!$A:$Z,16,FALSE)</f>
        <v>64</v>
      </c>
      <c r="Q417" s="1">
        <f>VLOOKUP($B417&amp;"__wt",'SegEnds_Xtal_BW#'!$A:$Z,17,FALSE)</f>
        <v>50</v>
      </c>
      <c r="R417" s="1">
        <f>VLOOKUP($B417&amp;"__wt",'SegEnds_Xtal_BW#'!$A:$Z,18,FALSE)</f>
        <v>52</v>
      </c>
      <c r="S417" s="1">
        <v>32</v>
      </c>
      <c r="T417" s="1">
        <v>72</v>
      </c>
      <c r="U417" s="1">
        <v>29</v>
      </c>
      <c r="V417" s="1">
        <v>61</v>
      </c>
      <c r="W417" s="1">
        <v>31</v>
      </c>
      <c r="X417" s="1">
        <f>VLOOKUP($B417&amp;"__wt",'SegEnds_Xtal_BW#'!$A:$Z,24,FALSE)</f>
        <v>56</v>
      </c>
      <c r="Y417" s="1">
        <f>VLOOKUP($B417&amp;"__wt",'SegEnds_Xtal_BW#'!$A:$Z,25,FALSE)</f>
        <v>47</v>
      </c>
      <c r="Z417" s="1">
        <v>60</v>
      </c>
      <c r="AA417" s="27" t="str">
        <f>VLOOKUP(A417,Classification!A:B,2,FALSE)</f>
        <v>T</v>
      </c>
      <c r="AB417" s="1">
        <f>VLOOKUP(A417,'SegEnds_NonXtal_Prot#'!A:AL,10,FALSE)-VLOOKUP(A417,'SegEnds_NonXtal_Prot#'!A:AL,4,FALSE)</f>
        <v>31</v>
      </c>
      <c r="AC417" s="1">
        <f>VLOOKUP(A417,'SegEnds_NonXtal_Prot#'!A:AL,10,FALSE)-VLOOKUP(A417,'SegEnds_NonXtal_Prot#'!A:AL,7,FALSE)</f>
        <v>16</v>
      </c>
      <c r="AD417" s="1" t="e">
        <f>VLOOKUP(A417,'SegEnds_NonXtal_Prot#'!A:AL,13,FALSE)-VLOOKUP(A417,'SegEnds_NonXtal_Prot#'!A:AL,10,FALSE)</f>
        <v>#VALUE!</v>
      </c>
      <c r="AE417" s="1">
        <f>VLOOKUP(A417,'SegEnds_NonXtal_Prot#'!A:AL,16,FALSE)-VLOOKUP(A417,'SegEnds_NonXtal_Prot#'!A:AL,10,FALSE)</f>
        <v>52</v>
      </c>
      <c r="AF417" s="1">
        <f>VLOOKUP(A417,'SegEnds_NonXtal_Prot#'!A:AL,22,FALSE)-VLOOKUP(A417,'SegEnds_NonXtal_Prot#'!A:AL,19,FALSE)</f>
        <v>20</v>
      </c>
      <c r="AG417" s="1" t="e">
        <f>VLOOKUP(#REF!,'SegEnds_NonXtal_Prot#'!#REF!,28,FALSE)-VLOOKUP(#REF!,'SegEnds_NonXtal_Prot#'!#REF!,25,FALSE)</f>
        <v>#REF!</v>
      </c>
      <c r="AH417" s="1" t="e">
        <f>VLOOKUP(A417,'SegEnds_NonXtal_Prot#'!A:AL,28,FALSE)-VLOOKUP(A417,'SegEnds_NonXtal_Prot#'!A:AL,25,FALSE)</f>
        <v>#VALUE!</v>
      </c>
      <c r="AI417" s="1">
        <f>VLOOKUP(A417,'SegEnds_NonXtal_Prot#'!A:AL,28,FALSE)-VLOOKUP(A417,'SegEnds_NonXtal_Prot#'!A:AL,22,FALSE)</f>
        <v>54</v>
      </c>
      <c r="AJ417" s="1">
        <f>VLOOKUP(A417,'SegEnds_NonXtal_Prot#'!A:AL,31,FALSE)-VLOOKUP(A417,'SegEnds_NonXtal_Prot#'!A:AL,28,FALSE)</f>
        <v>53</v>
      </c>
      <c r="AK417" s="1">
        <f>VLOOKUP(A417,'SegEnds_NonXtal_Prot#'!A:AL,34,FALSE)-VLOOKUP(A417,'SegEnds_NonXtal_Prot#'!A:AL,31,FALSE)</f>
        <v>36</v>
      </c>
      <c r="AL417" s="1">
        <f>VLOOKUP(A417,'SegEnds_NonXtal_Prot#'!A:AL,37,FALSE)-VLOOKUP(A417,'SegEnds_NonXtal_Prot#'!A:AL,34,FALSE)</f>
        <v>10</v>
      </c>
      <c r="AM417" s="1" t="str">
        <f>IF(ISERROR(MATCH(A417,'SegEnds_Xtal_Prot#'!B:B, 0)), "NoXtal", "Xtal")</f>
        <v>NoXtal</v>
      </c>
    </row>
  </sheetData>
  <sortState ref="A2:AM417">
    <sortCondition ref="AA2:AA417"/>
    <sortCondition ref="AK2:AK417"/>
    <sortCondition ref="A2:A417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J1:AJ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:AM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9"/>
  <sheetViews>
    <sheetView tabSelected="1" zoomScale="120" zoomScaleNormal="120" zoomScalePageLayoutView="120" workbookViewId="0">
      <pane ySplit="1" topLeftCell="A360" activePane="bottomLeft" state="frozenSplit"/>
      <selection pane="bottomLeft" activeCell="A380" sqref="A380:XFD380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1197</v>
      </c>
      <c r="C1" s="8" t="s">
        <v>1054</v>
      </c>
      <c r="D1" s="41" t="s">
        <v>1075</v>
      </c>
      <c r="E1" s="8" t="s">
        <v>1055</v>
      </c>
      <c r="F1" s="41" t="s">
        <v>1071</v>
      </c>
      <c r="G1" s="41" t="s">
        <v>1076</v>
      </c>
      <c r="H1" s="41" t="s">
        <v>1072</v>
      </c>
      <c r="I1" s="41" t="s">
        <v>1056</v>
      </c>
      <c r="J1" s="41" t="s">
        <v>1077</v>
      </c>
      <c r="K1" s="8" t="s">
        <v>1057</v>
      </c>
      <c r="L1" s="8" t="s">
        <v>1073</v>
      </c>
      <c r="M1" s="41" t="s">
        <v>1078</v>
      </c>
      <c r="N1" s="8" t="s">
        <v>1074</v>
      </c>
      <c r="O1" s="8" t="s">
        <v>1058</v>
      </c>
      <c r="P1" s="41" t="s">
        <v>1079</v>
      </c>
      <c r="Q1" s="8" t="s">
        <v>1059</v>
      </c>
      <c r="R1" s="8" t="s">
        <v>1086</v>
      </c>
      <c r="S1" s="41" t="s">
        <v>1085</v>
      </c>
      <c r="T1" s="86" t="s">
        <v>1087</v>
      </c>
      <c r="U1" s="99" t="s">
        <v>1060</v>
      </c>
      <c r="V1" s="41" t="s">
        <v>1080</v>
      </c>
      <c r="W1" s="8" t="s">
        <v>1061</v>
      </c>
      <c r="X1" s="8" t="s">
        <v>1089</v>
      </c>
      <c r="Y1" s="41" t="s">
        <v>1088</v>
      </c>
      <c r="Z1" s="8" t="s">
        <v>1090</v>
      </c>
      <c r="AA1" s="8" t="s">
        <v>1062</v>
      </c>
      <c r="AB1" s="41" t="s">
        <v>1081</v>
      </c>
      <c r="AC1" s="8" t="s">
        <v>1063</v>
      </c>
      <c r="AD1" s="8" t="s">
        <v>1064</v>
      </c>
      <c r="AE1" s="41" t="s">
        <v>1082</v>
      </c>
      <c r="AF1" s="8" t="s">
        <v>1065</v>
      </c>
      <c r="AG1" s="8" t="s">
        <v>1066</v>
      </c>
      <c r="AH1" s="41" t="s">
        <v>1083</v>
      </c>
      <c r="AI1" s="8" t="s">
        <v>1067</v>
      </c>
      <c r="AJ1" s="8" t="s">
        <v>1068</v>
      </c>
      <c r="AK1" s="41" t="s">
        <v>1084</v>
      </c>
      <c r="AL1" s="8" t="s">
        <v>1069</v>
      </c>
      <c r="AM1" s="26" t="s">
        <v>99</v>
      </c>
      <c r="AN1" s="26" t="s">
        <v>1160</v>
      </c>
      <c r="AO1" s="8" t="s">
        <v>1220</v>
      </c>
      <c r="AP1" s="8" t="s">
        <v>1222</v>
      </c>
      <c r="AQ1" s="8" t="s">
        <v>1223</v>
      </c>
      <c r="AR1" s="8" t="s">
        <v>1224</v>
      </c>
      <c r="AS1" s="8" t="s">
        <v>1225</v>
      </c>
      <c r="AT1" s="8" t="s">
        <v>1226</v>
      </c>
      <c r="AU1" s="8" t="s">
        <v>1227</v>
      </c>
      <c r="AV1" s="8" t="s">
        <v>1228</v>
      </c>
      <c r="AW1" s="8" t="s">
        <v>1229</v>
      </c>
      <c r="AX1" s="8" t="s">
        <v>1230</v>
      </c>
      <c r="AY1" s="8" t="s">
        <v>1231</v>
      </c>
      <c r="AZ1" s="8" t="s">
        <v>1232</v>
      </c>
      <c r="BA1" s="8" t="s">
        <v>1299</v>
      </c>
      <c r="BB1" s="26" t="s">
        <v>1234</v>
      </c>
      <c r="BC1" s="99" t="s">
        <v>1269</v>
      </c>
      <c r="BD1" s="8" t="s">
        <v>1234</v>
      </c>
      <c r="BE1" s="8" t="s">
        <v>1236</v>
      </c>
      <c r="BF1" s="8" t="s">
        <v>1233</v>
      </c>
      <c r="BG1" s="8" t="s">
        <v>1300</v>
      </c>
    </row>
    <row r="2" spans="1:59" s="3" customFormat="1" x14ac:dyDescent="0.2">
      <c r="A2" s="3" t="s">
        <v>209</v>
      </c>
      <c r="B2" s="3" t="str">
        <f>LOWER(VLOOKUP(A2,Xtal_Templ!A:B,2,FALSE))</f>
        <v>oxyr_human</v>
      </c>
      <c r="C2" s="3">
        <f>VLOOKUP($A2,'SegEnds_NonXtal_BW#'!$A:$Z,3,FALSE)+D2-50</f>
        <v>31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105"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206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4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241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244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323</v>
      </c>
      <c r="B5" s="3" t="str">
        <f>LOWER(VLOOKUP(A5,Xtal_Templ!A:B,2,FALSE))</f>
        <v>oxyr_human</v>
      </c>
      <c r="C5" s="3">
        <f>VLOOKUP($A5,'SegEnds_NonXtal_BW#'!$A:$Z,3,FALSE)+D5-50</f>
        <v>45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111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105"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185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205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253</v>
      </c>
      <c r="AD5" s="3">
        <f>IF(ISERROR(VLOOKUP($A5,'SegEnds_NonXtal_BW#'!$A:$Z,21,FALSE)+VLOOKUP($A5,A:AL,31,FALSE)-50),"-",(VLOOKUP($A5,'SegEnds_NonXtal_BW#'!$A:$Z,21,FALSE)+VLOOKUP($A5,A:AL,31,FALSE)-50))</f>
        <v>262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307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350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2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12</v>
      </c>
      <c r="AW5" s="3">
        <f t="shared" si="9"/>
        <v>6</v>
      </c>
      <c r="AX5" s="3">
        <f t="shared" si="10"/>
        <v>9</v>
      </c>
      <c r="AY5" s="3">
        <f t="shared" si="11"/>
        <v>7</v>
      </c>
      <c r="AZ5" s="3">
        <f t="shared" si="12"/>
        <v>1</v>
      </c>
      <c r="BA5" s="3">
        <f>IF(ISERROR(LEN(VLOOKUP(A5,Seqs!A:E,2,FALSE))-AL5),"-",LEN(VLOOKUP(A5,Seqs!A:E,2,FALSE))-AL5)</f>
        <v>21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1168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1169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368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ccr6_human</v>
      </c>
      <c r="C10" s="3">
        <f>VLOOKUP($A10,'SegEnds_NonXtal_BW#'!$A:$Z,3,FALSE)+D10-50</f>
        <v>32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151</v>
      </c>
      <c r="U10" s="9">
        <f>IF(ISERROR(VLOOKUP($A10,'SegEnds_NonXtal_BW#'!$A:$Z,15,FALSE)+VLOOKUP($A10,A:AL,22,FALSE)-50),"-",VLOOKUP($A10,'SegEnds_NonXtal_BW#'!$A:$Z,15,FALSE)+VLOOKUP($A10,A:AL,22,FALSE)-50)</f>
        <v>152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236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324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4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26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cxcr2_human</v>
      </c>
      <c r="C11" s="3">
        <f>VLOOKUP($A11,'SegEnds_NonXtal_BW#'!$A:$Z,3,FALSE)+D11-50</f>
        <v>45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160</v>
      </c>
      <c r="U11" s="9">
        <f>IF(ISERROR(VLOOKUP($A11,'SegEnds_NonXtal_BW#'!$A:$Z,15,FALSE)+VLOOKUP($A11,A:AL,22,FALSE)-50),"-",VLOOKUP($A11,'SegEnds_NonXtal_BW#'!$A:$Z,15,FALSE)+VLOOKUP($A11,A:AL,22,FALSE)-50)</f>
        <v>161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203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245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332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5</v>
      </c>
      <c r="AX11" s="3">
        <f t="shared" si="10"/>
        <v>4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28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215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217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222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230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285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286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1434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1445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333</v>
      </c>
      <c r="B21" s="3" t="s">
        <v>913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337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913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101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1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338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339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340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349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355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374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375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376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377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379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235</v>
      </c>
      <c r="AD34" s="3">
        <f>IF(ISERROR(VLOOKUP($A34,'SegEnds_NonXtal_BW#'!$A:$Z,21,FALSE)+VLOOKUP($A34,A:AL,31,FALSE)-50),"-",(VLOOKUP($A34,'SegEnds_NonXtal_BW#'!$A:$Z,21,FALSE)+VLOOKUP($A34,A:AL,31,FALSE)-50))</f>
        <v>239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4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395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286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2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396</v>
      </c>
      <c r="B36" s="3" t="str">
        <f>LOWER(VLOOKUP(A36,Xtal_Templ!A:B,2,FALSE))</f>
        <v>oxyr_human</v>
      </c>
      <c r="C36" s="3">
        <f>VLOOKUP($A36,'SegEnds_NonXtal_BW#'!$A:$Z,3,FALSE)+D36-50</f>
        <v>47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105"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325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8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397</v>
      </c>
      <c r="B37" s="3" t="str">
        <f>LOWER(VLOOKUP(A37,Xtal_Templ!A:B,2,FALSE))</f>
        <v>oxyr_human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105"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194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315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358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6</v>
      </c>
      <c r="AX37" s="3">
        <f t="shared" si="10"/>
        <v>33</v>
      </c>
      <c r="AY37" s="3">
        <f t="shared" si="11"/>
        <v>8</v>
      </c>
      <c r="AZ37" s="3">
        <f t="shared" si="12"/>
        <v>1</v>
      </c>
      <c r="BA37" s="3">
        <f>IF(ISERROR(LEN(VLOOKUP(A37,Seqs!A:E,2,FALSE))-AL37),"-",LEN(VLOOKUP(A37,Seqs!A:E,2,FALSE))-AL37)</f>
        <v>66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243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3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435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25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903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96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471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1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8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mc4r_human</v>
      </c>
      <c r="C61" s="3">
        <f>VLOOKUP($A61,'SegEnds_NonXtal_BW#'!$A:$Z,3,FALSE)+D61-50</f>
        <v>27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169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171</v>
      </c>
      <c r="AB61" s="9">
        <v>185</v>
      </c>
      <c r="AC61" s="3">
        <f>IF(ISERROR((VLOOKUP($A61,'SegEnds_NonXtal_BW#'!$A:$Z,20,FALSE)+VLOOKUP($A61,A:AL,28,FALSE)-50)),"-",(VLOOKUP($A61,'SegEnds_NonXtal_BW#'!$A:$Z,20,FALSE)+VLOOKUP($A61,A:AL,28,FALSE)-50))</f>
        <v>203</v>
      </c>
      <c r="AD61" s="3">
        <f>IF(ISERROR(VLOOKUP($A61,'SegEnds_NonXtal_BW#'!$A:$Z,21,FALSE)+VLOOKUP($A61,A:AL,31,FALSE)-50),"-",(VLOOKUP($A61,'SegEnds_NonXtal_BW#'!$A:$Z,21,FALSE)+VLOOKUP($A61,A:AL,31,FALSE)-50))</f>
        <v>208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257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294</v>
      </c>
      <c r="AM61" s="28" t="str">
        <f>VLOOKUP(A61,Classification!A:B,2,FALSE)</f>
        <v>A</v>
      </c>
      <c r="AN61" s="28" t="b">
        <f>AND(IF(Y61="-",IF(AA61-W61&gt;1,TRUE,FALSE),TRUE),IF(M61="-",IF(O61-K61&gt;3,TRUE,FALSE),TRUE),IF(AG61-AF61&gt;1,TRUE,FALSE),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5</v>
      </c>
      <c r="AY61" s="3">
        <f t="shared" si="11"/>
        <v>12</v>
      </c>
      <c r="AZ61" s="3">
        <f t="shared" si="12"/>
        <v>1</v>
      </c>
      <c r="BA61" s="3">
        <f>IF(ISERROR(LEN(VLOOKUP(A61,Seqs!A:E,2,FALSE))-AL61),"-",LEN(VLOOKUP(A61,Seqs!A:E,2,FALSE))-AL61)</f>
        <v>3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49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ada2b_human</v>
      </c>
      <c r="C62" s="3">
        <f>VLOOKUP($A62,'SegEnds_NonXtal_BW#'!$A:$Z,3,FALSE)+D62-50</f>
        <v>25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ada2b_human</v>
      </c>
      <c r="C63" s="3">
        <f>VLOOKUP($A63,'SegEnds_NonXtal_BW#'!$A:$Z,3,FALSE)+D63-50</f>
        <v>44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ada2b_human</v>
      </c>
      <c r="C64" s="3">
        <f>VLOOKUP($A64,'SegEnds_NonXtal_BW#'!$A:$Z,3,FALSE)+D64-50</f>
        <v>95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ada2a_human</v>
      </c>
      <c r="C65" s="3">
        <f>VLOOKUP($A65,'SegEnds_NonXtal_BW#'!$A:$Z,3,FALSE)+D65-50</f>
        <v>48</v>
      </c>
      <c r="D65" s="105">
        <v>66</v>
      </c>
      <c r="E65" s="3">
        <f>IF(ISERROR(VLOOKUP($A65,'SegEnds_NonXtal_BW#'!$A:$Z,4,FALSE)+VLOOKUP($A65,A:AL,4,FALSE)-50),"-",(VLOOKUP($A65,'SegEnds_NonXtal_BW#'!$A:$Z,4,FALSE)+VLOOKUP($A65,A:AL,4,FALSE)-50))</f>
        <v>76</v>
      </c>
      <c r="F65" s="3">
        <f t="shared" si="27"/>
        <v>77</v>
      </c>
      <c r="G65" s="105">
        <v>79</v>
      </c>
      <c r="H65" s="3">
        <f t="shared" si="33"/>
        <v>80</v>
      </c>
      <c r="I65" s="3">
        <f t="shared" si="33"/>
        <v>81</v>
      </c>
      <c r="J65" s="105">
        <v>94</v>
      </c>
      <c r="K65" s="3">
        <f>VLOOKUP($A65,'SegEnds_NonXtal_BW#'!$A:$Z,8,FALSE)+VLOOKUP($A65,A:AL,10,FALSE)-50</f>
        <v>112</v>
      </c>
      <c r="L65" s="3">
        <f t="shared" si="35"/>
        <v>113</v>
      </c>
      <c r="M65" s="105">
        <v>114</v>
      </c>
      <c r="N65" s="3">
        <f t="shared" si="36"/>
        <v>116</v>
      </c>
      <c r="O65" s="3">
        <f t="shared" si="37"/>
        <v>117</v>
      </c>
      <c r="P65" s="105">
        <v>146</v>
      </c>
      <c r="Q65" s="3">
        <f>VLOOKUP($A65,'SegEnds_NonXtal_BW#'!$A:$Z,12,FALSE)+VLOOKUP($A65,A:AL,16,FALSE)-50</f>
        <v>152</v>
      </c>
      <c r="R65" s="3">
        <f>IF(ISERROR(VLOOKUP($A65,'SegEnds_NonXtal_BW#'!$A:$Z,13,FALSE)+VLOOKUP($A65,A:AL,19,FALSE)-50),"-",VLOOKUP($A65,'SegEnds_NonXtal_BW#'!$A:$Z,13,FALSE)+VLOOKUP($A65,A:AL,19,FALSE)-50)</f>
        <v>153</v>
      </c>
      <c r="S65" s="105">
        <v>153</v>
      </c>
      <c r="T65" s="100">
        <f>IF(ISERROR(VLOOKUP($A65,'SegEnds_NonXtal_BW#'!$A:$Z,14,FALSE)+VLOOKUP($A65,A:AL,19,FALSE)-50),"-",(VLOOKUP($A65,'SegEnds_NonXtal_BW#'!$A:$Z,14,FALSE)+VLOOKUP($A65,A:AL,19,FALSE)-50))</f>
        <v>160</v>
      </c>
      <c r="U65" s="9">
        <f>IF(ISERROR(VLOOKUP($A65,'SegEnds_NonXtal_BW#'!$A:$Z,15,FALSE)+VLOOKUP($A65,A:AL,22,FALSE)-50),"-",VLOOKUP($A65,'SegEnds_NonXtal_BW#'!$A:$Z,15,FALSE)+VLOOKUP($A65,A:AL,22,FALSE)-50)</f>
        <v>161</v>
      </c>
      <c r="V65" s="105">
        <v>173</v>
      </c>
      <c r="W65" s="3">
        <f>IF(ISERROR(VLOOKUP($A65,'SegEnds_NonXtal_BW#'!$A:$Z,16,FALSE)+VLOOKUP($A65,A:AL,22,FALSE)-50),"-",(VLOOKUP($A65,'SegEnds_NonXtal_BW#'!$A:$Z,16,FALSE)+VLOOKUP($A65,A:AL,22,FALSE)-50))</f>
        <v>185</v>
      </c>
      <c r="X65" s="3">
        <f>IF(ISERROR(VLOOKUP($A65,'SegEnds_NonXtal_BW#'!$A:$Z,17,FALSE)+VLOOKUP($A65,A:AL,25,FALSE)-50),"-",(VLOOKUP($A65,'SegEnds_NonXtal_BW#'!$A:$Z,17,FALSE)+VLOOKUP($A65,A:AL,25,FALSE)-50))</f>
        <v>203</v>
      </c>
      <c r="Y65" s="105">
        <v>203</v>
      </c>
      <c r="Z65" s="3">
        <f t="shared" si="38"/>
        <v>205</v>
      </c>
      <c r="AA65" s="3">
        <f>IF(ISERROR(VLOOKUP($A65,'SegEnds_NonXtal_BW#'!$A:$Z,19,FALSE)+VLOOKUP($A65,A:AL,28,FALSE)-50),"-",(VLOOKUP($A65,'SegEnds_NonXtal_BW#'!$A:$Z,19,FALSE)+VLOOKUP($A65,A:AL,28,FALSE)-50))</f>
        <v>208</v>
      </c>
      <c r="AB65" s="105">
        <v>223</v>
      </c>
      <c r="AC65" s="3">
        <f>IF(ISERROR((VLOOKUP($A65,'SegEnds_NonXtal_BW#'!$A:$Z,20,FALSE)+VLOOKUP($A65,A:AL,28,FALSE)-50)),"-",(VLOOKUP($A65,'SegEnds_NonXtal_BW#'!$A:$Z,20,FALSE)+VLOOKUP($A65,A:AL,28,FALSE)-50))</f>
        <v>248</v>
      </c>
      <c r="AD65" s="3">
        <f>IF(ISERROR(VLOOKUP($A65,'SegEnds_NonXtal_BW#'!$A:$Z,21,FALSE)+VLOOKUP($A65,A:AL,31,FALSE)-50),"-",(VLOOKUP($A65,'SegEnds_NonXtal_BW#'!$A:$Z,21,FALSE)+VLOOKUP($A65,A:AL,31,FALSE)-50))</f>
        <v>378</v>
      </c>
      <c r="AE65" s="105">
        <v>404</v>
      </c>
      <c r="AF65" s="3">
        <f>IF(ISERROR((VLOOKUP($A65,'SegEnds_NonXtal_BW#'!$A:$Z,22,FALSE)+VLOOKUP($A65,A:AL,31,FALSE)-50)),"-",(VLOOKUP($A65,'SegEnds_NonXtal_BW#'!$A:$Z,22,FALSE)+VLOOKUP($A65,A:AL,31,FALSE)-50))</f>
        <v>415</v>
      </c>
      <c r="AG65" s="3">
        <f>IF(ISERROR(VLOOKUP($A65,'SegEnds_NonXtal_BW#'!$A:$Z,23,FALSE)+VLOOKUP($A65,A:AL,34,FALSE)-50),"-",(VLOOKUP($A65,'SegEnds_NonXtal_BW#'!$A:$Z,23,FALSE)+VLOOKUP($A65,A:AL,34,FALSE)-50))</f>
        <v>419</v>
      </c>
      <c r="AH65" s="105">
        <v>438</v>
      </c>
      <c r="AI65" s="3">
        <f>IF(ISERROR((VLOOKUP($A65,'SegEnds_NonXtal_BW#'!$A:$Z,24,FALSE)+VLOOKUP($A65,A:AL,34,FALSE)-50)),"-",(VLOOKUP($A65,'SegEnds_NonXtal_BW#'!$A:$Z,24,FALSE)+VLOOKUP($A65,A:AL,34,FALSE)-50))</f>
        <v>444</v>
      </c>
      <c r="AJ65" s="3">
        <f>IF(ISERROR(VLOOKUP($A65,'SegEnds_NonXtal_BW#'!$A:$Z,25,FALSE)+VLOOKUP($A65,A:AL,37,FALSE)-50),"-",(VLOOKUP($A65,'SegEnds_NonXtal_BW#'!$A:$Z,25,FALSE)+VLOOKUP($A65,A:AL,37,FALSE)-50))</f>
        <v>445</v>
      </c>
      <c r="AK65" s="105">
        <v>448</v>
      </c>
      <c r="AL65" s="3">
        <f>IF(ISERROR((VLOOKUP($A65,'SegEnds_NonXtal_BW#'!$A:$Z,26,FALSE)+VLOOKUP($A65,A:AL,37,FALSE)-50)),"-",(VLOOKUP($A65,'SegEnds_NonXtal_BW#'!$A:$Z,26,FALSE)+VLOOKUP($A65,A:AL,37,FALSE)-50))</f>
        <v>458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4</v>
      </c>
      <c r="AZ65" s="3">
        <f t="shared" si="12"/>
        <v>1</v>
      </c>
      <c r="BA65" s="3">
        <f>IF(ISERROR(LEN(VLOOKUP(A65,Seqs!A:E,2,FALSE))-AL65),"-",LEN(VLOOKUP(A65,Seqs!A:E,2,FALSE))-AL65)</f>
        <v>7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ada2b_human</v>
      </c>
      <c r="C66" s="3">
        <f>VLOOKUP($A66,'SegEnds_NonXtal_BW#'!$A:$Z,3,FALSE)+D66-50</f>
        <v>11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360</v>
      </c>
      <c r="AE66" s="105">
        <v>386</v>
      </c>
      <c r="AF66" s="3">
        <f>IF(ISERROR((VLOOKUP($A66,'SegEnds_NonXtal_BW#'!$A:$Z,22,FALSE)+VLOOKUP($A66,A:AL,31,FALSE)-50)),"-",(VLOOKUP($A66,'SegEnds_NonXtal_BW#'!$A:$Z,22,FALSE)+VLOOKUP($A66,A:AL,31,FALSE)-50))</f>
        <v>397</v>
      </c>
      <c r="AG66" s="3">
        <f>IF(ISERROR(VLOOKUP($A66,'SegEnds_NonXtal_BW#'!$A:$Z,23,FALSE)+VLOOKUP($A66,A:AL,34,FALSE)-50),"-",(VLOOKUP($A66,'SegEnds_NonXtal_BW#'!$A:$Z,23,FALSE)+VLOOKUP($A66,A:AL,34,FALSE)-50))</f>
        <v>404</v>
      </c>
      <c r="AH66" s="105">
        <v>423</v>
      </c>
      <c r="AI66" s="3">
        <f>IF(ISERROR((VLOOKUP($A66,'SegEnds_NonXtal_BW#'!$A:$Z,24,FALSE)+VLOOKUP($A66,A:AL,34,FALSE)-50)),"-",(VLOOKUP($A66,'SegEnds_NonXtal_BW#'!$A:$Z,24,FALSE)+VLOOKUP($A66,A:AL,34,FALSE)-50))</f>
        <v>429</v>
      </c>
      <c r="AJ66" s="3">
        <f>IF(ISERROR(VLOOKUP($A66,'SegEnds_NonXtal_BW#'!$A:$Z,25,FALSE)+VLOOKUP($A66,A:AL,37,FALSE)-50),"-",(VLOOKUP($A66,'SegEnds_NonXtal_BW#'!$A:$Z,25,FALSE)+VLOOKUP($A66,A:AL,37,FALSE)-50))</f>
        <v>430</v>
      </c>
      <c r="AK66" s="105">
        <v>433</v>
      </c>
      <c r="AL66" s="3">
        <f>IF(ISERROR((VLOOKUP($A66,'SegEnds_NonXtal_BW#'!$A:$Z,26,FALSE)+VLOOKUP($A66,A:AL,37,FALSE)-50)),"-",(VLOOKUP($A66,'SegEnds_NonXtal_BW#'!$A:$Z,26,FALSE)+VLOOKUP($A66,A:AL,37,FALSE)-50))</f>
        <v>442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151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202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ada2c_human</v>
      </c>
      <c r="C67" s="3">
        <f>VLOOKUP($A67,'SegEnds_NonXtal_BW#'!$A:$Z,3,FALSE)+D67-50</f>
        <v>47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409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6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122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2" si="39">IF(ISERROR(F68-E68),"-",F68-E68)</f>
        <v>1</v>
      </c>
      <c r="AQ68" s="3">
        <f t="shared" ref="AQ68:AQ132" si="40">IF(ISERROR(I68-H68),"-",I68-H68)</f>
        <v>1</v>
      </c>
      <c r="AR68" s="3">
        <f t="shared" ref="AR68:AR132" si="41">IF(ISERROR(L68-K68),"-",L68-K68)</f>
        <v>1</v>
      </c>
      <c r="AS68" s="3">
        <f t="shared" ref="AS68:AS132" si="42">IF(ISERROR(O68-N68),"-",O68-N68)</f>
        <v>1</v>
      </c>
      <c r="AT68" s="3">
        <f t="shared" ref="AT68:AT132" si="43">IF(ISERROR(R68-Q68),"-",R68-Q68)</f>
        <v>1</v>
      </c>
      <c r="AU68" s="3">
        <f t="shared" ref="AU68:AU132" si="44">IF(ISERROR(U68-T68),"-",U68-T68)</f>
        <v>1</v>
      </c>
      <c r="AV68" s="3">
        <f t="shared" ref="AV68:AV132" si="45">IF(ISERROR(X68-W68),"-",X68-W68)</f>
        <v>19</v>
      </c>
      <c r="AW68" s="3">
        <f t="shared" ref="AW68:AW132" si="46">IF(ISERROR(AA68-Z68),"-",AA68-Z68)</f>
        <v>3</v>
      </c>
      <c r="AX68" s="3">
        <f t="shared" ref="AX68:AX132" si="47">IF(ISERROR(AD68-AC68),"-",AD68-AC68)</f>
        <v>53</v>
      </c>
      <c r="AY68" s="3">
        <f t="shared" ref="AY68:AY132" si="48">IF(ISERROR(AG68-AF68),"-",AG68-AF68)</f>
        <v>5</v>
      </c>
      <c r="AZ68" s="3">
        <f t="shared" ref="AZ68:AZ132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2" si="50">J68-D68</f>
        <v>28</v>
      </c>
      <c r="BC68" s="9">
        <f t="shared" ref="BC68:BC132" si="51">IF(ISERROR(V68-S68),"-",V68-S68)</f>
        <v>20</v>
      </c>
      <c r="BD68" s="3">
        <f t="shared" ref="BD68:BD132" si="52">J68-D68</f>
        <v>28</v>
      </c>
      <c r="BE68" s="3">
        <f t="shared" ref="BE68:BE132" si="53">AE68-AB68</f>
        <v>103</v>
      </c>
    </row>
    <row r="69" spans="1:58" s="3" customFormat="1" ht="17" customHeight="1" x14ac:dyDescent="0.2">
      <c r="A69" s="3" t="s">
        <v>905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105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3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1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97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1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101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1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91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2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100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2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MIN(ABS(BE79-ICL3_classA!F2:F233))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97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232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1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3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97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232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1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3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235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3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231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3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fpr2_human</v>
      </c>
      <c r="C89" s="3">
        <f>VLOOKUP($A89,'SegEnds_NonXtal_BW#'!$A:$Z,3,FALSE)+D89-50</f>
        <v>33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69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102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205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331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2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14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42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2" si="61">G90-2</f>
        <v>145</v>
      </c>
      <c r="G90" s="3">
        <v>147</v>
      </c>
      <c r="H90" s="3">
        <f t="shared" ref="H90:H99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238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13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2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8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224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3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1" si="65">M93-1</f>
        <v>116</v>
      </c>
      <c r="M93" s="3">
        <v>117</v>
      </c>
      <c r="N93" s="3">
        <f t="shared" ref="N93:N101" si="66">M93+2</f>
        <v>119</v>
      </c>
      <c r="O93" s="3">
        <f t="shared" ref="O93:O101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249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4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1165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233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4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98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2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1688</v>
      </c>
      <c r="B98" s="3" t="str">
        <f>LOWER(VLOOKUP(A98,Xtal_Templ!A:B,2,FALSE))</f>
        <v>drd4_mouse</v>
      </c>
      <c r="C98" s="3">
        <f>VLOOKUP($A98,'SegEnds_NonXtal_BW#'!$A:$Z,3,FALSE)+D98-50</f>
        <v>28</v>
      </c>
      <c r="D98" s="3">
        <v>49</v>
      </c>
      <c r="E98" s="3">
        <f>IF(ISERROR(VLOOKUP($A98,'SegEnds_NonXtal_BW#'!$A:$Z,4,FALSE)+VLOOKUP($A98,A:AL,4,FALSE)-50),"-",(VLOOKUP($A98,'SegEnds_NonXtal_BW#'!$A:$Z,4,FALSE)+VLOOKUP($A98,A:AL,4,FALSE)-50))</f>
        <v>59</v>
      </c>
      <c r="F98" s="3">
        <f t="shared" ref="F98" si="68">G98-2</f>
        <v>60</v>
      </c>
      <c r="G98" s="3">
        <v>62</v>
      </c>
      <c r="H98" s="3">
        <f t="shared" ref="H98" si="69">G98+1</f>
        <v>63</v>
      </c>
      <c r="I98" s="3">
        <f t="shared" ref="I98" si="70">H98+1</f>
        <v>64</v>
      </c>
      <c r="J98" s="3">
        <v>77</v>
      </c>
      <c r="K98" s="3">
        <f>VLOOKUP($A98,'SegEnds_NonXtal_BW#'!$A:$Z,8,FALSE)+VLOOKUP($A98,A:AL,10,FALSE)-50</f>
        <v>95</v>
      </c>
      <c r="L98" s="3">
        <f t="shared" ref="L98" si="71">M98-1</f>
        <v>97</v>
      </c>
      <c r="M98" s="3">
        <v>98</v>
      </c>
      <c r="N98" s="3">
        <f t="shared" ref="N98" si="72">M98+2</f>
        <v>100</v>
      </c>
      <c r="O98" s="3">
        <f t="shared" ref="O98" si="73">N98+1</f>
        <v>101</v>
      </c>
      <c r="P98" s="3">
        <v>130</v>
      </c>
      <c r="Q98" s="3">
        <f>VLOOKUP($A98,'SegEnds_NonXtal_BW#'!$A:$Z,12,FALSE)+VLOOKUP($A98,A:AL,16,FALSE)-50</f>
        <v>136</v>
      </c>
      <c r="R98" s="3">
        <f>IF(ISERROR(VLOOKUP($A98,'SegEnds_NonXtal_BW#'!$A:$Z,13,FALSE)+VLOOKUP($A98,A:AL,19,FALSE)-50),"-",VLOOKUP($A98,'SegEnds_NonXtal_BW#'!$A:$Z,13,FALSE)+VLOOKUP($A98,A:AL,19,FALSE)-50)</f>
        <v>137</v>
      </c>
      <c r="S98" s="3">
        <v>137</v>
      </c>
      <c r="T98" s="100">
        <f>IF(ISERROR(VLOOKUP($A98,'SegEnds_NonXtal_BW#'!$A:$Z,14,FALSE)+VLOOKUP($A98,A:AL,19,FALSE)-50),"-",(VLOOKUP($A98,'SegEnds_NonXtal_BW#'!$A:$Z,14,FALSE)+VLOOKUP($A98,A:AL,19,FALSE)-50))</f>
        <v>140</v>
      </c>
      <c r="U98" s="9">
        <f>IF(ISERROR(VLOOKUP($A98,'SegEnds_NonXtal_BW#'!$A:$Z,15,FALSE)+VLOOKUP($A98,A:AL,22,FALSE)-50),"-",VLOOKUP($A98,'SegEnds_NonXtal_BW#'!$A:$Z,15,FALSE)+VLOOKUP($A98,A:AL,22,FALSE)-50)</f>
        <v>141</v>
      </c>
      <c r="V98" s="3">
        <v>155</v>
      </c>
      <c r="W98" s="3">
        <f>IF(ISERROR(VLOOKUP($A98,'SegEnds_NonXtal_BW#'!$A:$Z,16,FALSE)+VLOOKUP($A98,A:AL,22,FALSE)-50),"-",(VLOOKUP($A98,'SegEnds_NonXtal_BW#'!$A:$Z,16,FALSE)+VLOOKUP($A98,A:AL,22,FALSE)-50))</f>
        <v>168</v>
      </c>
      <c r="X98" s="3">
        <f>IF(ISERROR(VLOOKUP($A98,'SegEnds_NonXtal_BW#'!$A:$Z,17,FALSE)+VLOOKUP($A98,A:AL,25,FALSE)-50),"-",(VLOOKUP($A98,'SegEnds_NonXtal_BW#'!$A:$Z,17,FALSE)+VLOOKUP($A98,A:AL,25,FALSE)-50))</f>
        <v>180</v>
      </c>
      <c r="Y98" s="3">
        <v>180</v>
      </c>
      <c r="Z98" s="3">
        <f t="shared" ref="Z98" si="74">Y98+2</f>
        <v>182</v>
      </c>
      <c r="AA98" s="3">
        <f>IF(ISERROR(VLOOKUP($A98,'SegEnds_NonXtal_BW#'!$A:$Z,19,FALSE)+VLOOKUP($A98,A:AL,28,FALSE)-50),"-",(VLOOKUP($A98,'SegEnds_NonXtal_BW#'!$A:$Z,19,FALSE)+VLOOKUP($A98,A:AL,28,FALSE)-50))</f>
        <v>184</v>
      </c>
      <c r="AB98" s="3">
        <v>199</v>
      </c>
      <c r="AC98" s="3">
        <f>IF(ISERROR((VLOOKUP($A98,'SegEnds_NonXtal_BW#'!$A:$Z,20,FALSE)+VLOOKUP($A98,A:AL,28,FALSE)-50)),"-",(VLOOKUP($A98,'SegEnds_NonXtal_BW#'!$A:$Z,20,FALSE)+VLOOKUP($A98,A:AL,28,FALSE)-50))</f>
        <v>225</v>
      </c>
      <c r="AD98" s="3">
        <f>IF(ISERROR(VLOOKUP($A98,'SegEnds_NonXtal_BW#'!$A:$Z,21,FALSE)+VLOOKUP($A98,A:AL,31,FALSE)-50),"-",(VLOOKUP($A98,'SegEnds_NonXtal_BW#'!$A:$Z,21,FALSE)+VLOOKUP($A98,A:AL,31,FALSE)-50))</f>
        <v>303</v>
      </c>
      <c r="AE98" s="3">
        <v>329</v>
      </c>
      <c r="AF98" s="3">
        <f>IF(ISERROR((VLOOKUP($A98,'SegEnds_NonXtal_BW#'!$A:$Z,22,FALSE)+VLOOKUP($A98,A:AL,31,FALSE)-50)),"-",(VLOOKUP($A98,'SegEnds_NonXtal_BW#'!$A:$Z,22,FALSE)+VLOOKUP($A98,A:AL,31,FALSE)-50))</f>
        <v>340</v>
      </c>
      <c r="AG98" s="3">
        <f>IF(ISERROR(VLOOKUP($A98,'SegEnds_NonXtal_BW#'!$A:$Z,23,FALSE)+VLOOKUP($A98,A:AL,34,FALSE)-50),"-",(VLOOKUP($A98,'SegEnds_NonXtal_BW#'!$A:$Z,23,FALSE)+VLOOKUP($A98,A:AL,34,FALSE)-50))</f>
        <v>346</v>
      </c>
      <c r="AH98" s="3">
        <v>365</v>
      </c>
      <c r="AI98" s="3">
        <f>IF(ISERROR((VLOOKUP($A98,'SegEnds_NonXtal_BW#'!$A:$Z,24,FALSE)+VLOOKUP($A98,A:AL,34,FALSE)-50)),"-",(VLOOKUP($A98,'SegEnds_NonXtal_BW#'!$A:$Z,24,FALSE)+VLOOKUP($A98,A:AL,34,FALSE)-50))</f>
        <v>371</v>
      </c>
      <c r="AJ98" s="3">
        <f>IF(ISERROR(VLOOKUP($A98,'SegEnds_NonXtal_BW#'!$A:$Z,25,FALSE)+VLOOKUP($A98,A:AL,37,FALSE)-50),"-",(VLOOKUP($A98,'SegEnds_NonXtal_BW#'!$A:$Z,25,FALSE)+VLOOKUP($A98,A:AL,37,FALSE)-50))</f>
        <v>372</v>
      </c>
      <c r="AK98" s="3">
        <v>375</v>
      </c>
      <c r="AL98" s="3">
        <f>IF(ISERROR((VLOOKUP($A98,'SegEnds_NonXtal_BW#'!$A:$Z,26,FALSE)+VLOOKUP($A98,A:AL,37,FALSE)-50)),"-",(VLOOKUP($A98,'SegEnds_NonXtal_BW#'!$A:$Z,26,FALSE)+VLOOKUP($A98,A:AL,37,FALSE)-50))</f>
        <v>384</v>
      </c>
      <c r="AM98" s="28" t="str">
        <f>VLOOKUP(A98,Classification!A:B,2,FALSE)</f>
        <v>A</v>
      </c>
      <c r="AN98" s="28" t="b">
        <f t="shared" ref="AN98" si="75">AND(IF(Y98="-",IF(AA98-W98&gt;3,TRUE,FALSE),TRUE),IF(M98="-",IF(O98-K98&gt;3,TRUE,FALSE),TRUE),IF(AG98-AF98&gt;1,TRUE,FALSE),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    <v>1</v>
      </c>
      <c r="AO98" s="3" t="str">
        <f>IF(ISERROR(MATCH(A98,'SegEnds_Xtal_Prot#'!B:B, 0)), "NoXtal", "Xtal")</f>
        <v>Xtal</v>
      </c>
      <c r="AP98" s="3">
        <f t="shared" ref="AP98" si="76">IF(ISERROR(F98-E98),"-",F98-E98)</f>
        <v>1</v>
      </c>
      <c r="AQ98" s="3">
        <f t="shared" ref="AQ98" si="77">IF(ISERROR(I98-H98),"-",I98-H98)</f>
        <v>1</v>
      </c>
      <c r="AR98" s="3">
        <f t="shared" ref="AR98" si="78">IF(ISERROR(L98-K98),"-",L98-K98)</f>
        <v>2</v>
      </c>
      <c r="AS98" s="3">
        <f t="shared" ref="AS98" si="79">IF(ISERROR(O98-N98),"-",O98-N98)</f>
        <v>1</v>
      </c>
      <c r="AT98" s="3">
        <f t="shared" ref="AT98" si="80">IF(ISERROR(R98-Q98),"-",R98-Q98)</f>
        <v>1</v>
      </c>
      <c r="AU98" s="3">
        <f t="shared" ref="AU98" si="81">IF(ISERROR(U98-T98),"-",U98-T98)</f>
        <v>1</v>
      </c>
      <c r="AV98" s="3">
        <f t="shared" ref="AV98" si="82">IF(ISERROR(X98-W98),"-",X98-W98)</f>
        <v>12</v>
      </c>
      <c r="AW98" s="3">
        <f t="shared" ref="AW98" si="83">IF(ISERROR(AA98-Z98),"-",AA98-Z98)</f>
        <v>2</v>
      </c>
      <c r="AX98" s="3">
        <f t="shared" ref="AX98" si="84">IF(ISERROR(AD98-AC98),"-",AD98-AC98)</f>
        <v>78</v>
      </c>
      <c r="AY98" s="3">
        <f t="shared" ref="AY98" si="85">IF(ISERROR(AG98-AF98),"-",AG98-AF98)</f>
        <v>6</v>
      </c>
      <c r="AZ98" s="3">
        <f t="shared" ref="AZ98" si="86">IF(ISERROR(AJ98-AI98),"-",AJ98-AI98)</f>
        <v>1</v>
      </c>
      <c r="BA98" s="3">
        <f>IF(ISERROR(LEN(VLOOKUP(A98,Seqs!A:E,2,FALSE))-AL98),"-",LEN(VLOOKUP(A98,Seqs!A:E,2,FALSE))-AL98)</f>
        <v>3</v>
      </c>
      <c r="BB98" s="16">
        <f t="shared" ref="BB98" si="87">J98-D98</f>
        <v>28</v>
      </c>
      <c r="BC98" s="9">
        <f t="shared" ref="BC98" si="88">IF(ISERROR(V98-S98),"-",V98-S98)</f>
        <v>18</v>
      </c>
      <c r="BD98" s="3">
        <f t="shared" ref="BD98" si="89">J98-D98</f>
        <v>28</v>
      </c>
      <c r="BE98" s="3">
        <f t="shared" ref="BE98" si="90">AE98-AB98</f>
        <v>130</v>
      </c>
      <c r="BF98" s="3">
        <f>AH98-AE98</f>
        <v>36</v>
      </c>
    </row>
    <row r="99" spans="1:58" s="3" customFormat="1" x14ac:dyDescent="0.2">
      <c r="A99" s="3" t="s">
        <v>194</v>
      </c>
      <c r="B99" s="3" t="str">
        <f>LOWER(VLOOKUP(A99,Xtal_Templ!A:B,2,FALSE))</f>
        <v>adrb2_human</v>
      </c>
      <c r="C99" s="3">
        <f>VLOOKUP($A99,'SegEnds_NonXtal_BW#'!$A:$Z,3,FALSE)+D99-50</f>
        <v>33</v>
      </c>
      <c r="D99" s="3">
        <v>58</v>
      </c>
      <c r="E99" s="3">
        <f>IF(ISERROR(VLOOKUP($A99,'SegEnds_NonXtal_BW#'!$A:$Z,4,FALSE)+VLOOKUP($A99,A:AL,4,FALSE)-50),"-",(VLOOKUP($A99,'SegEnds_NonXtal_BW#'!$A:$Z,4,FALSE)+VLOOKUP($A99,A:AL,4,FALSE)-50))</f>
        <v>68</v>
      </c>
      <c r="F99" s="3">
        <f t="shared" si="61"/>
        <v>69</v>
      </c>
      <c r="G99" s="3">
        <v>71</v>
      </c>
      <c r="H99" s="3">
        <f t="shared" si="62"/>
        <v>72</v>
      </c>
      <c r="I99" s="3">
        <f t="shared" si="63"/>
        <v>73</v>
      </c>
      <c r="J99" s="3">
        <v>87</v>
      </c>
      <c r="K99" s="3">
        <f>VLOOKUP($A99,'SegEnds_NonXtal_BW#'!$A:$Z,8,FALSE)+VLOOKUP($A99,A:AL,10,FALSE)-50</f>
        <v>103</v>
      </c>
      <c r="L99" s="3">
        <f t="shared" si="65"/>
        <v>106</v>
      </c>
      <c r="M99" s="3">
        <v>107</v>
      </c>
      <c r="N99" s="3">
        <f t="shared" si="66"/>
        <v>109</v>
      </c>
      <c r="O99" s="3">
        <f t="shared" si="67"/>
        <v>110</v>
      </c>
      <c r="P99" s="3">
        <v>138</v>
      </c>
      <c r="Q99" s="3">
        <f>VLOOKUP($A99,'SegEnds_NonXtal_BW#'!$A:$Z,12,FALSE)+VLOOKUP($A99,A:AL,16,FALSE)-50</f>
        <v>144</v>
      </c>
      <c r="R99" s="3">
        <f>IF(ISERROR(VLOOKUP($A99,'SegEnds_NonXtal_BW#'!$A:$Z,13,FALSE)+VLOOKUP($A99,A:AL,19,FALSE)-50),"-",VLOOKUP($A99,'SegEnds_NonXtal_BW#'!$A:$Z,13,FALSE)+VLOOKUP($A99,A:AL,19,FALSE)-50)</f>
        <v>145</v>
      </c>
      <c r="S99" s="3">
        <v>145</v>
      </c>
      <c r="T99" s="100">
        <f>IF(ISERROR(VLOOKUP($A99,'SegEnds_NonXtal_BW#'!$A:$Z,14,FALSE)+VLOOKUP($A99,A:AL,19,FALSE)-50),"-",(VLOOKUP($A99,'SegEnds_NonXtal_BW#'!$A:$Z,14,FALSE)+VLOOKUP($A99,A:AL,19,FALSE)-50))</f>
        <v>152</v>
      </c>
      <c r="U99" s="9">
        <f>IF(ISERROR(VLOOKUP($A99,'SegEnds_NonXtal_BW#'!$A:$Z,15,FALSE)+VLOOKUP($A99,A:AL,22,FALSE)-50),"-",VLOOKUP($A99,'SegEnds_NonXtal_BW#'!$A:$Z,15,FALSE)+VLOOKUP($A99,A:AL,22,FALSE)-50)</f>
        <v>153</v>
      </c>
      <c r="V99" s="3">
        <v>165</v>
      </c>
      <c r="W99" s="3">
        <f>IF(ISERROR(VLOOKUP($A99,'SegEnds_NonXtal_BW#'!$A:$Z,16,FALSE)+VLOOKUP($A99,A:AL,22,FALSE)-50),"-",(VLOOKUP($A99,'SegEnds_NonXtal_BW#'!$A:$Z,16,FALSE)+VLOOKUP($A99,A:AL,22,FALSE)-50))</f>
        <v>179</v>
      </c>
      <c r="X99" s="3">
        <f>IF(ISERROR(VLOOKUP($A99,'SegEnds_NonXtal_BW#'!$A:$Z,17,FALSE)+VLOOKUP($A99,A:AL,25,FALSE)-50),"-",(VLOOKUP($A99,'SegEnds_NonXtal_BW#'!$A:$Z,17,FALSE)+VLOOKUP($A99,A:AL,25,FALSE)-50))</f>
        <v>217</v>
      </c>
      <c r="Y99" s="3">
        <v>217</v>
      </c>
      <c r="Z99" s="3">
        <f t="shared" si="64"/>
        <v>219</v>
      </c>
      <c r="AA99" s="3">
        <f>IF(ISERROR(VLOOKUP($A99,'SegEnds_NonXtal_BW#'!$A:$Z,19,FALSE)+VLOOKUP($A99,A:AL,28,FALSE)-50),"-",(VLOOKUP($A99,'SegEnds_NonXtal_BW#'!$A:$Z,19,FALSE)+VLOOKUP($A99,A:AL,28,FALSE)-50))</f>
        <v>222</v>
      </c>
      <c r="AB99" s="3">
        <v>237</v>
      </c>
      <c r="AC99" s="3">
        <f>IF(ISERROR((VLOOKUP($A99,'SegEnds_NonXtal_BW#'!$A:$Z,20,FALSE)+VLOOKUP($A99,A:AL,28,FALSE)-50)),"-",(VLOOKUP($A99,'SegEnds_NonXtal_BW#'!$A:$Z,20,FALSE)+VLOOKUP($A99,A:AL,28,FALSE)-50))</f>
        <v>263</v>
      </c>
      <c r="AD99" s="3">
        <f>IF(ISERROR(VLOOKUP($A99,'SegEnds_NonXtal_BW#'!$A:$Z,21,FALSE)+VLOOKUP($A99,A:AL,31,FALSE)-50),"-",(VLOOKUP($A99,'SegEnds_NonXtal_BW#'!$A:$Z,21,FALSE)+VLOOKUP($A99,A:AL,31,FALSE)-50))</f>
        <v>285</v>
      </c>
      <c r="AE99" s="3">
        <v>311</v>
      </c>
      <c r="AF99" s="3">
        <f>IF(ISERROR((VLOOKUP($A99,'SegEnds_NonXtal_BW#'!$A:$Z,22,FALSE)+VLOOKUP($A99,A:AL,31,FALSE)-50)),"-",(VLOOKUP($A99,'SegEnds_NonXtal_BW#'!$A:$Z,22,FALSE)+VLOOKUP($A99,A:AL,31,FALSE)-50))</f>
        <v>325</v>
      </c>
      <c r="AG99" s="3">
        <f>IF(ISERROR(VLOOKUP($A99,'SegEnds_NonXtal_BW#'!$A:$Z,23,FALSE)+VLOOKUP($A99,A:AL,34,FALSE)-50),"-",(VLOOKUP($A99,'SegEnds_NonXtal_BW#'!$A:$Z,23,FALSE)+VLOOKUP($A99,A:AL,34,FALSE)-50))</f>
        <v>330</v>
      </c>
      <c r="AH99" s="3">
        <v>356</v>
      </c>
      <c r="AI99" s="3">
        <v>362</v>
      </c>
      <c r="AJ99" s="3">
        <f>IF(ISERROR(VLOOKUP($A99,'SegEnds_NonXtal_BW#'!$A:$Z,25,FALSE)+VLOOKUP($A99,A:AL,37,FALSE)-50),"-",(VLOOKUP($A99,'SegEnds_NonXtal_BW#'!$A:$Z,25,FALSE)+VLOOKUP($A99,A:AL,37,FALSE)-50))</f>
        <v>363</v>
      </c>
      <c r="AK99" s="3">
        <v>366</v>
      </c>
      <c r="AL99" s="3">
        <f>IF(ISERROR((VLOOKUP($A99,'SegEnds_NonXtal_BW#'!$A:$Z,26,FALSE)+VLOOKUP($A99,A:AL,37,FALSE)-50)),"-",(VLOOKUP($A99,'SegEnds_NonXtal_BW#'!$A:$Z,26,FALSE)+VLOOKUP($A99,A:AL,37,FALSE)-50))</f>
        <v>375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3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38</v>
      </c>
      <c r="AW99" s="3">
        <f t="shared" si="46"/>
        <v>3</v>
      </c>
      <c r="AX99" s="3">
        <f t="shared" si="47"/>
        <v>22</v>
      </c>
      <c r="AY99" s="3">
        <f t="shared" si="48"/>
        <v>5</v>
      </c>
      <c r="AZ99" s="3">
        <f t="shared" si="49"/>
        <v>1</v>
      </c>
      <c r="BA99" s="3">
        <f>IF(ISERROR(LEN(VLOOKUP(A99,Seqs!A:E,2,FALSE))-AL99),"-",LEN(VLOOKUP(A99,Seqs!A:E,2,FALSE))-AL99)</f>
        <v>102</v>
      </c>
      <c r="BB99" s="16">
        <f t="shared" si="50"/>
        <v>29</v>
      </c>
      <c r="BC99" s="9">
        <f t="shared" si="51"/>
        <v>20</v>
      </c>
      <c r="BD99" s="3">
        <f t="shared" si="52"/>
        <v>29</v>
      </c>
      <c r="BE99" s="3">
        <f t="shared" si="53"/>
        <v>74</v>
      </c>
    </row>
    <row r="100" spans="1:58" s="3" customFormat="1" x14ac:dyDescent="0.2">
      <c r="A100" s="3" t="s">
        <v>195</v>
      </c>
      <c r="B100" s="3" t="str">
        <f>LOWER(VLOOKUP(A100,Xtal_Templ!A:B,2,FALSE))</f>
        <v>ednrb_human</v>
      </c>
      <c r="C100" s="3">
        <f>VLOOKUP($A100,'SegEnds_NonXtal_BW#'!$A:$Z,3,FALSE)+D100-50</f>
        <v>70</v>
      </c>
      <c r="D100" s="3">
        <v>98</v>
      </c>
      <c r="E100" s="3">
        <f>IF(ISERROR(VLOOKUP($A100,'SegEnds_NonXtal_BW#'!$A:$Z,4,FALSE)+VLOOKUP($A100,A:AL,4,FALSE)-50),"-",(VLOOKUP($A100,'SegEnds_NonXtal_BW#'!$A:$Z,4,FALSE)+VLOOKUP($A100,A:AL,4,FALSE)-50))</f>
        <v>108</v>
      </c>
      <c r="F100" s="3">
        <f t="shared" si="61"/>
        <v>109</v>
      </c>
      <c r="G100" s="3">
        <v>111</v>
      </c>
      <c r="H100" s="3">
        <v>113</v>
      </c>
      <c r="I100" s="3">
        <f t="shared" si="63"/>
        <v>114</v>
      </c>
      <c r="J100" s="3">
        <v>126</v>
      </c>
      <c r="K100" s="3">
        <f>VLOOKUP($A100,'SegEnds_NonXtal_BW#'!$A:$Z,8,FALSE)+VLOOKUP($A100,A:AL,10,FALSE)-50</f>
        <v>143</v>
      </c>
      <c r="L100" s="3">
        <f t="shared" si="65"/>
        <v>145</v>
      </c>
      <c r="M100" s="3">
        <v>146</v>
      </c>
      <c r="N100" s="3">
        <f t="shared" si="66"/>
        <v>148</v>
      </c>
      <c r="O100" s="3">
        <f t="shared" si="67"/>
        <v>149</v>
      </c>
      <c r="P100" s="3">
        <v>183</v>
      </c>
      <c r="Q100" s="3">
        <f>VLOOKUP($A100,'SegEnds_NonXtal_BW#'!$A:$Z,12,FALSE)+VLOOKUP($A100,A:AL,16,FALSE)-50</f>
        <v>189</v>
      </c>
      <c r="R100" s="3">
        <f>IF(ISERROR(VLOOKUP($A100,'SegEnds_NonXtal_BW#'!$A:$Z,13,FALSE)+VLOOKUP($A100,A:AL,19,FALSE)-50),"-",VLOOKUP($A100,'SegEnds_NonXtal_BW#'!$A:$Z,13,FALSE)+VLOOKUP($A100,A:AL,19,FALSE)-50)</f>
        <v>190</v>
      </c>
      <c r="S100" s="3">
        <v>190</v>
      </c>
      <c r="T100" s="100">
        <f>IF(ISERROR(VLOOKUP($A100,'SegEnds_NonXtal_BW#'!$A:$Z,14,FALSE)+VLOOKUP($A100,A:AL,19,FALSE)-50),"-",(VLOOKUP($A100,'SegEnds_NonXtal_BW#'!$A:$Z,14,FALSE)+VLOOKUP($A100,A:AL,19,FALSE)-50))</f>
        <v>197</v>
      </c>
      <c r="U100" s="9">
        <f>IF(ISERROR(VLOOKUP($A100,'SegEnds_NonXtal_BW#'!$A:$Z,15,FALSE)+VLOOKUP($A100,A:AL,22,FALSE)-50),"-",VLOOKUP($A100,'SegEnds_NonXtal_BW#'!$A:$Z,15,FALSE)+VLOOKUP($A100,A:AL,22,FALSE)-50)</f>
        <v>198</v>
      </c>
      <c r="V100" s="3">
        <v>210</v>
      </c>
      <c r="W100" s="3">
        <f>IF(ISERROR(VLOOKUP($A100,'SegEnds_NonXtal_BW#'!$A:$Z,16,FALSE)+VLOOKUP($A100,A:AL,22,FALSE)-50),"-",(VLOOKUP($A100,'SegEnds_NonXtal_BW#'!$A:$Z,16,FALSE)+VLOOKUP($A100,A:AL,22,FALSE)-50))</f>
        <v>224</v>
      </c>
      <c r="X100" s="3">
        <f>IF(ISERROR(VLOOKUP($A100,'SegEnds_NonXtal_BW#'!$A:$Z,17,FALSE)+VLOOKUP($A100,A:AL,25,FALSE)-50),"-",(VLOOKUP($A100,'SegEnds_NonXtal_BW#'!$A:$Z,17,FALSE)+VLOOKUP($A100,A:AL,25,FALSE)-50))</f>
        <v>239</v>
      </c>
      <c r="Y100" s="3">
        <v>239</v>
      </c>
      <c r="Z100" s="3">
        <f t="shared" si="64"/>
        <v>241</v>
      </c>
      <c r="AA100" s="3">
        <f>IF(ISERROR(VLOOKUP($A100,'SegEnds_NonXtal_BW#'!$A:$Z,19,FALSE)+VLOOKUP($A100,A:AL,28,FALSE)-50),"-",(VLOOKUP($A100,'SegEnds_NonXtal_BW#'!$A:$Z,19,FALSE)+VLOOKUP($A100,A:AL,28,FALSE)-50))</f>
        <v>245</v>
      </c>
      <c r="AB100" s="3">
        <v>267</v>
      </c>
      <c r="AC100" s="3">
        <f>IF(ISERROR((VLOOKUP($A100,'SegEnds_NonXtal_BW#'!$A:$Z,20,FALSE)+VLOOKUP($A100,A:AL,28,FALSE)-50)),"-",(VLOOKUP($A100,'SegEnds_NonXtal_BW#'!$A:$Z,20,FALSE)+VLOOKUP($A100,A:AL,28,FALSE)-50))</f>
        <v>289</v>
      </c>
      <c r="AD100" s="3">
        <f>IF(ISERROR(VLOOKUP($A100,'SegEnds_NonXtal_BW#'!$A:$Z,21,FALSE)+VLOOKUP($A100,A:AL,31,FALSE)-50),"-",(VLOOKUP($A100,'SegEnds_NonXtal_BW#'!$A:$Z,21,FALSE)+VLOOKUP($A100,A:AL,31,FALSE)-50))</f>
        <v>295</v>
      </c>
      <c r="AE100" s="3">
        <v>321</v>
      </c>
      <c r="AF100" s="3">
        <f>IF(ISERROR((VLOOKUP($A100,'SegEnds_NonXtal_BW#'!$A:$Z,22,FALSE)+VLOOKUP($A100,A:AL,31,FALSE)-50)),"-",(VLOOKUP($A100,'SegEnds_NonXtal_BW#'!$A:$Z,22,FALSE)+VLOOKUP($A100,A:AL,31,FALSE)-50))</f>
        <v>333</v>
      </c>
      <c r="AG100" s="3">
        <f>IF(ISERROR(VLOOKUP($A100,'SegEnds_NonXtal_BW#'!$A:$Z,23,FALSE)+VLOOKUP($A100,A:AL,34,FALSE)-50),"-",(VLOOKUP($A100,'SegEnds_NonXtal_BW#'!$A:$Z,23,FALSE)+VLOOKUP($A100,A:AL,34,FALSE)-50))</f>
        <v>340</v>
      </c>
      <c r="AH100" s="3">
        <v>366</v>
      </c>
      <c r="AI100" s="3">
        <f>IF(ISERROR((VLOOKUP($A100,'SegEnds_NonXtal_BW#'!$A:$Z,24,FALSE)+VLOOKUP($A100,A:AL,34,FALSE)-50)),"-",(VLOOKUP($A100,'SegEnds_NonXtal_BW#'!$A:$Z,24,FALSE)+VLOOKUP($A100,A:AL,34,FALSE)-50))</f>
        <v>372</v>
      </c>
      <c r="AJ100" s="3">
        <f>IF(ISERROR(VLOOKUP($A100,'SegEnds_NonXtal_BW#'!$A:$Z,25,FALSE)+VLOOKUP($A100,A:AL,37,FALSE)-50),"-",(VLOOKUP($A100,'SegEnds_NonXtal_BW#'!$A:$Z,25,FALSE)+VLOOKUP($A100,A:AL,37,FALSE)-50))</f>
        <v>373</v>
      </c>
      <c r="AK100" s="3">
        <v>376</v>
      </c>
      <c r="AL100" s="3">
        <f>IF(ISERROR((VLOOKUP($A100,'SegEnds_NonXtal_BW#'!$A:$Z,26,FALSE)+VLOOKUP($A100,A:AL,37,FALSE)-50)),"-",(VLOOKUP($A100,'SegEnds_NonXtal_BW#'!$A:$Z,26,FALSE)+VLOOKUP($A100,A:AL,37,FALSE)-50))</f>
        <v>386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NoXtal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4</v>
      </c>
      <c r="AX100" s="3">
        <f t="shared" si="47"/>
        <v>6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41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54</v>
      </c>
    </row>
    <row r="101" spans="1:58" s="3" customFormat="1" x14ac:dyDescent="0.2">
      <c r="A101" s="3" t="s">
        <v>196</v>
      </c>
      <c r="B101" s="3" t="str">
        <f>LOWER(VLOOKUP(A101,Xtal_Templ!A:B,2,FALSE))</f>
        <v>ednrb_human</v>
      </c>
      <c r="C101" s="3">
        <f>VLOOKUP($A101,'SegEnds_NonXtal_BW#'!$A:$Z,3,FALSE)+D101-50</f>
        <v>91</v>
      </c>
      <c r="D101" s="3">
        <v>119</v>
      </c>
      <c r="E101" s="3">
        <f>IF(ISERROR(VLOOKUP($A101,'SegEnds_NonXtal_BW#'!$A:$Z,4,FALSE)+VLOOKUP($A101,A:AL,4,FALSE)-50),"-",(VLOOKUP($A101,'SegEnds_NonXtal_BW#'!$A:$Z,4,FALSE)+VLOOKUP($A101,A:AL,4,FALSE)-50))</f>
        <v>129</v>
      </c>
      <c r="F101" s="3">
        <f t="shared" si="61"/>
        <v>130</v>
      </c>
      <c r="G101" s="3">
        <v>132</v>
      </c>
      <c r="H101" s="3">
        <v>134</v>
      </c>
      <c r="I101" s="3">
        <f t="shared" si="63"/>
        <v>135</v>
      </c>
      <c r="J101" s="3">
        <v>147</v>
      </c>
      <c r="K101" s="3">
        <f>VLOOKUP($A101,'SegEnds_NonXtal_BW#'!$A:$Z,8,FALSE)+VLOOKUP($A101,A:AL,10,FALSE)-50</f>
        <v>164</v>
      </c>
      <c r="L101" s="3">
        <f t="shared" si="65"/>
        <v>166</v>
      </c>
      <c r="M101" s="3">
        <v>167</v>
      </c>
      <c r="N101" s="3">
        <f t="shared" si="66"/>
        <v>169</v>
      </c>
      <c r="O101" s="3">
        <f t="shared" si="67"/>
        <v>170</v>
      </c>
      <c r="P101" s="3">
        <v>199</v>
      </c>
      <c r="Q101" s="3">
        <f>VLOOKUP($A101,'SegEnds_NonXtal_BW#'!$A:$Z,12,FALSE)+VLOOKUP($A101,A:AL,16,FALSE)-50</f>
        <v>205</v>
      </c>
      <c r="R101" s="3">
        <f>IF(ISERROR(VLOOKUP($A101,'SegEnds_NonXtal_BW#'!$A:$Z,13,FALSE)+VLOOKUP($A101,A:AL,19,FALSE)-50),"-",VLOOKUP($A101,'SegEnds_NonXtal_BW#'!$A:$Z,13,FALSE)+VLOOKUP($A101,A:AL,19,FALSE)-50)</f>
        <v>206</v>
      </c>
      <c r="S101" s="3">
        <v>206</v>
      </c>
      <c r="T101" s="100">
        <f>IF(ISERROR(VLOOKUP($A101,'SegEnds_NonXtal_BW#'!$A:$Z,14,FALSE)+VLOOKUP($A101,A:AL,19,FALSE)-50),"-",(VLOOKUP($A101,'SegEnds_NonXtal_BW#'!$A:$Z,14,FALSE)+VLOOKUP($A101,A:AL,19,FALSE)-50))</f>
        <v>213</v>
      </c>
      <c r="U101" s="9">
        <f>IF(ISERROR(VLOOKUP($A101,'SegEnds_NonXtal_BW#'!$A:$Z,15,FALSE)+VLOOKUP($A101,A:AL,22,FALSE)-50),"-",VLOOKUP($A101,'SegEnds_NonXtal_BW#'!$A:$Z,15,FALSE)+VLOOKUP($A101,A:AL,22,FALSE)-50)</f>
        <v>214</v>
      </c>
      <c r="V101" s="3">
        <v>226</v>
      </c>
      <c r="W101" s="3">
        <f>IF(ISERROR(VLOOKUP($A101,'SegEnds_NonXtal_BW#'!$A:$Z,16,FALSE)+VLOOKUP($A101,A:AL,22,FALSE)-50),"-",(VLOOKUP($A101,'SegEnds_NonXtal_BW#'!$A:$Z,16,FALSE)+VLOOKUP($A101,A:AL,22,FALSE)-50))</f>
        <v>240</v>
      </c>
      <c r="X101" s="3">
        <f>IF(ISERROR(VLOOKUP($A101,'SegEnds_NonXtal_BW#'!$A:$Z,17,FALSE)+VLOOKUP($A101,A:AL,25,FALSE)-50),"-",(VLOOKUP($A101,'SegEnds_NonXtal_BW#'!$A:$Z,17,FALSE)+VLOOKUP($A101,A:AL,25,FALSE)-50))</f>
        <v>255</v>
      </c>
      <c r="Y101" s="3">
        <v>255</v>
      </c>
      <c r="Z101" s="3">
        <f t="shared" si="64"/>
        <v>257</v>
      </c>
      <c r="AA101" s="3">
        <f>IF(ISERROR(VLOOKUP($A101,'SegEnds_NonXtal_BW#'!$A:$Z,19,FALSE)+VLOOKUP($A101,A:AL,28,FALSE)-50),"-",(VLOOKUP($A101,'SegEnds_NonXtal_BW#'!$A:$Z,19,FALSE)+VLOOKUP($A101,A:AL,28,FALSE)-50))</f>
        <v>263</v>
      </c>
      <c r="AB101" s="3">
        <v>285</v>
      </c>
      <c r="AC101" s="3">
        <f>IF(ISERROR((VLOOKUP($A101,'SegEnds_NonXtal_BW#'!$A:$Z,20,FALSE)+VLOOKUP($A101,A:AL,28,FALSE)-50)),"-",(VLOOKUP($A101,'SegEnds_NonXtal_BW#'!$A:$Z,20,FALSE)+VLOOKUP($A101,A:AL,28,FALSE)-50))</f>
        <v>307</v>
      </c>
      <c r="AD101" s="3">
        <f>IF(ISERROR(VLOOKUP($A101,'SegEnds_NonXtal_BW#'!$A:$Z,21,FALSE)+VLOOKUP($A101,A:AL,31,FALSE)-50),"-",(VLOOKUP($A101,'SegEnds_NonXtal_BW#'!$A:$Z,21,FALSE)+VLOOKUP($A101,A:AL,31,FALSE)-50))</f>
        <v>312</v>
      </c>
      <c r="AE101" s="3">
        <v>338</v>
      </c>
      <c r="AF101" s="3">
        <f>IF(ISERROR((VLOOKUP($A101,'SegEnds_NonXtal_BW#'!$A:$Z,22,FALSE)+VLOOKUP($A101,A:AL,31,FALSE)-50)),"-",(VLOOKUP($A101,'SegEnds_NonXtal_BW#'!$A:$Z,22,FALSE)+VLOOKUP($A101,A:AL,31,FALSE)-50))</f>
        <v>350</v>
      </c>
      <c r="AG101" s="3">
        <f>IF(ISERROR(VLOOKUP($A101,'SegEnds_NonXtal_BW#'!$A:$Z,23,FALSE)+VLOOKUP($A101,A:AL,34,FALSE)-50),"-",(VLOOKUP($A101,'SegEnds_NonXtal_BW#'!$A:$Z,23,FALSE)+VLOOKUP($A101,A:AL,34,FALSE)-50))</f>
        <v>357</v>
      </c>
      <c r="AH101" s="3">
        <v>383</v>
      </c>
      <c r="AI101" s="3">
        <f>IF(ISERROR((VLOOKUP($A101,'SegEnds_NonXtal_BW#'!$A:$Z,24,FALSE)+VLOOKUP($A101,A:AL,34,FALSE)-50)),"-",(VLOOKUP($A101,'SegEnds_NonXtal_BW#'!$A:$Z,24,FALSE)+VLOOKUP($A101,A:AL,34,FALSE)-50))</f>
        <v>389</v>
      </c>
      <c r="AJ101" s="3">
        <f>IF(ISERROR(VLOOKUP($A101,'SegEnds_NonXtal_BW#'!$A:$Z,25,FALSE)+VLOOKUP($A101,A:AL,37,FALSE)-50),"-",(VLOOKUP($A101,'SegEnds_NonXtal_BW#'!$A:$Z,25,FALSE)+VLOOKUP($A101,A:AL,37,FALSE)-50))</f>
        <v>390</v>
      </c>
      <c r="AK101" s="3">
        <v>393</v>
      </c>
      <c r="AL101" s="3">
        <f>IF(ISERROR((VLOOKUP($A101,'SegEnds_NonXtal_BW#'!$A:$Z,26,FALSE)+VLOOKUP($A101,A:AL,37,FALSE)-50)),"-",(VLOOKUP($A101,'SegEnds_NonXtal_BW#'!$A:$Z,26,FALSE)+VLOOKUP($A101,A:AL,37,FALSE)-50))</f>
        <v>403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Xtal</v>
      </c>
      <c r="AP101" s="3">
        <f t="shared" si="39"/>
        <v>1</v>
      </c>
      <c r="AQ101" s="3">
        <f t="shared" si="40"/>
        <v>1</v>
      </c>
      <c r="AR101" s="3">
        <f t="shared" si="41"/>
        <v>2</v>
      </c>
      <c r="AS101" s="3">
        <f t="shared" si="42"/>
        <v>1</v>
      </c>
      <c r="AT101" s="3">
        <f t="shared" si="43"/>
        <v>1</v>
      </c>
      <c r="AU101" s="3">
        <f t="shared" si="44"/>
        <v>1</v>
      </c>
      <c r="AV101" s="3">
        <f t="shared" si="45"/>
        <v>15</v>
      </c>
      <c r="AW101" s="3">
        <f t="shared" si="46"/>
        <v>6</v>
      </c>
      <c r="AX101" s="3">
        <f t="shared" si="47"/>
        <v>5</v>
      </c>
      <c r="AY101" s="3">
        <f t="shared" si="48"/>
        <v>7</v>
      </c>
      <c r="AZ101" s="3">
        <f t="shared" si="49"/>
        <v>1</v>
      </c>
      <c r="BA101" s="3">
        <f>IF(ISERROR(LEN(VLOOKUP(A101,Seqs!A:E,2,FALSE))-AL101),"-",LEN(VLOOKUP(A101,Seqs!A:E,2,FALSE))-AL101)</f>
        <v>39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1690</v>
      </c>
      <c r="B102" s="3" t="str">
        <f>LOWER(VLOOKUP(A102,Xtal_Templ!A:B,2,FALSE))</f>
        <v>ednrb_human</v>
      </c>
      <c r="C102" s="3">
        <f>VLOOKUP($A102,'SegEnds_NonXtal_BW#'!$A:$Z,3,FALSE)+D102-50</f>
        <v>120</v>
      </c>
      <c r="D102" s="3">
        <v>148</v>
      </c>
      <c r="E102" s="3">
        <f>IF(ISERROR(VLOOKUP($A102,'SegEnds_NonXtal_BW#'!$A:$Z,4,FALSE)+VLOOKUP($A102,A:AL,4,FALSE)-50),"-",(VLOOKUP($A102,'SegEnds_NonXtal_BW#'!$A:$Z,4,FALSE)+VLOOKUP($A102,A:AL,4,FALSE)-50))</f>
        <v>158</v>
      </c>
      <c r="F102" s="3">
        <f t="shared" si="61"/>
        <v>159</v>
      </c>
      <c r="G102" s="3">
        <v>161</v>
      </c>
      <c r="H102" s="3">
        <f>G102+1</f>
        <v>162</v>
      </c>
      <c r="I102" s="3">
        <f t="shared" si="63"/>
        <v>163</v>
      </c>
      <c r="J102" s="3">
        <v>176</v>
      </c>
      <c r="K102" s="3">
        <f>VLOOKUP($A102,'SegEnds_NonXtal_BW#'!$A:$Z,8,FALSE)+VLOOKUP($A102,A:AL,10,FALSE)-50</f>
        <v>193</v>
      </c>
      <c r="L102" s="3" t="str">
        <f>IF(ISERROR(VLOOKUP($A102,'SegEnds_NonXtal_BW#'!$A:$Z,9,FALSE)+VLOOKUP($A102,A:AL,13,FALSE)-50),"-",(VLOOKUP($A102,'SegEnds_NonXtal_BW#'!$A:$Z,9,FALSE)+VLOOKUP($A102,A:AL,13,FALSE)-50))</f>
        <v>-</v>
      </c>
      <c r="M102" s="3" t="s">
        <v>23</v>
      </c>
      <c r="N102" s="3" t="str">
        <f>IF(ISERROR(VLOOKUP($A102,'SegEnds_NonXtal_BW#'!$A:$Z,10,FALSE)+VLOOKUP($A102,A:AL,13,FALSE)-50),"-",(VLOOKUP($A102,'SegEnds_NonXtal_BW#'!$A:$Z,10,FALSE)+VLOOKUP($A102,A:AL,13,FALSE)-50))</f>
        <v>-</v>
      </c>
      <c r="O102" s="3">
        <f>VLOOKUP($A102,'SegEnds_NonXtal_BW#'!$A:$Z,11,FALSE)+VLOOKUP($A102,A:AL,16,FALSE)-50</f>
        <v>199</v>
      </c>
      <c r="P102" s="3">
        <v>228</v>
      </c>
      <c r="Q102" s="3">
        <f>VLOOKUP($A102,'SegEnds_NonXtal_BW#'!$A:$Z,12,FALSE)+VLOOKUP($A102,A:AL,16,FALSE)-50</f>
        <v>234</v>
      </c>
      <c r="R102" s="3">
        <f>IF(ISERROR(VLOOKUP($A102,'SegEnds_NonXtal_BW#'!$A:$Z,13,FALSE)+VLOOKUP($A102,A:AL,19,FALSE)-50),"-",VLOOKUP($A102,'SegEnds_NonXtal_BW#'!$A:$Z,13,FALSE)+VLOOKUP($A102,A:AL,19,FALSE)-50)</f>
        <v>236</v>
      </c>
      <c r="S102" s="3">
        <v>236</v>
      </c>
      <c r="T102" s="100">
        <f>IF(ISERROR(VLOOKUP($A102,'SegEnds_NonXtal_BW#'!$A:$Z,14,FALSE)+VLOOKUP($A102,A:AL,19,FALSE)-50),"-",(VLOOKUP($A102,'SegEnds_NonXtal_BW#'!$A:$Z,14,FALSE)+VLOOKUP($A102,A:AL,19,FALSE)-50))</f>
        <v>243</v>
      </c>
      <c r="U102" s="9">
        <f>IF(ISERROR(VLOOKUP($A102,'SegEnds_NonXtal_BW#'!$A:$Z,15,FALSE)+VLOOKUP($A102,A:AL,22,FALSE)-50),"-",VLOOKUP($A102,'SegEnds_NonXtal_BW#'!$A:$Z,15,FALSE)+VLOOKUP($A102,A:AL,22,FALSE)-50)</f>
        <v>244</v>
      </c>
      <c r="V102" s="3">
        <v>256</v>
      </c>
      <c r="W102" s="3">
        <f>IF(ISERROR(VLOOKUP($A102,'SegEnds_NonXtal_BW#'!$A:$Z,16,FALSE)+VLOOKUP($A102,A:AL,22,FALSE)-50),"-",(VLOOKUP($A102,'SegEnds_NonXtal_BW#'!$A:$Z,16,FALSE)+VLOOKUP($A102,A:AL,22,FALSE)-50))</f>
        <v>270</v>
      </c>
      <c r="X102" s="3">
        <f>IF(ISERROR(VLOOKUP($A102,'SegEnds_NonXtal_BW#'!$A:$Z,17,FALSE)+VLOOKUP($A102,A:AL,25,FALSE)-50),"-",(VLOOKUP($A102,'SegEnds_NonXtal_BW#'!$A:$Z,17,FALSE)+VLOOKUP($A102,A:AL,25,FALSE)-50))</f>
        <v>286</v>
      </c>
      <c r="Y102" s="3">
        <v>286</v>
      </c>
      <c r="Z102" s="3">
        <f t="shared" si="64"/>
        <v>288</v>
      </c>
      <c r="AA102" s="3">
        <f>IF(ISERROR(VLOOKUP($A102,'SegEnds_NonXtal_BW#'!$A:$Z,19,FALSE)+VLOOKUP($A102,A:AL,28,FALSE)-50),"-",(VLOOKUP($A102,'SegEnds_NonXtal_BW#'!$A:$Z,19,FALSE)+VLOOKUP($A102,A:AL,28,FALSE)-50))</f>
        <v>299</v>
      </c>
      <c r="AB102" s="3">
        <v>321</v>
      </c>
      <c r="AC102" s="3">
        <f>IF(ISERROR((VLOOKUP($A102,'SegEnds_NonXtal_BW#'!$A:$Z,20,FALSE)+VLOOKUP($A102,A:AL,28,FALSE)-50)),"-",(VLOOKUP($A102,'SegEnds_NonXtal_BW#'!$A:$Z,20,FALSE)+VLOOKUP($A102,A:AL,28,FALSE)-50))</f>
        <v>343</v>
      </c>
      <c r="AD102" s="3">
        <f>IF(ISERROR(VLOOKUP($A102,'SegEnds_NonXtal_BW#'!$A:$Z,21,FALSE)+VLOOKUP($A102,A:AL,31,FALSE)-50),"-",(VLOOKUP($A102,'SegEnds_NonXtal_BW#'!$A:$Z,21,FALSE)+VLOOKUP($A102,A:AL,31,FALSE)-50))</f>
        <v>348</v>
      </c>
      <c r="AE102" s="3">
        <v>374</v>
      </c>
      <c r="AF102" s="3">
        <f>IF(ISERROR((VLOOKUP($A102,'SegEnds_NonXtal_BW#'!$A:$Z,22,FALSE)+VLOOKUP($A102,A:AL,31,FALSE)-50)),"-",(VLOOKUP($A102,'SegEnds_NonXtal_BW#'!$A:$Z,22,FALSE)+VLOOKUP($A102,A:AL,31,FALSE)-50))</f>
        <v>385</v>
      </c>
      <c r="AG102" s="3">
        <f>IF(ISERROR(VLOOKUP($A102,'SegEnds_NonXtal_BW#'!$A:$Z,23,FALSE)+VLOOKUP($A102,A:AL,34,FALSE)-50),"-",(VLOOKUP($A102,'SegEnds_NonXtal_BW#'!$A:$Z,23,FALSE)+VLOOKUP($A102,A:AL,34,FALSE)-50))</f>
        <v>387</v>
      </c>
      <c r="AH102" s="3">
        <v>413</v>
      </c>
      <c r="AI102" s="3">
        <f>IF(ISERROR((VLOOKUP($A102,'SegEnds_NonXtal_BW#'!$A:$Z,24,FALSE)+VLOOKUP($A102,A:AL,34,FALSE)-50)),"-",(VLOOKUP($A102,'SegEnds_NonXtal_BW#'!$A:$Z,24,FALSE)+VLOOKUP($A102,A:AL,34,FALSE)-50))</f>
        <v>419</v>
      </c>
      <c r="AJ102" s="3">
        <f>IF(ISERROR(VLOOKUP($A102,'SegEnds_NonXtal_BW#'!$A:$Z,25,FALSE)+VLOOKUP($A102,A:AL,37,FALSE)-50),"-",(VLOOKUP($A102,'SegEnds_NonXtal_BW#'!$A:$Z,25,FALSE)+VLOOKUP($A102,A:AL,37,FALSE)-50))</f>
        <v>420</v>
      </c>
      <c r="AK102" s="3">
        <v>423</v>
      </c>
      <c r="AL102" s="3">
        <f>IF(ISERROR((VLOOKUP($A102,'SegEnds_NonXtal_BW#'!$A:$Z,26,FALSE)+VLOOKUP($A102,A:AL,37,FALSE)-50)),"-",(VLOOKUP($A102,'SegEnds_NonXtal_BW#'!$A:$Z,26,FALSE)+VLOOKUP($A102,A:AL,37,FALSE)-50))</f>
        <v>433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NoXtal</v>
      </c>
      <c r="AP102" s="3">
        <f t="shared" si="39"/>
        <v>1</v>
      </c>
      <c r="AQ102" s="3">
        <f t="shared" si="40"/>
        <v>1</v>
      </c>
      <c r="AR102" s="3" t="str">
        <f t="shared" si="41"/>
        <v>-</v>
      </c>
      <c r="AS102" s="3" t="str">
        <f t="shared" si="42"/>
        <v>-</v>
      </c>
      <c r="AT102" s="3">
        <f t="shared" si="43"/>
        <v>2</v>
      </c>
      <c r="AU102" s="3">
        <f t="shared" si="44"/>
        <v>1</v>
      </c>
      <c r="AV102" s="3">
        <f t="shared" si="45"/>
        <v>16</v>
      </c>
      <c r="AW102" s="3">
        <f t="shared" si="46"/>
        <v>11</v>
      </c>
      <c r="AX102" s="3">
        <f t="shared" si="47"/>
        <v>5</v>
      </c>
      <c r="AY102" s="3">
        <f t="shared" si="48"/>
        <v>2</v>
      </c>
      <c r="AZ102" s="3">
        <f t="shared" si="49"/>
        <v>1</v>
      </c>
      <c r="BA102" s="3">
        <f>IF(ISERROR(LEN(VLOOKUP(A102,Seqs!A:E,2,FALSE))-AL102),"-",LEN(VLOOKUP(A102,Seqs!A:E,2,FALSE))-AL102)</f>
        <v>48</v>
      </c>
      <c r="BB102" s="16">
        <f t="shared" si="50"/>
        <v>28</v>
      </c>
      <c r="BC102" s="9">
        <f t="shared" si="51"/>
        <v>20</v>
      </c>
      <c r="BD102" s="3">
        <f t="shared" si="52"/>
        <v>28</v>
      </c>
      <c r="BE102" s="3">
        <f t="shared" si="53"/>
        <v>53</v>
      </c>
    </row>
    <row r="103" spans="1:58" s="3" customFormat="1" x14ac:dyDescent="0.2">
      <c r="A103" s="3" t="s">
        <v>1166</v>
      </c>
      <c r="B103" s="3" t="str">
        <f>LOWER(VLOOKUP(A103,Xtal_Templ!A:B,2,FALSE))</f>
        <v>ffar1_human</v>
      </c>
      <c r="C103" s="3">
        <f>VLOOKUP($A103,'SegEnds_NonXtal_BW#'!$A:$Z,3,FALSE)+D103-50</f>
        <v>4</v>
      </c>
      <c r="D103" s="3">
        <v>23</v>
      </c>
      <c r="E103" s="3">
        <f>IF(ISERROR(VLOOKUP($A103,'SegEnds_NonXtal_BW#'!$A:$Z,4,FALSE)+VLOOKUP($A103,A:AL,4,FALSE)-50),"-",(VLOOKUP($A103,'SegEnds_NonXtal_BW#'!$A:$Z,4,FALSE)+VLOOKUP($A103,A:AL,4,FALSE)-50))</f>
        <v>37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39</v>
      </c>
      <c r="J103" s="3">
        <v>52</v>
      </c>
      <c r="K103" s="3">
        <f>VLOOKUP($A103,'SegEnds_NonXtal_BW#'!$A:$Z,8,FALSE)+VLOOKUP($A103,A:AL,10,FALSE)-50</f>
        <v>69</v>
      </c>
      <c r="L103" s="3">
        <f t="shared" ref="L103:L116" si="91">M103-1</f>
        <v>71</v>
      </c>
      <c r="M103" s="3">
        <v>72</v>
      </c>
      <c r="N103" s="3">
        <f t="shared" ref="N103:N116" si="92">M103+2</f>
        <v>74</v>
      </c>
      <c r="O103" s="3">
        <f t="shared" ref="O103:O116" si="93">N103+1</f>
        <v>75</v>
      </c>
      <c r="P103" s="3">
        <v>104</v>
      </c>
      <c r="Q103" s="3">
        <f>VLOOKUP($A103,'SegEnds_NonXtal_BW#'!$A:$Z,12,FALSE)+VLOOKUP($A103,A:AL,16,FALSE)-50</f>
        <v>110</v>
      </c>
      <c r="R103" s="3">
        <f>IF(ISERROR(VLOOKUP($A103,'SegEnds_NonXtal_BW#'!$A:$Z,13,FALSE)+VLOOKUP($A103,A:AL,19,FALSE)-50),"-",VLOOKUP($A103,'SegEnds_NonXtal_BW#'!$A:$Z,13,FALSE)+VLOOKUP($A103,A:AL,19,FALSE)-50)</f>
        <v>111</v>
      </c>
      <c r="S103" s="3">
        <v>111</v>
      </c>
      <c r="T103" s="100">
        <f>IF(ISERROR(VLOOKUP($A103,'SegEnds_NonXtal_BW#'!$A:$Z,14,FALSE)+VLOOKUP($A103,A:AL,19,FALSE)-50),"-",(VLOOKUP($A103,'SegEnds_NonXtal_BW#'!$A:$Z,14,FALSE)+VLOOKUP($A103,A:AL,19,FALSE)-50))</f>
        <v>118</v>
      </c>
      <c r="U103" s="9">
        <f>IF(ISERROR(VLOOKUP($A103,'SegEnds_NonXtal_BW#'!$A:$Z,15,FALSE)+VLOOKUP($A103,A:AL,22,FALSE)-50),"-",VLOOKUP($A103,'SegEnds_NonXtal_BW#'!$A:$Z,15,FALSE)+VLOOKUP($A103,A:AL,22,FALSE)-50)</f>
        <v>119</v>
      </c>
      <c r="V103" s="3">
        <v>131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170</v>
      </c>
      <c r="Y103" s="3">
        <v>170</v>
      </c>
      <c r="Z103" s="3">
        <f t="shared" si="64"/>
        <v>172</v>
      </c>
      <c r="AA103" s="3">
        <f>IF(ISERROR(VLOOKUP($A103,'SegEnds_NonXtal_BW#'!$A:$Z,19,FALSE)+VLOOKUP($A103,A:AL,28,FALSE)-50),"-",(VLOOKUP($A103,'SegEnds_NonXtal_BW#'!$A:$Z,19,FALSE)+VLOOKUP($A103,A:AL,28,FALSE)-50))</f>
        <v>175</v>
      </c>
      <c r="AB103" s="3">
        <v>194</v>
      </c>
      <c r="AC103" s="3">
        <f>IF(ISERROR((VLOOKUP($A103,'SegEnds_NonXtal_BW#'!$A:$Z,20,FALSE)+VLOOKUP($A103,A:AL,28,FALSE)-50)),"-",(VLOOKUP($A103,'SegEnds_NonXtal_BW#'!$A:$Z,20,FALSE)+VLOOKUP($A103,A:AL,28,FALSE)-50))</f>
        <v>211</v>
      </c>
      <c r="AD103" s="3">
        <f>IF(ISERROR(VLOOKUP($A103,'SegEnds_NonXtal_BW#'!$A:$Z,21,FALSE)+VLOOKUP($A103,A:AL,31,FALSE)-50),"-",(VLOOKUP($A103,'SegEnds_NonXtal_BW#'!$A:$Z,21,FALSE)+VLOOKUP($A103,A:AL,31,FALSE)-50))</f>
        <v>217</v>
      </c>
      <c r="AE103" s="3">
        <v>239</v>
      </c>
      <c r="AF103" s="3">
        <f>IF(ISERROR((VLOOKUP($A103,'SegEnds_NonXtal_BW#'!$A:$Z,22,FALSE)+VLOOKUP($A103,A:AL,31,FALSE)-50)),"-",(VLOOKUP($A103,'SegEnds_NonXtal_BW#'!$A:$Z,22,FALSE)+VLOOKUP($A103,A:AL,31,FALSE)-50))</f>
        <v>250</v>
      </c>
      <c r="AG103" s="3">
        <f>IF(ISERROR(VLOOKUP($A103,'SegEnds_NonXtal_BW#'!$A:$Z,23,FALSE)+VLOOKUP($A103,A:AL,34,FALSE)-50),"-",(VLOOKUP($A103,'SegEnds_NonXtal_BW#'!$A:$Z,23,FALSE)+VLOOKUP($A103,A:AL,34,FALSE)-50))</f>
        <v>255</v>
      </c>
      <c r="AH103" s="3">
        <v>273</v>
      </c>
      <c r="AI103" s="3">
        <f>IF(ISERROR((VLOOKUP($A103,'SegEnds_NonXtal_BW#'!$A:$Z,24,FALSE)+VLOOKUP($A103,A:AL,34,FALSE)-50)),"-",(VLOOKUP($A103,'SegEnds_NonXtal_BW#'!$A:$Z,24,FALSE)+VLOOKUP($A103,A:AL,34,FALSE)-50))</f>
        <v>279</v>
      </c>
      <c r="AJ103" s="3">
        <f>IF(ISERROR(VLOOKUP($A103,'SegEnds_NonXtal_BW#'!$A:$Z,25,FALSE)+VLOOKUP($A103,A:AL,37,FALSE)-50),"-",(VLOOKUP($A103,'SegEnds_NonXtal_BW#'!$A:$Z,25,FALSE)+VLOOKUP($A103,A:AL,37,FALSE)-50))</f>
        <v>280</v>
      </c>
      <c r="AK103" s="3">
        <v>283</v>
      </c>
      <c r="AL103" s="3">
        <f>IF(ISERROR((VLOOKUP($A103,'SegEnds_NonXtal_BW#'!$A:$Z,26,FALSE)+VLOOKUP($A103,A:AL,37,FALSE)-50)),"-",(VLOOKUP($A103,'SegEnds_NonXtal_BW#'!$A:$Z,26,FALSE)+VLOOKUP($A103,A:AL,37,FALSE)-50))</f>
        <v>294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Xtal</v>
      </c>
      <c r="AP103" s="3" t="str">
        <f t="shared" si="39"/>
        <v>-</v>
      </c>
      <c r="AQ103" s="3" t="str">
        <f t="shared" si="40"/>
        <v>-</v>
      </c>
      <c r="AR103" s="3">
        <f t="shared" si="41"/>
        <v>2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24</v>
      </c>
      <c r="AW103" s="3">
        <f t="shared" si="46"/>
        <v>3</v>
      </c>
      <c r="AX103" s="3">
        <f t="shared" si="47"/>
        <v>6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6</v>
      </c>
      <c r="BB103" s="16">
        <f t="shared" si="50"/>
        <v>29</v>
      </c>
      <c r="BC103" s="9">
        <f t="shared" si="51"/>
        <v>20</v>
      </c>
      <c r="BD103" s="3">
        <f t="shared" si="52"/>
        <v>29</v>
      </c>
      <c r="BE103" s="3">
        <f t="shared" si="53"/>
        <v>45</v>
      </c>
      <c r="BF103" s="3">
        <f>AH103-AE103</f>
        <v>34</v>
      </c>
    </row>
    <row r="104" spans="1:58" s="3" customFormat="1" x14ac:dyDescent="0.2">
      <c r="A104" s="3" t="s">
        <v>197</v>
      </c>
      <c r="B104" s="3" t="str">
        <f>LOWER(VLOOKUP(A104,Xtal_Templ!A:B,2,FALSE))</f>
        <v>par2_human</v>
      </c>
      <c r="C104" s="3">
        <f>VLOOKUP($A104,'SegEnds_NonXtal_BW#'!$A:$Z,3,FALSE)+D104-50</f>
        <v>3</v>
      </c>
      <c r="D104" s="3">
        <v>25</v>
      </c>
      <c r="E104" s="3">
        <f>IF(ISERROR(VLOOKUP($A104,'SegEnds_NonXtal_BW#'!$A:$Z,4,FALSE)+VLOOKUP($A104,A:AL,4,FALSE)-50),"-",(VLOOKUP($A104,'SegEnds_NonXtal_BW#'!$A:$Z,4,FALSE)+VLOOKUP($A104,A:AL,4,FALSE)-50))</f>
        <v>35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42</v>
      </c>
      <c r="J104" s="3">
        <v>55</v>
      </c>
      <c r="K104" s="3">
        <f>VLOOKUP($A104,'SegEnds_NonXtal_BW#'!$A:$Z,8,FALSE)+VLOOKUP($A104,A:AL,10,FALSE)-50</f>
        <v>71</v>
      </c>
      <c r="L104" s="3">
        <f t="shared" si="91"/>
        <v>74</v>
      </c>
      <c r="M104" s="3">
        <v>75</v>
      </c>
      <c r="N104" s="3">
        <f t="shared" si="92"/>
        <v>77</v>
      </c>
      <c r="O104" s="3">
        <f t="shared" si="93"/>
        <v>78</v>
      </c>
      <c r="P104" s="3">
        <v>107</v>
      </c>
      <c r="Q104" s="3">
        <f>VLOOKUP($A104,'SegEnds_NonXtal_BW#'!$A:$Z,12,FALSE)+VLOOKUP($A104,A:AL,16,FALSE)-50</f>
        <v>113</v>
      </c>
      <c r="R104" s="3">
        <f>IF(ISERROR(VLOOKUP($A104,'SegEnds_NonXtal_BW#'!$A:$Z,13,FALSE)+VLOOKUP($A104,A:AL,19,FALSE)-50),"-",VLOOKUP($A104,'SegEnds_NonXtal_BW#'!$A:$Z,13,FALSE)+VLOOKUP($A104,A:AL,19,FALSE)-50)</f>
        <v>114</v>
      </c>
      <c r="S104" s="3">
        <v>114</v>
      </c>
      <c r="T104" s="100">
        <f>IF(ISERROR(VLOOKUP($A104,'SegEnds_NonXtal_BW#'!$A:$Z,14,FALSE)+VLOOKUP($A104,A:AL,19,FALSE)-50),"-",(VLOOKUP($A104,'SegEnds_NonXtal_BW#'!$A:$Z,14,FALSE)+VLOOKUP($A104,A:AL,19,FALSE)-50))</f>
        <v>121</v>
      </c>
      <c r="U104" s="9">
        <f>IF(ISERROR(VLOOKUP($A104,'SegEnds_NonXtal_BW#'!$A:$Z,15,FALSE)+VLOOKUP($A104,A:AL,22,FALSE)-50),"-",VLOOKUP($A104,'SegEnds_NonXtal_BW#'!$A:$Z,15,FALSE)+VLOOKUP($A104,A:AL,22,FALSE)-50)</f>
        <v>122</v>
      </c>
      <c r="V104" s="3">
        <v>134</v>
      </c>
      <c r="W104" s="3">
        <f>IF(ISERROR(VLOOKUP($A104,'SegEnds_NonXtal_BW#'!$A:$Z,16,FALSE)+VLOOKUP($A104,A:AL,22,FALSE)-50),"-",(VLOOKUP($A104,'SegEnds_NonXtal_BW#'!$A:$Z,16,FALSE)+VLOOKUP($A104,A:AL,22,FALSE)-50))</f>
        <v>146</v>
      </c>
      <c r="X104" s="3">
        <f>IF(ISERROR(VLOOKUP($A104,'SegEnds_NonXtal_BW#'!$A:$Z,17,FALSE)+VLOOKUP($A104,A:AL,25,FALSE)-50),"-",(VLOOKUP($A104,'SegEnds_NonXtal_BW#'!$A:$Z,17,FALSE)+VLOOKUP($A104,A:AL,25,FALSE)-50))</f>
        <v>164</v>
      </c>
      <c r="Y104" s="3">
        <v>164</v>
      </c>
      <c r="Z104" s="3">
        <f t="shared" si="64"/>
        <v>166</v>
      </c>
      <c r="AA104" s="3">
        <f>IF(ISERROR(VLOOKUP($A104,'SegEnds_NonXtal_BW#'!$A:$Z,19,FALSE)+VLOOKUP($A104,A:AL,28,FALSE)-50),"-",(VLOOKUP($A104,'SegEnds_NonXtal_BW#'!$A:$Z,19,FALSE)+VLOOKUP($A104,A:AL,28,FALSE)-50))</f>
        <v>172</v>
      </c>
      <c r="AB104" s="3">
        <v>191</v>
      </c>
      <c r="AC104" s="3">
        <f>IF(ISERROR((VLOOKUP($A104,'SegEnds_NonXtal_BW#'!$A:$Z,20,FALSE)+VLOOKUP($A104,A:AL,28,FALSE)-50)),"-",(VLOOKUP($A104,'SegEnds_NonXtal_BW#'!$A:$Z,20,FALSE)+VLOOKUP($A104,A:AL,28,FALSE)-50))</f>
        <v>208</v>
      </c>
      <c r="AD104" s="3">
        <f>IF(ISERROR(VLOOKUP($A104,'SegEnds_NonXtal_BW#'!$A:$Z,21,FALSE)+VLOOKUP($A104,A:AL,31,FALSE)-50),"-",(VLOOKUP($A104,'SegEnds_NonXtal_BW#'!$A:$Z,21,FALSE)+VLOOKUP($A104,A:AL,31,FALSE)-50))</f>
        <v>213</v>
      </c>
      <c r="AE104" s="3">
        <v>237</v>
      </c>
      <c r="AF104" s="3">
        <f>IF(ISERROR((VLOOKUP($A104,'SegEnds_NonXtal_BW#'!$A:$Z,22,FALSE)+VLOOKUP($A104,A:AL,31,FALSE)-50)),"-",(VLOOKUP($A104,'SegEnds_NonXtal_BW#'!$A:$Z,22,FALSE)+VLOOKUP($A104,A:AL,31,FALSE)-50))</f>
        <v>248</v>
      </c>
      <c r="AG104" s="3">
        <f>IF(ISERROR(VLOOKUP($A104,'SegEnds_NonXtal_BW#'!$A:$Z,23,FALSE)+VLOOKUP($A104,A:AL,34,FALSE)-50),"-",(VLOOKUP($A104,'SegEnds_NonXtal_BW#'!$A:$Z,23,FALSE)+VLOOKUP($A104,A:AL,34,FALSE)-50))</f>
        <v>253</v>
      </c>
      <c r="AH104" s="3">
        <v>270</v>
      </c>
      <c r="AI104" s="3">
        <f>IF(ISERROR((VLOOKUP($A104,'SegEnds_NonXtal_BW#'!$A:$Z,24,FALSE)+VLOOKUP($A104,A:AL,34,FALSE)-50)),"-",(VLOOKUP($A104,'SegEnds_NonXtal_BW#'!$A:$Z,24,FALSE)+VLOOKUP($A104,A:AL,34,FALSE)-50))</f>
        <v>276</v>
      </c>
      <c r="AJ104" s="3">
        <f>IF(ISERROR(VLOOKUP($A104,'SegEnds_NonXtal_BW#'!$A:$Z,25,FALSE)+VLOOKUP($A104,A:AL,37,FALSE)-50),"-",(VLOOKUP($A104,'SegEnds_NonXtal_BW#'!$A:$Z,25,FALSE)+VLOOKUP($A104,A:AL,37,FALSE)-50))</f>
        <v>277</v>
      </c>
      <c r="AK104" s="3">
        <v>280</v>
      </c>
      <c r="AL104" s="3">
        <f>IF(ISERROR((VLOOKUP($A104,'SegEnds_NonXtal_BW#'!$A:$Z,26,FALSE)+VLOOKUP($A104,A:AL,37,FALSE)-50)),"-",(VLOOKUP($A104,'SegEnds_NonXtal_BW#'!$A:$Z,26,FALSE)+VLOOKUP($A104,A:AL,37,FALSE)-50))</f>
        <v>291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18</v>
      </c>
      <c r="AW104" s="3">
        <f t="shared" si="46"/>
        <v>6</v>
      </c>
      <c r="AX104" s="3">
        <f t="shared" si="47"/>
        <v>5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39</v>
      </c>
      <c r="BB104" s="16">
        <f t="shared" si="50"/>
        <v>30</v>
      </c>
      <c r="BC104" s="9">
        <f t="shared" si="51"/>
        <v>20</v>
      </c>
      <c r="BD104" s="3">
        <f t="shared" si="52"/>
        <v>30</v>
      </c>
      <c r="BE104" s="3">
        <f t="shared" si="53"/>
        <v>46</v>
      </c>
    </row>
    <row r="105" spans="1:58" s="3" customFormat="1" x14ac:dyDescent="0.2">
      <c r="A105" s="3" t="s">
        <v>198</v>
      </c>
      <c r="B105" s="3" t="str">
        <f>LOWER(VLOOKUP(A105,Xtal_Templ!A:B,2,FALSE))</f>
        <v>par1_human</v>
      </c>
      <c r="C105" s="3">
        <f>VLOOKUP($A105,'SegEnds_NonXtal_BW#'!$A:$Z,3,FALSE)+D105-50</f>
        <v>11</v>
      </c>
      <c r="D105" s="3">
        <v>32</v>
      </c>
      <c r="E105" s="3">
        <f>IF(ISERROR(VLOOKUP($A105,'SegEnds_NonXtal_BW#'!$A:$Z,4,FALSE)+VLOOKUP($A105,A:AL,4,FALSE)-50),"-",(VLOOKUP($A105,'SegEnds_NonXtal_BW#'!$A:$Z,4,FALSE)+VLOOKUP($A105,A:AL,4,FALSE)-50))</f>
        <v>42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48</v>
      </c>
      <c r="J105" s="3">
        <v>61</v>
      </c>
      <c r="K105" s="3">
        <f>VLOOKUP($A105,'SegEnds_NonXtal_BW#'!$A:$Z,8,FALSE)+VLOOKUP($A105,A:AL,10,FALSE)-50</f>
        <v>77</v>
      </c>
      <c r="L105" s="3">
        <f t="shared" si="91"/>
        <v>80</v>
      </c>
      <c r="M105" s="3">
        <v>81</v>
      </c>
      <c r="N105" s="3">
        <f t="shared" si="92"/>
        <v>83</v>
      </c>
      <c r="O105" s="3">
        <f t="shared" si="93"/>
        <v>84</v>
      </c>
      <c r="P105" s="3">
        <v>113</v>
      </c>
      <c r="Q105" s="3">
        <f>VLOOKUP($A105,'SegEnds_NonXtal_BW#'!$A:$Z,12,FALSE)+VLOOKUP($A105,A:AL,16,FALSE)-50</f>
        <v>119</v>
      </c>
      <c r="R105" s="3">
        <f>IF(ISERROR(VLOOKUP($A105,'SegEnds_NonXtal_BW#'!$A:$Z,13,FALSE)+VLOOKUP($A105,A:AL,19,FALSE)-50),"-",VLOOKUP($A105,'SegEnds_NonXtal_BW#'!$A:$Z,13,FALSE)+VLOOKUP($A105,A:AL,19,FALSE)-50)</f>
        <v>120</v>
      </c>
      <c r="S105" s="3">
        <v>120</v>
      </c>
      <c r="T105" s="100">
        <f>IF(ISERROR(VLOOKUP($A105,'SegEnds_NonXtal_BW#'!$A:$Z,14,FALSE)+VLOOKUP($A105,A:AL,19,FALSE)-50),"-",(VLOOKUP($A105,'SegEnds_NonXtal_BW#'!$A:$Z,14,FALSE)+VLOOKUP($A105,A:AL,19,FALSE)-50))</f>
        <v>127</v>
      </c>
      <c r="U105" s="9">
        <f>IF(ISERROR(VLOOKUP($A105,'SegEnds_NonXtal_BW#'!$A:$Z,15,FALSE)+VLOOKUP($A105,A:AL,22,FALSE)-50),"-",VLOOKUP($A105,'SegEnds_NonXtal_BW#'!$A:$Z,15,FALSE)+VLOOKUP($A105,A:AL,22,FALSE)-50)</f>
        <v>128</v>
      </c>
      <c r="V105" s="3">
        <v>140</v>
      </c>
      <c r="W105" s="3">
        <f>IF(ISERROR(VLOOKUP($A105,'SegEnds_NonXtal_BW#'!$A:$Z,16,FALSE)+VLOOKUP($A105,A:AL,22,FALSE)-50),"-",(VLOOKUP($A105,'SegEnds_NonXtal_BW#'!$A:$Z,16,FALSE)+VLOOKUP($A105,A:AL,22,FALSE)-50))</f>
        <v>153</v>
      </c>
      <c r="X105" s="3">
        <f>IF(ISERROR(VLOOKUP($A105,'SegEnds_NonXtal_BW#'!$A:$Z,17,FALSE)+VLOOKUP($A105,A:AL,25,FALSE)-50),"-",(VLOOKUP($A105,'SegEnds_NonXtal_BW#'!$A:$Z,17,FALSE)+VLOOKUP($A105,A:AL,25,FALSE)-50))</f>
        <v>169</v>
      </c>
      <c r="Y105" s="3">
        <v>169</v>
      </c>
      <c r="Z105" s="3">
        <f t="shared" si="64"/>
        <v>171</v>
      </c>
      <c r="AA105" s="3">
        <f>IF(ISERROR(VLOOKUP($A105,'SegEnds_NonXtal_BW#'!$A:$Z,19,FALSE)+VLOOKUP($A105,A:AL,28,FALSE)-50),"-",(VLOOKUP($A105,'SegEnds_NonXtal_BW#'!$A:$Z,19,FALSE)+VLOOKUP($A105,A:AL,28,FALSE)-50))</f>
        <v>178</v>
      </c>
      <c r="AB105" s="3">
        <v>196</v>
      </c>
      <c r="AC105" s="3">
        <f>IF(ISERROR((VLOOKUP($A105,'SegEnds_NonXtal_BW#'!$A:$Z,20,FALSE)+VLOOKUP($A105,A:AL,28,FALSE)-50)),"-",(VLOOKUP($A105,'SegEnds_NonXtal_BW#'!$A:$Z,20,FALSE)+VLOOKUP($A105,A:AL,28,FALSE)-50))</f>
        <v>214</v>
      </c>
      <c r="AD105" s="3">
        <f>IF(ISERROR(VLOOKUP($A105,'SegEnds_NonXtal_BW#'!$A:$Z,21,FALSE)+VLOOKUP($A105,A:AL,31,FALSE)-50),"-",(VLOOKUP($A105,'SegEnds_NonXtal_BW#'!$A:$Z,21,FALSE)+VLOOKUP($A105,A:AL,31,FALSE)-50))</f>
        <v>218</v>
      </c>
      <c r="AE105" s="3">
        <v>240</v>
      </c>
      <c r="AF105" s="3">
        <f>IF(ISERROR((VLOOKUP($A105,'SegEnds_NonXtal_BW#'!$A:$Z,22,FALSE)+VLOOKUP($A105,A:AL,31,FALSE)-50)),"-",(VLOOKUP($A105,'SegEnds_NonXtal_BW#'!$A:$Z,22,FALSE)+VLOOKUP($A105,A:AL,31,FALSE)-50))</f>
        <v>251</v>
      </c>
      <c r="AG105" s="3">
        <f>IF(ISERROR(VLOOKUP($A105,'SegEnds_NonXtal_BW#'!$A:$Z,23,FALSE)+VLOOKUP($A105,A:AL,34,FALSE)-50),"-",(VLOOKUP($A105,'SegEnds_NonXtal_BW#'!$A:$Z,23,FALSE)+VLOOKUP($A105,A:AL,34,FALSE)-50))</f>
        <v>256</v>
      </c>
      <c r="AH105" s="3">
        <v>273</v>
      </c>
      <c r="AI105" s="3">
        <f>IF(ISERROR((VLOOKUP($A105,'SegEnds_NonXtal_BW#'!$A:$Z,24,FALSE)+VLOOKUP($A105,A:AL,34,FALSE)-50)),"-",(VLOOKUP($A105,'SegEnds_NonXtal_BW#'!$A:$Z,24,FALSE)+VLOOKUP($A105,A:AL,34,FALSE)-50))</f>
        <v>279</v>
      </c>
      <c r="AJ105" s="3">
        <f>IF(ISERROR(VLOOKUP($A105,'SegEnds_NonXtal_BW#'!$A:$Z,25,FALSE)+VLOOKUP($A105,A:AL,37,FALSE)-50),"-",(VLOOKUP($A105,'SegEnds_NonXtal_BW#'!$A:$Z,25,FALSE)+VLOOKUP($A105,A:AL,37,FALSE)-50))</f>
        <v>280</v>
      </c>
      <c r="AK105" s="3">
        <v>283</v>
      </c>
      <c r="AL105" s="3">
        <f>IF(ISERROR((VLOOKUP($A105,'SegEnds_NonXtal_BW#'!$A:$Z,26,FALSE)+VLOOKUP($A105,A:AL,37,FALSE)-50)),"-",(VLOOKUP($A105,'SegEnds_NonXtal_BW#'!$A:$Z,26,FALSE)+VLOOKUP($A105,A:AL,37,FALSE)-50))</f>
        <v>294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3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16</v>
      </c>
      <c r="AW105" s="3">
        <f t="shared" si="46"/>
        <v>7</v>
      </c>
      <c r="AX105" s="3">
        <f t="shared" si="47"/>
        <v>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52</v>
      </c>
      <c r="BB105" s="16">
        <f t="shared" si="50"/>
        <v>29</v>
      </c>
      <c r="BC105" s="9">
        <f t="shared" si="51"/>
        <v>20</v>
      </c>
      <c r="BD105" s="3">
        <f t="shared" si="52"/>
        <v>29</v>
      </c>
      <c r="BE105" s="3">
        <f t="shared" si="53"/>
        <v>44</v>
      </c>
    </row>
    <row r="106" spans="1:58" s="3" customFormat="1" x14ac:dyDescent="0.2">
      <c r="A106" s="3" t="s">
        <v>199</v>
      </c>
      <c r="B106" s="3" t="str">
        <f>LOWER(VLOOKUP(A106,Xtal_Templ!A:B,2,FALSE))</f>
        <v>ox2r_human</v>
      </c>
      <c r="C106" s="3">
        <f>VLOOKUP($A106,'SegEnds_NonXtal_BW#'!$A:$Z,3,FALSE)+D106-50</f>
        <v>39</v>
      </c>
      <c r="D106" s="3">
        <v>58</v>
      </c>
      <c r="E106" s="3">
        <f>IF(ISERROR(VLOOKUP($A106,'SegEnds_NonXtal_BW#'!$A:$Z,4,FALSE)+VLOOKUP($A106,A:AL,4,FALSE)-50),"-",(VLOOKUP($A106,'SegEnds_NonXtal_BW#'!$A:$Z,4,FALSE)+VLOOKUP($A106,A:AL,4,FALSE)-50))</f>
        <v>68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72</v>
      </c>
      <c r="J106" s="3">
        <v>85</v>
      </c>
      <c r="K106" s="3">
        <f>VLOOKUP($A106,'SegEnds_NonXtal_BW#'!$A:$Z,8,FALSE)+VLOOKUP($A106,A:AL,10,FALSE)-50</f>
        <v>101</v>
      </c>
      <c r="L106" s="3">
        <f t="shared" si="91"/>
        <v>103</v>
      </c>
      <c r="M106" s="3">
        <v>104</v>
      </c>
      <c r="N106" s="3">
        <f t="shared" si="92"/>
        <v>106</v>
      </c>
      <c r="O106" s="3">
        <f t="shared" si="93"/>
        <v>107</v>
      </c>
      <c r="P106" s="3">
        <v>136</v>
      </c>
      <c r="Q106" s="3">
        <f>VLOOKUP($A106,'SegEnds_NonXtal_BW#'!$A:$Z,12,FALSE)+VLOOKUP($A106,A:AL,16,FALSE)-50</f>
        <v>142</v>
      </c>
      <c r="R106" s="3">
        <f>IF(ISERROR(VLOOKUP($A106,'SegEnds_NonXtal_BW#'!$A:$Z,13,FALSE)+VLOOKUP($A106,A:AL,19,FALSE)-50),"-",VLOOKUP($A106,'SegEnds_NonXtal_BW#'!$A:$Z,13,FALSE)+VLOOKUP($A106,A:AL,19,FALSE)-50)</f>
        <v>143</v>
      </c>
      <c r="S106" s="3">
        <v>143</v>
      </c>
      <c r="T106" s="100">
        <f>IF(ISERROR(VLOOKUP($A106,'SegEnds_NonXtal_BW#'!$A:$Z,14,FALSE)+VLOOKUP($A106,A:AL,19,FALSE)-50),"-",(VLOOKUP($A106,'SegEnds_NonXtal_BW#'!$A:$Z,14,FALSE)+VLOOKUP($A106,A:AL,19,FALSE)-50))</f>
        <v>150</v>
      </c>
      <c r="U106" s="9">
        <f>IF(ISERROR(VLOOKUP($A106,'SegEnds_NonXtal_BW#'!$A:$Z,15,FALSE)+VLOOKUP($A106,A:AL,22,FALSE)-50),"-",VLOOKUP($A106,'SegEnds_NonXtal_BW#'!$A:$Z,15,FALSE)+VLOOKUP($A106,A:AL,22,FALSE)-50)</f>
        <v>151</v>
      </c>
      <c r="V106" s="3">
        <v>163</v>
      </c>
      <c r="W106" s="3">
        <f>IF(ISERROR(VLOOKUP($A106,'SegEnds_NonXtal_BW#'!$A:$Z,16,FALSE)+VLOOKUP($A106,A:AL,22,FALSE)-50),"-",(VLOOKUP($A106,'SegEnds_NonXtal_BW#'!$A:$Z,16,FALSE)+VLOOKUP($A106,A:AL,22,FALSE)-50))</f>
        <v>177</v>
      </c>
      <c r="X106" s="3">
        <f>IF(ISERROR(VLOOKUP($A106,'SegEnds_NonXtal_BW#'!$A:$Z,17,FALSE)+VLOOKUP($A106,A:AL,25,FALSE)-50),"-",(VLOOKUP($A106,'SegEnds_NonXtal_BW#'!$A:$Z,17,FALSE)+VLOOKUP($A106,A:AL,25,FALSE)-50))</f>
        <v>194</v>
      </c>
      <c r="Y106" s="3">
        <v>194</v>
      </c>
      <c r="Z106" s="3">
        <f t="shared" si="64"/>
        <v>196</v>
      </c>
      <c r="AA106" s="3">
        <f>IF(ISERROR(VLOOKUP($A106,'SegEnds_NonXtal_BW#'!$A:$Z,19,FALSE)+VLOOKUP($A106,A:AL,28,FALSE)-50),"-",(VLOOKUP($A106,'SegEnds_NonXtal_BW#'!$A:$Z,19,FALSE)+VLOOKUP($A106,A:AL,28,FALSE)-50))</f>
        <v>202</v>
      </c>
      <c r="AB106" s="3">
        <v>219</v>
      </c>
      <c r="AC106" s="3">
        <f>IF(ISERROR((VLOOKUP($A106,'SegEnds_NonXtal_BW#'!$A:$Z,20,FALSE)+VLOOKUP($A106,A:AL,28,FALSE)-50)),"-",(VLOOKUP($A106,'SegEnds_NonXtal_BW#'!$A:$Z,20,FALSE)+VLOOKUP($A106,A:AL,28,FALSE)-50))</f>
        <v>245</v>
      </c>
      <c r="AD106" s="3">
        <f>IF(ISERROR(VLOOKUP($A106,'SegEnds_NonXtal_BW#'!$A:$Z,21,FALSE)+VLOOKUP($A106,A:AL,31,FALSE)-50),"-",(VLOOKUP($A106,'SegEnds_NonXtal_BW#'!$A:$Z,21,FALSE)+VLOOKUP($A106,A:AL,31,FALSE)-50))</f>
        <v>269</v>
      </c>
      <c r="AE106" s="3">
        <v>295</v>
      </c>
      <c r="AF106" s="3">
        <f>IF(ISERROR((VLOOKUP($A106,'SegEnds_NonXtal_BW#'!$A:$Z,22,FALSE)+VLOOKUP($A106,A:AL,31,FALSE)-50)),"-",(VLOOKUP($A106,'SegEnds_NonXtal_BW#'!$A:$Z,22,FALSE)+VLOOKUP($A106,A:AL,31,FALSE)-50))</f>
        <v>306</v>
      </c>
      <c r="AG106" s="3">
        <f>IF(ISERROR(VLOOKUP($A106,'SegEnds_NonXtal_BW#'!$A:$Z,23,FALSE)+VLOOKUP($A106,A:AL,34,FALSE)-50),"-",(VLOOKUP($A106,'SegEnds_NonXtal_BW#'!$A:$Z,23,FALSE)+VLOOKUP($A106,A:AL,34,FALSE)-50))</f>
        <v>311</v>
      </c>
      <c r="AH106" s="3">
        <v>334</v>
      </c>
      <c r="AI106" s="3">
        <f>IF(ISERROR((VLOOKUP($A106,'SegEnds_NonXtal_BW#'!$A:$Z,24,FALSE)+VLOOKUP($A106,A:AL,34,FALSE)-50)),"-",(VLOOKUP($A106,'SegEnds_NonXtal_BW#'!$A:$Z,24,FALSE)+VLOOKUP($A106,A:AL,34,FALSE)-50))</f>
        <v>340</v>
      </c>
      <c r="AJ106" s="3">
        <f>IF(ISERROR(VLOOKUP($A106,'SegEnds_NonXtal_BW#'!$A:$Z,25,FALSE)+VLOOKUP($A106,A:AL,37,FALSE)-50),"-",(VLOOKUP($A106,'SegEnds_NonXtal_BW#'!$A:$Z,25,FALSE)+VLOOKUP($A106,A:AL,37,FALSE)-50))</f>
        <v>341</v>
      </c>
      <c r="AK106" s="3">
        <v>344</v>
      </c>
      <c r="AL106" s="3">
        <f>IF(ISERROR((VLOOKUP($A106,'SegEnds_NonXtal_BW#'!$A:$Z,26,FALSE)+VLOOKUP($A106,A:AL,37,FALSE)-50)),"-",(VLOOKUP($A106,'SegEnds_NonXtal_BW#'!$A:$Z,26,FALSE)+VLOOKUP($A106,A:AL,37,FALSE)-50))</f>
        <v>357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17</v>
      </c>
      <c r="AW106" s="3">
        <f t="shared" si="46"/>
        <v>6</v>
      </c>
      <c r="AX106" s="3">
        <f t="shared" si="47"/>
        <v>24</v>
      </c>
      <c r="AY106" s="3">
        <f t="shared" si="48"/>
        <v>5</v>
      </c>
      <c r="AZ106" s="3">
        <f t="shared" si="49"/>
        <v>1</v>
      </c>
      <c r="BA106" s="3">
        <f>IF(ISERROR(LEN(VLOOKUP(A106,Seqs!A:E,2,FALSE))-AL106),"-",LEN(VLOOKUP(A106,Seqs!A:E,2,FALSE))-AL106)</f>
        <v>20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76</v>
      </c>
      <c r="BF106" s="3">
        <f>AH106-AE106</f>
        <v>39</v>
      </c>
    </row>
    <row r="107" spans="1:58" s="3" customFormat="1" x14ac:dyDescent="0.2">
      <c r="A107" s="3" t="s">
        <v>200</v>
      </c>
      <c r="B107" s="3" t="str">
        <f>LOWER(VLOOKUP(A107,Xtal_Templ!A:B,2,FALSE))</f>
        <v>fpr2_human</v>
      </c>
      <c r="C107" s="3">
        <f>VLOOKUP($A107,'SegEnds_NonXtal_BW#'!$A:$Z,3,FALSE)+D107-50</f>
        <v>19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55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91"/>
        <v>90</v>
      </c>
      <c r="M107" s="3">
        <v>91</v>
      </c>
      <c r="N107" s="3">
        <f t="shared" si="92"/>
        <v>93</v>
      </c>
      <c r="O107" s="3">
        <f t="shared" si="93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186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276</v>
      </c>
      <c r="AH107" s="3">
        <v>298</v>
      </c>
      <c r="AI107" s="3">
        <f>IF(ISERROR((VLOOKUP($A107,'SegEnds_NonXtal_BW#'!$A:$Z,24,FALSE)+VLOOKUP($A107,A:AL,34,FALSE)-50)),"-",(VLOOKUP($A107,'SegEnds_NonXtal_BW#'!$A:$Z,24,FALSE)+VLOOKUP($A107,A:AL,34,FALSE)-50))</f>
        <v>304</v>
      </c>
      <c r="AJ107" s="3">
        <f>IF(ISERROR(VLOOKUP($A107,'SegEnds_NonXtal_BW#'!$A:$Z,25,FALSE)+VLOOKUP($A107,A:AL,37,FALSE)-50),"-",(VLOOKUP($A107,'SegEnds_NonXtal_BW#'!$A:$Z,25,FALSE)+VLOOKUP($A107,A:AL,37,FALSE)-50))</f>
        <v>305</v>
      </c>
      <c r="AK107" s="3">
        <v>308</v>
      </c>
      <c r="AL107" s="3">
        <f>IF(ISERROR((VLOOKUP($A107,'SegEnds_NonXtal_BW#'!$A:$Z,26,FALSE)+VLOOKUP($A107,A:AL,37,FALSE)-50)),"-",(VLOOKUP($A107,'SegEnds_NonXtal_BW#'!$A:$Z,26,FALSE)+VLOOKUP($A107,A:AL,37,FALSE)-50))</f>
        <v>316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8</v>
      </c>
      <c r="AX107" s="3">
        <f t="shared" si="47"/>
        <v>5</v>
      </c>
      <c r="AY107" s="3">
        <f t="shared" si="48"/>
        <v>9</v>
      </c>
      <c r="AZ107" s="3">
        <f t="shared" si="49"/>
        <v>1</v>
      </c>
      <c r="BA107" s="3">
        <f>IF(ISERROR(LEN(VLOOKUP(A107,Seqs!A:E,2,FALSE))-AL107),"-",LEN(VLOOKUP(A107,Seqs!A:E,2,FALSE))-AL107)</f>
        <v>34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201</v>
      </c>
      <c r="B108" s="3" t="str">
        <f>LOWER(VLOOKUP(A108,Xtal_Templ!A:B,2,FALSE))</f>
        <v>fpr2_human</v>
      </c>
      <c r="C108" s="3">
        <f>VLOOKUP($A108,'SegEnds_NonXtal_BW#'!$A:$Z,3,FALSE)+D108-50</f>
        <v>19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55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91"/>
        <v>90</v>
      </c>
      <c r="M108" s="3">
        <v>91</v>
      </c>
      <c r="N108" s="3">
        <f t="shared" si="92"/>
        <v>93</v>
      </c>
      <c r="O108" s="3">
        <f t="shared" si="93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186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232</v>
      </c>
      <c r="AD108" s="3">
        <f>IF(ISERROR(VLOOKUP($A108,'SegEnds_NonXtal_BW#'!$A:$Z,21,FALSE)+VLOOKUP($A108,A:AL,31,FALSE)-50),"-",(VLOOKUP($A108,'SegEnds_NonXtal_BW#'!$A:$Z,21,FALSE)+VLOOKUP($A108,A:AL,31,FALSE)-50))</f>
        <v>237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277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317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8</v>
      </c>
      <c r="AX108" s="3">
        <f t="shared" si="47"/>
        <v>5</v>
      </c>
      <c r="AY108" s="3">
        <f t="shared" si="48"/>
        <v>10</v>
      </c>
      <c r="AZ108" s="3">
        <f t="shared" si="49"/>
        <v>1</v>
      </c>
      <c r="BA108" s="3">
        <f>IF(ISERROR(LEN(VLOOKUP(A108,Seqs!A:E,2,FALSE))-AL108),"-",LEN(VLOOKUP(A108,Seqs!A:E,2,FALSE))-AL108)</f>
        <v>34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202</v>
      </c>
      <c r="B109" s="3" t="str">
        <f>LOWER(VLOOKUP(A109,Xtal_Templ!A:B,2,FALSE))</f>
        <v>fpr2_human</v>
      </c>
      <c r="C109" s="3">
        <f>VLOOKUP($A109,'SegEnds_NonXtal_BW#'!$A:$Z,3,FALSE)+D109-50</f>
        <v>19</v>
      </c>
      <c r="D109" s="3">
        <v>44</v>
      </c>
      <c r="E109" s="3">
        <f>IF(ISERROR(VLOOKUP($A109,'SegEnds_NonXtal_BW#'!$A:$Z,4,FALSE)+VLOOKUP($A109,A:AL,4,FALSE)-50),"-",(VLOOKUP($A109,'SegEnds_NonXtal_BW#'!$A:$Z,4,FALSE)+VLOOKUP($A109,A:AL,4,FALSE)-50))</f>
        <v>55</v>
      </c>
      <c r="F109" s="3" t="str">
        <f>IF(ISERROR(VLOOKUP($A109,'SegEnds_NonXtal_BW#'!$A:$Z,5,FALSE)+VLOOKUP($A109,A:AL,7,FALSE)-50),"-",(VLOOKUP($A109,'SegEnds_NonXtal_BW#'!$A:$Z,5,FALSE)+VLOOKUP($A109,A:AL,7,FALSE)-50))</f>
        <v>-</v>
      </c>
      <c r="G109" s="3" t="s">
        <v>23</v>
      </c>
      <c r="H109" s="3" t="str">
        <f>IF(ISERROR(VLOOKUP($A109,'SegEnds_NonXtal_BW#'!$A:$Z,6,FALSE)+VLOOKUP($A109,A:AL,7,FALSE)-50),"-",(VLOOKUP($A109,'SegEnds_NonXtal_BW#'!$A:$Z,6,FALSE)+VLOOKUP($A109,A:AL,7,FALSE)-50))</f>
        <v>-</v>
      </c>
      <c r="I109" s="3">
        <f>VLOOKUP($A109,'SegEnds_NonXtal_BW#'!$A:$Z,7,FALSE)+J109-50</f>
        <v>58</v>
      </c>
      <c r="J109" s="3">
        <v>71</v>
      </c>
      <c r="K109" s="3">
        <f>VLOOKUP($A109,'SegEnds_NonXtal_BW#'!$A:$Z,8,FALSE)+VLOOKUP($A109,A:AL,10,FALSE)-50</f>
        <v>88</v>
      </c>
      <c r="L109" s="3">
        <f t="shared" si="91"/>
        <v>90</v>
      </c>
      <c r="M109" s="3">
        <v>91</v>
      </c>
      <c r="N109" s="3">
        <f t="shared" si="92"/>
        <v>93</v>
      </c>
      <c r="O109" s="3">
        <f t="shared" si="93"/>
        <v>94</v>
      </c>
      <c r="P109" s="3">
        <v>123</v>
      </c>
      <c r="Q109" s="3">
        <f>VLOOKUP($A109,'SegEnds_NonXtal_BW#'!$A:$Z,12,FALSE)+VLOOKUP($A109,A:AL,16,FALSE)-50</f>
        <v>129</v>
      </c>
      <c r="R109" s="3">
        <f>IF(ISERROR(VLOOKUP($A109,'SegEnds_NonXtal_BW#'!$A:$Z,13,FALSE)+VLOOKUP($A109,A:AL,19,FALSE)-50),"-",VLOOKUP($A109,'SegEnds_NonXtal_BW#'!$A:$Z,13,FALSE)+VLOOKUP($A109,A:AL,19,FALSE)-50)</f>
        <v>130</v>
      </c>
      <c r="S109" s="3">
        <v>130</v>
      </c>
      <c r="T109" s="100">
        <f>IF(ISERROR(VLOOKUP($A109,'SegEnds_NonXtal_BW#'!$A:$Z,14,FALSE)+VLOOKUP($A109,A:AL,19,FALSE)-50),"-",(VLOOKUP($A109,'SegEnds_NonXtal_BW#'!$A:$Z,14,FALSE)+VLOOKUP($A109,A:AL,19,FALSE)-50))</f>
        <v>137</v>
      </c>
      <c r="U109" s="9">
        <f>IF(ISERROR(VLOOKUP($A109,'SegEnds_NonXtal_BW#'!$A:$Z,15,FALSE)+VLOOKUP($A109,A:AL,22,FALSE)-50),"-",VLOOKUP($A109,'SegEnds_NonXtal_BW#'!$A:$Z,15,FALSE)+VLOOKUP($A109,A:AL,22,FALSE)-50)</f>
        <v>138</v>
      </c>
      <c r="V109" s="3">
        <v>150</v>
      </c>
      <c r="W109" s="3">
        <f>IF(ISERROR(VLOOKUP($A109,'SegEnds_NonXtal_BW#'!$A:$Z,16,FALSE)+VLOOKUP($A109,A:AL,22,FALSE)-50),"-",(VLOOKUP($A109,'SegEnds_NonXtal_BW#'!$A:$Z,16,FALSE)+VLOOKUP($A109,A:AL,22,FALSE)-50))</f>
        <v>164</v>
      </c>
      <c r="X109" s="3">
        <f>IF(ISERROR(VLOOKUP($A109,'SegEnds_NonXtal_BW#'!$A:$Z,17,FALSE)+VLOOKUP($A109,A:AL,25,FALSE)-50),"-",(VLOOKUP($A109,'SegEnds_NonXtal_BW#'!$A:$Z,17,FALSE)+VLOOKUP($A109,A:AL,25,FALSE)-50))</f>
        <v>176</v>
      </c>
      <c r="Y109" s="3">
        <v>176</v>
      </c>
      <c r="Z109" s="3">
        <f t="shared" si="64"/>
        <v>178</v>
      </c>
      <c r="AA109" s="3">
        <f>IF(ISERROR(VLOOKUP($A109,'SegEnds_NonXtal_BW#'!$A:$Z,19,FALSE)+VLOOKUP($A109,A:AL,28,FALSE)-50),"-",(VLOOKUP($A109,'SegEnds_NonXtal_BW#'!$A:$Z,19,FALSE)+VLOOKUP($A109,A:AL,28,FALSE)-50))</f>
        <v>186</v>
      </c>
      <c r="AB109" s="3">
        <v>213</v>
      </c>
      <c r="AC109" s="3">
        <f>IF(ISERROR((VLOOKUP($A109,'SegEnds_NonXtal_BW#'!$A:$Z,20,FALSE)+VLOOKUP($A109,A:AL,28,FALSE)-50)),"-",(VLOOKUP($A109,'SegEnds_NonXtal_BW#'!$A:$Z,20,FALSE)+VLOOKUP($A109,A:AL,28,FALSE)-50))</f>
        <v>231</v>
      </c>
      <c r="AD109" s="3">
        <f>IF(ISERROR(VLOOKUP($A109,'SegEnds_NonXtal_BW#'!$A:$Z,21,FALSE)+VLOOKUP($A109,A:AL,31,FALSE)-50),"-",(VLOOKUP($A109,'SegEnds_NonXtal_BW#'!$A:$Z,21,FALSE)+VLOOKUP($A109,A:AL,31,FALSE)-50))</f>
        <v>236</v>
      </c>
      <c r="AE109" s="3">
        <v>256</v>
      </c>
      <c r="AF109" s="3">
        <f>IF(ISERROR((VLOOKUP($A109,'SegEnds_NonXtal_BW#'!$A:$Z,22,FALSE)+VLOOKUP($A109,A:AL,31,FALSE)-50)),"-",(VLOOKUP($A109,'SegEnds_NonXtal_BW#'!$A:$Z,22,FALSE)+VLOOKUP($A109,A:AL,31,FALSE)-50))</f>
        <v>267</v>
      </c>
      <c r="AG109" s="3">
        <f>IF(ISERROR(VLOOKUP($A109,'SegEnds_NonXtal_BW#'!$A:$Z,23,FALSE)+VLOOKUP($A109,A:AL,34,FALSE)-50),"-",(VLOOKUP($A109,'SegEnds_NonXtal_BW#'!$A:$Z,23,FALSE)+VLOOKUP($A109,A:AL,34,FALSE)-50))</f>
        <v>273</v>
      </c>
      <c r="AH109" s="3">
        <v>299</v>
      </c>
      <c r="AI109" s="3">
        <f>IF(ISERROR((VLOOKUP($A109,'SegEnds_NonXtal_BW#'!$A:$Z,24,FALSE)+VLOOKUP($A109,A:AL,34,FALSE)-50)),"-",(VLOOKUP($A109,'SegEnds_NonXtal_BW#'!$A:$Z,24,FALSE)+VLOOKUP($A109,A:AL,34,FALSE)-50))</f>
        <v>305</v>
      </c>
      <c r="AJ109" s="3">
        <f>IF(ISERROR(VLOOKUP($A109,'SegEnds_NonXtal_BW#'!$A:$Z,25,FALSE)+VLOOKUP($A109,A:AL,37,FALSE)-50),"-",(VLOOKUP($A109,'SegEnds_NonXtal_BW#'!$A:$Z,25,FALSE)+VLOOKUP($A109,A:AL,37,FALSE)-50))</f>
        <v>306</v>
      </c>
      <c r="AK109" s="3">
        <v>309</v>
      </c>
      <c r="AL109" s="3">
        <f>IF(ISERROR((VLOOKUP($A109,'SegEnds_NonXtal_BW#'!$A:$Z,26,FALSE)+VLOOKUP($A109,A:AL,37,FALSE)-50)),"-",(VLOOKUP($A109,'SegEnds_NonXtal_BW#'!$A:$Z,26,FALSE)+VLOOKUP($A109,A:AL,37,FALSE)-50))</f>
        <v>317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 t="str">
        <f t="shared" si="39"/>
        <v>-</v>
      </c>
      <c r="AQ109" s="3" t="str">
        <f t="shared" si="40"/>
        <v>-</v>
      </c>
      <c r="AR109" s="3">
        <f t="shared" si="41"/>
        <v>2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12</v>
      </c>
      <c r="AW109" s="3">
        <f t="shared" si="46"/>
        <v>8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36</v>
      </c>
      <c r="BB109" s="16">
        <f t="shared" si="50"/>
        <v>27</v>
      </c>
      <c r="BC109" s="9">
        <f t="shared" si="51"/>
        <v>20</v>
      </c>
      <c r="BD109" s="3">
        <f t="shared" si="52"/>
        <v>27</v>
      </c>
      <c r="BE109" s="3">
        <f t="shared" si="53"/>
        <v>43</v>
      </c>
    </row>
    <row r="110" spans="1:58" s="3" customFormat="1" x14ac:dyDescent="0.2">
      <c r="A110" s="3" t="s">
        <v>203</v>
      </c>
      <c r="B110" s="3" t="str">
        <f>LOWER(VLOOKUP(A110,Xtal_Templ!A:B,2,FALSE))</f>
        <v>aa2ar_human</v>
      </c>
      <c r="C110" s="3">
        <f>VLOOKUP($A110,'SegEnds_NonXtal_BW#'!$A:$Z,3,FALSE)+D110-50</f>
        <v>357</v>
      </c>
      <c r="D110" s="3">
        <v>380</v>
      </c>
      <c r="E110" s="3">
        <f>IF(ISERROR(VLOOKUP($A110,'SegEnds_NonXtal_BW#'!$A:$Z,4,FALSE)+VLOOKUP($A110,A:AL,4,FALSE)-50),"-",(VLOOKUP($A110,'SegEnds_NonXtal_BW#'!$A:$Z,4,FALSE)+VLOOKUP($A110,A:AL,4,FALSE)-50))</f>
        <v>390</v>
      </c>
      <c r="F110" s="3">
        <f>G110-2</f>
        <v>392</v>
      </c>
      <c r="G110" s="3">
        <v>394</v>
      </c>
      <c r="H110" s="3">
        <f>G110+1</f>
        <v>395</v>
      </c>
      <c r="I110" s="3">
        <f>H110+1</f>
        <v>396</v>
      </c>
      <c r="J110" s="3">
        <v>408</v>
      </c>
      <c r="K110" s="3">
        <f>VLOOKUP($A110,'SegEnds_NonXtal_BW#'!$A:$Z,8,FALSE)+VLOOKUP($A110,A:AL,10,FALSE)-50</f>
        <v>425</v>
      </c>
      <c r="L110" s="3">
        <f t="shared" si="91"/>
        <v>435</v>
      </c>
      <c r="M110" s="3">
        <v>436</v>
      </c>
      <c r="N110" s="3">
        <f t="shared" si="92"/>
        <v>438</v>
      </c>
      <c r="O110" s="3">
        <f t="shared" si="93"/>
        <v>439</v>
      </c>
      <c r="P110" s="3">
        <v>467</v>
      </c>
      <c r="Q110" s="3">
        <f>VLOOKUP($A110,'SegEnds_NonXtal_BW#'!$A:$Z,12,FALSE)+VLOOKUP($A110,A:AL,16,FALSE)-50</f>
        <v>473</v>
      </c>
      <c r="R110" s="3">
        <f>IF(ISERROR(VLOOKUP($A110,'SegEnds_NonXtal_BW#'!$A:$Z,13,FALSE)+VLOOKUP($A110,A:AL,19,FALSE)-50),"-",VLOOKUP($A110,'SegEnds_NonXtal_BW#'!$A:$Z,13,FALSE)+VLOOKUP($A110,A:AL,19,FALSE)-50)</f>
        <v>474</v>
      </c>
      <c r="S110" s="3">
        <v>474</v>
      </c>
      <c r="T110" s="100">
        <f>IF(ISERROR(VLOOKUP($A110,'SegEnds_NonXtal_BW#'!$A:$Z,14,FALSE)+VLOOKUP($A110,A:AL,19,FALSE)-50),"-",(VLOOKUP($A110,'SegEnds_NonXtal_BW#'!$A:$Z,14,FALSE)+VLOOKUP($A110,A:AL,19,FALSE)-50))</f>
        <v>481</v>
      </c>
      <c r="U110" s="9">
        <f>IF(ISERROR(VLOOKUP($A110,'SegEnds_NonXtal_BW#'!$A:$Z,15,FALSE)+VLOOKUP($A110,A:AL,22,FALSE)-50),"-",VLOOKUP($A110,'SegEnds_NonXtal_BW#'!$A:$Z,15,FALSE)+VLOOKUP($A110,A:AL,22,FALSE)-50)</f>
        <v>482</v>
      </c>
      <c r="V110" s="3">
        <v>494</v>
      </c>
      <c r="W110" s="3">
        <f>IF(ISERROR(VLOOKUP($A110,'SegEnds_NonXtal_BW#'!$A:$Z,16,FALSE)+VLOOKUP($A110,A:AL,22,FALSE)-50),"-",(VLOOKUP($A110,'SegEnds_NonXtal_BW#'!$A:$Z,16,FALSE)+VLOOKUP($A110,A:AL,22,FALSE)-50))</f>
        <v>507</v>
      </c>
      <c r="X110" s="3">
        <f>IF(ISERROR(VLOOKUP($A110,'SegEnds_NonXtal_BW#'!$A:$Z,17,FALSE)+VLOOKUP($A110,A:AL,25,FALSE)-50),"-",(VLOOKUP($A110,'SegEnds_NonXtal_BW#'!$A:$Z,17,FALSE)+VLOOKUP($A110,A:AL,25,FALSE)-50))</f>
        <v>517</v>
      </c>
      <c r="Y110" s="3">
        <v>517</v>
      </c>
      <c r="Z110" s="3">
        <f t="shared" si="64"/>
        <v>519</v>
      </c>
      <c r="AA110" s="3">
        <f>IF(ISERROR(VLOOKUP($A110,'SegEnds_NonXtal_BW#'!$A:$Z,19,FALSE)+VLOOKUP($A110,A:AL,28,FALSE)-50),"-",(VLOOKUP($A110,'SegEnds_NonXtal_BW#'!$A:$Z,19,FALSE)+VLOOKUP($A110,A:AL,28,FALSE)-50))</f>
        <v>525</v>
      </c>
      <c r="AB110" s="3">
        <v>541</v>
      </c>
      <c r="AC110" s="3">
        <f>IF(ISERROR((VLOOKUP($A110,'SegEnds_NonXtal_BW#'!$A:$Z,20,FALSE)+VLOOKUP($A110,A:AL,28,FALSE)-50)),"-",(VLOOKUP($A110,'SegEnds_NonXtal_BW#'!$A:$Z,20,FALSE)+VLOOKUP($A110,A:AL,28,FALSE)-50))</f>
        <v>558</v>
      </c>
      <c r="AD110" s="3">
        <f>IF(ISERROR(VLOOKUP($A110,'SegEnds_NonXtal_BW#'!$A:$Z,21,FALSE)+VLOOKUP($A110,A:AL,31,FALSE)-50),"-",(VLOOKUP($A110,'SegEnds_NonXtal_BW#'!$A:$Z,21,FALSE)+VLOOKUP($A110,A:AL,31,FALSE)-50))</f>
        <v>563</v>
      </c>
      <c r="AE110" s="3">
        <v>587</v>
      </c>
      <c r="AF110" s="3">
        <f>IF(ISERROR((VLOOKUP($A110,'SegEnds_NonXtal_BW#'!$A:$Z,22,FALSE)+VLOOKUP($A110,A:AL,31,FALSE)-50)),"-",(VLOOKUP($A110,'SegEnds_NonXtal_BW#'!$A:$Z,22,FALSE)+VLOOKUP($A110,A:AL,31,FALSE)-50))</f>
        <v>598</v>
      </c>
      <c r="AG110" s="3">
        <f>IF(ISERROR(VLOOKUP($A110,'SegEnds_NonXtal_BW#'!$A:$Z,23,FALSE)+VLOOKUP($A110,A:AL,34,FALSE)-50),"-",(VLOOKUP($A110,'SegEnds_NonXtal_BW#'!$A:$Z,23,FALSE)+VLOOKUP($A110,A:AL,34,FALSE)-50))</f>
        <v>604</v>
      </c>
      <c r="AH110" s="3">
        <v>623</v>
      </c>
      <c r="AI110" s="3">
        <f>IF(ISERROR((VLOOKUP($A110,'SegEnds_NonXtal_BW#'!$A:$Z,24,FALSE)+VLOOKUP($A110,A:AL,34,FALSE)-50)),"-",(VLOOKUP($A110,'SegEnds_NonXtal_BW#'!$A:$Z,24,FALSE)+VLOOKUP($A110,A:AL,34,FALSE)-50))</f>
        <v>629</v>
      </c>
      <c r="AJ110" s="3">
        <f>IF(ISERROR(VLOOKUP($A110,'SegEnds_NonXtal_BW#'!$A:$Z,25,FALSE)+VLOOKUP($A110,A:AL,37,FALSE)-50),"-",(VLOOKUP($A110,'SegEnds_NonXtal_BW#'!$A:$Z,25,FALSE)+VLOOKUP($A110,A:AL,37,FALSE)-50))</f>
        <v>630</v>
      </c>
      <c r="AK110" s="3">
        <v>633</v>
      </c>
      <c r="AL110" s="3">
        <f>IF(ISERROR((VLOOKUP($A110,'SegEnds_NonXtal_BW#'!$A:$Z,26,FALSE)+VLOOKUP($A110,A:AL,37,FALSE)-50)),"-",(VLOOKUP($A110,'SegEnds_NonXtal_BW#'!$A:$Z,26,FALSE)+VLOOKUP($A110,A:AL,37,FALSE)-50))</f>
        <v>652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>
        <f t="shared" si="39"/>
        <v>2</v>
      </c>
      <c r="AQ110" s="3">
        <f t="shared" si="40"/>
        <v>1</v>
      </c>
      <c r="AR110" s="3">
        <f t="shared" si="41"/>
        <v>10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10</v>
      </c>
      <c r="AW110" s="3">
        <f t="shared" si="46"/>
        <v>6</v>
      </c>
      <c r="AX110" s="3">
        <f t="shared" si="47"/>
        <v>5</v>
      </c>
      <c r="AY110" s="3">
        <f t="shared" si="48"/>
        <v>6</v>
      </c>
      <c r="AZ110" s="3">
        <f t="shared" si="49"/>
        <v>1</v>
      </c>
      <c r="BA110" s="3">
        <f>IF(ISERROR(LEN(VLOOKUP(A110,Seqs!A:E,2,FALSE))-AL110),"-",LEN(VLOOKUP(A110,Seqs!A:E,2,FALSE))-AL110)</f>
        <v>43</v>
      </c>
      <c r="BB110" s="16">
        <f t="shared" si="50"/>
        <v>28</v>
      </c>
      <c r="BC110" s="9">
        <f t="shared" si="51"/>
        <v>20</v>
      </c>
      <c r="BD110" s="3">
        <f t="shared" si="52"/>
        <v>28</v>
      </c>
      <c r="BE110" s="3">
        <f t="shared" si="53"/>
        <v>46</v>
      </c>
    </row>
    <row r="111" spans="1:58" s="3" customFormat="1" x14ac:dyDescent="0.2">
      <c r="A111" s="3" t="s">
        <v>204</v>
      </c>
      <c r="B111" s="3" t="str">
        <f>LOWER(VLOOKUP(A111,Xtal_Templ!A:B,2,FALSE))</f>
        <v>oprk_human</v>
      </c>
      <c r="C111" s="3">
        <f>VLOOKUP($A111,'SegEnds_NonXtal_BW#'!$A:$Z,3,FALSE)+D111-50</f>
        <v>31</v>
      </c>
      <c r="D111" s="3">
        <v>51</v>
      </c>
      <c r="E111" s="3">
        <f>IF(ISERROR(VLOOKUP($A111,'SegEnds_NonXtal_BW#'!$A:$Z,4,FALSE)+VLOOKUP($A111,A:AL,4,FALSE)-50),"-",(VLOOKUP($A111,'SegEnds_NonXtal_BW#'!$A:$Z,4,FALSE)+VLOOKUP($A111,A:AL,4,FALSE)-50))</f>
        <v>61</v>
      </c>
      <c r="F111" s="3" t="str">
        <f>IF(ISERROR(VLOOKUP($A111,'SegEnds_NonXtal_BW#'!$A:$Z,5,FALSE)+VLOOKUP($A111,A:AL,7,FALSE)-50),"-",(VLOOKUP($A111,'SegEnds_NonXtal_BW#'!$A:$Z,5,FALSE)+VLOOKUP($A111,A:AL,7,FALSE)-50))</f>
        <v>-</v>
      </c>
      <c r="G111" s="3" t="s">
        <v>23</v>
      </c>
      <c r="H111" s="3" t="str">
        <f>IF(ISERROR(VLOOKUP($A111,'SegEnds_NonXtal_BW#'!$A:$Z,6,FALSE)+VLOOKUP($A111,A:AL,7,FALSE)-50),"-",(VLOOKUP($A111,'SegEnds_NonXtal_BW#'!$A:$Z,6,FALSE)+VLOOKUP($A111,A:AL,7,FALSE)-50))</f>
        <v>-</v>
      </c>
      <c r="I111" s="3">
        <f>VLOOKUP($A111,'SegEnds_NonXtal_BW#'!$A:$Z,7,FALSE)+J111-50</f>
        <v>68</v>
      </c>
      <c r="J111" s="3">
        <v>81</v>
      </c>
      <c r="K111" s="3">
        <f>VLOOKUP($A111,'SegEnds_NonXtal_BW#'!$A:$Z,8,FALSE)+VLOOKUP($A111,A:AL,10,FALSE)-50</f>
        <v>98</v>
      </c>
      <c r="L111" s="3">
        <f t="shared" si="91"/>
        <v>100</v>
      </c>
      <c r="M111" s="3">
        <v>101</v>
      </c>
      <c r="N111" s="3">
        <f t="shared" si="92"/>
        <v>103</v>
      </c>
      <c r="O111" s="3">
        <f t="shared" si="93"/>
        <v>104</v>
      </c>
      <c r="P111" s="3">
        <v>133</v>
      </c>
      <c r="Q111" s="3">
        <f>VLOOKUP($A111,'SegEnds_NonXtal_BW#'!$A:$Z,12,FALSE)+VLOOKUP($A111,A:AL,16,FALSE)-50</f>
        <v>139</v>
      </c>
      <c r="R111" s="3">
        <f>IF(ISERROR(VLOOKUP($A111,'SegEnds_NonXtal_BW#'!$A:$Z,13,FALSE)+VLOOKUP($A111,A:AL,19,FALSE)-50),"-",VLOOKUP($A111,'SegEnds_NonXtal_BW#'!$A:$Z,13,FALSE)+VLOOKUP($A111,A:AL,19,FALSE)-50)</f>
        <v>140</v>
      </c>
      <c r="S111" s="3">
        <v>140</v>
      </c>
      <c r="T111" s="100">
        <f>IF(ISERROR(VLOOKUP($A111,'SegEnds_NonXtal_BW#'!$A:$Z,14,FALSE)+VLOOKUP($A111,A:AL,19,FALSE)-50),"-",(VLOOKUP($A111,'SegEnds_NonXtal_BW#'!$A:$Z,14,FALSE)+VLOOKUP($A111,A:AL,19,FALSE)-50))</f>
        <v>147</v>
      </c>
      <c r="U111" s="9">
        <f>IF(ISERROR(VLOOKUP($A111,'SegEnds_NonXtal_BW#'!$A:$Z,15,FALSE)+VLOOKUP($A111,A:AL,22,FALSE)-50),"-",VLOOKUP($A111,'SegEnds_NonXtal_BW#'!$A:$Z,15,FALSE)+VLOOKUP($A111,A:AL,22,FALSE)-50)</f>
        <v>148</v>
      </c>
      <c r="V111" s="3">
        <v>160</v>
      </c>
      <c r="W111" s="3">
        <f>IF(ISERROR(VLOOKUP($A111,'SegEnds_NonXtal_BW#'!$A:$Z,16,FALSE)+VLOOKUP($A111,A:AL,22,FALSE)-50),"-",(VLOOKUP($A111,'SegEnds_NonXtal_BW#'!$A:$Z,16,FALSE)+VLOOKUP($A111,A:AL,22,FALSE)-50))</f>
        <v>174</v>
      </c>
      <c r="X111" s="3">
        <f>IF(ISERROR(VLOOKUP($A111,'SegEnds_NonXtal_BW#'!$A:$Z,17,FALSE)+VLOOKUP($A111,A:AL,25,FALSE)-50),"-",(VLOOKUP($A111,'SegEnds_NonXtal_BW#'!$A:$Z,17,FALSE)+VLOOKUP($A111,A:AL,25,FALSE)-50))</f>
        <v>187</v>
      </c>
      <c r="Y111" s="3">
        <v>187</v>
      </c>
      <c r="Z111" s="3">
        <f t="shared" si="64"/>
        <v>189</v>
      </c>
      <c r="AA111" s="3">
        <f>IF(ISERROR(VLOOKUP($A111,'SegEnds_NonXtal_BW#'!$A:$Z,19,FALSE)+VLOOKUP($A111,A:AL,28,FALSE)-50),"-",(VLOOKUP($A111,'SegEnds_NonXtal_BW#'!$A:$Z,19,FALSE)+VLOOKUP($A111,A:AL,28,FALSE)-50))</f>
        <v>192</v>
      </c>
      <c r="AB111" s="3">
        <v>212</v>
      </c>
      <c r="AC111" s="3">
        <f>IF(ISERROR((VLOOKUP($A111,'SegEnds_NonXtal_BW#'!$A:$Z,20,FALSE)+VLOOKUP($A111,A:AL,28,FALSE)-50)),"-",(VLOOKUP($A111,'SegEnds_NonXtal_BW#'!$A:$Z,20,FALSE)+VLOOKUP($A111,A:AL,28,FALSE)-50))</f>
        <v>234</v>
      </c>
      <c r="AD111" s="3">
        <f>IF(ISERROR(VLOOKUP($A111,'SegEnds_NonXtal_BW#'!$A:$Z,21,FALSE)+VLOOKUP($A111,A:AL,31,FALSE)-50),"-",(VLOOKUP($A111,'SegEnds_NonXtal_BW#'!$A:$Z,21,FALSE)+VLOOKUP($A111,A:AL,31,FALSE)-50))</f>
        <v>241</v>
      </c>
      <c r="AE111" s="3">
        <v>262</v>
      </c>
      <c r="AF111" s="3">
        <f>IF(ISERROR((VLOOKUP($A111,'SegEnds_NonXtal_BW#'!$A:$Z,22,FALSE)+VLOOKUP($A111,A:AL,31,FALSE)-50)),"-",(VLOOKUP($A111,'SegEnds_NonXtal_BW#'!$A:$Z,22,FALSE)+VLOOKUP($A111,A:AL,31,FALSE)-50))</f>
        <v>273</v>
      </c>
      <c r="AG111" s="3">
        <f>IF(ISERROR(VLOOKUP($A111,'SegEnds_NonXtal_BW#'!$A:$Z,23,FALSE)+VLOOKUP($A111,A:AL,34,FALSE)-50),"-",(VLOOKUP($A111,'SegEnds_NonXtal_BW#'!$A:$Z,23,FALSE)+VLOOKUP($A111,A:AL,34,FALSE)-50))</f>
        <v>278</v>
      </c>
      <c r="AH111" s="3">
        <v>300</v>
      </c>
      <c r="AI111" s="3">
        <f>IF(ISERROR((VLOOKUP($A111,'SegEnds_NonXtal_BW#'!$A:$Z,24,FALSE)+VLOOKUP($A111,A:AL,34,FALSE)-50)),"-",(VLOOKUP($A111,'SegEnds_NonXtal_BW#'!$A:$Z,24,FALSE)+VLOOKUP($A111,A:AL,34,FALSE)-50))</f>
        <v>306</v>
      </c>
      <c r="AJ111" s="3">
        <f>IF(ISERROR(VLOOKUP($A111,'SegEnds_NonXtal_BW#'!$A:$Z,25,FALSE)+VLOOKUP($A111,A:AL,37,FALSE)-50),"-",(VLOOKUP($A111,'SegEnds_NonXtal_BW#'!$A:$Z,25,FALSE)+VLOOKUP($A111,A:AL,37,FALSE)-50))</f>
        <v>307</v>
      </c>
      <c r="AK111" s="3">
        <v>310</v>
      </c>
      <c r="AL111" s="3">
        <f>IF(ISERROR((VLOOKUP($A111,'SegEnds_NonXtal_BW#'!$A:$Z,26,FALSE)+VLOOKUP($A111,A:AL,37,FALSE)-50)),"-",(VLOOKUP($A111,'SegEnds_NonXtal_BW#'!$A:$Z,26,FALSE)+VLOOKUP($A111,A:AL,37,FALSE)-50))</f>
        <v>319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 t="str">
        <f t="shared" si="39"/>
        <v>-</v>
      </c>
      <c r="AQ111" s="3" t="str">
        <f t="shared" si="40"/>
        <v>-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13</v>
      </c>
      <c r="AW111" s="3">
        <f t="shared" si="46"/>
        <v>3</v>
      </c>
      <c r="AX111" s="3">
        <f t="shared" si="47"/>
        <v>7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30</v>
      </c>
      <c r="BB111" s="16">
        <f t="shared" si="50"/>
        <v>30</v>
      </c>
      <c r="BC111" s="9">
        <f t="shared" si="51"/>
        <v>20</v>
      </c>
      <c r="BD111" s="3">
        <f t="shared" si="52"/>
        <v>30</v>
      </c>
      <c r="BE111" s="3">
        <f t="shared" si="53"/>
        <v>50</v>
      </c>
    </row>
    <row r="112" spans="1:58" s="3" customFormat="1" x14ac:dyDescent="0.2">
      <c r="A112" s="3" t="s">
        <v>205</v>
      </c>
      <c r="B112" s="3" t="str">
        <f>LOWER(VLOOKUP(A112,Xtal_Templ!A:B,2,FALSE))</f>
        <v>oprk_human</v>
      </c>
      <c r="C112" s="3">
        <f>VLOOKUP($A112,'SegEnds_NonXtal_BW#'!$A:$Z,3,FALSE)+D112-50</f>
        <v>23</v>
      </c>
      <c r="D112" s="3">
        <v>43</v>
      </c>
      <c r="E112" s="3">
        <f>IF(ISERROR(VLOOKUP($A112,'SegEnds_NonXtal_BW#'!$A:$Z,4,FALSE)+VLOOKUP($A112,A:AL,4,FALSE)-50),"-",(VLOOKUP($A112,'SegEnds_NonXtal_BW#'!$A:$Z,4,FALSE)+VLOOKUP($A112,A:AL,4,FALSE)-50))</f>
        <v>53</v>
      </c>
      <c r="F112" s="3">
        <f>G112-2</f>
        <v>54</v>
      </c>
      <c r="G112" s="3">
        <v>56</v>
      </c>
      <c r="H112" s="3">
        <f t="shared" ref="H112:I116" si="94">G112+1</f>
        <v>57</v>
      </c>
      <c r="I112" s="3">
        <f t="shared" si="94"/>
        <v>58</v>
      </c>
      <c r="J112" s="3">
        <v>71</v>
      </c>
      <c r="K112" s="3">
        <f>VLOOKUP($A112,'SegEnds_NonXtal_BW#'!$A:$Z,8,FALSE)+VLOOKUP($A112,A:AL,10,FALSE)-50</f>
        <v>88</v>
      </c>
      <c r="L112" s="3">
        <f t="shared" si="91"/>
        <v>90</v>
      </c>
      <c r="M112" s="3">
        <v>91</v>
      </c>
      <c r="N112" s="3">
        <f t="shared" si="92"/>
        <v>93</v>
      </c>
      <c r="O112" s="3">
        <f t="shared" si="93"/>
        <v>94</v>
      </c>
      <c r="P112" s="3">
        <v>123</v>
      </c>
      <c r="Q112" s="3">
        <f>VLOOKUP($A112,'SegEnds_NonXtal_BW#'!$A:$Z,12,FALSE)+VLOOKUP($A112,A:AL,16,FALSE)-50</f>
        <v>129</v>
      </c>
      <c r="R112" s="3">
        <f>IF(ISERROR(VLOOKUP($A112,'SegEnds_NonXtal_BW#'!$A:$Z,13,FALSE)+VLOOKUP($A112,A:AL,19,FALSE)-50),"-",VLOOKUP($A112,'SegEnds_NonXtal_BW#'!$A:$Z,13,FALSE)+VLOOKUP($A112,A:AL,19,FALSE)-50)</f>
        <v>130</v>
      </c>
      <c r="S112" s="3">
        <v>130</v>
      </c>
      <c r="T112" s="100">
        <f>IF(ISERROR(VLOOKUP($A112,'SegEnds_NonXtal_BW#'!$A:$Z,14,FALSE)+VLOOKUP($A112,A:AL,19,FALSE)-50),"-",(VLOOKUP($A112,'SegEnds_NonXtal_BW#'!$A:$Z,14,FALSE)+VLOOKUP($A112,A:AL,19,FALSE)-50))</f>
        <v>137</v>
      </c>
      <c r="U112" s="9">
        <f>IF(ISERROR(VLOOKUP($A112,'SegEnds_NonXtal_BW#'!$A:$Z,15,FALSE)+VLOOKUP($A112,A:AL,22,FALSE)-50),"-",VLOOKUP($A112,'SegEnds_NonXtal_BW#'!$A:$Z,15,FALSE)+VLOOKUP($A112,A:AL,22,FALSE)-50)</f>
        <v>138</v>
      </c>
      <c r="V112" s="3">
        <v>150</v>
      </c>
      <c r="W112" s="3">
        <f>IF(ISERROR(VLOOKUP($A112,'SegEnds_NonXtal_BW#'!$A:$Z,16,FALSE)+VLOOKUP($A112,A:AL,22,FALSE)-50),"-",(VLOOKUP($A112,'SegEnds_NonXtal_BW#'!$A:$Z,16,FALSE)+VLOOKUP($A112,A:AL,22,FALSE)-50))</f>
        <v>164</v>
      </c>
      <c r="X112" s="3">
        <f>IF(ISERROR(VLOOKUP($A112,'SegEnds_NonXtal_BW#'!$A:$Z,17,FALSE)+VLOOKUP($A112,A:AL,25,FALSE)-50),"-",(VLOOKUP($A112,'SegEnds_NonXtal_BW#'!$A:$Z,17,FALSE)+VLOOKUP($A112,A:AL,25,FALSE)-50))</f>
        <v>175</v>
      </c>
      <c r="Y112" s="3">
        <v>175</v>
      </c>
      <c r="Z112" s="3">
        <f t="shared" si="64"/>
        <v>177</v>
      </c>
      <c r="AA112" s="3">
        <f>IF(ISERROR(VLOOKUP($A112,'SegEnds_NonXtal_BW#'!$A:$Z,19,FALSE)+VLOOKUP($A112,A:AL,28,FALSE)-50),"-",(VLOOKUP($A112,'SegEnds_NonXtal_BW#'!$A:$Z,19,FALSE)+VLOOKUP($A112,A:AL,28,FALSE)-50))</f>
        <v>179</v>
      </c>
      <c r="AB112" s="3">
        <v>199</v>
      </c>
      <c r="AC112" s="3">
        <f>IF(ISERROR((VLOOKUP($A112,'SegEnds_NonXtal_BW#'!$A:$Z,20,FALSE)+VLOOKUP($A112,A:AL,28,FALSE)-50)),"-",(VLOOKUP($A112,'SegEnds_NonXtal_BW#'!$A:$Z,20,FALSE)+VLOOKUP($A112,A:AL,28,FALSE)-50))</f>
        <v>221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251</v>
      </c>
      <c r="AF112" s="3">
        <f>IF(ISERROR((VLOOKUP($A112,'SegEnds_NonXtal_BW#'!$A:$Z,22,FALSE)+VLOOKUP($A112,A:AL,31,FALSE)-50)),"-",(VLOOKUP($A112,'SegEnds_NonXtal_BW#'!$A:$Z,22,FALSE)+VLOOKUP($A112,A:AL,31,FALSE)-50))</f>
        <v>262</v>
      </c>
      <c r="AG112" s="3">
        <f>IF(ISERROR(VLOOKUP($A112,'SegEnds_NonXtal_BW#'!$A:$Z,23,FALSE)+VLOOKUP($A112,A:AL,34,FALSE)-50),"-",(VLOOKUP($A112,'SegEnds_NonXtal_BW#'!$A:$Z,23,FALSE)+VLOOKUP($A112,A:AL,34,FALSE)-50))</f>
        <v>267</v>
      </c>
      <c r="AH112" s="3">
        <v>289</v>
      </c>
      <c r="AI112" s="3">
        <f>IF(ISERROR((VLOOKUP($A112,'SegEnds_NonXtal_BW#'!$A:$Z,24,FALSE)+VLOOKUP($A112,A:AL,34,FALSE)-50)),"-",(VLOOKUP($A112,'SegEnds_NonXtal_BW#'!$A:$Z,24,FALSE)+VLOOKUP($A112,A:AL,34,FALSE)-50))</f>
        <v>295</v>
      </c>
      <c r="AJ112" s="3">
        <f>IF(ISERROR(VLOOKUP($A112,'SegEnds_NonXtal_BW#'!$A:$Z,25,FALSE)+VLOOKUP($A112,A:AL,37,FALSE)-50),"-",(VLOOKUP($A112,'SegEnds_NonXtal_BW#'!$A:$Z,25,FALSE)+VLOOKUP($A112,A:AL,37,FALSE)-50))</f>
        <v>296</v>
      </c>
      <c r="AK112" s="3">
        <v>299</v>
      </c>
      <c r="AL112" s="3">
        <f>IF(ISERROR((VLOOKUP($A112,'SegEnds_NonXtal_BW#'!$A:$Z,26,FALSE)+VLOOKUP($A112,A:AL,37,FALSE)-50)),"-",(VLOOKUP($A112,'SegEnds_NonXtal_BW#'!$A:$Z,26,FALSE)+VLOOKUP($A112,A:AL,37,FALSE)-50))</f>
        <v>308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1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3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79</v>
      </c>
      <c r="BB112" s="16">
        <f t="shared" si="50"/>
        <v>28</v>
      </c>
      <c r="BC112" s="9">
        <f t="shared" si="51"/>
        <v>20</v>
      </c>
      <c r="BD112" s="3">
        <f t="shared" si="52"/>
        <v>28</v>
      </c>
      <c r="BE112" s="3">
        <f t="shared" si="53"/>
        <v>52</v>
      </c>
    </row>
    <row r="113" spans="1:60" s="3" customFormat="1" x14ac:dyDescent="0.2">
      <c r="A113" s="3" t="s">
        <v>206</v>
      </c>
      <c r="B113" s="3" t="str">
        <f>LOWER(VLOOKUP(A113,Xtal_Templ!A:B,2,FALSE))</f>
        <v>oprk_human</v>
      </c>
      <c r="C113" s="3">
        <f>VLOOKUP($A113,'SegEnds_NonXtal_BW#'!$A:$Z,3,FALSE)+D113-50</f>
        <v>15</v>
      </c>
      <c r="D113" s="3">
        <v>35</v>
      </c>
      <c r="E113" s="3">
        <f>IF(ISERROR(VLOOKUP($A113,'SegEnds_NonXtal_BW#'!$A:$Z,4,FALSE)+VLOOKUP($A113,A:AL,4,FALSE)-50),"-",(VLOOKUP($A113,'SegEnds_NonXtal_BW#'!$A:$Z,4,FALSE)+VLOOKUP($A113,A:AL,4,FALSE)-50))</f>
        <v>45</v>
      </c>
      <c r="F113" s="3">
        <f>G113-2</f>
        <v>47</v>
      </c>
      <c r="G113" s="3">
        <v>49</v>
      </c>
      <c r="H113" s="3">
        <f t="shared" si="94"/>
        <v>50</v>
      </c>
      <c r="I113" s="3">
        <f t="shared" si="94"/>
        <v>51</v>
      </c>
      <c r="J113" s="3">
        <v>68</v>
      </c>
      <c r="K113" s="3">
        <f>VLOOKUP($A113,'SegEnds_NonXtal_BW#'!$A:$Z,8,FALSE)+VLOOKUP($A113,A:AL,10,FALSE)-50</f>
        <v>85</v>
      </c>
      <c r="L113" s="3">
        <f t="shared" si="91"/>
        <v>87</v>
      </c>
      <c r="M113" s="3">
        <v>88</v>
      </c>
      <c r="N113" s="3">
        <f t="shared" si="92"/>
        <v>90</v>
      </c>
      <c r="O113" s="3">
        <f t="shared" si="93"/>
        <v>91</v>
      </c>
      <c r="P113" s="3">
        <v>120</v>
      </c>
      <c r="Q113" s="3">
        <f>VLOOKUP($A113,'SegEnds_NonXtal_BW#'!$A:$Z,12,FALSE)+VLOOKUP($A113,A:AL,16,FALSE)-50</f>
        <v>126</v>
      </c>
      <c r="R113" s="3">
        <f>IF(ISERROR(VLOOKUP($A113,'SegEnds_NonXtal_BW#'!$A:$Z,13,FALSE)+VLOOKUP($A113,A:AL,19,FALSE)-50),"-",VLOOKUP($A113,'SegEnds_NonXtal_BW#'!$A:$Z,13,FALSE)+VLOOKUP($A113,A:AL,19,FALSE)-50)</f>
        <v>127</v>
      </c>
      <c r="S113" s="3">
        <v>127</v>
      </c>
      <c r="T113" s="100">
        <f>IF(ISERROR(VLOOKUP($A113,'SegEnds_NonXtal_BW#'!$A:$Z,14,FALSE)+VLOOKUP($A113,A:AL,19,FALSE)-50),"-",(VLOOKUP($A113,'SegEnds_NonXtal_BW#'!$A:$Z,14,FALSE)+VLOOKUP($A113,A:AL,19,FALSE)-50))</f>
        <v>134</v>
      </c>
      <c r="U113" s="9">
        <f>IF(ISERROR(VLOOKUP($A113,'SegEnds_NonXtal_BW#'!$A:$Z,15,FALSE)+VLOOKUP($A113,A:AL,22,FALSE)-50),"-",VLOOKUP($A113,'SegEnds_NonXtal_BW#'!$A:$Z,15,FALSE)+VLOOKUP($A113,A:AL,22,FALSE)-50)</f>
        <v>135</v>
      </c>
      <c r="V113" s="3">
        <v>147</v>
      </c>
      <c r="W113" s="3">
        <f>IF(ISERROR(VLOOKUP($A113,'SegEnds_NonXtal_BW#'!$A:$Z,16,FALSE)+VLOOKUP($A113,A:AL,22,FALSE)-50),"-",(VLOOKUP($A113,'SegEnds_NonXtal_BW#'!$A:$Z,16,FALSE)+VLOOKUP($A113,A:AL,22,FALSE)-50))</f>
        <v>161</v>
      </c>
      <c r="X113" s="3">
        <f>IF(ISERROR(VLOOKUP($A113,'SegEnds_NonXtal_BW#'!$A:$Z,17,FALSE)+VLOOKUP($A113,A:AL,25,FALSE)-50),"-",(VLOOKUP($A113,'SegEnds_NonXtal_BW#'!$A:$Z,17,FALSE)+VLOOKUP($A113,A:AL,25,FALSE)-50))</f>
        <v>172</v>
      </c>
      <c r="Y113" s="3">
        <v>172</v>
      </c>
      <c r="Z113" s="3">
        <f t="shared" si="64"/>
        <v>174</v>
      </c>
      <c r="AA113" s="3">
        <f>IF(ISERROR(VLOOKUP($A113,'SegEnds_NonXtal_BW#'!$A:$Z,19,FALSE)+VLOOKUP($A113,A:AL,28,FALSE)-50),"-",(VLOOKUP($A113,'SegEnds_NonXtal_BW#'!$A:$Z,19,FALSE)+VLOOKUP($A113,A:AL,28,FALSE)-50))</f>
        <v>176</v>
      </c>
      <c r="AB113" s="3">
        <v>196</v>
      </c>
      <c r="AC113" s="3">
        <f>IF(ISERROR((VLOOKUP($A113,'SegEnds_NonXtal_BW#'!$A:$Z,20,FALSE)+VLOOKUP($A113,A:AL,28,FALSE)-50)),"-",(VLOOKUP($A113,'SegEnds_NonXtal_BW#'!$A:$Z,20,FALSE)+VLOOKUP($A113,A:AL,28,FALSE)-50))</f>
        <v>218</v>
      </c>
      <c r="AD113" s="3">
        <f>IF(ISERROR(VLOOKUP($A113,'SegEnds_NonXtal_BW#'!$A:$Z,21,FALSE)+VLOOKUP($A113,A:AL,31,FALSE)-50),"-",(VLOOKUP($A113,'SegEnds_NonXtal_BW#'!$A:$Z,21,FALSE)+VLOOKUP($A113,A:AL,31,FALSE)-50))</f>
        <v>224</v>
      </c>
      <c r="AE113" s="3">
        <v>250</v>
      </c>
      <c r="AF113" s="3">
        <f>IF(ISERROR((VLOOKUP($A113,'SegEnds_NonXtal_BW#'!$A:$Z,22,FALSE)+VLOOKUP($A113,A:AL,31,FALSE)-50)),"-",(VLOOKUP($A113,'SegEnds_NonXtal_BW#'!$A:$Z,22,FALSE)+VLOOKUP($A113,A:AL,31,FALSE)-50))</f>
        <v>261</v>
      </c>
      <c r="AG113" s="3">
        <f>IF(ISERROR(VLOOKUP($A113,'SegEnds_NonXtal_BW#'!$A:$Z,23,FALSE)+VLOOKUP($A113,A:AL,34,FALSE)-50),"-",(VLOOKUP($A113,'SegEnds_NonXtal_BW#'!$A:$Z,23,FALSE)+VLOOKUP($A113,A:AL,34,FALSE)-50))</f>
        <v>266</v>
      </c>
      <c r="AH113" s="3">
        <v>288</v>
      </c>
      <c r="AI113" s="3">
        <f>IF(ISERROR((VLOOKUP($A113,'SegEnds_NonXtal_BW#'!$A:$Z,24,FALSE)+VLOOKUP($A113,A:AL,34,FALSE)-50)),"-",(VLOOKUP($A113,'SegEnds_NonXtal_BW#'!$A:$Z,24,FALSE)+VLOOKUP($A113,A:AL,34,FALSE)-50))</f>
        <v>294</v>
      </c>
      <c r="AJ113" s="3">
        <f>IF(ISERROR(VLOOKUP($A113,'SegEnds_NonXtal_BW#'!$A:$Z,25,FALSE)+VLOOKUP($A113,A:AL,37,FALSE)-50),"-",(VLOOKUP($A113,'SegEnds_NonXtal_BW#'!$A:$Z,25,FALSE)+VLOOKUP($A113,A:AL,37,FALSE)-50))</f>
        <v>295</v>
      </c>
      <c r="AK113" s="3">
        <v>298</v>
      </c>
      <c r="AL113" s="3">
        <f>IF(ISERROR((VLOOKUP($A113,'SegEnds_NonXtal_BW#'!$A:$Z,26,FALSE)+VLOOKUP($A113,A:AL,37,FALSE)-50)),"-",(VLOOKUP($A113,'SegEnds_NonXtal_BW#'!$A:$Z,26,FALSE)+VLOOKUP($A113,A:AL,37,FALSE)-50))</f>
        <v>307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2</v>
      </c>
      <c r="AQ113" s="3">
        <f t="shared" si="40"/>
        <v>1</v>
      </c>
      <c r="AR113" s="3">
        <f t="shared" si="41"/>
        <v>2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11</v>
      </c>
      <c r="AW113" s="3">
        <f t="shared" si="46"/>
        <v>2</v>
      </c>
      <c r="AX113" s="3">
        <f t="shared" si="47"/>
        <v>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61</v>
      </c>
      <c r="BB113" s="16">
        <f t="shared" si="50"/>
        <v>33</v>
      </c>
      <c r="BC113" s="9">
        <f t="shared" si="51"/>
        <v>20</v>
      </c>
      <c r="BD113" s="3">
        <f t="shared" si="52"/>
        <v>33</v>
      </c>
      <c r="BE113" s="3">
        <f t="shared" si="53"/>
        <v>54</v>
      </c>
    </row>
    <row r="114" spans="1:60" s="3" customFormat="1" x14ac:dyDescent="0.2">
      <c r="A114" s="3" t="s">
        <v>207</v>
      </c>
      <c r="B114" s="3" t="str">
        <f>LOWER(VLOOKUP(A114,Xtal_Templ!A:B,2,FALSE))</f>
        <v>ox2r_human</v>
      </c>
      <c r="C114" s="3">
        <f>VLOOKUP($A114,'SegEnds_NonXtal_BW#'!$A:$Z,3,FALSE)+D114-50</f>
        <v>53</v>
      </c>
      <c r="D114" s="3">
        <v>72</v>
      </c>
      <c r="E114" s="3">
        <f>IF(ISERROR(VLOOKUP($A114,'SegEnds_NonXtal_BW#'!$A:$Z,4,FALSE)+VLOOKUP($A114,A:AL,4,FALSE)-50),"-",(VLOOKUP($A114,'SegEnds_NonXtal_BW#'!$A:$Z,4,FALSE)+VLOOKUP($A114,A:AL,4,FALSE)-50))</f>
        <v>82</v>
      </c>
      <c r="F114" s="3">
        <f>G114-2</f>
        <v>83</v>
      </c>
      <c r="G114" s="3">
        <v>85</v>
      </c>
      <c r="H114" s="3">
        <f t="shared" si="94"/>
        <v>86</v>
      </c>
      <c r="I114" s="3">
        <f t="shared" si="94"/>
        <v>87</v>
      </c>
      <c r="J114" s="3">
        <v>100</v>
      </c>
      <c r="K114" s="3">
        <f>VLOOKUP($A114,'SegEnds_NonXtal_BW#'!$A:$Z,8,FALSE)+VLOOKUP($A114,A:AL,10,FALSE)-50</f>
        <v>118</v>
      </c>
      <c r="L114" s="3">
        <f t="shared" si="91"/>
        <v>119</v>
      </c>
      <c r="M114" s="3">
        <v>120</v>
      </c>
      <c r="N114" s="3">
        <f t="shared" si="92"/>
        <v>122</v>
      </c>
      <c r="O114" s="3">
        <f t="shared" si="93"/>
        <v>123</v>
      </c>
      <c r="P114" s="3">
        <v>152</v>
      </c>
      <c r="Q114" s="3">
        <f>VLOOKUP($A114,'SegEnds_NonXtal_BW#'!$A:$Z,12,FALSE)+VLOOKUP($A114,A:AL,16,FALSE)-50</f>
        <v>158</v>
      </c>
      <c r="R114" s="3">
        <f>IF(ISERROR(VLOOKUP($A114,'SegEnds_NonXtal_BW#'!$A:$Z,13,FALSE)+VLOOKUP($A114,A:AL,19,FALSE)-50),"-",VLOOKUP($A114,'SegEnds_NonXtal_BW#'!$A:$Z,13,FALSE)+VLOOKUP($A114,A:AL,19,FALSE)-50)</f>
        <v>159</v>
      </c>
      <c r="S114" s="3">
        <v>159</v>
      </c>
      <c r="T114" s="100">
        <f>IF(ISERROR(VLOOKUP($A114,'SegEnds_NonXtal_BW#'!$A:$Z,14,FALSE)+VLOOKUP($A114,A:AL,19,FALSE)-50),"-",(VLOOKUP($A114,'SegEnds_NonXtal_BW#'!$A:$Z,14,FALSE)+VLOOKUP($A114,A:AL,19,FALSE)-50))</f>
        <v>166</v>
      </c>
      <c r="U114" s="9">
        <f>IF(ISERROR(VLOOKUP($A114,'SegEnds_NonXtal_BW#'!$A:$Z,15,FALSE)+VLOOKUP($A114,A:AL,22,FALSE)-50),"-",VLOOKUP($A114,'SegEnds_NonXtal_BW#'!$A:$Z,15,FALSE)+VLOOKUP($A114,A:AL,22,FALSE)-50)</f>
        <v>167</v>
      </c>
      <c r="V114" s="3">
        <v>179</v>
      </c>
      <c r="W114" s="3">
        <f>IF(ISERROR(VLOOKUP($A114,'SegEnds_NonXtal_BW#'!$A:$Z,16,FALSE)+VLOOKUP($A114,A:AL,22,FALSE)-50),"-",(VLOOKUP($A114,'SegEnds_NonXtal_BW#'!$A:$Z,16,FALSE)+VLOOKUP($A114,A:AL,22,FALSE)-50))</f>
        <v>193</v>
      </c>
      <c r="X114" s="3">
        <f>IF(ISERROR(VLOOKUP($A114,'SegEnds_NonXtal_BW#'!$A:$Z,17,FALSE)+VLOOKUP($A114,A:AL,25,FALSE)-50),"-",(VLOOKUP($A114,'SegEnds_NonXtal_BW#'!$A:$Z,17,FALSE)+VLOOKUP($A114,A:AL,25,FALSE)-50))</f>
        <v>205</v>
      </c>
      <c r="Y114" s="3">
        <v>205</v>
      </c>
      <c r="Z114" s="3">
        <f t="shared" si="64"/>
        <v>207</v>
      </c>
      <c r="AA114" s="3">
        <f>IF(ISERROR(VLOOKUP($A114,'SegEnds_NonXtal_BW#'!$A:$Z,19,FALSE)+VLOOKUP($A114,A:AL,28,FALSE)-50),"-",(VLOOKUP($A114,'SegEnds_NonXtal_BW#'!$A:$Z,19,FALSE)+VLOOKUP($A114,A:AL,28,FALSE)-50))</f>
        <v>213</v>
      </c>
      <c r="AB114" s="3">
        <v>230</v>
      </c>
      <c r="AC114" s="3">
        <f>IF(ISERROR((VLOOKUP($A114,'SegEnds_NonXtal_BW#'!$A:$Z,20,FALSE)+VLOOKUP($A114,A:AL,28,FALSE)-50)),"-",(VLOOKUP($A114,'SegEnds_NonXtal_BW#'!$A:$Z,20,FALSE)+VLOOKUP($A114,A:AL,28,FALSE)-50))</f>
        <v>256</v>
      </c>
      <c r="AD114" s="3">
        <f>IF(ISERROR(VLOOKUP($A114,'SegEnds_NonXtal_BW#'!$A:$Z,21,FALSE)+VLOOKUP($A114,A:AL,31,FALSE)-50),"-",(VLOOKUP($A114,'SegEnds_NonXtal_BW#'!$A:$Z,21,FALSE)+VLOOKUP($A114,A:AL,31,FALSE)-50))</f>
        <v>322</v>
      </c>
      <c r="AE114" s="3">
        <v>348</v>
      </c>
      <c r="AF114" s="3">
        <f>IF(ISERROR((VLOOKUP($A114,'SegEnds_NonXtal_BW#'!$A:$Z,22,FALSE)+VLOOKUP($A114,A:AL,31,FALSE)-50)),"-",(VLOOKUP($A114,'SegEnds_NonXtal_BW#'!$A:$Z,22,FALSE)+VLOOKUP($A114,A:AL,31,FALSE)-50))</f>
        <v>359</v>
      </c>
      <c r="AG114" s="3">
        <f>IF(ISERROR(VLOOKUP($A114,'SegEnds_NonXtal_BW#'!$A:$Z,23,FALSE)+VLOOKUP($A114,A:AL,34,FALSE)-50),"-",(VLOOKUP($A114,'SegEnds_NonXtal_BW#'!$A:$Z,23,FALSE)+VLOOKUP($A114,A:AL,34,FALSE)-50))</f>
        <v>364</v>
      </c>
      <c r="AH114" s="3">
        <v>387</v>
      </c>
      <c r="AI114" s="3">
        <f>IF(ISERROR((VLOOKUP($A114,'SegEnds_NonXtal_BW#'!$A:$Z,24,FALSE)+VLOOKUP($A114,A:AL,34,FALSE)-50)),"-",(VLOOKUP($A114,'SegEnds_NonXtal_BW#'!$A:$Z,24,FALSE)+VLOOKUP($A114,A:AL,34,FALSE)-50))</f>
        <v>393</v>
      </c>
      <c r="AJ114" s="3">
        <f>IF(ISERROR(VLOOKUP($A114,'SegEnds_NonXtal_BW#'!$A:$Z,25,FALSE)+VLOOKUP($A114,A:AL,37,FALSE)-50),"-",(VLOOKUP($A114,'SegEnds_NonXtal_BW#'!$A:$Z,25,FALSE)+VLOOKUP($A114,A:AL,37,FALSE)-50))</f>
        <v>394</v>
      </c>
      <c r="AK114" s="3">
        <v>397</v>
      </c>
      <c r="AL114" s="3">
        <f>IF(ISERROR((VLOOKUP($A114,'SegEnds_NonXtal_BW#'!$A:$Z,26,FALSE)+VLOOKUP($A114,A:AL,37,FALSE)-50)),"-",(VLOOKUP($A114,'SegEnds_NonXtal_BW#'!$A:$Z,26,FALSE)+VLOOKUP($A114,A:AL,37,FALSE)-50))</f>
        <v>410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1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12</v>
      </c>
      <c r="AW114" s="3">
        <f t="shared" si="46"/>
        <v>6</v>
      </c>
      <c r="AX114" s="3">
        <f t="shared" si="47"/>
        <v>66</v>
      </c>
      <c r="AY114" s="3">
        <f t="shared" si="48"/>
        <v>5</v>
      </c>
      <c r="AZ114" s="3">
        <f t="shared" si="49"/>
        <v>1</v>
      </c>
      <c r="BA114" s="3">
        <f>IF(ISERROR(LEN(VLOOKUP(A114,Seqs!A:E,2,FALSE))-AL114),"-",LEN(VLOOKUP(A114,Seqs!A:E,2,FALSE))-AL114)</f>
        <v>37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118</v>
      </c>
    </row>
    <row r="115" spans="1:60" s="3" customFormat="1" x14ac:dyDescent="0.2">
      <c r="A115" s="3" t="s">
        <v>208</v>
      </c>
      <c r="B115" s="3" t="str">
        <f>LOWER(VLOOKUP(A115,Xtal_Templ!A:B,2,FALSE))</f>
        <v>ghsr_human</v>
      </c>
      <c r="C115" s="3">
        <f>VLOOKUP($A115,'SegEnds_NonXtal_BW#'!$A:$Z,3,FALSE)+D115-50</f>
        <v>39</v>
      </c>
      <c r="D115" s="3">
        <v>61</v>
      </c>
      <c r="E115" s="3">
        <f>IF(ISERROR(VLOOKUP($A115,'SegEnds_NonXtal_BW#'!$A:$Z,4,FALSE)+VLOOKUP($A115,A:AL,4,FALSE)-50),"-",(VLOOKUP($A115,'SegEnds_NonXtal_BW#'!$A:$Z,4,FALSE)+VLOOKUP($A115,A:AL,4,FALSE)-50))</f>
        <v>71</v>
      </c>
      <c r="F115" s="3">
        <f>G115-2</f>
        <v>72</v>
      </c>
      <c r="G115" s="3">
        <v>74</v>
      </c>
      <c r="H115" s="3">
        <f t="shared" si="94"/>
        <v>75</v>
      </c>
      <c r="I115" s="3">
        <f t="shared" si="94"/>
        <v>76</v>
      </c>
      <c r="J115" s="3">
        <v>89</v>
      </c>
      <c r="K115" s="3">
        <f>VLOOKUP($A115,'SegEnds_NonXtal_BW#'!$A:$Z,8,FALSE)+VLOOKUP($A115,A:AL,10,FALSE)-50</f>
        <v>106</v>
      </c>
      <c r="L115" s="3">
        <f t="shared" si="91"/>
        <v>108</v>
      </c>
      <c r="M115" s="3">
        <v>109</v>
      </c>
      <c r="N115" s="3">
        <f t="shared" si="92"/>
        <v>111</v>
      </c>
      <c r="O115" s="3">
        <f t="shared" si="93"/>
        <v>112</v>
      </c>
      <c r="P115" s="3">
        <v>141</v>
      </c>
      <c r="Q115" s="3">
        <f>VLOOKUP($A115,'SegEnds_NonXtal_BW#'!$A:$Z,12,FALSE)+VLOOKUP($A115,A:AL,16,FALSE)-50</f>
        <v>147</v>
      </c>
      <c r="R115" s="3">
        <f>IF(ISERROR(VLOOKUP($A115,'SegEnds_NonXtal_BW#'!$A:$Z,13,FALSE)+VLOOKUP($A115,A:AL,19,FALSE)-50),"-",VLOOKUP($A115,'SegEnds_NonXtal_BW#'!$A:$Z,13,FALSE)+VLOOKUP($A115,A:AL,19,FALSE)-50)</f>
        <v>148</v>
      </c>
      <c r="S115" s="3">
        <v>148</v>
      </c>
      <c r="T115" s="100">
        <f>IF(ISERROR(VLOOKUP($A115,'SegEnds_NonXtal_BW#'!$A:$Z,14,FALSE)+VLOOKUP($A115,A:AL,19,FALSE)-50),"-",(VLOOKUP($A115,'SegEnds_NonXtal_BW#'!$A:$Z,14,FALSE)+VLOOKUP($A115,A:AL,19,FALSE)-50))</f>
        <v>155</v>
      </c>
      <c r="U115" s="9">
        <f>IF(ISERROR(VLOOKUP($A115,'SegEnds_NonXtal_BW#'!$A:$Z,15,FALSE)+VLOOKUP($A115,A:AL,22,FALSE)-50),"-",VLOOKUP($A115,'SegEnds_NonXtal_BW#'!$A:$Z,15,FALSE)+VLOOKUP($A115,A:AL,22,FALSE)-50)</f>
        <v>156</v>
      </c>
      <c r="V115" s="3">
        <v>168</v>
      </c>
      <c r="W115" s="3">
        <f>IF(ISERROR(VLOOKUP($A115,'SegEnds_NonXtal_BW#'!$A:$Z,16,FALSE)+VLOOKUP($A115,A:AL,22,FALSE)-50),"-",(VLOOKUP($A115,'SegEnds_NonXtal_BW#'!$A:$Z,16,FALSE)+VLOOKUP($A115,A:AL,22,FALSE)-50))</f>
        <v>182</v>
      </c>
      <c r="X115" s="3">
        <f>IF(ISERROR(VLOOKUP($A115,'SegEnds_NonXtal_BW#'!$A:$Z,17,FALSE)+VLOOKUP($A115,A:AL,25,FALSE)-50),"-",(VLOOKUP($A115,'SegEnds_NonXtal_BW#'!$A:$Z,17,FALSE)+VLOOKUP($A115,A:AL,25,FALSE)-50))</f>
        <v>198</v>
      </c>
      <c r="Y115" s="3">
        <v>198</v>
      </c>
      <c r="Z115" s="3">
        <f t="shared" si="64"/>
        <v>200</v>
      </c>
      <c r="AA115" s="3">
        <f>IF(ISERROR(VLOOKUP($A115,'SegEnds_NonXtal_BW#'!$A:$Z,19,FALSE)+VLOOKUP($A115,A:AL,28,FALSE)-50),"-",(VLOOKUP($A115,'SegEnds_NonXtal_BW#'!$A:$Z,19,FALSE)+VLOOKUP($A115,A:AL,28,FALSE)-50))</f>
        <v>208</v>
      </c>
      <c r="AB115" s="3">
        <v>224</v>
      </c>
      <c r="AC115" s="3">
        <f>IF(ISERROR((VLOOKUP($A115,'SegEnds_NonXtal_BW#'!$A:$Z,20,FALSE)+VLOOKUP($A115,A:AL,28,FALSE)-50)),"-",(VLOOKUP($A115,'SegEnds_NonXtal_BW#'!$A:$Z,20,FALSE)+VLOOKUP($A115,A:AL,28,FALSE)-50))</f>
        <v>246</v>
      </c>
      <c r="AD115" s="3">
        <f>IF(ISERROR(VLOOKUP($A115,'SegEnds_NonXtal_BW#'!$A:$Z,21,FALSE)+VLOOKUP($A115,A:AL,31,FALSE)-50),"-",(VLOOKUP($A115,'SegEnds_NonXtal_BW#'!$A:$Z,21,FALSE)+VLOOKUP($A115,A:AL,31,FALSE)-50))</f>
        <v>252</v>
      </c>
      <c r="AE115" s="3">
        <v>278</v>
      </c>
      <c r="AF115" s="3">
        <f>IF(ISERROR((VLOOKUP($A115,'SegEnds_NonXtal_BW#'!$A:$Z,22,FALSE)+VLOOKUP($A115,A:AL,31,FALSE)-50)),"-",(VLOOKUP($A115,'SegEnds_NonXtal_BW#'!$A:$Z,22,FALSE)+VLOOKUP($A115,A:AL,31,FALSE)-50))</f>
        <v>289</v>
      </c>
      <c r="AG115" s="3">
        <f>IF(ISERROR(VLOOKUP($A115,'SegEnds_NonXtal_BW#'!$A:$Z,23,FALSE)+VLOOKUP($A115,A:AL,34,FALSE)-50),"-",(VLOOKUP($A115,'SegEnds_NonXtal_BW#'!$A:$Z,23,FALSE)+VLOOKUP($A115,A:AL,34,FALSE)-50))</f>
        <v>298</v>
      </c>
      <c r="AH115" s="3">
        <v>320</v>
      </c>
      <c r="AI115" s="3">
        <f>IF(ISERROR((VLOOKUP($A115,'SegEnds_NonXtal_BW#'!$A:$Z,24,FALSE)+VLOOKUP($A115,A:AL,34,FALSE)-50)),"-",(VLOOKUP($A115,'SegEnds_NonXtal_BW#'!$A:$Z,24,FALSE)+VLOOKUP($A115,A:AL,34,FALSE)-50))</f>
        <v>326</v>
      </c>
      <c r="AJ115" s="3">
        <f>IF(ISERROR(VLOOKUP($A115,'SegEnds_NonXtal_BW#'!$A:$Z,25,FALSE)+VLOOKUP($A115,A:AL,37,FALSE)-50),"-",(VLOOKUP($A115,'SegEnds_NonXtal_BW#'!$A:$Z,25,FALSE)+VLOOKUP($A115,A:AL,37,FALSE)-50))</f>
        <v>327</v>
      </c>
      <c r="AK115" s="3">
        <v>330</v>
      </c>
      <c r="AL115" s="3">
        <f>IF(ISERROR((VLOOKUP($A115,'SegEnds_NonXtal_BW#'!$A:$Z,26,FALSE)+VLOOKUP($A115,A:AL,37,FALSE)-50)),"-",(VLOOKUP($A115,'SegEnds_NonXtal_BW#'!$A:$Z,26,FALSE)+VLOOKUP($A115,A:AL,37,FALSE)-50))</f>
        <v>342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Xtal</v>
      </c>
      <c r="AP115" s="3">
        <f t="shared" si="39"/>
        <v>1</v>
      </c>
      <c r="AQ115" s="3">
        <f t="shared" si="40"/>
        <v>1</v>
      </c>
      <c r="AR115" s="3">
        <f t="shared" si="41"/>
        <v>2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16</v>
      </c>
      <c r="AW115" s="3">
        <f t="shared" si="46"/>
        <v>8</v>
      </c>
      <c r="AX115" s="3">
        <f t="shared" si="47"/>
        <v>6</v>
      </c>
      <c r="AY115" s="3">
        <f t="shared" si="48"/>
        <v>9</v>
      </c>
      <c r="AZ115" s="3">
        <f t="shared" si="49"/>
        <v>1</v>
      </c>
      <c r="BA115" s="3">
        <f>IF(ISERROR(LEN(VLOOKUP(A115,Seqs!A:E,2,FALSE))-AL115),"-",LEN(VLOOKUP(A115,Seqs!A:E,2,FALSE))-AL115)</f>
        <v>24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54</v>
      </c>
      <c r="BF115" s="3">
        <f>AH115-AE115</f>
        <v>42</v>
      </c>
    </row>
    <row r="116" spans="1:60" s="3" customFormat="1" x14ac:dyDescent="0.2">
      <c r="A116" s="3" t="s">
        <v>211</v>
      </c>
      <c r="B116" s="3" t="str">
        <f>LOWER(VLOOKUP(A116,Xtal_Templ!A:B,2,FALSE))</f>
        <v>ccr5_human</v>
      </c>
      <c r="C116" s="3">
        <f>VLOOKUP($A116,'SegEnds_NonXtal_BW#'!$A:$Z,3,FALSE)+D116-50</f>
        <v>23</v>
      </c>
      <c r="D116" s="3">
        <v>49</v>
      </c>
      <c r="E116" s="3">
        <f>IF(ISERROR(VLOOKUP($A116,'SegEnds_NonXtal_BW#'!$A:$Z,4,FALSE)+VLOOKUP($A116,A:AL,4,FALSE)-50),"-",(VLOOKUP($A116,'SegEnds_NonXtal_BW#'!$A:$Z,4,FALSE)+VLOOKUP($A116,A:AL,4,FALSE)-50))</f>
        <v>59</v>
      </c>
      <c r="F116" s="3">
        <f>G116-2</f>
        <v>60</v>
      </c>
      <c r="G116" s="3">
        <v>62</v>
      </c>
      <c r="H116" s="3">
        <f t="shared" si="94"/>
        <v>63</v>
      </c>
      <c r="I116" s="3">
        <f t="shared" si="94"/>
        <v>64</v>
      </c>
      <c r="J116" s="3">
        <v>77</v>
      </c>
      <c r="K116" s="3">
        <f>VLOOKUP($A116,'SegEnds_NonXtal_BW#'!$A:$Z,8,FALSE)+VLOOKUP($A116,A:AL,10,FALSE)-50</f>
        <v>93</v>
      </c>
      <c r="L116" s="3">
        <f t="shared" si="91"/>
        <v>96</v>
      </c>
      <c r="M116" s="3">
        <v>97</v>
      </c>
      <c r="N116" s="3">
        <f t="shared" si="92"/>
        <v>99</v>
      </c>
      <c r="O116" s="3">
        <f t="shared" si="93"/>
        <v>100</v>
      </c>
      <c r="P116" s="3">
        <v>129</v>
      </c>
      <c r="Q116" s="3">
        <f>VLOOKUP($A116,'SegEnds_NonXtal_BW#'!$A:$Z,12,FALSE)+VLOOKUP($A116,A:AL,16,FALSE)-50</f>
        <v>135</v>
      </c>
      <c r="R116" s="3">
        <f>IF(ISERROR(VLOOKUP($A116,'SegEnds_NonXtal_BW#'!$A:$Z,13,FALSE)+VLOOKUP($A116,A:AL,19,FALSE)-50),"-",VLOOKUP($A116,'SegEnds_NonXtal_BW#'!$A:$Z,13,FALSE)+VLOOKUP($A116,A:AL,19,FALSE)-50)</f>
        <v>136</v>
      </c>
      <c r="S116" s="3">
        <v>136</v>
      </c>
      <c r="T116" s="100">
        <f>IF(ISERROR(VLOOKUP($A116,'SegEnds_NonXtal_BW#'!$A:$Z,14,FALSE)+VLOOKUP($A116,A:AL,19,FALSE)-50),"-",(VLOOKUP($A116,'SegEnds_NonXtal_BW#'!$A:$Z,14,FALSE)+VLOOKUP($A116,A:AL,19,FALSE)-50))</f>
        <v>143</v>
      </c>
      <c r="U116" s="9">
        <f>IF(ISERROR(VLOOKUP($A116,'SegEnds_NonXtal_BW#'!$A:$Z,15,FALSE)+VLOOKUP($A116,A:AL,22,FALSE)-50),"-",VLOOKUP($A116,'SegEnds_NonXtal_BW#'!$A:$Z,15,FALSE)+VLOOKUP($A116,A:AL,22,FALSE)-50)</f>
        <v>144</v>
      </c>
      <c r="V116" s="3">
        <v>156</v>
      </c>
      <c r="W116" s="3">
        <f>IF(ISERROR(VLOOKUP($A116,'SegEnds_NonXtal_BW#'!$A:$Z,16,FALSE)+VLOOKUP($A116,A:AL,22,FALSE)-50),"-",(VLOOKUP($A116,'SegEnds_NonXtal_BW#'!$A:$Z,16,FALSE)+VLOOKUP($A116,A:AL,22,FALSE)-50))</f>
        <v>170</v>
      </c>
      <c r="X116" s="3">
        <f>IF(ISERROR(VLOOKUP($A116,'SegEnds_NonXtal_BW#'!$A:$Z,17,FALSE)+VLOOKUP($A116,A:AL,25,FALSE)-50),"-",(VLOOKUP($A116,'SegEnds_NonXtal_BW#'!$A:$Z,17,FALSE)+VLOOKUP($A116,A:AL,25,FALSE)-50))</f>
        <v>182</v>
      </c>
      <c r="Y116" s="3">
        <v>182</v>
      </c>
      <c r="Z116" s="3">
        <f t="shared" si="64"/>
        <v>184</v>
      </c>
      <c r="AA116" s="3">
        <f>IF(ISERROR(VLOOKUP($A116,'SegEnds_NonXtal_BW#'!$A:$Z,19,FALSE)+VLOOKUP($A116,A:AL,28,FALSE)-50),"-",(VLOOKUP($A116,'SegEnds_NonXtal_BW#'!$A:$Z,19,FALSE)+VLOOKUP($A116,A:AL,28,FALSE)-50))</f>
        <v>189</v>
      </c>
      <c r="AB116" s="3">
        <v>204</v>
      </c>
      <c r="AC116" s="3">
        <f>IF(ISERROR((VLOOKUP($A116,'SegEnds_NonXtal_BW#'!$A:$Z,20,FALSE)+VLOOKUP($A116,A:AL,28,FALSE)-50)),"-",(VLOOKUP($A116,'SegEnds_NonXtal_BW#'!$A:$Z,20,FALSE)+VLOOKUP($A116,A:AL,28,FALSE)-50))</f>
        <v>229</v>
      </c>
      <c r="AD116" s="3">
        <f>IF(ISERROR(VLOOKUP($A116,'SegEnds_NonXtal_BW#'!$A:$Z,21,FALSE)+VLOOKUP($A116,A:AL,31,FALSE)-50),"-",(VLOOKUP($A116,'SegEnds_NonXtal_BW#'!$A:$Z,21,FALSE)+VLOOKUP($A116,A:AL,31,FALSE)-50))</f>
        <v>388</v>
      </c>
      <c r="AE116" s="3">
        <v>414</v>
      </c>
      <c r="AF116" s="3">
        <f>IF(ISERROR((VLOOKUP($A116,'SegEnds_NonXtal_BW#'!$A:$Z,22,FALSE)+VLOOKUP($A116,A:AL,31,FALSE)-50)),"-",(VLOOKUP($A116,'SegEnds_NonXtal_BW#'!$A:$Z,22,FALSE)+VLOOKUP($A116,A:AL,31,FALSE)-50))</f>
        <v>425</v>
      </c>
      <c r="AG116" s="3">
        <f>IF(ISERROR(VLOOKUP($A116,'SegEnds_NonXtal_BW#'!$A:$Z,23,FALSE)+VLOOKUP($A116,A:AL,34,FALSE)-50),"-",(VLOOKUP($A116,'SegEnds_NonXtal_BW#'!$A:$Z,23,FALSE)+VLOOKUP($A116,A:AL,34,FALSE)-50))</f>
        <v>432</v>
      </c>
      <c r="AH116" s="3">
        <v>451</v>
      </c>
      <c r="AI116" s="3">
        <f>IF(ISERROR((VLOOKUP($A116,'SegEnds_NonXtal_BW#'!$A:$Z,24,FALSE)+VLOOKUP($A116,A:AL,34,FALSE)-50)),"-",(VLOOKUP($A116,'SegEnds_NonXtal_BW#'!$A:$Z,24,FALSE)+VLOOKUP($A116,A:AL,34,FALSE)-50))</f>
        <v>457</v>
      </c>
      <c r="AJ116" s="3">
        <f>IF(ISERROR(VLOOKUP($A116,'SegEnds_NonXtal_BW#'!$A:$Z,25,FALSE)+VLOOKUP($A116,A:AL,37,FALSE)-50),"-",(VLOOKUP($A116,'SegEnds_NonXtal_BW#'!$A:$Z,25,FALSE)+VLOOKUP($A116,A:AL,37,FALSE)-50))</f>
        <v>458</v>
      </c>
      <c r="AK116" s="3">
        <v>461</v>
      </c>
      <c r="AL116" s="3">
        <f>IF(ISERROR((VLOOKUP($A116,'SegEnds_NonXtal_BW#'!$A:$Z,26,FALSE)+VLOOKUP($A116,A:AL,37,FALSE)-50)),"-",(VLOOKUP($A116,'SegEnds_NonXtal_BW#'!$A:$Z,26,FALSE)+VLOOKUP($A116,A:AL,37,FALSE)-50))</f>
        <v>470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>
        <f t="shared" si="39"/>
        <v>1</v>
      </c>
      <c r="AQ116" s="3">
        <f t="shared" si="40"/>
        <v>1</v>
      </c>
      <c r="AR116" s="3">
        <f t="shared" si="41"/>
        <v>3</v>
      </c>
      <c r="AS116" s="3">
        <f t="shared" si="42"/>
        <v>1</v>
      </c>
      <c r="AT116" s="3">
        <f t="shared" si="43"/>
        <v>1</v>
      </c>
      <c r="AU116" s="3">
        <f t="shared" si="44"/>
        <v>1</v>
      </c>
      <c r="AV116" s="3">
        <f t="shared" si="45"/>
        <v>12</v>
      </c>
      <c r="AW116" s="3">
        <f t="shared" si="46"/>
        <v>5</v>
      </c>
      <c r="AX116" s="3">
        <f t="shared" si="47"/>
        <v>159</v>
      </c>
      <c r="AY116" s="3">
        <f t="shared" si="48"/>
        <v>7</v>
      </c>
      <c r="AZ116" s="3">
        <f t="shared" si="49"/>
        <v>1</v>
      </c>
      <c r="BA116" s="3">
        <f>IF(ISERROR(LEN(VLOOKUP(A116,Seqs!A:E,2,FALSE))-AL116),"-",LEN(VLOOKUP(A116,Seqs!A:E,2,FALSE))-AL116)</f>
        <v>38</v>
      </c>
      <c r="BB116" s="16">
        <f t="shared" si="50"/>
        <v>28</v>
      </c>
      <c r="BC116" s="9">
        <f t="shared" si="51"/>
        <v>20</v>
      </c>
      <c r="BD116" s="3">
        <f t="shared" si="52"/>
        <v>28</v>
      </c>
      <c r="BE116" s="3">
        <f t="shared" si="53"/>
        <v>210</v>
      </c>
    </row>
    <row r="117" spans="1:60" s="3" customFormat="1" x14ac:dyDescent="0.2">
      <c r="A117" s="3" t="s">
        <v>212</v>
      </c>
      <c r="B117" s="3" t="str">
        <f>LOWER(VLOOKUP(A117,Xtal_Templ!A:B,2,FALSE))</f>
        <v>aa1r_human</v>
      </c>
      <c r="C117" s="3">
        <f>VLOOKUP($A117,'SegEnds_NonXtal_BW#'!$A:$Z,3,FALSE)+D117-50</f>
        <v>1</v>
      </c>
      <c r="D117" s="3">
        <v>22</v>
      </c>
      <c r="E117" s="3">
        <f>IF(ISERROR(VLOOKUP($A117,'SegEnds_NonXtal_BW#'!$A:$Z,4,FALSE)+VLOOKUP($A117,A:AL,4,FALSE)-50),"-",(VLOOKUP($A117,'SegEnds_NonXtal_BW#'!$A:$Z,4,FALSE)+VLOOKUP($A117,A:AL,4,FALSE)-50))</f>
        <v>32</v>
      </c>
      <c r="F117" s="3" t="str">
        <f>IF(ISERROR(VLOOKUP($A117,'SegEnds_NonXtal_BW#'!$A:$Z,5,FALSE)+VLOOKUP($A117,A:AL,7,FALSE)-50),"-",(VLOOKUP($A117,'SegEnds_NonXtal_BW#'!$A:$Z,5,FALSE)+VLOOKUP($A117,A:AL,7,FALSE)-50))</f>
        <v>-</v>
      </c>
      <c r="G117" s="3" t="s">
        <v>23</v>
      </c>
      <c r="H117" s="3" t="str">
        <f>IF(ISERROR(VLOOKUP($A117,'SegEnds_NonXtal_BW#'!$A:$Z,6,FALSE)+VLOOKUP($A117,A:AL,7,FALSE)-50),"-",(VLOOKUP($A117,'SegEnds_NonXtal_BW#'!$A:$Z,6,FALSE)+VLOOKUP($A117,A:AL,7,FALSE)-50))</f>
        <v>-</v>
      </c>
      <c r="I117" s="3">
        <f>VLOOKUP($A117,'SegEnds_NonXtal_BW#'!$A:$Z,7,FALSE)+J117-50</f>
        <v>38</v>
      </c>
      <c r="J117" s="3">
        <v>51</v>
      </c>
      <c r="K117" s="3">
        <f>VLOOKUP($A117,'SegEnds_NonXtal_BW#'!$A:$Z,8,FALSE)+VLOOKUP($A117,A:AL,10,FALSE)-50</f>
        <v>67</v>
      </c>
      <c r="L117" s="3" t="str">
        <f>IF(ISERROR(VLOOKUP($A117,'SegEnds_NonXtal_BW#'!$A:$Z,9,FALSE)+VLOOKUP($A117,A:AL,13,FALSE)-50),"-",(VLOOKUP($A117,'SegEnds_NonXtal_BW#'!$A:$Z,9,FALSE)+VLOOKUP($A117,A:AL,13,FALSE)-50))</f>
        <v>-</v>
      </c>
      <c r="M117" s="3" t="s">
        <v>23</v>
      </c>
      <c r="N117" s="3" t="str">
        <f>IF(ISERROR(VLOOKUP($A117,'SegEnds_NonXtal_BW#'!$A:$Z,10,FALSE)+VLOOKUP($A117,A:AL,13,FALSE)-50),"-",(VLOOKUP($A117,'SegEnds_NonXtal_BW#'!$A:$Z,10,FALSE)+VLOOKUP($A117,A:AL,13,FALSE)-50))</f>
        <v>-</v>
      </c>
      <c r="O117" s="3">
        <f>VLOOKUP($A117,'SegEnds_NonXtal_BW#'!$A:$Z,11,FALSE)+VLOOKUP($A117,A:AL,16,FALSE)-50</f>
        <v>71</v>
      </c>
      <c r="P117" s="3">
        <v>103</v>
      </c>
      <c r="Q117" s="3">
        <f>VLOOKUP($A117,'SegEnds_NonXtal_BW#'!$A:$Z,12,FALSE)+VLOOKUP($A117,A:AL,16,FALSE)-50</f>
        <v>109</v>
      </c>
      <c r="R117" s="3">
        <f>IF(ISERROR(VLOOKUP($A117,'SegEnds_NonXtal_BW#'!$A:$Z,13,FALSE)+VLOOKUP($A117,A:AL,19,FALSE)-50),"-",VLOOKUP($A117,'SegEnds_NonXtal_BW#'!$A:$Z,13,FALSE)+VLOOKUP($A117,A:AL,19,FALSE)-50)</f>
        <v>110</v>
      </c>
      <c r="S117" s="3">
        <v>110</v>
      </c>
      <c r="T117" s="100">
        <f>IF(ISERROR(VLOOKUP($A117,'SegEnds_NonXtal_BW#'!$A:$Z,14,FALSE)+VLOOKUP($A117,A:AL,19,FALSE)-50),"-",(VLOOKUP($A117,'SegEnds_NonXtal_BW#'!$A:$Z,14,FALSE)+VLOOKUP($A117,A:AL,19,FALSE)-50))</f>
        <v>117</v>
      </c>
      <c r="U117" s="9">
        <f>IF(ISERROR(VLOOKUP($A117,'SegEnds_NonXtal_BW#'!$A:$Z,15,FALSE)+VLOOKUP($A117,A:AL,22,FALSE)-50),"-",VLOOKUP($A117,'SegEnds_NonXtal_BW#'!$A:$Z,15,FALSE)+VLOOKUP($A117,A:AL,22,FALSE)-50)</f>
        <v>118</v>
      </c>
      <c r="V117" s="3">
        <v>130</v>
      </c>
      <c r="W117" s="3">
        <f>IF(ISERROR(VLOOKUP($A117,'SegEnds_NonXtal_BW#'!$A:$Z,16,FALSE)+VLOOKUP($A117,A:AL,22,FALSE)-50),"-",(VLOOKUP($A117,'SegEnds_NonXtal_BW#'!$A:$Z,16,FALSE)+VLOOKUP($A117,A:AL,22,FALSE)-50))</f>
        <v>143</v>
      </c>
      <c r="X117" s="3">
        <f>Y117</f>
        <v>155</v>
      </c>
      <c r="Y117" s="3">
        <v>155</v>
      </c>
      <c r="Z117" s="3">
        <f t="shared" si="64"/>
        <v>157</v>
      </c>
      <c r="AA117" s="3">
        <f>IF(ISERROR(VLOOKUP($A117,'SegEnds_NonXtal_BW#'!$A:$Z,19,FALSE)+VLOOKUP($A117,A:AL,28,FALSE)-50),"-",(VLOOKUP($A117,'SegEnds_NonXtal_BW#'!$A:$Z,19,FALSE)+VLOOKUP($A117,A:AL,28,FALSE)-50))</f>
        <v>161</v>
      </c>
      <c r="AB117" s="3">
        <v>176</v>
      </c>
      <c r="AC117" s="3">
        <f>IF(ISERROR((VLOOKUP($A117,'SegEnds_NonXtal_BW#'!$A:$Z,20,FALSE)+VLOOKUP($A117,A:AL,28,FALSE)-50)),"-",(VLOOKUP($A117,'SegEnds_NonXtal_BW#'!$A:$Z,20,FALSE)+VLOOKUP($A117,A:AL,28,FALSE)-50))</f>
        <v>207</v>
      </c>
      <c r="AD117" s="3">
        <f>IF(ISERROR(VLOOKUP($A117,'SegEnds_NonXtal_BW#'!$A:$Z,21,FALSE)+VLOOKUP($A117,A:AL,31,FALSE)-50),"-",(VLOOKUP($A117,'SegEnds_NonXtal_BW#'!$A:$Z,21,FALSE)+VLOOKUP($A117,A:AL,31,FALSE)-50))</f>
        <v>213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257</v>
      </c>
      <c r="AH117" s="3">
        <v>276</v>
      </c>
      <c r="AI117" s="3">
        <v>282</v>
      </c>
      <c r="AJ117" s="3">
        <f>IF(ISERROR(VLOOKUP($A117,'SegEnds_NonXtal_BW#'!$A:$Z,25,FALSE)+VLOOKUP($A117,A:AL,37,FALSE)-50),"-",(VLOOKUP($A117,'SegEnds_NonXtal_BW#'!$A:$Z,25,FALSE)+VLOOKUP($A117,A:AL,37,FALSE)-50))</f>
        <v>283</v>
      </c>
      <c r="AK117" s="3">
        <v>286</v>
      </c>
      <c r="AL117" s="3">
        <f>IF(ISERROR((VLOOKUP($A117,'SegEnds_NonXtal_BW#'!$A:$Z,26,FALSE)+VLOOKUP($A117,A:AL,37,FALSE)-50)),"-",(VLOOKUP($A117,'SegEnds_NonXtal_BW#'!$A:$Z,26,FALSE)+VLOOKUP($A117,A:AL,37,FALSE)-50))</f>
        <v>305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 t="str">
        <f t="shared" si="39"/>
        <v>-</v>
      </c>
      <c r="AQ117" s="3" t="str">
        <f t="shared" si="40"/>
        <v>-</v>
      </c>
      <c r="AR117" s="3" t="str">
        <f t="shared" si="41"/>
        <v>-</v>
      </c>
      <c r="AS117" s="3" t="str">
        <f t="shared" si="42"/>
        <v>-</v>
      </c>
      <c r="AT117" s="3">
        <f t="shared" si="43"/>
        <v>1</v>
      </c>
      <c r="AU117" s="3">
        <f t="shared" si="44"/>
        <v>1</v>
      </c>
      <c r="AV117" s="3">
        <f t="shared" si="45"/>
        <v>12</v>
      </c>
      <c r="AW117" s="3">
        <f t="shared" si="46"/>
        <v>4</v>
      </c>
      <c r="AX117" s="3">
        <f t="shared" si="47"/>
        <v>6</v>
      </c>
      <c r="AY117" s="3">
        <f t="shared" si="48"/>
        <v>6</v>
      </c>
      <c r="AZ117" s="3">
        <f t="shared" si="49"/>
        <v>1</v>
      </c>
      <c r="BA117" s="3">
        <f>IF(ISERROR(LEN(VLOOKUP(A117,Seqs!A:E,2,FALSE))-AL117),"-",LEN(VLOOKUP(A117,Seqs!A:E,2,FALSE))-AL117)</f>
        <v>30</v>
      </c>
      <c r="BB117" s="16">
        <f t="shared" si="50"/>
        <v>29</v>
      </c>
      <c r="BC117" s="9">
        <f t="shared" si="51"/>
        <v>20</v>
      </c>
      <c r="BD117" s="3">
        <f t="shared" si="52"/>
        <v>29</v>
      </c>
      <c r="BE117" s="3">
        <f t="shared" si="53"/>
        <v>64</v>
      </c>
    </row>
    <row r="118" spans="1:60" s="3" customFormat="1" x14ac:dyDescent="0.2">
      <c r="A118" s="3" t="s">
        <v>216</v>
      </c>
      <c r="B118" s="3" t="str">
        <f>LOWER(VLOOKUP(A118,Xtal_Templ!A:B,2,FALSE))</f>
        <v>ccr7_human</v>
      </c>
      <c r="C118" s="3">
        <f>VLOOKUP($A118,'SegEnds_NonXtal_BW#'!$A:$Z,3,FALSE)+D118-50</f>
        <v>13</v>
      </c>
      <c r="D118" s="3">
        <v>34</v>
      </c>
      <c r="E118" s="3">
        <f>IF(ISERROR(VLOOKUP($A118,'SegEnds_NonXtal_BW#'!$A:$Z,4,FALSE)+VLOOKUP($A118,A:AL,4,FALSE)-50),"-",(VLOOKUP($A118,'SegEnds_NonXtal_BW#'!$A:$Z,4,FALSE)+VLOOKUP($A118,A:AL,4,FALSE)-50))</f>
        <v>44</v>
      </c>
      <c r="F118" s="3">
        <f>G118-2</f>
        <v>45</v>
      </c>
      <c r="G118" s="3">
        <v>47</v>
      </c>
      <c r="H118" s="3">
        <f>G118+1</f>
        <v>48</v>
      </c>
      <c r="I118" s="3">
        <f>H118+1</f>
        <v>49</v>
      </c>
      <c r="J118" s="3">
        <v>62</v>
      </c>
      <c r="K118" s="3">
        <f>VLOOKUP($A118,'SegEnds_NonXtal_BW#'!$A:$Z,8,FALSE)+VLOOKUP($A118,A:AL,10,FALSE)-50</f>
        <v>78</v>
      </c>
      <c r="L118" s="3">
        <f t="shared" ref="L118:L123" si="95">M118-1</f>
        <v>80</v>
      </c>
      <c r="M118" s="3">
        <v>81</v>
      </c>
      <c r="N118" s="3">
        <f t="shared" ref="N118:N123" si="96">M118+2</f>
        <v>83</v>
      </c>
      <c r="O118" s="3">
        <f t="shared" ref="O118:O123" si="97">N118+1</f>
        <v>84</v>
      </c>
      <c r="P118" s="3">
        <v>113</v>
      </c>
      <c r="Q118" s="3">
        <f>VLOOKUP($A118,'SegEnds_NonXtal_BW#'!$A:$Z,12,FALSE)+VLOOKUP($A118,A:AL,16,FALSE)-50</f>
        <v>119</v>
      </c>
      <c r="R118" s="3">
        <f>IF(ISERROR(VLOOKUP($A118,'SegEnds_NonXtal_BW#'!$A:$Z,13,FALSE)+VLOOKUP($A118,A:AL,19,FALSE)-50),"-",VLOOKUP($A118,'SegEnds_NonXtal_BW#'!$A:$Z,13,FALSE)+VLOOKUP($A118,A:AL,19,FALSE)-50)</f>
        <v>120</v>
      </c>
      <c r="S118" s="3">
        <v>120</v>
      </c>
      <c r="T118" s="100">
        <f>IF(ISERROR(VLOOKUP($A118,'SegEnds_NonXtal_BW#'!$A:$Z,14,FALSE)+VLOOKUP($A118,A:AL,19,FALSE)-50),"-",(VLOOKUP($A118,'SegEnds_NonXtal_BW#'!$A:$Z,14,FALSE)+VLOOKUP($A118,A:AL,19,FALSE)-50))</f>
        <v>127</v>
      </c>
      <c r="U118" s="9">
        <f>IF(ISERROR(VLOOKUP($A118,'SegEnds_NonXtal_BW#'!$A:$Z,15,FALSE)+VLOOKUP($A118,A:AL,22,FALSE)-50),"-",VLOOKUP($A118,'SegEnds_NonXtal_BW#'!$A:$Z,15,FALSE)+VLOOKUP($A118,A:AL,22,FALSE)-50)</f>
        <v>128</v>
      </c>
      <c r="V118" s="3">
        <v>140</v>
      </c>
      <c r="W118" s="3">
        <f>IF(ISERROR(VLOOKUP($A118,'SegEnds_NonXtal_BW#'!$A:$Z,16,FALSE)+VLOOKUP($A118,A:AL,22,FALSE)-50),"-",(VLOOKUP($A118,'SegEnds_NonXtal_BW#'!$A:$Z,16,FALSE)+VLOOKUP($A118,A:AL,22,FALSE)-50))</f>
        <v>154</v>
      </c>
      <c r="X118" s="3">
        <f>IF(ISERROR(VLOOKUP($A118,'SegEnds_NonXtal_BW#'!$A:$Z,17,FALSE)+VLOOKUP($A118,A:AL,25,FALSE)-50),"-",(VLOOKUP($A118,'SegEnds_NonXtal_BW#'!$A:$Z,17,FALSE)+VLOOKUP($A118,A:AL,25,FALSE)-50))</f>
        <v>166</v>
      </c>
      <c r="Y118" s="3">
        <v>166</v>
      </c>
      <c r="Z118" s="3">
        <f t="shared" si="64"/>
        <v>168</v>
      </c>
      <c r="AA118" s="3">
        <f>IF(ISERROR(VLOOKUP($A118,'SegEnds_NonXtal_BW#'!$A:$Z,19,FALSE)+VLOOKUP($A118,A:AL,28,FALSE)-50),"-",(VLOOKUP($A118,'SegEnds_NonXtal_BW#'!$A:$Z,19,FALSE)+VLOOKUP($A118,A:AL,28,FALSE)-50))</f>
        <v>179</v>
      </c>
      <c r="AB118" s="3">
        <v>196</v>
      </c>
      <c r="AC118" s="3">
        <f>IF(ISERROR((VLOOKUP($A118,'SegEnds_NonXtal_BW#'!$A:$Z,20,FALSE)+VLOOKUP($A118,A:AL,28,FALSE)-50)),"-",(VLOOKUP($A118,'SegEnds_NonXtal_BW#'!$A:$Z,20,FALSE)+VLOOKUP($A118,A:AL,28,FALSE)-50))</f>
        <v>214</v>
      </c>
      <c r="AD118" s="3">
        <f>IF(ISERROR(VLOOKUP($A118,'SegEnds_NonXtal_BW#'!$A:$Z,21,FALSE)+VLOOKUP($A118,A:AL,31,FALSE)-50),"-",(VLOOKUP($A118,'SegEnds_NonXtal_BW#'!$A:$Z,21,FALSE)+VLOOKUP($A118,A:AL,31,FALSE)-50))</f>
        <v>218</v>
      </c>
      <c r="AE118" s="3">
        <v>240</v>
      </c>
      <c r="AF118" s="3">
        <f>IF(ISERROR((VLOOKUP($A118,'SegEnds_NonXtal_BW#'!$A:$Z,22,FALSE)+VLOOKUP($A118,A:AL,31,FALSE)-50)),"-",(VLOOKUP($A118,'SegEnds_NonXtal_BW#'!$A:$Z,22,FALSE)+VLOOKUP($A118,A:AL,31,FALSE)-50))</f>
        <v>251</v>
      </c>
      <c r="AG118" s="3">
        <f>IF(ISERROR(VLOOKUP($A118,'SegEnds_NonXtal_BW#'!$A:$Z,23,FALSE)+VLOOKUP($A118,A:AL,34,FALSE)-50),"-",(VLOOKUP($A118,'SegEnds_NonXtal_BW#'!$A:$Z,23,FALSE)+VLOOKUP($A118,A:AL,34,FALSE)-50))</f>
        <v>258</v>
      </c>
      <c r="AH118" s="3">
        <v>280</v>
      </c>
      <c r="AI118" s="3">
        <f>IF(ISERROR((VLOOKUP($A118,'SegEnds_NonXtal_BW#'!$A:$Z,24,FALSE)+VLOOKUP($A118,A:AL,34,FALSE)-50)),"-",(VLOOKUP($A118,'SegEnds_NonXtal_BW#'!$A:$Z,24,FALSE)+VLOOKUP($A118,A:AL,34,FALSE)-50))</f>
        <v>286</v>
      </c>
      <c r="AJ118" s="3">
        <v>288</v>
      </c>
      <c r="AK118" s="3">
        <v>291</v>
      </c>
      <c r="AL118" s="3">
        <v>300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2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>
        <f t="shared" si="45"/>
        <v>12</v>
      </c>
      <c r="AW118" s="3">
        <f t="shared" si="46"/>
        <v>11</v>
      </c>
      <c r="AX118" s="3">
        <f t="shared" si="47"/>
        <v>4</v>
      </c>
      <c r="AY118" s="3">
        <f t="shared" si="48"/>
        <v>7</v>
      </c>
      <c r="AZ118" s="3">
        <f t="shared" si="49"/>
        <v>2</v>
      </c>
      <c r="BA118" s="3">
        <f>IF(ISERROR(LEN(VLOOKUP(A118,Seqs!A:E,2,FALSE))-AL118),"-",LEN(VLOOKUP(A118,Seqs!A:E,2,FALSE))-AL118)</f>
        <v>5</v>
      </c>
      <c r="BB118" s="16">
        <f t="shared" si="50"/>
        <v>28</v>
      </c>
      <c r="BC118" s="9">
        <f t="shared" si="51"/>
        <v>20</v>
      </c>
      <c r="BD118" s="3">
        <f t="shared" si="52"/>
        <v>28</v>
      </c>
      <c r="BE118" s="3">
        <f t="shared" si="53"/>
        <v>44</v>
      </c>
      <c r="BF118" s="3">
        <f>AH118-AE118</f>
        <v>40</v>
      </c>
    </row>
    <row r="119" spans="1:60" s="3" customFormat="1" x14ac:dyDescent="0.2">
      <c r="A119" s="3" t="s">
        <v>219</v>
      </c>
      <c r="B119" s="3" t="str">
        <f>LOWER(VLOOKUP(A119,Xtal_Templ!A:B,2,FALSE))</f>
        <v>5ht1b_human</v>
      </c>
      <c r="C119" s="3">
        <f>VLOOKUP($A119,'SegEnds_NonXtal_BW#'!$A:$Z,3,FALSE)+D119-50</f>
        <v>45</v>
      </c>
      <c r="D119" s="3">
        <v>67</v>
      </c>
      <c r="E119" s="3">
        <f>IF(ISERROR(VLOOKUP($A119,'SegEnds_NonXtal_BW#'!$A:$Z,4,FALSE)+VLOOKUP($A119,A:AL,4,FALSE)-50),"-",(VLOOKUP($A119,'SegEnds_NonXtal_BW#'!$A:$Z,4,FALSE)+VLOOKUP($A119,A:AL,4,FALSE)-50))</f>
        <v>77</v>
      </c>
      <c r="F119" s="3">
        <f>G119-2</f>
        <v>78</v>
      </c>
      <c r="G119" s="3">
        <v>80</v>
      </c>
      <c r="H119" s="3">
        <f>G119+1</f>
        <v>81</v>
      </c>
      <c r="I119" s="3">
        <f>H119+1</f>
        <v>82</v>
      </c>
      <c r="J119" s="3">
        <v>96</v>
      </c>
      <c r="K119" s="3">
        <f>VLOOKUP($A119,'SegEnds_NonXtal_BW#'!$A:$Z,8,FALSE)+VLOOKUP($A119,A:AL,10,FALSE)-50</f>
        <v>112</v>
      </c>
      <c r="L119" s="3">
        <f t="shared" si="95"/>
        <v>113</v>
      </c>
      <c r="M119" s="3">
        <v>114</v>
      </c>
      <c r="N119" s="3">
        <f t="shared" si="96"/>
        <v>116</v>
      </c>
      <c r="O119" s="3">
        <f t="shared" si="97"/>
        <v>117</v>
      </c>
      <c r="P119" s="3">
        <v>146</v>
      </c>
      <c r="Q119" s="3">
        <f>VLOOKUP($A119,'SegEnds_NonXtal_BW#'!$A:$Z,12,FALSE)+VLOOKUP($A119,A:AL,16,FALSE)-50</f>
        <v>152</v>
      </c>
      <c r="R119" s="3">
        <f>IF(ISERROR(VLOOKUP($A119,'SegEnds_NonXtal_BW#'!$A:$Z,13,FALSE)+VLOOKUP($A119,A:AL,19,FALSE)-50),"-",VLOOKUP($A119,'SegEnds_NonXtal_BW#'!$A:$Z,13,FALSE)+VLOOKUP($A119,A:AL,19,FALSE)-50)</f>
        <v>153</v>
      </c>
      <c r="S119" s="3">
        <v>153</v>
      </c>
      <c r="T119" s="100">
        <f>IF(ISERROR(VLOOKUP($A119,'SegEnds_NonXtal_BW#'!$A:$Z,14,FALSE)+VLOOKUP($A119,A:AL,19,FALSE)-50),"-",(VLOOKUP($A119,'SegEnds_NonXtal_BW#'!$A:$Z,14,FALSE)+VLOOKUP($A119,A:AL,19,FALSE)-50))</f>
        <v>160</v>
      </c>
      <c r="U119" s="9">
        <f>IF(ISERROR(VLOOKUP($A119,'SegEnds_NonXtal_BW#'!$A:$Z,15,FALSE)+VLOOKUP($A119,A:AL,22,FALSE)-50),"-",VLOOKUP($A119,'SegEnds_NonXtal_BW#'!$A:$Z,15,FALSE)+VLOOKUP($A119,A:AL,22,FALSE)-50)</f>
        <v>161</v>
      </c>
      <c r="V119" s="3">
        <v>173</v>
      </c>
      <c r="W119" s="3">
        <f>IF(ISERROR(VLOOKUP($A119,'SegEnds_NonXtal_BW#'!$A:$Z,16,FALSE)+VLOOKUP($A119,A:AL,22,FALSE)-50),"-",(VLOOKUP($A119,'SegEnds_NonXtal_BW#'!$A:$Z,16,FALSE)+VLOOKUP($A119,A:AL,22,FALSE)-50))</f>
        <v>186</v>
      </c>
      <c r="X119" s="3" t="str">
        <f>IF(ISERROR(VLOOKUP($A119,'SegEnds_NonXtal_BW#'!$A:$Z,17,FALSE)+VLOOKUP($A119,A:AL,25,FALSE)-50),"-",(VLOOKUP($A119,'SegEnds_NonXtal_BW#'!$A:$Z,17,FALSE)+VLOOKUP($A119,A:AL,25,FALSE)-50))</f>
        <v>-</v>
      </c>
      <c r="Y119" s="3" t="s">
        <v>23</v>
      </c>
      <c r="Z119" s="3" t="str">
        <f>IF(ISERROR(VLOOKUP($A119,'SegEnds_NonXtal_BW#'!$A:$Z,18,FALSE)+VLOOKUP($A119,A:AL,25,FALSE)-50),"-",(VLOOKUP($A119,'SegEnds_NonXtal_BW#'!$A:$Z,18,FALSE)+VLOOKUP($A119,A:AL,25,FALSE)-50))</f>
        <v>-</v>
      </c>
      <c r="AA119" s="3">
        <f>IF(ISERROR(VLOOKUP($A119,'SegEnds_NonXtal_BW#'!$A:$Z,19,FALSE)+VLOOKUP($A119,A:AL,28,FALSE)-50),"-",(VLOOKUP($A119,'SegEnds_NonXtal_BW#'!$A:$Z,19,FALSE)+VLOOKUP($A119,A:AL,28,FALSE)-50))</f>
        <v>196</v>
      </c>
      <c r="AB119" s="3">
        <v>211</v>
      </c>
      <c r="AC119" s="3">
        <f>IF(ISERROR((VLOOKUP($A119,'SegEnds_NonXtal_BW#'!$A:$Z,20,FALSE)+VLOOKUP($A119,A:AL,28,FALSE)-50)),"-",(VLOOKUP($A119,'SegEnds_NonXtal_BW#'!$A:$Z,20,FALSE)+VLOOKUP($A119,A:AL,28,FALSE)-50))</f>
        <v>242</v>
      </c>
      <c r="AD119" s="3">
        <f>IF(ISERROR(VLOOKUP($A119,'SegEnds_NonXtal_BW#'!$A:$Z,21,FALSE)+VLOOKUP($A119,A:AL,31,FALSE)-50),"-",(VLOOKUP($A119,'SegEnds_NonXtal_BW#'!$A:$Z,21,FALSE)+VLOOKUP($A119,A:AL,31,FALSE)-50))</f>
        <v>252</v>
      </c>
      <c r="AE119" s="3">
        <v>279</v>
      </c>
      <c r="AF119" s="3">
        <f>IF(ISERROR((VLOOKUP($A119,'SegEnds_NonXtal_BW#'!$A:$Z,22,FALSE)+VLOOKUP($A119,A:AL,31,FALSE)-50)),"-",(VLOOKUP($A119,'SegEnds_NonXtal_BW#'!$A:$Z,22,FALSE)+VLOOKUP($A119,A:AL,31,FALSE)-50))</f>
        <v>287</v>
      </c>
      <c r="AG119" s="3">
        <f>IF(ISERROR(VLOOKUP($A119,'SegEnds_NonXtal_BW#'!$A:$Z,23,FALSE)+VLOOKUP($A119,A:AL,34,FALSE)-50),"-",(VLOOKUP($A119,'SegEnds_NonXtal_BW#'!$A:$Z,23,FALSE)+VLOOKUP($A119,A:AL,34,FALSE)-50))</f>
        <v>295</v>
      </c>
      <c r="AH119" s="3">
        <v>309</v>
      </c>
      <c r="AI119" s="3">
        <v>316</v>
      </c>
      <c r="AJ119" s="3">
        <f>IF(ISERROR(VLOOKUP($A119,'SegEnds_NonXtal_BW#'!$A:$Z,25,FALSE)+VLOOKUP($A119,A:AL,37,FALSE)-50),"-",(VLOOKUP($A119,'SegEnds_NonXtal_BW#'!$A:$Z,25,FALSE)+VLOOKUP($A119,A:AL,37,FALSE)-50))</f>
        <v>317</v>
      </c>
      <c r="AK119" s="3">
        <v>320</v>
      </c>
      <c r="AL119" s="3">
        <f>IF(ISERROR((VLOOKUP($A119,'SegEnds_NonXtal_BW#'!$A:$Z,26,FALSE)+VLOOKUP($A119,A:AL,37,FALSE)-50)),"-",(VLOOKUP($A119,'SegEnds_NonXtal_BW#'!$A:$Z,26,FALSE)+VLOOKUP($A119,A:AL,37,FALSE)-50))</f>
        <v>328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>
        <f t="shared" si="39"/>
        <v>1</v>
      </c>
      <c r="AQ119" s="3">
        <f t="shared" si="40"/>
        <v>1</v>
      </c>
      <c r="AR119" s="3">
        <f t="shared" si="41"/>
        <v>1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 t="str">
        <f t="shared" si="45"/>
        <v>-</v>
      </c>
      <c r="AW119" s="3" t="str">
        <f t="shared" si="46"/>
        <v>-</v>
      </c>
      <c r="AX119" s="3">
        <f t="shared" si="47"/>
        <v>10</v>
      </c>
      <c r="AY119" s="3">
        <f t="shared" si="48"/>
        <v>8</v>
      </c>
      <c r="AZ119" s="3">
        <f t="shared" si="49"/>
        <v>1</v>
      </c>
      <c r="BA119" s="3">
        <f>IF(ISERROR(LEN(VLOOKUP(A119,Seqs!A:E,2,FALSE))-AL119),"-",LEN(VLOOKUP(A119,Seqs!A:E,2,FALSE))-AL119)</f>
        <v>19</v>
      </c>
      <c r="BB119" s="16">
        <f t="shared" si="50"/>
        <v>29</v>
      </c>
      <c r="BC119" s="9">
        <f t="shared" si="51"/>
        <v>20</v>
      </c>
      <c r="BD119" s="3">
        <f t="shared" si="52"/>
        <v>29</v>
      </c>
      <c r="BE119" s="3">
        <f t="shared" si="53"/>
        <v>68</v>
      </c>
      <c r="BF119" s="3">
        <f>AH119-AE119</f>
        <v>30</v>
      </c>
    </row>
    <row r="120" spans="1:60" s="3" customFormat="1" x14ac:dyDescent="0.2">
      <c r="A120" s="3" t="s">
        <v>223</v>
      </c>
      <c r="B120" s="3" t="str">
        <f>LOWER(VLOOKUP(A120,Xtal_Templ!A:B,2,FALSE))</f>
        <v>fpr2_human</v>
      </c>
      <c r="C120" s="3">
        <f>VLOOKUP($A120,'SegEnds_NonXtal_BW#'!$A:$Z,3,FALSE)+D120-50</f>
        <v>22</v>
      </c>
      <c r="D120" s="3">
        <v>47</v>
      </c>
      <c r="E120" s="3">
        <f>IF(ISERROR(VLOOKUP($A120,'SegEnds_NonXtal_BW#'!$A:$Z,4,FALSE)+VLOOKUP($A120,A:AL,4,FALSE)-50),"-",(VLOOKUP($A120,'SegEnds_NonXtal_BW#'!$A:$Z,4,FALSE)+VLOOKUP($A120,A:AL,4,FALSE)-50))</f>
        <v>58</v>
      </c>
      <c r="F120" s="3" t="str">
        <f>IF(ISERROR(VLOOKUP($A120,'SegEnds_NonXtal_BW#'!$A:$Z,5,FALSE)+VLOOKUP($A120,A:AL,7,FALSE)-50),"-",(VLOOKUP($A120,'SegEnds_NonXtal_BW#'!$A:$Z,5,FALSE)+VLOOKUP($A120,A:AL,7,FALSE)-50))</f>
        <v>-</v>
      </c>
      <c r="G120" s="3" t="s">
        <v>23</v>
      </c>
      <c r="H120" s="3" t="str">
        <f>IF(ISERROR(VLOOKUP($A120,'SegEnds_NonXtal_BW#'!$A:$Z,6,FALSE)+VLOOKUP($A120,A:AL,7,FALSE)-50),"-",(VLOOKUP($A120,'SegEnds_NonXtal_BW#'!$A:$Z,6,FALSE)+VLOOKUP($A120,A:AL,7,FALSE)-50))</f>
        <v>-</v>
      </c>
      <c r="I120" s="3">
        <f>VLOOKUP($A120,'SegEnds_NonXtal_BW#'!$A:$Z,7,FALSE)+J120-50</f>
        <v>64</v>
      </c>
      <c r="J120" s="3">
        <v>77</v>
      </c>
      <c r="K120" s="3">
        <f>VLOOKUP($A120,'SegEnds_NonXtal_BW#'!$A:$Z,8,FALSE)+VLOOKUP($A120,A:AL,10,FALSE)-50</f>
        <v>94</v>
      </c>
      <c r="L120" s="3">
        <f t="shared" si="95"/>
        <v>96</v>
      </c>
      <c r="M120" s="3">
        <v>97</v>
      </c>
      <c r="N120" s="3">
        <f t="shared" si="96"/>
        <v>99</v>
      </c>
      <c r="O120" s="3">
        <f t="shared" si="97"/>
        <v>100</v>
      </c>
      <c r="P120" s="3">
        <v>129</v>
      </c>
      <c r="Q120" s="3">
        <f>VLOOKUP($A120,'SegEnds_NonXtal_BW#'!$A:$Z,12,FALSE)+VLOOKUP($A120,A:AL,16,FALSE)-50</f>
        <v>135</v>
      </c>
      <c r="R120" s="3">
        <f>IF(ISERROR(VLOOKUP($A120,'SegEnds_NonXtal_BW#'!$A:$Z,13,FALSE)+VLOOKUP($A120,A:AL,19,FALSE)-50),"-",VLOOKUP($A120,'SegEnds_NonXtal_BW#'!$A:$Z,13,FALSE)+VLOOKUP($A120,A:AL,19,FALSE)-50)</f>
        <v>136</v>
      </c>
      <c r="S120" s="3">
        <v>136</v>
      </c>
      <c r="T120" s="100">
        <f>IF(ISERROR(VLOOKUP($A120,'SegEnds_NonXtal_BW#'!$A:$Z,14,FALSE)+VLOOKUP($A120,A:AL,19,FALSE)-50),"-",(VLOOKUP($A120,'SegEnds_NonXtal_BW#'!$A:$Z,14,FALSE)+VLOOKUP($A120,A:AL,19,FALSE)-50))</f>
        <v>143</v>
      </c>
      <c r="U120" s="9">
        <f>IF(ISERROR(VLOOKUP($A120,'SegEnds_NonXtal_BW#'!$A:$Z,15,FALSE)+VLOOKUP($A120,A:AL,22,FALSE)-50),"-",VLOOKUP($A120,'SegEnds_NonXtal_BW#'!$A:$Z,15,FALSE)+VLOOKUP($A120,A:AL,22,FALSE)-50)</f>
        <v>144</v>
      </c>
      <c r="V120" s="3">
        <v>156</v>
      </c>
      <c r="W120" s="3">
        <f>IF(ISERROR(VLOOKUP($A120,'SegEnds_NonXtal_BW#'!$A:$Z,16,FALSE)+VLOOKUP($A120,A:AL,22,FALSE)-50),"-",(VLOOKUP($A120,'SegEnds_NonXtal_BW#'!$A:$Z,16,FALSE)+VLOOKUP($A120,A:AL,22,FALSE)-50))</f>
        <v>170</v>
      </c>
      <c r="X120" s="3">
        <f>IF(ISERROR(VLOOKUP($A120,'SegEnds_NonXtal_BW#'!$A:$Z,17,FALSE)+VLOOKUP($A120,A:AL,25,FALSE)-50),"-",(VLOOKUP($A120,'SegEnds_NonXtal_BW#'!$A:$Z,17,FALSE)+VLOOKUP($A120,A:AL,25,FALSE)-50))</f>
        <v>182</v>
      </c>
      <c r="Y120" s="3">
        <v>182</v>
      </c>
      <c r="Z120" s="3">
        <f t="shared" ref="Z120:Z129" si="98">Y120+2</f>
        <v>184</v>
      </c>
      <c r="AA120" s="3">
        <f>IF(ISERROR(VLOOKUP($A120,'SegEnds_NonXtal_BW#'!$A:$Z,19,FALSE)+VLOOKUP($A120,A:AL,28,FALSE)-50),"-",(VLOOKUP($A120,'SegEnds_NonXtal_BW#'!$A:$Z,19,FALSE)+VLOOKUP($A120,A:AL,28,FALSE)-50))</f>
        <v>189</v>
      </c>
      <c r="AB120" s="3">
        <v>204</v>
      </c>
      <c r="AC120" s="3">
        <f>IF(ISERROR((VLOOKUP($A120,'SegEnds_NonXtal_BW#'!$A:$Z,20,FALSE)+VLOOKUP($A120,A:AL,28,FALSE)-50)),"-",(VLOOKUP($A120,'SegEnds_NonXtal_BW#'!$A:$Z,20,FALSE)+VLOOKUP($A120,A:AL,28,FALSE)-50))</f>
        <v>222</v>
      </c>
      <c r="AD120" s="3">
        <f>IF(ISERROR(VLOOKUP($A120,'SegEnds_NonXtal_BW#'!$A:$Z,21,FALSE)+VLOOKUP($A120,A:AL,31,FALSE)-50),"-",(VLOOKUP($A120,'SegEnds_NonXtal_BW#'!$A:$Z,21,FALSE)+VLOOKUP($A120,A:AL,31,FALSE)-50))</f>
        <v>226</v>
      </c>
      <c r="AE120" s="3">
        <v>252</v>
      </c>
      <c r="AF120" s="3">
        <f>IF(ISERROR((VLOOKUP($A120,'SegEnds_NonXtal_BW#'!$A:$Z,22,FALSE)+VLOOKUP($A120,A:AL,31,FALSE)-50)),"-",(VLOOKUP($A120,'SegEnds_NonXtal_BW#'!$A:$Z,22,FALSE)+VLOOKUP($A120,A:AL,31,FALSE)-50))</f>
        <v>263</v>
      </c>
      <c r="AG120" s="3">
        <f>IF(ISERROR(VLOOKUP($A120,'SegEnds_NonXtal_BW#'!$A:$Z,23,FALSE)+VLOOKUP($A120,A:AL,34,FALSE)-50),"-",(VLOOKUP($A120,'SegEnds_NonXtal_BW#'!$A:$Z,23,FALSE)+VLOOKUP($A120,A:AL,34,FALSE)-50))</f>
        <v>270</v>
      </c>
      <c r="AH120" s="3">
        <v>292</v>
      </c>
      <c r="AI120" s="3">
        <f>IF(ISERROR((VLOOKUP($A120,'SegEnds_NonXtal_BW#'!$A:$Z,24,FALSE)+VLOOKUP($A120,A:AL,34,FALSE)-50)),"-",(VLOOKUP($A120,'SegEnds_NonXtal_BW#'!$A:$Z,24,FALSE)+VLOOKUP($A120,A:AL,34,FALSE)-50))</f>
        <v>298</v>
      </c>
      <c r="AJ120" s="3">
        <f>IF(ISERROR(VLOOKUP($A120,'SegEnds_NonXtal_BW#'!$A:$Z,25,FALSE)+VLOOKUP($A120,A:AL,37,FALSE)-50),"-",(VLOOKUP($A120,'SegEnds_NonXtal_BW#'!$A:$Z,25,FALSE)+VLOOKUP($A120,A:AL,37,FALSE)-50))</f>
        <v>299</v>
      </c>
      <c r="AK120" s="3">
        <v>302</v>
      </c>
      <c r="AL120" s="3">
        <f>IF(ISERROR((VLOOKUP($A120,'SegEnds_NonXtal_BW#'!$A:$Z,26,FALSE)+VLOOKUP($A120,A:AL,37,FALSE)-50)),"-",(VLOOKUP($A120,'SegEnds_NonXtal_BW#'!$A:$Z,26,FALSE)+VLOOKUP($A120,A:AL,37,FALSE)-50))</f>
        <v>310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 t="str">
        <f t="shared" si="39"/>
        <v>-</v>
      </c>
      <c r="AQ120" s="3" t="str">
        <f t="shared" si="40"/>
        <v>-</v>
      </c>
      <c r="AR120" s="3">
        <f t="shared" si="41"/>
        <v>2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12</v>
      </c>
      <c r="AW120" s="3">
        <f t="shared" si="46"/>
        <v>5</v>
      </c>
      <c r="AX120" s="3">
        <f t="shared" si="47"/>
        <v>4</v>
      </c>
      <c r="AY120" s="3">
        <f t="shared" si="48"/>
        <v>7</v>
      </c>
      <c r="AZ120" s="3">
        <f t="shared" si="49"/>
        <v>1</v>
      </c>
      <c r="BA120" s="3">
        <f>IF(ISERROR(LEN(VLOOKUP(A120,Seqs!A:E,2,FALSE))-AL120),"-",LEN(VLOOKUP(A120,Seqs!A:E,2,FALSE))-AL120)</f>
        <v>160</v>
      </c>
      <c r="BB120" s="16">
        <f t="shared" si="50"/>
        <v>30</v>
      </c>
      <c r="BC120" s="9">
        <f t="shared" si="51"/>
        <v>20</v>
      </c>
      <c r="BD120" s="3">
        <f t="shared" si="52"/>
        <v>30</v>
      </c>
      <c r="BE120" s="3">
        <f t="shared" si="53"/>
        <v>48</v>
      </c>
    </row>
    <row r="121" spans="1:60" s="3" customFormat="1" x14ac:dyDescent="0.2">
      <c r="A121" s="3" t="s">
        <v>224</v>
      </c>
      <c r="B121" s="3" t="str">
        <f>LOWER(VLOOKUP(A121,Xtal_Templ!A:B,2,FALSE))</f>
        <v>5ht2a_human</v>
      </c>
      <c r="C121" s="3">
        <f>VLOOKUP($A121,'SegEnds_NonXtal_BW#'!$A:$Z,3,FALSE)+D121-50</f>
        <v>2</v>
      </c>
      <c r="D121" s="3">
        <v>25</v>
      </c>
      <c r="E121" s="3">
        <f>IF(ISERROR(VLOOKUP($A121,'SegEnds_NonXtal_BW#'!$A:$Z,4,FALSE)+VLOOKUP($A121,A:AL,4,FALSE)-50),"-",(VLOOKUP($A121,'SegEnds_NonXtal_BW#'!$A:$Z,4,FALSE)+VLOOKUP($A121,A:AL,4,FALSE)-50))</f>
        <v>35</v>
      </c>
      <c r="F121" s="3">
        <f>G121-2</f>
        <v>36</v>
      </c>
      <c r="G121" s="3">
        <v>38</v>
      </c>
      <c r="H121" s="3">
        <f t="shared" ref="H121:I123" si="99">G121+1</f>
        <v>39</v>
      </c>
      <c r="I121" s="3">
        <f t="shared" si="99"/>
        <v>40</v>
      </c>
      <c r="J121" s="105">
        <v>52</v>
      </c>
      <c r="K121" s="3">
        <f>VLOOKUP($A121,'SegEnds_NonXtal_BW#'!$A:$Z,8,FALSE)+VLOOKUP($A121,A:AL,10,FALSE)-50</f>
        <v>70</v>
      </c>
      <c r="L121" s="3">
        <f t="shared" si="95"/>
        <v>75</v>
      </c>
      <c r="M121" s="3">
        <v>76</v>
      </c>
      <c r="N121" s="3">
        <f t="shared" si="96"/>
        <v>78</v>
      </c>
      <c r="O121" s="3">
        <f t="shared" si="97"/>
        <v>79</v>
      </c>
      <c r="P121" s="3">
        <v>108</v>
      </c>
      <c r="Q121" s="3">
        <f>VLOOKUP($A121,'SegEnds_NonXtal_BW#'!$A:$Z,12,FALSE)+VLOOKUP($A121,A:AL,16,FALSE)-50</f>
        <v>114</v>
      </c>
      <c r="R121" s="3">
        <f>IF(ISERROR(VLOOKUP($A121,'SegEnds_NonXtal_BW#'!$A:$Z,13,FALSE)+VLOOKUP($A121,A:AL,19,FALSE)-50),"-",VLOOKUP($A121,'SegEnds_NonXtal_BW#'!$A:$Z,13,FALSE)+VLOOKUP($A121,A:AL,19,FALSE)-50)</f>
        <v>115</v>
      </c>
      <c r="S121" s="3">
        <v>115</v>
      </c>
      <c r="T121" s="100">
        <f>IF(ISERROR(VLOOKUP($A121,'SegEnds_NonXtal_BW#'!$A:$Z,14,FALSE)+VLOOKUP($A121,A:AL,19,FALSE)-50),"-",(VLOOKUP($A121,'SegEnds_NonXtal_BW#'!$A:$Z,14,FALSE)+VLOOKUP($A121,A:AL,19,FALSE)-50))</f>
        <v>122</v>
      </c>
      <c r="U121" s="9">
        <f>IF(ISERROR(VLOOKUP($A121,'SegEnds_NonXtal_BW#'!$A:$Z,15,FALSE)+VLOOKUP($A121,A:AL,22,FALSE)-50),"-",VLOOKUP($A121,'SegEnds_NonXtal_BW#'!$A:$Z,15,FALSE)+VLOOKUP($A121,A:AL,22,FALSE)-50)</f>
        <v>123</v>
      </c>
      <c r="V121" s="3">
        <v>135</v>
      </c>
      <c r="W121" s="3">
        <f>IF(ISERROR(VLOOKUP($A121,'SegEnds_NonXtal_BW#'!$A:$Z,16,FALSE)+VLOOKUP($A121,A:AL,22,FALSE)-50),"-",(VLOOKUP($A121,'SegEnds_NonXtal_BW#'!$A:$Z,16,FALSE)+VLOOKUP($A121,A:AL,22,FALSE)-50))</f>
        <v>148</v>
      </c>
      <c r="X121" s="3">
        <f>IF(ISERROR(VLOOKUP($A121,'SegEnds_NonXtal_BW#'!$A:$Z,17,FALSE)+VLOOKUP($A121,A:AL,25,FALSE)-50),"-",(VLOOKUP($A121,'SegEnds_NonXtal_BW#'!$A:$Z,17,FALSE)+VLOOKUP($A121,A:AL,25,FALSE)-50))</f>
        <v>161</v>
      </c>
      <c r="Y121" s="3">
        <v>161</v>
      </c>
      <c r="Z121" s="3">
        <f t="shared" si="98"/>
        <v>163</v>
      </c>
      <c r="AA121" s="3">
        <f>IF(ISERROR(VLOOKUP($A121,'SegEnds_NonXtal_BW#'!$A:$Z,19,FALSE)+VLOOKUP($A121,A:AL,28,FALSE)-50),"-",(VLOOKUP($A121,'SegEnds_NonXtal_BW#'!$A:$Z,19,FALSE)+VLOOKUP($A121,A:AL,28,FALSE)-50))</f>
        <v>169</v>
      </c>
      <c r="AB121" s="3">
        <v>184</v>
      </c>
      <c r="AC121" s="3">
        <f>IF(ISERROR((VLOOKUP($A121,'SegEnds_NonXtal_BW#'!$A:$Z,20,FALSE)+VLOOKUP($A121,A:AL,28,FALSE)-50)),"-",(VLOOKUP($A121,'SegEnds_NonXtal_BW#'!$A:$Z,20,FALSE)+VLOOKUP($A121,A:AL,28,FALSE)-50))</f>
        <v>210</v>
      </c>
      <c r="AD121" s="3">
        <f>IF(ISERROR(VLOOKUP($A121,'SegEnds_NonXtal_BW#'!$A:$Z,21,FALSE)+VLOOKUP($A121,A:AL,31,FALSE)-50),"-",(VLOOKUP($A121,'SegEnds_NonXtal_BW#'!$A:$Z,21,FALSE)+VLOOKUP($A121,A:AL,31,FALSE)-50))</f>
        <v>234</v>
      </c>
      <c r="AE121" s="3">
        <v>260</v>
      </c>
      <c r="AF121" s="3">
        <f>IF(ISERROR((VLOOKUP($A121,'SegEnds_NonXtal_BW#'!$A:$Z,22,FALSE)+VLOOKUP($A121,A:AL,31,FALSE)-50)),"-",(VLOOKUP($A121,'SegEnds_NonXtal_BW#'!$A:$Z,22,FALSE)+VLOOKUP($A121,A:AL,31,FALSE)-50))</f>
        <v>271</v>
      </c>
      <c r="AG121" s="3">
        <f>IF(ISERROR(VLOOKUP($A121,'SegEnds_NonXtal_BW#'!$A:$Z,23,FALSE)+VLOOKUP($A121,A:AL,34,FALSE)-50),"-",(VLOOKUP($A121,'SegEnds_NonXtal_BW#'!$A:$Z,23,FALSE)+VLOOKUP($A121,A:AL,34,FALSE)-50))</f>
        <v>276</v>
      </c>
      <c r="AH121" s="3">
        <v>294</v>
      </c>
      <c r="AI121" s="3">
        <v>299</v>
      </c>
      <c r="AJ121" s="3">
        <f>IF(ISERROR(VLOOKUP($A121,'SegEnds_NonXtal_BW#'!$A:$Z,25,FALSE)+VLOOKUP($A121,A:AL,37,FALSE)-50),"-",(VLOOKUP($A121,'SegEnds_NonXtal_BW#'!$A:$Z,25,FALSE)+VLOOKUP($A121,A:AL,37,FALSE)-50))</f>
        <v>300</v>
      </c>
      <c r="AK121" s="3">
        <v>303</v>
      </c>
      <c r="AL121" s="3">
        <f>IF(ISERROR((VLOOKUP($A121,'SegEnds_NonXtal_BW#'!$A:$Z,26,FALSE)+VLOOKUP($A121,A:AL,37,FALSE)-50)),"-",(VLOOKUP($A121,'SegEnds_NonXtal_BW#'!$A:$Z,26,FALSE)+VLOOKUP($A121,A:AL,37,FALSE)-50))</f>
        <v>313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5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6</v>
      </c>
      <c r="AX121" s="3">
        <f t="shared" si="47"/>
        <v>24</v>
      </c>
      <c r="AY121" s="3">
        <f t="shared" si="48"/>
        <v>5</v>
      </c>
      <c r="AZ121" s="3">
        <f t="shared" si="49"/>
        <v>1</v>
      </c>
      <c r="BA121" s="3">
        <f>IF(ISERROR(LEN(VLOOKUP(A121,Seqs!A:E,2,FALSE))-AL121),"-",LEN(VLOOKUP(A121,Seqs!A:E,2,FALSE))-AL121)</f>
        <v>296</v>
      </c>
      <c r="BB121" s="16">
        <f t="shared" si="50"/>
        <v>27</v>
      </c>
      <c r="BC121" s="9">
        <f t="shared" si="51"/>
        <v>20</v>
      </c>
      <c r="BD121" s="3">
        <f t="shared" si="52"/>
        <v>27</v>
      </c>
      <c r="BE121" s="3">
        <f t="shared" si="53"/>
        <v>76</v>
      </c>
    </row>
    <row r="122" spans="1:60" s="3" customFormat="1" x14ac:dyDescent="0.2">
      <c r="A122" s="3" t="s">
        <v>226</v>
      </c>
      <c r="B122" s="3" t="str">
        <f>LOWER(VLOOKUP(A122,Xtal_Templ!A:B,2,FALSE))</f>
        <v>5ht1b_human</v>
      </c>
      <c r="C122" s="3">
        <f>VLOOKUP($A122,'SegEnds_NonXtal_BW#'!$A:$Z,3,FALSE)+D122-50</f>
        <v>23</v>
      </c>
      <c r="D122" s="3">
        <v>45</v>
      </c>
      <c r="E122" s="3">
        <f>IF(ISERROR(VLOOKUP($A122,'SegEnds_NonXtal_BW#'!$A:$Z,4,FALSE)+VLOOKUP($A122,A:AL,4,FALSE)-50),"-",(VLOOKUP($A122,'SegEnds_NonXtal_BW#'!$A:$Z,4,FALSE)+VLOOKUP($A122,A:AL,4,FALSE)-50))</f>
        <v>55</v>
      </c>
      <c r="F122" s="3">
        <f>G122-2</f>
        <v>56</v>
      </c>
      <c r="G122" s="3">
        <v>58</v>
      </c>
      <c r="H122" s="3">
        <f t="shared" si="99"/>
        <v>59</v>
      </c>
      <c r="I122" s="3">
        <f t="shared" si="99"/>
        <v>60</v>
      </c>
      <c r="J122" s="3">
        <v>73</v>
      </c>
      <c r="K122" s="3">
        <f>VLOOKUP($A122,'SegEnds_NonXtal_BW#'!$A:$Z,8,FALSE)+VLOOKUP($A122,A:AL,10,FALSE)-50</f>
        <v>91</v>
      </c>
      <c r="L122" s="3">
        <f t="shared" si="95"/>
        <v>92</v>
      </c>
      <c r="M122" s="3">
        <v>93</v>
      </c>
      <c r="N122" s="3">
        <f t="shared" si="96"/>
        <v>95</v>
      </c>
      <c r="O122" s="3">
        <f t="shared" si="97"/>
        <v>96</v>
      </c>
      <c r="P122" s="3">
        <v>125</v>
      </c>
      <c r="Q122" s="3">
        <f>VLOOKUP($A122,'SegEnds_NonXtal_BW#'!$A:$Z,12,FALSE)+VLOOKUP($A122,A:AL,16,FALSE)-50</f>
        <v>131</v>
      </c>
      <c r="R122" s="3">
        <f>IF(ISERROR(VLOOKUP($A122,'SegEnds_NonXtal_BW#'!$A:$Z,13,FALSE)+VLOOKUP($A122,A:AL,19,FALSE)-50),"-",VLOOKUP($A122,'SegEnds_NonXtal_BW#'!$A:$Z,13,FALSE)+VLOOKUP($A122,A:AL,19,FALSE)-50)</f>
        <v>132</v>
      </c>
      <c r="S122" s="3">
        <v>132</v>
      </c>
      <c r="T122" s="100">
        <f>IF(ISERROR(VLOOKUP($A122,'SegEnds_NonXtal_BW#'!$A:$Z,14,FALSE)+VLOOKUP($A122,A:AL,19,FALSE)-50),"-",(VLOOKUP($A122,'SegEnds_NonXtal_BW#'!$A:$Z,14,FALSE)+VLOOKUP($A122,A:AL,19,FALSE)-50))</f>
        <v>139</v>
      </c>
      <c r="U122" s="9">
        <f>IF(ISERROR(VLOOKUP($A122,'SegEnds_NonXtal_BW#'!$A:$Z,15,FALSE)+VLOOKUP($A122,A:AL,22,FALSE)-50),"-",VLOOKUP($A122,'SegEnds_NonXtal_BW#'!$A:$Z,15,FALSE)+VLOOKUP($A122,A:AL,22,FALSE)-50)</f>
        <v>140</v>
      </c>
      <c r="V122" s="3">
        <v>152</v>
      </c>
      <c r="W122" s="3">
        <f>IF(ISERROR(VLOOKUP($A122,'SegEnds_NonXtal_BW#'!$A:$Z,16,FALSE)+VLOOKUP($A122,A:AL,22,FALSE)-50),"-",(VLOOKUP($A122,'SegEnds_NonXtal_BW#'!$A:$Z,16,FALSE)+VLOOKUP($A122,A:AL,22,FALSE)-50))</f>
        <v>165</v>
      </c>
      <c r="X122" s="3">
        <f>IF(ISERROR(VLOOKUP($A122,'SegEnds_NonXtal_BW#'!$A:$Z,17,FALSE)+VLOOKUP($A122,A:AL,25,FALSE)-50),"-",(VLOOKUP($A122,'SegEnds_NonXtal_BW#'!$A:$Z,17,FALSE)+VLOOKUP($A122,A:AL,25,FALSE)-50))</f>
        <v>178</v>
      </c>
      <c r="Y122" s="3">
        <v>178</v>
      </c>
      <c r="Z122" s="3">
        <f t="shared" si="98"/>
        <v>180</v>
      </c>
      <c r="AA122" s="3">
        <f>IF(ISERROR(VLOOKUP($A122,'SegEnds_NonXtal_BW#'!$A:$Z,19,FALSE)+VLOOKUP($A122,A:AL,28,FALSE)-50),"-",(VLOOKUP($A122,'SegEnds_NonXtal_BW#'!$A:$Z,19,FALSE)+VLOOKUP($A122,A:AL,28,FALSE)-50))</f>
        <v>185</v>
      </c>
      <c r="AB122" s="3">
        <v>200</v>
      </c>
      <c r="AC122" s="3">
        <f>IF(ISERROR((VLOOKUP($A122,'SegEnds_NonXtal_BW#'!$A:$Z,20,FALSE)+VLOOKUP($A122,A:AL,28,FALSE)-50)),"-",(VLOOKUP($A122,'SegEnds_NonXtal_BW#'!$A:$Z,20,FALSE)+VLOOKUP($A122,A:AL,28,FALSE)-50))</f>
        <v>226</v>
      </c>
      <c r="AD122" s="3">
        <f>IF(ISERROR(VLOOKUP($A122,'SegEnds_NonXtal_BW#'!$A:$Z,21,FALSE)+VLOOKUP($A122,A:AL,31,FALSE)-50),"-",(VLOOKUP($A122,'SegEnds_NonXtal_BW#'!$A:$Z,21,FALSE)+VLOOKUP($A122,A:AL,31,FALSE)-50))</f>
        <v>259</v>
      </c>
      <c r="AE122" s="3">
        <v>285</v>
      </c>
      <c r="AF122" s="3">
        <f>IF(ISERROR((VLOOKUP($A122,'SegEnds_NonXtal_BW#'!$A:$Z,22,FALSE)+VLOOKUP($A122,A:AL,31,FALSE)-50)),"-",(VLOOKUP($A122,'SegEnds_NonXtal_BW#'!$A:$Z,22,FALSE)+VLOOKUP($A122,A:AL,31,FALSE)-50))</f>
        <v>296</v>
      </c>
      <c r="AG122" s="3">
        <f>IF(ISERROR(VLOOKUP($A122,'SegEnds_NonXtal_BW#'!$A:$Z,23,FALSE)+VLOOKUP($A122,A:AL,34,FALSE)-50),"-",(VLOOKUP($A122,'SegEnds_NonXtal_BW#'!$A:$Z,23,FALSE)+VLOOKUP($A122,A:AL,34,FALSE)-50))</f>
        <v>302</v>
      </c>
      <c r="AH122" s="3">
        <v>321</v>
      </c>
      <c r="AI122" s="3">
        <f>IF(ISERROR((VLOOKUP($A122,'SegEnds_NonXtal_BW#'!$A:$Z,24,FALSE)+VLOOKUP($A122,A:AL,34,FALSE)-50)),"-",(VLOOKUP($A122,'SegEnds_NonXtal_BW#'!$A:$Z,24,FALSE)+VLOOKUP($A122,A:AL,34,FALSE)-50))</f>
        <v>327</v>
      </c>
      <c r="AJ122" s="3">
        <f>IF(ISERROR(VLOOKUP($A122,'SegEnds_NonXtal_BW#'!$A:$Z,25,FALSE)+VLOOKUP($A122,A:AL,37,FALSE)-50),"-",(VLOOKUP($A122,'SegEnds_NonXtal_BW#'!$A:$Z,25,FALSE)+VLOOKUP($A122,A:AL,37,FALSE)-50))</f>
        <v>328</v>
      </c>
      <c r="AK122" s="3">
        <v>331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1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13</v>
      </c>
      <c r="AW122" s="3">
        <f t="shared" si="46"/>
        <v>5</v>
      </c>
      <c r="AX122" s="3">
        <f t="shared" si="47"/>
        <v>33</v>
      </c>
      <c r="AY122" s="3">
        <f t="shared" si="48"/>
        <v>6</v>
      </c>
      <c r="AZ122" s="3">
        <f t="shared" si="49"/>
        <v>1</v>
      </c>
      <c r="BA122" s="3">
        <f>IF(ISERROR(LEN(VLOOKUP(A122,Seqs!A:E,2,FALSE))-AL122),"-",LEN(VLOOKUP(A122,Seqs!A:E,2,FALSE))-AL122)</f>
        <v>190</v>
      </c>
      <c r="BB122" s="16">
        <f t="shared" si="50"/>
        <v>28</v>
      </c>
      <c r="BC122" s="9">
        <f t="shared" si="51"/>
        <v>20</v>
      </c>
      <c r="BD122" s="3">
        <f t="shared" si="52"/>
        <v>28</v>
      </c>
      <c r="BE122" s="3">
        <f t="shared" si="53"/>
        <v>85</v>
      </c>
    </row>
    <row r="123" spans="1:60" s="3" customFormat="1" x14ac:dyDescent="0.2">
      <c r="A123" s="3" t="s">
        <v>227</v>
      </c>
      <c r="B123" s="3" t="str">
        <f>LOWER(VLOOKUP(A123,Xtal_Templ!A:B,2,FALSE))</f>
        <v>npy1r_human</v>
      </c>
      <c r="C123" s="3">
        <f>VLOOKUP($A123,'SegEnds_NonXtal_BW#'!$A:$Z,3,FALSE)+D123-50</f>
        <v>9</v>
      </c>
      <c r="D123" s="3">
        <v>31</v>
      </c>
      <c r="E123" s="3">
        <f>IF(ISERROR(VLOOKUP($A123,'SegEnds_NonXtal_BW#'!$A:$Z,4,FALSE)+VLOOKUP($A123,A:AL,4,FALSE)-50),"-",(VLOOKUP($A123,'SegEnds_NonXtal_BW#'!$A:$Z,4,FALSE)+VLOOKUP($A123,A:AL,4,FALSE)-50))</f>
        <v>41</v>
      </c>
      <c r="F123" s="3">
        <f>G123-2</f>
        <v>42</v>
      </c>
      <c r="G123" s="3">
        <v>44</v>
      </c>
      <c r="H123" s="3">
        <f t="shared" si="99"/>
        <v>45</v>
      </c>
      <c r="I123" s="3">
        <f t="shared" si="99"/>
        <v>46</v>
      </c>
      <c r="J123" s="105">
        <v>58</v>
      </c>
      <c r="K123" s="3">
        <f>VLOOKUP($A123,'SegEnds_NonXtal_BW#'!$A:$Z,8,FALSE)+VLOOKUP($A123,A:AL,10,FALSE)-50</f>
        <v>76</v>
      </c>
      <c r="L123" s="3">
        <f t="shared" si="95"/>
        <v>82</v>
      </c>
      <c r="M123" s="3">
        <v>83</v>
      </c>
      <c r="N123" s="3">
        <f t="shared" si="96"/>
        <v>85</v>
      </c>
      <c r="O123" s="3">
        <f t="shared" si="97"/>
        <v>86</v>
      </c>
      <c r="P123" s="3">
        <v>115</v>
      </c>
      <c r="Q123" s="3">
        <f>VLOOKUP($A123,'SegEnds_NonXtal_BW#'!$A:$Z,12,FALSE)+VLOOKUP($A123,A:AL,16,FALSE)-50</f>
        <v>121</v>
      </c>
      <c r="R123" s="3">
        <f>IF(ISERROR(VLOOKUP($A123,'SegEnds_NonXtal_BW#'!$A:$Z,13,FALSE)+VLOOKUP($A123,A:AL,19,FALSE)-50),"-",VLOOKUP($A123,'SegEnds_NonXtal_BW#'!$A:$Z,13,FALSE)+VLOOKUP($A123,A:AL,19,FALSE)-50)</f>
        <v>122</v>
      </c>
      <c r="S123" s="3">
        <v>122</v>
      </c>
      <c r="T123" s="100">
        <f>IF(ISERROR(VLOOKUP($A123,'SegEnds_NonXtal_BW#'!$A:$Z,14,FALSE)+VLOOKUP($A123,A:AL,19,FALSE)-50),"-",(VLOOKUP($A123,'SegEnds_NonXtal_BW#'!$A:$Z,14,FALSE)+VLOOKUP($A123,A:AL,19,FALSE)-50))</f>
        <v>129</v>
      </c>
      <c r="U123" s="9">
        <f>IF(ISERROR(VLOOKUP($A123,'SegEnds_NonXtal_BW#'!$A:$Z,15,FALSE)+VLOOKUP($A123,A:AL,22,FALSE)-50),"-",VLOOKUP($A123,'SegEnds_NonXtal_BW#'!$A:$Z,15,FALSE)+VLOOKUP($A123,A:AL,22,FALSE)-50)</f>
        <v>130</v>
      </c>
      <c r="V123" s="3">
        <v>142</v>
      </c>
      <c r="W123" s="3">
        <f>IF(ISERROR(VLOOKUP($A123,'SegEnds_NonXtal_BW#'!$A:$Z,16,FALSE)+VLOOKUP($A123,A:AL,22,FALSE)-50),"-",(VLOOKUP($A123,'SegEnds_NonXtal_BW#'!$A:$Z,16,FALSE)+VLOOKUP($A123,A:AL,22,FALSE)-50))</f>
        <v>156</v>
      </c>
      <c r="X123" s="3">
        <f>IF(ISERROR(VLOOKUP($A123,'SegEnds_NonXtal_BW#'!$A:$Z,17,FALSE)+VLOOKUP($A123,A:AL,25,FALSE)-50),"-",(VLOOKUP($A123,'SegEnds_NonXtal_BW#'!$A:$Z,17,FALSE)+VLOOKUP($A123,A:AL,25,FALSE)-50))</f>
        <v>168</v>
      </c>
      <c r="Y123" s="3">
        <v>168</v>
      </c>
      <c r="Z123" s="3">
        <f t="shared" si="98"/>
        <v>170</v>
      </c>
      <c r="AA123" s="3">
        <f>IF(ISERROR(VLOOKUP($A123,'SegEnds_NonXtal_BW#'!$A:$Z,19,FALSE)+VLOOKUP($A123,A:AL,28,FALSE)-50),"-",(VLOOKUP($A123,'SegEnds_NonXtal_BW#'!$A:$Z,19,FALSE)+VLOOKUP($A123,A:AL,28,FALSE)-50))</f>
        <v>176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215</v>
      </c>
      <c r="AD123" s="3">
        <f>IF(ISERROR(VLOOKUP($A123,'SegEnds_NonXtal_BW#'!$A:$Z,21,FALSE)+VLOOKUP($A123,A:AL,31,FALSE)-50),"-",(VLOOKUP($A123,'SegEnds_NonXtal_BW#'!$A:$Z,21,FALSE)+VLOOKUP($A123,A:AL,31,FALSE)-50))</f>
        <v>261</v>
      </c>
      <c r="AE123" s="3">
        <v>287</v>
      </c>
      <c r="AF123" s="3">
        <f>IF(ISERROR((VLOOKUP($A123,'SegEnds_NonXtal_BW#'!$A:$Z,22,FALSE)+VLOOKUP($A123,A:AL,31,FALSE)-50)),"-",(VLOOKUP($A123,'SegEnds_NonXtal_BW#'!$A:$Z,22,FALSE)+VLOOKUP($A123,A:AL,31,FALSE)-50))</f>
        <v>298</v>
      </c>
      <c r="AG123" s="3">
        <f>IF(ISERROR(VLOOKUP($A123,'SegEnds_NonXtal_BW#'!$A:$Z,23,FALSE)+VLOOKUP($A123,A:AL,34,FALSE)-50),"-",(VLOOKUP($A123,'SegEnds_NonXtal_BW#'!$A:$Z,23,FALSE)+VLOOKUP($A123,A:AL,34,FALSE)-50))</f>
        <v>303</v>
      </c>
      <c r="AH123" s="3">
        <v>321</v>
      </c>
      <c r="AI123" s="3">
        <v>326</v>
      </c>
      <c r="AJ123" s="3">
        <f>IF(ISERROR(VLOOKUP($A123,'SegEnds_NonXtal_BW#'!$A:$Z,25,FALSE)+VLOOKUP($A123,A:AL,37,FALSE)-50),"-",(VLOOKUP($A123,'SegEnds_NonXtal_BW#'!$A:$Z,25,FALSE)+VLOOKUP($A123,A:AL,37,FALSE)-50))</f>
        <v>327</v>
      </c>
      <c r="AK123" s="3">
        <v>330</v>
      </c>
      <c r="AL123" s="3">
        <f>IF(ISERROR((VLOOKUP($A123,'SegEnds_NonXtal_BW#'!$A:$Z,26,FALSE)+VLOOKUP($A123,A:AL,37,FALSE)-50)),"-",(VLOOKUP($A123,'SegEnds_NonXtal_BW#'!$A:$Z,26,FALSE)+VLOOKUP($A123,A:AL,37,FALSE)-50))</f>
        <v>338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>
        <f t="shared" si="39"/>
        <v>1</v>
      </c>
      <c r="AQ123" s="3">
        <f t="shared" si="40"/>
        <v>1</v>
      </c>
      <c r="AR123" s="3">
        <f t="shared" si="41"/>
        <v>6</v>
      </c>
      <c r="AS123" s="3">
        <f t="shared" si="42"/>
        <v>1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6</v>
      </c>
      <c r="AX123" s="3">
        <f t="shared" si="47"/>
        <v>46</v>
      </c>
      <c r="AY123" s="3">
        <f t="shared" si="48"/>
        <v>5</v>
      </c>
      <c r="AZ123" s="3">
        <f t="shared" si="49"/>
        <v>1</v>
      </c>
      <c r="BA123" s="3">
        <f>IF(ISERROR(LEN(VLOOKUP(A123,Seqs!A:E,2,FALSE))-AL123),"-",LEN(VLOOKUP(A123,Seqs!A:E,2,FALSE))-AL123)</f>
        <v>250</v>
      </c>
      <c r="BB123" s="16">
        <f t="shared" si="50"/>
        <v>27</v>
      </c>
      <c r="BC123" s="9">
        <f t="shared" si="51"/>
        <v>20</v>
      </c>
      <c r="BD123" s="3">
        <f t="shared" si="52"/>
        <v>27</v>
      </c>
      <c r="BE123" s="3">
        <f t="shared" si="53"/>
        <v>96</v>
      </c>
    </row>
    <row r="124" spans="1:60" s="9" customFormat="1" x14ac:dyDescent="0.2">
      <c r="A124" s="3" t="s">
        <v>228</v>
      </c>
      <c r="B124" s="3" t="str">
        <f>LOWER(VLOOKUP(A124,Xtal_Templ!A:B,2,FALSE))</f>
        <v>p2y12_human</v>
      </c>
      <c r="C124" s="3">
        <f>VLOOKUP($A124,'SegEnds_NonXtal_BW#'!$A:$Z,3,FALSE)+D124-50</f>
        <v>10</v>
      </c>
      <c r="D124" s="3">
        <v>32</v>
      </c>
      <c r="E124" s="3">
        <f>IF(ISERROR(VLOOKUP($A124,'SegEnds_NonXtal_BW#'!$A:$Z,4,FALSE)+VLOOKUP($A124,A:AL,4,FALSE)-50),"-",(VLOOKUP($A124,'SegEnds_NonXtal_BW#'!$A:$Z,4,FALSE)+VLOOKUP($A124,A:AL,4,FALSE)-50))</f>
        <v>42</v>
      </c>
      <c r="F124" s="3" t="str">
        <f>IF(ISERROR(VLOOKUP($A124,'SegEnds_NonXtal_BW#'!$A:$Z,5,FALSE)+VLOOKUP($A124,A:AL,7,FALSE)-50),"-",(VLOOKUP($A124,'SegEnds_NonXtal_BW#'!$A:$Z,5,FALSE)+VLOOKUP($A124,A:AL,7,FALSE)-50))</f>
        <v>-</v>
      </c>
      <c r="G124" s="3" t="s">
        <v>23</v>
      </c>
      <c r="H124" s="3" t="str">
        <f>IF(ISERROR(VLOOKUP($A124,'SegEnds_NonXtal_BW#'!$A:$Z,6,FALSE)+VLOOKUP($A124,A:AL,7,FALSE)-50),"-",(VLOOKUP($A124,'SegEnds_NonXtal_BW#'!$A:$Z,6,FALSE)+VLOOKUP($A124,A:AL,7,FALSE)-50))</f>
        <v>-</v>
      </c>
      <c r="I124" s="3">
        <f>VLOOKUP($A124,'SegEnds_NonXtal_BW#'!$A:$Z,7,FALSE)+J124-50</f>
        <v>47</v>
      </c>
      <c r="J124" s="3">
        <v>60</v>
      </c>
      <c r="K124" s="3">
        <f>VLOOKUP($A124,'SegEnds_NonXtal_BW#'!$A:$Z,8,FALSE)+VLOOKUP($A124,A:AL,10,FALSE)-50</f>
        <v>76</v>
      </c>
      <c r="L124" s="3" t="str">
        <f>IF(ISERROR(VLOOKUP($A124,'SegEnds_NonXtal_BW#'!$A:$Z,9,FALSE)+VLOOKUP($A124,A:AL,13,FALSE)-50),"-",(VLOOKUP($A124,'SegEnds_NonXtal_BW#'!$A:$Z,9,FALSE)+VLOOKUP($A124,A:AL,13,FALSE)-50))</f>
        <v>-</v>
      </c>
      <c r="M124" s="3" t="s">
        <v>23</v>
      </c>
      <c r="N124" s="3" t="str">
        <f>IF(ISERROR(VLOOKUP($A124,'SegEnds_NonXtal_BW#'!$A:$Z,10,FALSE)+VLOOKUP($A124,A:AL,13,FALSE)-50),"-",(VLOOKUP($A124,'SegEnds_NonXtal_BW#'!$A:$Z,10,FALSE)+VLOOKUP($A124,A:AL,13,FALSE)-50))</f>
        <v>-</v>
      </c>
      <c r="O124" s="3">
        <f>VLOOKUP($A124,'SegEnds_NonXtal_BW#'!$A:$Z,11,FALSE)+VLOOKUP($A124,A:AL,16,FALSE)-50</f>
        <v>80</v>
      </c>
      <c r="P124" s="3">
        <v>112</v>
      </c>
      <c r="Q124" s="3">
        <f>VLOOKUP($A124,'SegEnds_NonXtal_BW#'!$A:$Z,12,FALSE)+VLOOKUP($A124,A:AL,16,FALSE)-50</f>
        <v>118</v>
      </c>
      <c r="R124" s="3">
        <f>IF(ISERROR(VLOOKUP($A124,'SegEnds_NonXtal_BW#'!$A:$Z,13,FALSE)+VLOOKUP($A124,A:AL,19,FALSE)-50),"-",VLOOKUP($A124,'SegEnds_NonXtal_BW#'!$A:$Z,13,FALSE)+VLOOKUP($A124,A:AL,19,FALSE)-50)</f>
        <v>119</v>
      </c>
      <c r="S124" s="3">
        <v>119</v>
      </c>
      <c r="T124" s="100">
        <f>IF(ISERROR(VLOOKUP($A124,'SegEnds_NonXtal_BW#'!$A:$Z,14,FALSE)+VLOOKUP($A124,A:AL,19,FALSE)-50),"-",(VLOOKUP($A124,'SegEnds_NonXtal_BW#'!$A:$Z,14,FALSE)+VLOOKUP($A124,A:AL,19,FALSE)-50))</f>
        <v>126</v>
      </c>
      <c r="U124" s="9">
        <f>IF(ISERROR(VLOOKUP($A124,'SegEnds_NonXtal_BW#'!$A:$Z,15,FALSE)+VLOOKUP($A124,A:AL,22,FALSE)-50),"-",VLOOKUP($A124,'SegEnds_NonXtal_BW#'!$A:$Z,15,FALSE)+VLOOKUP($A124,A:AL,22,FALSE)-50)</f>
        <v>127</v>
      </c>
      <c r="V124" s="3">
        <v>139</v>
      </c>
      <c r="W124" s="3">
        <f>IF(ISERROR(VLOOKUP($A124,'SegEnds_NonXtal_BW#'!$A:$Z,16,FALSE)+VLOOKUP($A124,A:AL,22,FALSE)-50),"-",(VLOOKUP($A124,'SegEnds_NonXtal_BW#'!$A:$Z,16,FALSE)+VLOOKUP($A124,A:AL,22,FALSE)-50))</f>
        <v>153</v>
      </c>
      <c r="X124" s="3">
        <f>IF(ISERROR(VLOOKUP($A124,'SegEnds_NonXtal_BW#'!$A:$Z,17,FALSE)+VLOOKUP($A124,A:AL,25,FALSE)-50),"-",(VLOOKUP($A124,'SegEnds_NonXtal_BW#'!$A:$Z,17,FALSE)+VLOOKUP($A124,A:AL,25,FALSE)-50))</f>
        <v>165</v>
      </c>
      <c r="Y124" s="3">
        <v>165</v>
      </c>
      <c r="Z124" s="3">
        <f t="shared" si="98"/>
        <v>167</v>
      </c>
      <c r="AA124" s="3">
        <f>IF(ISERROR(VLOOKUP($A124,'SegEnds_NonXtal_BW#'!$A:$Z,19,FALSE)+VLOOKUP($A124,A:AL,28,FALSE)-50),"-",(VLOOKUP($A124,'SegEnds_NonXtal_BW#'!$A:$Z,19,FALSE)+VLOOKUP($A124,A:AL,28,FALSE)-50))</f>
        <v>171</v>
      </c>
      <c r="AB124" s="3">
        <v>191</v>
      </c>
      <c r="AC124" s="3">
        <f>IF(ISERROR((VLOOKUP($A124,'SegEnds_NonXtal_BW#'!$A:$Z,20,FALSE)+VLOOKUP($A124,A:AL,28,FALSE)-50)),"-",(VLOOKUP($A124,'SegEnds_NonXtal_BW#'!$A:$Z,20,FALSE)+VLOOKUP($A124,A:AL,28,FALSE)-50))</f>
        <v>208</v>
      </c>
      <c r="AD124" s="3">
        <f>IF(ISERROR(VLOOKUP($A124,'SegEnds_NonXtal_BW#'!$A:$Z,21,FALSE)+VLOOKUP($A124,A:AL,31,FALSE)-50),"-",(VLOOKUP($A124,'SegEnds_NonXtal_BW#'!$A:$Z,21,FALSE)+VLOOKUP($A124,A:AL,31,FALSE)-50))</f>
        <v>214</v>
      </c>
      <c r="AE124" s="3">
        <v>238</v>
      </c>
      <c r="AF124" s="3">
        <f>IF(ISERROR((VLOOKUP($A124,'SegEnds_NonXtal_BW#'!$A:$Z,22,FALSE)+VLOOKUP($A124,A:AL,31,FALSE)-50)),"-",(VLOOKUP($A124,'SegEnds_NonXtal_BW#'!$A:$Z,22,FALSE)+VLOOKUP($A124,A:AL,31,FALSE)-50))</f>
        <v>252</v>
      </c>
      <c r="AG124" s="3">
        <f>IF(ISERROR(VLOOKUP($A124,'SegEnds_NonXtal_BW#'!$A:$Z,23,FALSE)+VLOOKUP($A124,A:AL,34,FALSE)-50),"-",(VLOOKUP($A124,'SegEnds_NonXtal_BW#'!$A:$Z,23,FALSE)+VLOOKUP($A124,A:AL,34,FALSE)-50))</f>
        <v>256</v>
      </c>
      <c r="AH124" s="3">
        <v>282</v>
      </c>
      <c r="AI124" s="3">
        <f>IF(ISERROR((VLOOKUP($A124,'SegEnds_NonXtal_BW#'!$A:$Z,24,FALSE)+VLOOKUP($A124,A:AL,34,FALSE)-50)),"-",(VLOOKUP($A124,'SegEnds_NonXtal_BW#'!$A:$Z,24,FALSE)+VLOOKUP($A124,A:AL,34,FALSE)-50))</f>
        <v>288</v>
      </c>
      <c r="AJ124" s="3">
        <f>IF(ISERROR(VLOOKUP($A124,'SegEnds_NonXtal_BW#'!$A:$Z,25,FALSE)+VLOOKUP($A124,A:AL,37,FALSE)-50),"-",(VLOOKUP($A124,'SegEnds_NonXtal_BW#'!$A:$Z,25,FALSE)+VLOOKUP($A124,A:AL,37,FALSE)-50))</f>
        <v>289</v>
      </c>
      <c r="AK124" s="3">
        <v>292</v>
      </c>
      <c r="AL124" s="3">
        <f>IF(ISERROR((VLOOKUP($A124,'SegEnds_NonXtal_BW#'!$A:$Z,26,FALSE)+VLOOKUP($A124,A:AL,37,FALSE)-50)),"-",(VLOOKUP($A124,'SegEnds_NonXtal_BW#'!$A:$Z,26,FALSE)+VLOOKUP($A124,A:AL,37,FALSE)-50))</f>
        <v>299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 t="str">
        <f t="shared" si="39"/>
        <v>-</v>
      </c>
      <c r="AQ124" s="3" t="str">
        <f t="shared" si="40"/>
        <v>-</v>
      </c>
      <c r="AR124" s="3" t="str">
        <f t="shared" si="41"/>
        <v>-</v>
      </c>
      <c r="AS124" s="3" t="str">
        <f t="shared" si="42"/>
        <v>-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</v>
      </c>
      <c r="AX124" s="3">
        <f t="shared" si="47"/>
        <v>6</v>
      </c>
      <c r="AY124" s="3">
        <f t="shared" si="48"/>
        <v>4</v>
      </c>
      <c r="AZ124" s="3">
        <f t="shared" si="49"/>
        <v>1</v>
      </c>
      <c r="BA124" s="3">
        <f>IF(ISERROR(LEN(VLOOKUP(A124,Seqs!A:E,2,FALSE))-AL124),"-",LEN(VLOOKUP(A124,Seqs!A:E,2,FALSE))-AL124)</f>
        <v>20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47</v>
      </c>
      <c r="BF124" s="3">
        <f>AH124-AE124</f>
        <v>44</v>
      </c>
      <c r="BG124" s="3"/>
      <c r="BH124" s="3"/>
    </row>
    <row r="125" spans="1:60" s="3" customFormat="1" x14ac:dyDescent="0.2">
      <c r="A125" s="3" t="s">
        <v>229</v>
      </c>
      <c r="B125" s="3" t="str">
        <f>LOWER(VLOOKUP(A125,Xtal_Templ!A:B,2,FALSE))</f>
        <v>5ht2a_human</v>
      </c>
      <c r="C125" s="3">
        <f>VLOOKUP($A125,'SegEnds_NonXtal_BW#'!$A:$Z,3,FALSE)+D125-50</f>
        <v>17</v>
      </c>
      <c r="D125" s="3">
        <v>40</v>
      </c>
      <c r="E125" s="3">
        <f>IF(ISERROR(VLOOKUP($A125,'SegEnds_NonXtal_BW#'!$A:$Z,4,FALSE)+VLOOKUP($A125,A:AL,4,FALSE)-50),"-",(VLOOKUP($A125,'SegEnds_NonXtal_BW#'!$A:$Z,4,FALSE)+VLOOKUP($A125,A:AL,4,FALSE)-50))</f>
        <v>50</v>
      </c>
      <c r="F125" s="3">
        <f>G125-2</f>
        <v>51</v>
      </c>
      <c r="G125" s="3">
        <v>53</v>
      </c>
      <c r="H125" s="3">
        <f t="shared" ref="H125:I128" si="100">G125+1</f>
        <v>54</v>
      </c>
      <c r="I125" s="3">
        <f t="shared" si="100"/>
        <v>55</v>
      </c>
      <c r="J125" s="3">
        <v>68</v>
      </c>
      <c r="K125" s="3">
        <f>VLOOKUP($A125,'SegEnds_NonXtal_BW#'!$A:$Z,8,FALSE)+VLOOKUP($A125,A:AL,10,FALSE)-50</f>
        <v>86</v>
      </c>
      <c r="L125" s="3">
        <f t="shared" ref="L125:L133" si="101">M125-1</f>
        <v>88</v>
      </c>
      <c r="M125" s="3">
        <v>89</v>
      </c>
      <c r="N125" s="3">
        <f t="shared" ref="N125:N133" si="102">M125+2</f>
        <v>91</v>
      </c>
      <c r="O125" s="3">
        <f t="shared" ref="O125:O133" si="103">N125+1</f>
        <v>92</v>
      </c>
      <c r="P125" s="3">
        <v>121</v>
      </c>
      <c r="Q125" s="3">
        <f>VLOOKUP($A125,'SegEnds_NonXtal_BW#'!$A:$Z,12,FALSE)+VLOOKUP($A125,A:AL,16,FALSE)-50</f>
        <v>127</v>
      </c>
      <c r="R125" s="3">
        <f>IF(ISERROR(VLOOKUP($A125,'SegEnds_NonXtal_BW#'!$A:$Z,13,FALSE)+VLOOKUP($A125,A:AL,19,FALSE)-50),"-",VLOOKUP($A125,'SegEnds_NonXtal_BW#'!$A:$Z,13,FALSE)+VLOOKUP($A125,A:AL,19,FALSE)-50)</f>
        <v>128</v>
      </c>
      <c r="S125" s="3">
        <v>128</v>
      </c>
      <c r="T125" s="100">
        <f>IF(ISERROR(VLOOKUP($A125,'SegEnds_NonXtal_BW#'!$A:$Z,14,FALSE)+VLOOKUP($A125,A:AL,19,FALSE)-50),"-",(VLOOKUP($A125,'SegEnds_NonXtal_BW#'!$A:$Z,14,FALSE)+VLOOKUP($A125,A:AL,19,FALSE)-50))</f>
        <v>135</v>
      </c>
      <c r="U125" s="9">
        <f>IF(ISERROR(VLOOKUP($A125,'SegEnds_NonXtal_BW#'!$A:$Z,15,FALSE)+VLOOKUP($A125,A:AL,22,FALSE)-50),"-",VLOOKUP($A125,'SegEnds_NonXtal_BW#'!$A:$Z,15,FALSE)+VLOOKUP($A125,A:AL,22,FALSE)-50)</f>
        <v>136</v>
      </c>
      <c r="V125" s="3">
        <v>148</v>
      </c>
      <c r="W125" s="3">
        <f>IF(ISERROR(VLOOKUP($A125,'SegEnds_NonXtal_BW#'!$A:$Z,16,FALSE)+VLOOKUP($A125,A:AL,22,FALSE)-50),"-",(VLOOKUP($A125,'SegEnds_NonXtal_BW#'!$A:$Z,16,FALSE)+VLOOKUP($A125,A:AL,22,FALSE)-50))</f>
        <v>165</v>
      </c>
      <c r="X125" s="3">
        <f>IF(ISERROR(VLOOKUP($A125,'SegEnds_NonXtal_BW#'!$A:$Z,17,FALSE)+VLOOKUP($A125,A:AL,25,FALSE)-50),"-",(VLOOKUP($A125,'SegEnds_NonXtal_BW#'!$A:$Z,17,FALSE)+VLOOKUP($A125,A:AL,25,FALSE)-50))</f>
        <v>174</v>
      </c>
      <c r="Y125" s="3">
        <v>174</v>
      </c>
      <c r="Z125" s="3">
        <f t="shared" si="98"/>
        <v>176</v>
      </c>
      <c r="AA125" s="3">
        <f>IF(ISERROR(VLOOKUP($A125,'SegEnds_NonXtal_BW#'!$A:$Z,19,FALSE)+VLOOKUP($A125,A:AL,28,FALSE)-50),"-",(VLOOKUP($A125,'SegEnds_NonXtal_BW#'!$A:$Z,19,FALSE)+VLOOKUP($A125,A:AL,28,FALSE)-50))</f>
        <v>220</v>
      </c>
      <c r="AB125" s="3">
        <v>235</v>
      </c>
      <c r="AC125" s="3">
        <f>IF(ISERROR((VLOOKUP($A125,'SegEnds_NonXtal_BW#'!$A:$Z,20,FALSE)+VLOOKUP($A125,A:AL,28,FALSE)-50)),"-",(VLOOKUP($A125,'SegEnds_NonXtal_BW#'!$A:$Z,20,FALSE)+VLOOKUP($A125,A:AL,28,FALSE)-50))</f>
        <v>266</v>
      </c>
      <c r="AD125" s="3">
        <f>IF(ISERROR(VLOOKUP($A125,'SegEnds_NonXtal_BW#'!$A:$Z,21,FALSE)+VLOOKUP($A125,A:AL,31,FALSE)-50),"-",(VLOOKUP($A125,'SegEnds_NonXtal_BW#'!$A:$Z,21,FALSE)+VLOOKUP($A125,A:AL,31,FALSE)-50))</f>
        <v>274</v>
      </c>
      <c r="AE125" s="3">
        <v>301</v>
      </c>
      <c r="AF125" s="3">
        <f>IF(ISERROR((VLOOKUP($A125,'SegEnds_NonXtal_BW#'!$A:$Z,22,FALSE)+VLOOKUP($A125,A:AL,31,FALSE)-50)),"-",(VLOOKUP($A125,'SegEnds_NonXtal_BW#'!$A:$Z,22,FALSE)+VLOOKUP($A125,A:AL,31,FALSE)-50))</f>
        <v>312</v>
      </c>
      <c r="AG125" s="3">
        <f>IF(ISERROR(VLOOKUP($A125,'SegEnds_NonXtal_BW#'!$A:$Z,23,FALSE)+VLOOKUP($A125,A:AL,34,FALSE)-50),"-",(VLOOKUP($A125,'SegEnds_NonXtal_BW#'!$A:$Z,23,FALSE)+VLOOKUP($A125,A:AL,34,FALSE)-50))</f>
        <v>318</v>
      </c>
      <c r="AH125" s="3">
        <v>337</v>
      </c>
      <c r="AI125" s="3">
        <f>IF(ISERROR((VLOOKUP($A125,'SegEnds_NonXtal_BW#'!$A:$Z,24,FALSE)+VLOOKUP($A125,A:AL,34,FALSE)-50)),"-",(VLOOKUP($A125,'SegEnds_NonXtal_BW#'!$A:$Z,24,FALSE)+VLOOKUP($A125,A:AL,34,FALSE)-50))</f>
        <v>343</v>
      </c>
      <c r="AJ125" s="3">
        <f>IF(ISERROR(VLOOKUP($A125,'SegEnds_NonXtal_BW#'!$A:$Z,25,FALSE)+VLOOKUP($A125,A:AL,37,FALSE)-50),"-",(VLOOKUP($A125,'SegEnds_NonXtal_BW#'!$A:$Z,25,FALSE)+VLOOKUP($A125,A:AL,37,FALSE)-50))</f>
        <v>344</v>
      </c>
      <c r="AK125" s="3">
        <v>347</v>
      </c>
      <c r="AL125" s="3">
        <f>IF(ISERROR((VLOOKUP($A125,'SegEnds_NonXtal_BW#'!$A:$Z,26,FALSE)+VLOOKUP($A125,A:AL,37,FALSE)-50)),"-",(VLOOKUP($A125,'SegEnds_NonXtal_BW#'!$A:$Z,26,FALSE)+VLOOKUP($A125,A:AL,37,FALSE)-50))</f>
        <v>357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9</v>
      </c>
      <c r="AW125" s="3">
        <f t="shared" si="46"/>
        <v>44</v>
      </c>
      <c r="AX125" s="3">
        <f t="shared" si="47"/>
        <v>8</v>
      </c>
      <c r="AY125" s="3">
        <f t="shared" si="48"/>
        <v>6</v>
      </c>
      <c r="AZ125" s="3">
        <f t="shared" si="49"/>
        <v>1</v>
      </c>
      <c r="BA125" s="3">
        <f>IF(ISERROR(LEN(VLOOKUP(A125,Seqs!A:E,2,FALSE))-AL125),"-",LEN(VLOOKUP(A125,Seqs!A:E,2,FALSE))-AL125)</f>
        <v>16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66</v>
      </c>
      <c r="BF125" s="3">
        <f>AH125-AE125</f>
        <v>36</v>
      </c>
    </row>
    <row r="126" spans="1:60" s="3" customFormat="1" x14ac:dyDescent="0.2">
      <c r="A126" s="3" t="s">
        <v>232</v>
      </c>
      <c r="B126" s="3" t="str">
        <f>LOWER(VLOOKUP(A126,Xtal_Templ!A:B,2,FALSE))</f>
        <v>apj_human</v>
      </c>
      <c r="C126" s="3">
        <f>VLOOKUP($A126,'SegEnds_NonXtal_BW#'!$A:$Z,3,FALSE)+D126-50</f>
        <v>54</v>
      </c>
      <c r="D126" s="3">
        <v>71</v>
      </c>
      <c r="E126" s="3">
        <f>IF(ISERROR(VLOOKUP($A126,'SegEnds_NonXtal_BW#'!$A:$Z,4,FALSE)+VLOOKUP($A126,A:AL,4,FALSE)-50),"-",(VLOOKUP($A126,'SegEnds_NonXtal_BW#'!$A:$Z,4,FALSE)+VLOOKUP($A126,A:AL,4,FALSE)-50))</f>
        <v>81</v>
      </c>
      <c r="F126" s="3">
        <f>G126-2</f>
        <v>82</v>
      </c>
      <c r="G126" s="3">
        <v>84</v>
      </c>
      <c r="H126" s="3">
        <f t="shared" si="100"/>
        <v>85</v>
      </c>
      <c r="I126" s="3">
        <f t="shared" si="100"/>
        <v>86</v>
      </c>
      <c r="J126" s="3">
        <v>99</v>
      </c>
      <c r="K126" s="3">
        <f>VLOOKUP($A126,'SegEnds_NonXtal_BW#'!$A:$Z,8,FALSE)+VLOOKUP($A126,A:AL,10,FALSE)-50</f>
        <v>116</v>
      </c>
      <c r="L126" s="3">
        <f t="shared" si="101"/>
        <v>118</v>
      </c>
      <c r="M126" s="3">
        <v>119</v>
      </c>
      <c r="N126" s="3">
        <f t="shared" si="102"/>
        <v>121</v>
      </c>
      <c r="O126" s="3">
        <f t="shared" si="103"/>
        <v>122</v>
      </c>
      <c r="P126" s="3">
        <v>151</v>
      </c>
      <c r="Q126" s="3">
        <f>VLOOKUP($A126,'SegEnds_NonXtal_BW#'!$A:$Z,12,FALSE)+VLOOKUP($A126,A:AL,16,FALSE)-50</f>
        <v>157</v>
      </c>
      <c r="R126" s="3">
        <f>IF(ISERROR(VLOOKUP($A126,'SegEnds_NonXtal_BW#'!$A:$Z,13,FALSE)+VLOOKUP($A126,A:AL,19,FALSE)-50),"-",VLOOKUP($A126,'SegEnds_NonXtal_BW#'!$A:$Z,13,FALSE)+VLOOKUP($A126,A:AL,19,FALSE)-50)</f>
        <v>158</v>
      </c>
      <c r="S126" s="3">
        <v>158</v>
      </c>
      <c r="T126" s="100">
        <f>IF(ISERROR(VLOOKUP($A126,'SegEnds_NonXtal_BW#'!$A:$Z,14,FALSE)+VLOOKUP($A126,A:AL,19,FALSE)-50),"-",(VLOOKUP($A126,'SegEnds_NonXtal_BW#'!$A:$Z,14,FALSE)+VLOOKUP($A126,A:AL,19,FALSE)-50))</f>
        <v>165</v>
      </c>
      <c r="U126" s="9">
        <f>IF(ISERROR(VLOOKUP($A126,'SegEnds_NonXtal_BW#'!$A:$Z,15,FALSE)+VLOOKUP($A126,A:AL,22,FALSE)-50),"-",VLOOKUP($A126,'SegEnds_NonXtal_BW#'!$A:$Z,15,FALSE)+VLOOKUP($A126,A:AL,22,FALSE)-50)</f>
        <v>166</v>
      </c>
      <c r="V126" s="3">
        <v>178</v>
      </c>
      <c r="W126" s="3">
        <f>IF(ISERROR(VLOOKUP($A126,'SegEnds_NonXtal_BW#'!$A:$Z,16,FALSE)+VLOOKUP($A126,A:AL,22,FALSE)-50),"-",(VLOOKUP($A126,'SegEnds_NonXtal_BW#'!$A:$Z,16,FALSE)+VLOOKUP($A126,A:AL,22,FALSE)-50))</f>
        <v>192</v>
      </c>
      <c r="X126" s="3">
        <f>IF(ISERROR(VLOOKUP($A126,'SegEnds_NonXtal_BW#'!$A:$Z,17,FALSE)+VLOOKUP($A126,A:AL,25,FALSE)-50),"-",(VLOOKUP($A126,'SegEnds_NonXtal_BW#'!$A:$Z,17,FALSE)+VLOOKUP($A126,A:AL,25,FALSE)-50))</f>
        <v>202</v>
      </c>
      <c r="Y126" s="3">
        <v>202</v>
      </c>
      <c r="Z126" s="3">
        <f t="shared" si="98"/>
        <v>204</v>
      </c>
      <c r="AA126" s="3">
        <f>IF(ISERROR(VLOOKUP($A126,'SegEnds_NonXtal_BW#'!$A:$Z,19,FALSE)+VLOOKUP($A126,A:AL,28,FALSE)-50),"-",(VLOOKUP($A126,'SegEnds_NonXtal_BW#'!$A:$Z,19,FALSE)+VLOOKUP($A126,A:AL,28,FALSE)-50))</f>
        <v>210</v>
      </c>
      <c r="AB126" s="3">
        <v>230</v>
      </c>
      <c r="AC126" s="3">
        <f>IF(ISERROR((VLOOKUP($A126,'SegEnds_NonXtal_BW#'!$A:$Z,20,FALSE)+VLOOKUP($A126,A:AL,28,FALSE)-50)),"-",(VLOOKUP($A126,'SegEnds_NonXtal_BW#'!$A:$Z,20,FALSE)+VLOOKUP($A126,A:AL,28,FALSE)-50))</f>
        <v>248</v>
      </c>
      <c r="AD126" s="3">
        <f>IF(ISERROR(VLOOKUP($A126,'SegEnds_NonXtal_BW#'!$A:$Z,21,FALSE)+VLOOKUP($A126,A:AL,31,FALSE)-50),"-",(VLOOKUP($A126,'SegEnds_NonXtal_BW#'!$A:$Z,21,FALSE)+VLOOKUP($A126,A:AL,31,FALSE)-50))</f>
        <v>253</v>
      </c>
      <c r="AE126" s="3">
        <v>273</v>
      </c>
      <c r="AF126" s="3">
        <f>IF(ISERROR((VLOOKUP($A126,'SegEnds_NonXtal_BW#'!$A:$Z,22,FALSE)+VLOOKUP($A126,A:AL,31,FALSE)-50)),"-",(VLOOKUP($A126,'SegEnds_NonXtal_BW#'!$A:$Z,22,FALSE)+VLOOKUP($A126,A:AL,31,FALSE)-50))</f>
        <v>287</v>
      </c>
      <c r="AG126" s="3">
        <f>IF(ISERROR(VLOOKUP($A126,'SegEnds_NonXtal_BW#'!$A:$Z,23,FALSE)+VLOOKUP($A126,A:AL,34,FALSE)-50),"-",(VLOOKUP($A126,'SegEnds_NonXtal_BW#'!$A:$Z,23,FALSE)+VLOOKUP($A126,A:AL,34,FALSE)-50))</f>
        <v>291</v>
      </c>
      <c r="AH126" s="3">
        <v>317</v>
      </c>
      <c r="AI126" s="3">
        <f>IF(ISERROR((VLOOKUP($A126,'SegEnds_NonXtal_BW#'!$A:$Z,24,FALSE)+VLOOKUP($A126,A:AL,34,FALSE)-50)),"-",(VLOOKUP($A126,'SegEnds_NonXtal_BW#'!$A:$Z,24,FALSE)+VLOOKUP($A126,A:AL,34,FALSE)-50))</f>
        <v>323</v>
      </c>
      <c r="AJ126" s="3">
        <f>IF(ISERROR(VLOOKUP($A126,'SegEnds_NonXtal_BW#'!$A:$Z,25,FALSE)+VLOOKUP($A126,A:AL,37,FALSE)-50),"-",(VLOOKUP($A126,'SegEnds_NonXtal_BW#'!$A:$Z,25,FALSE)+VLOOKUP($A126,A:AL,37,FALSE)-50))</f>
        <v>324</v>
      </c>
      <c r="AK126" s="3">
        <v>327</v>
      </c>
      <c r="AL126" s="3">
        <f>IF(ISERROR((VLOOKUP($A126,'SegEnds_NonXtal_BW#'!$A:$Z,26,FALSE)+VLOOKUP($A126,A:AL,37,FALSE)-50)),"-",(VLOOKUP($A126,'SegEnds_NonXtal_BW#'!$A:$Z,26,FALSE)+VLOOKUP($A126,A:AL,37,FALSE)-50))</f>
        <v>338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10</v>
      </c>
      <c r="AW126" s="3">
        <f t="shared" si="46"/>
        <v>6</v>
      </c>
      <c r="AX126" s="3">
        <f t="shared" si="47"/>
        <v>5</v>
      </c>
      <c r="AY126" s="3">
        <f t="shared" si="48"/>
        <v>4</v>
      </c>
      <c r="AZ126" s="3">
        <f t="shared" si="49"/>
        <v>1</v>
      </c>
      <c r="BA126" s="3">
        <f>IF(ISERROR(LEN(VLOOKUP(A126,Seqs!A:E,2,FALSE))-AL126),"-",LEN(VLOOKUP(A126,Seqs!A:E,2,FALSE))-AL126)</f>
        <v>66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43</v>
      </c>
    </row>
    <row r="127" spans="1:60" s="3" customFormat="1" x14ac:dyDescent="0.2">
      <c r="A127" s="3" t="s">
        <v>233</v>
      </c>
      <c r="B127" s="3" t="str">
        <f>LOWER(VLOOKUP(A127,Xtal_Templ!A:B,2,FALSE))</f>
        <v>oprk_human</v>
      </c>
      <c r="C127" s="3">
        <f>VLOOKUP($A127,'SegEnds_NonXtal_BW#'!$A:$Z,3,FALSE)+D127-50</f>
        <v>29</v>
      </c>
      <c r="D127" s="3">
        <v>49</v>
      </c>
      <c r="E127" s="3">
        <f>IF(ISERROR(VLOOKUP($A127,'SegEnds_NonXtal_BW#'!$A:$Z,4,FALSE)+VLOOKUP($A127,A:AL,4,FALSE)-50),"-",(VLOOKUP($A127,'SegEnds_NonXtal_BW#'!$A:$Z,4,FALSE)+VLOOKUP($A127,A:AL,4,FALSE)-50))</f>
        <v>59</v>
      </c>
      <c r="F127" s="3">
        <f>G127-2</f>
        <v>60</v>
      </c>
      <c r="G127" s="3">
        <v>62</v>
      </c>
      <c r="H127" s="3">
        <f t="shared" si="100"/>
        <v>63</v>
      </c>
      <c r="I127" s="3">
        <f t="shared" si="100"/>
        <v>64</v>
      </c>
      <c r="J127" s="3">
        <v>77</v>
      </c>
      <c r="K127" s="3">
        <f>VLOOKUP($A127,'SegEnds_NonXtal_BW#'!$A:$Z,8,FALSE)+VLOOKUP($A127,A:AL,10,FALSE)-50</f>
        <v>94</v>
      </c>
      <c r="L127" s="3">
        <f t="shared" si="101"/>
        <v>96</v>
      </c>
      <c r="M127" s="3">
        <v>97</v>
      </c>
      <c r="N127" s="3">
        <f t="shared" si="102"/>
        <v>99</v>
      </c>
      <c r="O127" s="3">
        <f t="shared" si="103"/>
        <v>100</v>
      </c>
      <c r="P127" s="3">
        <v>129</v>
      </c>
      <c r="Q127" s="3">
        <f>VLOOKUP($A127,'SegEnds_NonXtal_BW#'!$A:$Z,12,FALSE)+VLOOKUP($A127,A:AL,16,FALSE)-50</f>
        <v>135</v>
      </c>
      <c r="R127" s="3">
        <f>IF(ISERROR(VLOOKUP($A127,'SegEnds_NonXtal_BW#'!$A:$Z,13,FALSE)+VLOOKUP($A127,A:AL,19,FALSE)-50),"-",VLOOKUP($A127,'SegEnds_NonXtal_BW#'!$A:$Z,13,FALSE)+VLOOKUP($A127,A:AL,19,FALSE)-50)</f>
        <v>136</v>
      </c>
      <c r="S127" s="3">
        <v>136</v>
      </c>
      <c r="T127" s="100">
        <f>IF(ISERROR(VLOOKUP($A127,'SegEnds_NonXtal_BW#'!$A:$Z,14,FALSE)+VLOOKUP($A127,A:AL,19,FALSE)-50),"-",(VLOOKUP($A127,'SegEnds_NonXtal_BW#'!$A:$Z,14,FALSE)+VLOOKUP($A127,A:AL,19,FALSE)-50))</f>
        <v>143</v>
      </c>
      <c r="U127" s="9">
        <f>IF(ISERROR(VLOOKUP($A127,'SegEnds_NonXtal_BW#'!$A:$Z,15,FALSE)+VLOOKUP($A127,A:AL,22,FALSE)-50),"-",VLOOKUP($A127,'SegEnds_NonXtal_BW#'!$A:$Z,15,FALSE)+VLOOKUP($A127,A:AL,22,FALSE)-50)</f>
        <v>144</v>
      </c>
      <c r="V127" s="3">
        <v>156</v>
      </c>
      <c r="W127" s="3">
        <f>IF(ISERROR(VLOOKUP($A127,'SegEnds_NonXtal_BW#'!$A:$Z,16,FALSE)+VLOOKUP($A127,A:AL,22,FALSE)-50),"-",(VLOOKUP($A127,'SegEnds_NonXtal_BW#'!$A:$Z,16,FALSE)+VLOOKUP($A127,A:AL,22,FALSE)-50))</f>
        <v>170</v>
      </c>
      <c r="X127" s="3">
        <f>IF(ISERROR(VLOOKUP($A127,'SegEnds_NonXtal_BW#'!$A:$Z,17,FALSE)+VLOOKUP($A127,A:AL,25,FALSE)-50),"-",(VLOOKUP($A127,'SegEnds_NonXtal_BW#'!$A:$Z,17,FALSE)+VLOOKUP($A127,A:AL,25,FALSE)-50))</f>
        <v>181</v>
      </c>
      <c r="Y127" s="3">
        <v>181</v>
      </c>
      <c r="Z127" s="3">
        <f t="shared" si="98"/>
        <v>183</v>
      </c>
      <c r="AA127" s="3">
        <f>IF(ISERROR(VLOOKUP($A127,'SegEnds_NonXtal_BW#'!$A:$Z,19,FALSE)+VLOOKUP($A127,A:AL,28,FALSE)-50),"-",(VLOOKUP($A127,'SegEnds_NonXtal_BW#'!$A:$Z,19,FALSE)+VLOOKUP($A127,A:AL,28,FALSE)-50))</f>
        <v>188</v>
      </c>
      <c r="AB127" s="3">
        <v>208</v>
      </c>
      <c r="AC127" s="3">
        <f>IF(ISERROR((VLOOKUP($A127,'SegEnds_NonXtal_BW#'!$A:$Z,20,FALSE)+VLOOKUP($A127,A:AL,28,FALSE)-50)),"-",(VLOOKUP($A127,'SegEnds_NonXtal_BW#'!$A:$Z,20,FALSE)+VLOOKUP($A127,A:AL,28,FALSE)-50))</f>
        <v>226</v>
      </c>
      <c r="AD127" s="3">
        <f>IF(ISERROR(VLOOKUP($A127,'SegEnds_NonXtal_BW#'!$A:$Z,21,FALSE)+VLOOKUP($A127,A:AL,31,FALSE)-50),"-",(VLOOKUP($A127,'SegEnds_NonXtal_BW#'!$A:$Z,21,FALSE)+VLOOKUP($A127,A:AL,31,FALSE)-50))</f>
        <v>232</v>
      </c>
      <c r="AE127" s="3">
        <v>259</v>
      </c>
      <c r="AF127" s="3">
        <f>IF(ISERROR((VLOOKUP($A127,'SegEnds_NonXtal_BW#'!$A:$Z,22,FALSE)+VLOOKUP($A127,A:AL,31,FALSE)-50)),"-",(VLOOKUP($A127,'SegEnds_NonXtal_BW#'!$A:$Z,22,FALSE)+VLOOKUP($A127,A:AL,31,FALSE)-50))</f>
        <v>273</v>
      </c>
      <c r="AG127" s="3">
        <f>IF(ISERROR(VLOOKUP($A127,'SegEnds_NonXtal_BW#'!$A:$Z,23,FALSE)+VLOOKUP($A127,A:AL,34,FALSE)-50),"-",(VLOOKUP($A127,'SegEnds_NonXtal_BW#'!$A:$Z,23,FALSE)+VLOOKUP($A127,A:AL,34,FALSE)-50))</f>
        <v>279</v>
      </c>
      <c r="AH127" s="3">
        <v>305</v>
      </c>
      <c r="AI127" s="3">
        <f>IF(ISERROR((VLOOKUP($A127,'SegEnds_NonXtal_BW#'!$A:$Z,24,FALSE)+VLOOKUP($A127,A:AL,34,FALSE)-50)),"-",(VLOOKUP($A127,'SegEnds_NonXtal_BW#'!$A:$Z,24,FALSE)+VLOOKUP($A127,A:AL,34,FALSE)-50))</f>
        <v>311</v>
      </c>
      <c r="AJ127" s="3">
        <f>IF(ISERROR(VLOOKUP($A127,'SegEnds_NonXtal_BW#'!$A:$Z,25,FALSE)+VLOOKUP($A127,A:AL,37,FALSE)-50),"-",(VLOOKUP($A127,'SegEnds_NonXtal_BW#'!$A:$Z,25,FALSE)+VLOOKUP($A127,A:AL,37,FALSE)-50))</f>
        <v>312</v>
      </c>
      <c r="AK127" s="3">
        <v>315</v>
      </c>
      <c r="AL127" s="3">
        <f>IF(ISERROR((VLOOKUP($A127,'SegEnds_NonXtal_BW#'!$A:$Z,26,FALSE)+VLOOKUP($A127,A:AL,37,FALSE)-50)),"-",(VLOOKUP($A127,'SegEnds_NonXtal_BW#'!$A:$Z,26,FALSE)+VLOOKUP($A127,A:AL,37,FALSE)-50))</f>
        <v>324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11</v>
      </c>
      <c r="AW127" s="3">
        <f t="shared" si="46"/>
        <v>5</v>
      </c>
      <c r="AX127" s="3">
        <f t="shared" si="47"/>
        <v>6</v>
      </c>
      <c r="AY127" s="3">
        <f t="shared" si="48"/>
        <v>6</v>
      </c>
      <c r="AZ127" s="3">
        <f t="shared" si="49"/>
        <v>1</v>
      </c>
      <c r="BA127" s="3">
        <f>IF(ISERROR(LEN(VLOOKUP(A127,Seqs!A:E,2,FALSE))-AL127),"-",LEN(VLOOKUP(A127,Seqs!A:E,2,FALSE))-AL127)</f>
        <v>37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51</v>
      </c>
    </row>
    <row r="128" spans="1:60" s="3" customFormat="1" x14ac:dyDescent="0.2">
      <c r="A128" s="3" t="s">
        <v>235</v>
      </c>
      <c r="B128" s="3" t="str">
        <f>LOWER(VLOOKUP(A128,Xtal_Templ!A:B,2,FALSE))</f>
        <v>cltr2_human</v>
      </c>
      <c r="C128" s="3">
        <f>VLOOKUP($A128,'SegEnds_NonXtal_BW#'!$A:$Z,3,FALSE)+D128-50</f>
        <v>52</v>
      </c>
      <c r="D128" s="3">
        <v>77</v>
      </c>
      <c r="E128" s="3">
        <f>IF(ISERROR(VLOOKUP($A128,'SegEnds_NonXtal_BW#'!$A:$Z,4,FALSE)+VLOOKUP($A128,A:AL,4,FALSE)-50),"-",(VLOOKUP($A128,'SegEnds_NonXtal_BW#'!$A:$Z,4,FALSE)+VLOOKUP($A128,A:AL,4,FALSE)-50))</f>
        <v>87</v>
      </c>
      <c r="F128" s="3">
        <f>G128-2</f>
        <v>88</v>
      </c>
      <c r="G128" s="3">
        <v>90</v>
      </c>
      <c r="H128" s="3">
        <f t="shared" si="100"/>
        <v>91</v>
      </c>
      <c r="I128" s="3">
        <f t="shared" si="100"/>
        <v>92</v>
      </c>
      <c r="J128" s="3">
        <v>105</v>
      </c>
      <c r="K128" s="3">
        <f>VLOOKUP($A128,'SegEnds_NonXtal_BW#'!$A:$Z,8,FALSE)+VLOOKUP($A128,A:AL,10,FALSE)-50</f>
        <v>121</v>
      </c>
      <c r="L128" s="3">
        <f t="shared" si="101"/>
        <v>123</v>
      </c>
      <c r="M128" s="3">
        <v>124</v>
      </c>
      <c r="N128" s="3">
        <f t="shared" si="102"/>
        <v>126</v>
      </c>
      <c r="O128" s="3">
        <f t="shared" si="103"/>
        <v>127</v>
      </c>
      <c r="P128" s="3">
        <v>155</v>
      </c>
      <c r="Q128" s="3">
        <f>VLOOKUP($A128,'SegEnds_NonXtal_BW#'!$A:$Z,12,FALSE)+VLOOKUP($A128,A:AL,16,FALSE)-50</f>
        <v>161</v>
      </c>
      <c r="R128" s="3">
        <f>IF(ISERROR(VLOOKUP($A128,'SegEnds_NonXtal_BW#'!$A:$Z,13,FALSE)+VLOOKUP($A128,A:AL,19,FALSE)-50),"-",VLOOKUP($A128,'SegEnds_NonXtal_BW#'!$A:$Z,13,FALSE)+VLOOKUP($A128,A:AL,19,FALSE)-50)</f>
        <v>162</v>
      </c>
      <c r="S128" s="3">
        <v>162</v>
      </c>
      <c r="T128" s="100">
        <f>IF(ISERROR(VLOOKUP($A128,'SegEnds_NonXtal_BW#'!$A:$Z,14,FALSE)+VLOOKUP($A128,A:AL,19,FALSE)-50),"-",(VLOOKUP($A128,'SegEnds_NonXtal_BW#'!$A:$Z,14,FALSE)+VLOOKUP($A128,A:AL,19,FALSE)-50))</f>
        <v>169</v>
      </c>
      <c r="U128" s="9">
        <f>IF(ISERROR(VLOOKUP($A128,'SegEnds_NonXtal_BW#'!$A:$Z,15,FALSE)+VLOOKUP($A128,A:AL,22,FALSE)-50),"-",VLOOKUP($A128,'SegEnds_NonXtal_BW#'!$A:$Z,15,FALSE)+VLOOKUP($A128,A:AL,22,FALSE)-50)</f>
        <v>170</v>
      </c>
      <c r="V128" s="3">
        <v>182</v>
      </c>
      <c r="W128" s="3">
        <f>IF(ISERROR(VLOOKUP($A128,'SegEnds_NonXtal_BW#'!$A:$Z,16,FALSE)+VLOOKUP($A128,A:AL,22,FALSE)-50),"-",(VLOOKUP($A128,'SegEnds_NonXtal_BW#'!$A:$Z,16,FALSE)+VLOOKUP($A128,A:AL,22,FALSE)-50))</f>
        <v>195</v>
      </c>
      <c r="X128" s="3">
        <f>IF(ISERROR(VLOOKUP($A128,'SegEnds_NonXtal_BW#'!$A:$Z,17,FALSE)+VLOOKUP($A128,A:AL,25,FALSE)-50),"-",(VLOOKUP($A128,'SegEnds_NonXtal_BW#'!$A:$Z,17,FALSE)+VLOOKUP($A128,A:AL,25,FALSE)-50))</f>
        <v>205</v>
      </c>
      <c r="Y128" s="3">
        <v>205</v>
      </c>
      <c r="Z128" s="3">
        <f t="shared" si="98"/>
        <v>207</v>
      </c>
      <c r="AA128" s="3">
        <f>IF(ISERROR(VLOOKUP($A128,'SegEnds_NonXtal_BW#'!$A:$Z,19,FALSE)+VLOOKUP($A128,A:AL,28,FALSE)-50),"-",(VLOOKUP($A128,'SegEnds_NonXtal_BW#'!$A:$Z,19,FALSE)+VLOOKUP($A128,A:AL,28,FALSE)-50))</f>
        <v>210</v>
      </c>
      <c r="AB128" s="3">
        <v>226</v>
      </c>
      <c r="AC128" s="3">
        <f>IF(ISERROR((VLOOKUP($A128,'SegEnds_NonXtal_BW#'!$A:$Z,20,FALSE)+VLOOKUP($A128,A:AL,28,FALSE)-50)),"-",(VLOOKUP($A128,'SegEnds_NonXtal_BW#'!$A:$Z,20,FALSE)+VLOOKUP($A128,A:AL,28,FALSE)-50))</f>
        <v>244</v>
      </c>
      <c r="AD128" s="3">
        <f>IF(ISERROR(VLOOKUP($A128,'SegEnds_NonXtal_BW#'!$A:$Z,21,FALSE)+VLOOKUP($A128,A:AL,31,FALSE)-50),"-",(VLOOKUP($A128,'SegEnds_NonXtal_BW#'!$A:$Z,21,FALSE)+VLOOKUP($A128,A:AL,31,FALSE)-50))</f>
        <v>248</v>
      </c>
      <c r="AE128" s="3">
        <v>274</v>
      </c>
      <c r="AF128" s="3">
        <f>IF(ISERROR((VLOOKUP($A128,'SegEnds_NonXtal_BW#'!$A:$Z,22,FALSE)+VLOOKUP($A128,A:AL,31,FALSE)-50)),"-",(VLOOKUP($A128,'SegEnds_NonXtal_BW#'!$A:$Z,22,FALSE)+VLOOKUP($A128,A:AL,31,FALSE)-50))</f>
        <v>288</v>
      </c>
      <c r="AG128" s="3">
        <f>IF(ISERROR(VLOOKUP($A128,'SegEnds_NonXtal_BW#'!$A:$Z,23,FALSE)+VLOOKUP($A128,A:AL,34,FALSE)-50),"-",(VLOOKUP($A128,'SegEnds_NonXtal_BW#'!$A:$Z,23,FALSE)+VLOOKUP($A128,A:AL,34,FALSE)-50))</f>
        <v>295</v>
      </c>
      <c r="AH128" s="3">
        <v>321</v>
      </c>
      <c r="AI128" s="3">
        <f>IF(ISERROR((VLOOKUP($A128,'SegEnds_NonXtal_BW#'!$A:$Z,24,FALSE)+VLOOKUP($A128,A:AL,34,FALSE)-50)),"-",(VLOOKUP($A128,'SegEnds_NonXtal_BW#'!$A:$Z,24,FALSE)+VLOOKUP($A128,A:AL,34,FALSE)-50))</f>
        <v>327</v>
      </c>
      <c r="AJ128" s="3">
        <f>IF(ISERROR(VLOOKUP($A128,'SegEnds_NonXtal_BW#'!$A:$Z,25,FALSE)+VLOOKUP($A128,A:AL,37,FALSE)-50),"-",(VLOOKUP($A128,'SegEnds_NonXtal_BW#'!$A:$Z,25,FALSE)+VLOOKUP($A128,A:AL,37,FALSE)-50))</f>
        <v>328</v>
      </c>
      <c r="AK128" s="3">
        <v>331</v>
      </c>
      <c r="AL128" s="3">
        <f>IF(ISERROR((VLOOKUP($A128,'SegEnds_NonXtal_BW#'!$A:$Z,26,FALSE)+VLOOKUP($A128,A:AL,37,FALSE)-50)),"-",(VLOOKUP($A128,'SegEnds_NonXtal_BW#'!$A:$Z,26,FALSE)+VLOOKUP($A128,A:AL,37,FALSE)-50))</f>
        <v>341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>
        <f t="shared" si="39"/>
        <v>1</v>
      </c>
      <c r="AQ128" s="3">
        <f t="shared" si="40"/>
        <v>1</v>
      </c>
      <c r="AR128" s="3">
        <f t="shared" si="41"/>
        <v>2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10</v>
      </c>
      <c r="AW128" s="3">
        <f t="shared" si="46"/>
        <v>3</v>
      </c>
      <c r="AX128" s="3">
        <f t="shared" si="47"/>
        <v>4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34</v>
      </c>
      <c r="BB128" s="16">
        <f t="shared" si="50"/>
        <v>28</v>
      </c>
      <c r="BC128" s="9">
        <f t="shared" si="51"/>
        <v>20</v>
      </c>
      <c r="BD128" s="3">
        <f t="shared" si="52"/>
        <v>28</v>
      </c>
      <c r="BE128" s="3">
        <f t="shared" si="53"/>
        <v>48</v>
      </c>
    </row>
    <row r="129" spans="1:58" s="3" customFormat="1" x14ac:dyDescent="0.2">
      <c r="A129" s="3" t="s">
        <v>236</v>
      </c>
      <c r="B129" s="3" t="str">
        <f>LOWER(VLOOKUP(A129,Xtal_Templ!A:B,2,FALSE))</f>
        <v>fpr2_human</v>
      </c>
      <c r="C129" s="3">
        <f>VLOOKUP($A129,'SegEnds_NonXtal_BW#'!$A:$Z,3,FALSE)+D129-50</f>
        <v>31</v>
      </c>
      <c r="D129" s="3">
        <v>56</v>
      </c>
      <c r="E129" s="3">
        <f>IF(ISERROR(VLOOKUP($A129,'SegEnds_NonXtal_BW#'!$A:$Z,4,FALSE)+VLOOKUP($A129,A:AL,4,FALSE)-50),"-",(VLOOKUP($A129,'SegEnds_NonXtal_BW#'!$A:$Z,4,FALSE)+VLOOKUP($A129,A:AL,4,FALSE)-50))</f>
        <v>67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70</v>
      </c>
      <c r="J129" s="3">
        <v>83</v>
      </c>
      <c r="K129" s="3">
        <f>VLOOKUP($A129,'SegEnds_NonXtal_BW#'!$A:$Z,8,FALSE)+VLOOKUP($A129,A:AL,10,FALSE)-50</f>
        <v>100</v>
      </c>
      <c r="L129" s="3">
        <f t="shared" si="101"/>
        <v>102</v>
      </c>
      <c r="M129" s="3">
        <v>103</v>
      </c>
      <c r="N129" s="3">
        <f t="shared" si="102"/>
        <v>105</v>
      </c>
      <c r="O129" s="3">
        <f t="shared" si="103"/>
        <v>106</v>
      </c>
      <c r="P129" s="3">
        <v>135</v>
      </c>
      <c r="Q129" s="3">
        <f>VLOOKUP($A129,'SegEnds_NonXtal_BW#'!$A:$Z,12,FALSE)+VLOOKUP($A129,A:AL,16,FALSE)-50</f>
        <v>141</v>
      </c>
      <c r="R129" s="3">
        <f>IF(ISERROR(VLOOKUP($A129,'SegEnds_NonXtal_BW#'!$A:$Z,13,FALSE)+VLOOKUP($A129,A:AL,19,FALSE)-50),"-",VLOOKUP($A129,'SegEnds_NonXtal_BW#'!$A:$Z,13,FALSE)+VLOOKUP($A129,A:AL,19,FALSE)-50)</f>
        <v>142</v>
      </c>
      <c r="S129" s="3">
        <v>142</v>
      </c>
      <c r="T129" s="100">
        <f>IF(ISERROR(VLOOKUP($A129,'SegEnds_NonXtal_BW#'!$A:$Z,14,FALSE)+VLOOKUP($A129,A:AL,19,FALSE)-50),"-",(VLOOKUP($A129,'SegEnds_NonXtal_BW#'!$A:$Z,14,FALSE)+VLOOKUP($A129,A:AL,19,FALSE)-50))</f>
        <v>149</v>
      </c>
      <c r="U129" s="9">
        <f>IF(ISERROR(VLOOKUP($A129,'SegEnds_NonXtal_BW#'!$A:$Z,15,FALSE)+VLOOKUP($A129,A:AL,22,FALSE)-50),"-",VLOOKUP($A129,'SegEnds_NonXtal_BW#'!$A:$Z,15,FALSE)+VLOOKUP($A129,A:AL,22,FALSE)-50)</f>
        <v>150</v>
      </c>
      <c r="V129" s="3">
        <v>162</v>
      </c>
      <c r="W129" s="3">
        <f>IF(ISERROR(VLOOKUP($A129,'SegEnds_NonXtal_BW#'!$A:$Z,16,FALSE)+VLOOKUP($A129,A:AL,22,FALSE)-50),"-",(VLOOKUP($A129,'SegEnds_NonXtal_BW#'!$A:$Z,16,FALSE)+VLOOKUP($A129,A:AL,22,FALSE)-50))</f>
        <v>176</v>
      </c>
      <c r="X129" s="3">
        <f>IF(ISERROR(VLOOKUP($A129,'SegEnds_NonXtal_BW#'!$A:$Z,17,FALSE)+VLOOKUP($A129,A:AL,25,FALSE)-50),"-",(VLOOKUP($A129,'SegEnds_NonXtal_BW#'!$A:$Z,17,FALSE)+VLOOKUP($A129,A:AL,25,FALSE)-50))</f>
        <v>187</v>
      </c>
      <c r="Y129" s="3">
        <v>187</v>
      </c>
      <c r="Z129" s="3">
        <f t="shared" si="98"/>
        <v>189</v>
      </c>
      <c r="AA129" s="3">
        <f>IF(ISERROR(VLOOKUP($A129,'SegEnds_NonXtal_BW#'!$A:$Z,19,FALSE)+VLOOKUP($A129,A:AL,28,FALSE)-50),"-",(VLOOKUP($A129,'SegEnds_NonXtal_BW#'!$A:$Z,19,FALSE)+VLOOKUP($A129,A:AL,28,FALSE)-50))</f>
        <v>191</v>
      </c>
      <c r="AB129" s="3">
        <v>218</v>
      </c>
      <c r="AC129" s="3">
        <f>IF(ISERROR((VLOOKUP($A129,'SegEnds_NonXtal_BW#'!$A:$Z,20,FALSE)+VLOOKUP($A129,A:AL,28,FALSE)-50)),"-",(VLOOKUP($A129,'SegEnds_NonXtal_BW#'!$A:$Z,20,FALSE)+VLOOKUP($A129,A:AL,28,FALSE)-50))</f>
        <v>236</v>
      </c>
      <c r="AD129" s="3">
        <f>IF(ISERROR(VLOOKUP($A129,'SegEnds_NonXtal_BW#'!$A:$Z,21,FALSE)+VLOOKUP($A129,A:AL,31,FALSE)-50),"-",(VLOOKUP($A129,'SegEnds_NonXtal_BW#'!$A:$Z,21,FALSE)+VLOOKUP($A129,A:AL,31,FALSE)-50))</f>
        <v>241</v>
      </c>
      <c r="AE129" s="3">
        <v>261</v>
      </c>
      <c r="AF129" s="3">
        <f>IF(ISERROR((VLOOKUP($A129,'SegEnds_NonXtal_BW#'!$A:$Z,22,FALSE)+VLOOKUP($A129,A:AL,31,FALSE)-50)),"-",(VLOOKUP($A129,'SegEnds_NonXtal_BW#'!$A:$Z,22,FALSE)+VLOOKUP($A129,A:AL,31,FALSE)-50))</f>
        <v>272</v>
      </c>
      <c r="AG129" s="3">
        <f>IF(ISERROR(VLOOKUP($A129,'SegEnds_NonXtal_BW#'!$A:$Z,23,FALSE)+VLOOKUP($A129,A:AL,34,FALSE)-50),"-",(VLOOKUP($A129,'SegEnds_NonXtal_BW#'!$A:$Z,23,FALSE)+VLOOKUP($A129,A:AL,34,FALSE)-50))</f>
        <v>279</v>
      </c>
      <c r="AH129" s="3">
        <v>301</v>
      </c>
      <c r="AI129" s="3">
        <f>IF(ISERROR((VLOOKUP($A129,'SegEnds_NonXtal_BW#'!$A:$Z,24,FALSE)+VLOOKUP($A129,A:AL,34,FALSE)-50)),"-",(VLOOKUP($A129,'SegEnds_NonXtal_BW#'!$A:$Z,24,FALSE)+VLOOKUP($A129,A:AL,34,FALSE)-50))</f>
        <v>307</v>
      </c>
      <c r="AJ129" s="3">
        <f>IF(ISERROR(VLOOKUP($A129,'SegEnds_NonXtal_BW#'!$A:$Z,25,FALSE)+VLOOKUP($A129,A:AL,37,FALSE)-50),"-",(VLOOKUP($A129,'SegEnds_NonXtal_BW#'!$A:$Z,25,FALSE)+VLOOKUP($A129,A:AL,37,FALSE)-50))</f>
        <v>308</v>
      </c>
      <c r="AK129" s="3">
        <v>311</v>
      </c>
      <c r="AL129" s="3">
        <f>IF(ISERROR((VLOOKUP($A129,'SegEnds_NonXtal_BW#'!$A:$Z,26,FALSE)+VLOOKUP($A129,A:AL,37,FALSE)-50)),"-",(VLOOKUP($A129,'SegEnds_NonXtal_BW#'!$A:$Z,26,FALSE)+VLOOKUP($A129,A:AL,37,FALSE)-50))</f>
        <v>319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>
        <f t="shared" si="45"/>
        <v>11</v>
      </c>
      <c r="AW129" s="3">
        <f t="shared" si="46"/>
        <v>2</v>
      </c>
      <c r="AX129" s="3">
        <f t="shared" si="47"/>
        <v>5</v>
      </c>
      <c r="AY129" s="3">
        <f t="shared" si="48"/>
        <v>7</v>
      </c>
      <c r="AZ129" s="3">
        <f t="shared" si="49"/>
        <v>1</v>
      </c>
      <c r="BA129" s="3">
        <f>IF(ISERROR(LEN(VLOOKUP(A129,Seqs!A:E,2,FALSE))-AL129),"-",LEN(VLOOKUP(A129,Seqs!A:E,2,FALSE))-AL129)</f>
        <v>36</v>
      </c>
      <c r="BB129" s="16">
        <f t="shared" si="50"/>
        <v>27</v>
      </c>
      <c r="BC129" s="9">
        <f t="shared" si="51"/>
        <v>20</v>
      </c>
      <c r="BD129" s="3">
        <f t="shared" si="52"/>
        <v>27</v>
      </c>
      <c r="BE129" s="3">
        <f t="shared" si="53"/>
        <v>43</v>
      </c>
    </row>
    <row r="130" spans="1:58" s="3" customFormat="1" x14ac:dyDescent="0.2">
      <c r="A130" s="3" t="s">
        <v>237</v>
      </c>
      <c r="B130" s="3" t="str">
        <f>LOWER(VLOOKUP(A130,Xtal_Templ!A:B,2,FALSE))</f>
        <v>lpar1_human</v>
      </c>
      <c r="C130" s="3">
        <f>VLOOKUP($A130,'SegEnds_NonXtal_BW#'!$A:$Z,3,FALSE)+D130-50</f>
        <v>42</v>
      </c>
      <c r="D130" s="3">
        <v>62</v>
      </c>
      <c r="E130" s="3">
        <f>IF(ISERROR(VLOOKUP($A130,'SegEnds_NonXtal_BW#'!$A:$Z,4,FALSE)+VLOOKUP($A130,A:AL,4,FALSE)-50),"-",(VLOOKUP($A130,'SegEnds_NonXtal_BW#'!$A:$Z,4,FALSE)+VLOOKUP($A130,A:AL,4,FALSE)-50))</f>
        <v>72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77</v>
      </c>
      <c r="J130" s="3">
        <v>90</v>
      </c>
      <c r="K130" s="3">
        <f>VLOOKUP($A130,'SegEnds_NonXtal_BW#'!$A:$Z,8,FALSE)+VLOOKUP($A130,A:AL,10,FALSE)-50</f>
        <v>102</v>
      </c>
      <c r="L130" s="3">
        <f t="shared" si="101"/>
        <v>104</v>
      </c>
      <c r="M130" s="3">
        <v>105</v>
      </c>
      <c r="N130" s="3">
        <f t="shared" si="102"/>
        <v>107</v>
      </c>
      <c r="O130" s="3">
        <f t="shared" si="103"/>
        <v>108</v>
      </c>
      <c r="P130" s="3">
        <v>138</v>
      </c>
      <c r="Q130" s="3">
        <f>VLOOKUP($A130,'SegEnds_NonXtal_BW#'!$A:$Z,12,FALSE)+VLOOKUP($A130,A:AL,16,FALSE)-50</f>
        <v>144</v>
      </c>
      <c r="R130" s="3">
        <f>S130</f>
        <v>145</v>
      </c>
      <c r="S130" s="3">
        <v>145</v>
      </c>
      <c r="T130" s="100">
        <f>S130+7</f>
        <v>152</v>
      </c>
      <c r="U130" s="9">
        <f>IF(ISERROR(VLOOKUP($A130,'SegEnds_NonXtal_BW#'!$A:$Z,15,FALSE)+VLOOKUP($A130,A:AL,22,FALSE)-50),"-",VLOOKUP($A130,'SegEnds_NonXtal_BW#'!$A:$Z,15,FALSE)+VLOOKUP($A130,A:AL,22,FALSE)-50)</f>
        <v>153</v>
      </c>
      <c r="V130" s="3">
        <v>165</v>
      </c>
      <c r="W130" s="3">
        <f>IF(ISERROR(VLOOKUP($A130,'SegEnds_NonXtal_BW#'!$A:$Z,16,FALSE)+VLOOKUP($A130,A:AL,22,FALSE)-50),"-",(VLOOKUP($A130,'SegEnds_NonXtal_BW#'!$A:$Z,16,FALSE)+VLOOKUP($A130,A:AL,22,FALSE)-50))</f>
        <v>178</v>
      </c>
      <c r="X130" s="3" t="str">
        <f>IF(ISERROR(VLOOKUP($A130,'SegEnds_NonXtal_BW#'!$A:$Z,17,FALSE)+VLOOKUP($A130,A:AL,25,FALSE)-50),"-",(VLOOKUP($A130,'SegEnds_NonXtal_BW#'!$A:$Z,17,FALSE)+VLOOKUP($A130,A:AL,25,FALSE)-50))</f>
        <v>-</v>
      </c>
      <c r="Y130" s="3" t="s">
        <v>23</v>
      </c>
      <c r="Z130" s="3" t="str">
        <f>IF(ISERROR(VLOOKUP($A130,'SegEnds_NonXtal_BW#'!$A:$Z,18,FALSE)+VLOOKUP($A130,A:AL,25,FALSE)-50),"-",(VLOOKUP($A130,'SegEnds_NonXtal_BW#'!$A:$Z,18,FALSE)+VLOOKUP($A130,A:AL,25,FALSE)-50))</f>
        <v>-</v>
      </c>
      <c r="AA130" s="3">
        <f>IF(ISERROR(VLOOKUP($A130,'SegEnds_NonXtal_BW#'!$A:$Z,19,FALSE)+VLOOKUP($A130,A:AL,28,FALSE)-50),"-",(VLOOKUP($A130,'SegEnds_NonXtal_BW#'!$A:$Z,19,FALSE)+VLOOKUP($A130,A:AL,28,FALSE)-50))</f>
        <v>195</v>
      </c>
      <c r="AB130" s="3">
        <v>209</v>
      </c>
      <c r="AC130" s="3">
        <f>IF(ISERROR((VLOOKUP($A130,'SegEnds_NonXtal_BW#'!$A:$Z,20,FALSE)+VLOOKUP($A130,A:AL,28,FALSE)-50)),"-",(VLOOKUP($A130,'SegEnds_NonXtal_BW#'!$A:$Z,20,FALSE)+VLOOKUP($A130,A:AL,28,FALSE)-50))</f>
        <v>232</v>
      </c>
      <c r="AD130" s="3">
        <f>IF(ISERROR(VLOOKUP($A130,'SegEnds_NonXtal_BW#'!$A:$Z,21,FALSE)+VLOOKUP($A130,A:AL,31,FALSE)-50),"-",(VLOOKUP($A130,'SegEnds_NonXtal_BW#'!$A:$Z,21,FALSE)+VLOOKUP($A130,A:AL,31,FALSE)-50))</f>
        <v>238</v>
      </c>
      <c r="AE130" s="3">
        <v>266</v>
      </c>
      <c r="AF130" s="3">
        <f>IF(ISERROR((VLOOKUP($A130,'SegEnds_NonXtal_BW#'!$A:$Z,22,FALSE)+VLOOKUP($A130,A:AL,31,FALSE)-50)),"-",(VLOOKUP($A130,'SegEnds_NonXtal_BW#'!$A:$Z,22,FALSE)+VLOOKUP($A130,A:AL,31,FALSE)-50))</f>
        <v>277</v>
      </c>
      <c r="AG130" s="3">
        <f>IF(ISERROR(VLOOKUP($A130,'SegEnds_NonXtal_BW#'!$A:$Z,23,FALSE)+VLOOKUP($A130,A:AL,34,FALSE)-50),"-",(VLOOKUP($A130,'SegEnds_NonXtal_BW#'!$A:$Z,23,FALSE)+VLOOKUP($A130,A:AL,34,FALSE)-50))</f>
        <v>282</v>
      </c>
      <c r="AH130" s="3">
        <v>298</v>
      </c>
      <c r="AI130" s="3">
        <f>IF(ISERROR((VLOOKUP($A130,'SegEnds_NonXtal_BW#'!$A:$Z,24,FALSE)+VLOOKUP($A130,A:AL,34,FALSE)-50)),"-",(VLOOKUP($A130,'SegEnds_NonXtal_BW#'!$A:$Z,24,FALSE)+VLOOKUP($A130,A:AL,34,FALSE)-50))</f>
        <v>304</v>
      </c>
      <c r="AJ130" s="3">
        <f>IF(ISERROR(VLOOKUP($A130,'SegEnds_NonXtal_BW#'!$A:$Z,25,FALSE)+VLOOKUP($A130,A:AL,37,FALSE)-50),"-",(VLOOKUP($A130,'SegEnds_NonXtal_BW#'!$A:$Z,25,FALSE)+VLOOKUP($A130,A:AL,37,FALSE)-50))</f>
        <v>305</v>
      </c>
      <c r="AK130" s="3">
        <v>308</v>
      </c>
      <c r="AL130" s="3">
        <f>IF(ISERROR((VLOOKUP($A130,'SegEnds_NonXtal_BW#'!$A:$Z,26,FALSE)+VLOOKUP($A130,A:AL,37,FALSE)-50)),"-",(VLOOKUP($A130,'SegEnds_NonXtal_BW#'!$A:$Z,26,FALSE)+VLOOKUP($A130,A:AL,37,FALSE)-50))</f>
        <v>317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 t="str">
        <f t="shared" si="45"/>
        <v>-</v>
      </c>
      <c r="AW130" s="3" t="str">
        <f t="shared" si="46"/>
        <v>-</v>
      </c>
      <c r="AX130" s="3">
        <f t="shared" si="47"/>
        <v>6</v>
      </c>
      <c r="AY130" s="3">
        <f t="shared" si="48"/>
        <v>5</v>
      </c>
      <c r="AZ130" s="3">
        <f t="shared" si="49"/>
        <v>1</v>
      </c>
      <c r="BA130" s="3">
        <f>IF(ISERROR(LEN(VLOOKUP(A130,Seqs!A:E,2,FALSE))-AL130),"-",LEN(VLOOKUP(A130,Seqs!A:E,2,FALSE))-AL130)</f>
        <v>17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57</v>
      </c>
      <c r="BF130" s="3">
        <f>AH130-AE130</f>
        <v>32</v>
      </c>
    </row>
    <row r="131" spans="1:58" s="3" customFormat="1" x14ac:dyDescent="0.2">
      <c r="A131" s="3" t="s">
        <v>238</v>
      </c>
      <c r="B131" s="3" t="str">
        <f>LOWER(VLOOKUP(A131,Xtal_Templ!A:B,2,FALSE))</f>
        <v>ccr6_human</v>
      </c>
      <c r="C131" s="3">
        <f>VLOOKUP($A131,'SegEnds_NonXtal_BW#'!$A:$Z,3,FALSE)+D131-50</f>
        <v>26</v>
      </c>
      <c r="D131" s="3">
        <v>51</v>
      </c>
      <c r="E131" s="3">
        <f>IF(ISERROR(VLOOKUP($A131,'SegEnds_NonXtal_BW#'!$A:$Z,4,FALSE)+VLOOKUP($A131,A:AL,4,FALSE)-50),"-",(VLOOKUP($A131,'SegEnds_NonXtal_BW#'!$A:$Z,4,FALSE)+VLOOKUP($A131,A:AL,4,FALSE)-50))</f>
        <v>61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66</v>
      </c>
      <c r="J131" s="3">
        <v>79</v>
      </c>
      <c r="K131" s="3">
        <f>VLOOKUP($A131,'SegEnds_NonXtal_BW#'!$A:$Z,8,FALSE)+VLOOKUP($A131,A:AL,10,FALSE)-50</f>
        <v>96</v>
      </c>
      <c r="L131" s="3">
        <f t="shared" si="101"/>
        <v>98</v>
      </c>
      <c r="M131" s="3">
        <v>99</v>
      </c>
      <c r="N131" s="3">
        <f t="shared" si="102"/>
        <v>101</v>
      </c>
      <c r="O131" s="3">
        <f t="shared" si="103"/>
        <v>102</v>
      </c>
      <c r="P131" s="3">
        <v>131</v>
      </c>
      <c r="Q131" s="3">
        <f>VLOOKUP($A131,'SegEnds_NonXtal_BW#'!$A:$Z,12,FALSE)+VLOOKUP($A131,A:AL,16,FALSE)-50</f>
        <v>137</v>
      </c>
      <c r="R131" s="3">
        <f>IF(ISERROR(VLOOKUP($A131,'SegEnds_NonXtal_BW#'!$A:$Z,13,FALSE)+VLOOKUP($A131,A:AL,19,FALSE)-50),"-",VLOOKUP($A131,'SegEnds_NonXtal_BW#'!$A:$Z,13,FALSE)+VLOOKUP($A131,A:AL,19,FALSE)-50)</f>
        <v>138</v>
      </c>
      <c r="S131" s="3">
        <v>138</v>
      </c>
      <c r="T131" s="100">
        <f>IF(ISERROR(VLOOKUP($A131,'SegEnds_NonXtal_BW#'!$A:$Z,14,FALSE)+VLOOKUP($A131,A:AL,19,FALSE)-50),"-",(VLOOKUP($A131,'SegEnds_NonXtal_BW#'!$A:$Z,14,FALSE)+VLOOKUP($A131,A:AL,19,FALSE)-50))</f>
        <v>144</v>
      </c>
      <c r="U131" s="9">
        <f>IF(ISERROR(VLOOKUP($A131,'SegEnds_NonXtal_BW#'!$A:$Z,15,FALSE)+VLOOKUP($A131,A:AL,22,FALSE)-50),"-",VLOOKUP($A131,'SegEnds_NonXtal_BW#'!$A:$Z,15,FALSE)+VLOOKUP($A131,A:AL,22,FALSE)-50)</f>
        <v>146</v>
      </c>
      <c r="V131" s="3">
        <v>158</v>
      </c>
      <c r="W131" s="3">
        <f>IF(ISERROR(VLOOKUP($A131,'SegEnds_NonXtal_BW#'!$A:$Z,16,FALSE)+VLOOKUP($A131,A:AL,22,FALSE)-50),"-",(VLOOKUP($A131,'SegEnds_NonXtal_BW#'!$A:$Z,16,FALSE)+VLOOKUP($A131,A:AL,22,FALSE)-50))</f>
        <v>172</v>
      </c>
      <c r="X131" s="3">
        <f>IF(ISERROR(VLOOKUP($A131,'SegEnds_NonXtal_BW#'!$A:$Z,17,FALSE)+VLOOKUP($A131,A:AL,25,FALSE)-50),"-",(VLOOKUP($A131,'SegEnds_NonXtal_BW#'!$A:$Z,17,FALSE)+VLOOKUP($A131,A:AL,25,FALSE)-50))</f>
        <v>183</v>
      </c>
      <c r="Y131" s="3">
        <v>183</v>
      </c>
      <c r="Z131" s="3">
        <f>Y131+2</f>
        <v>185</v>
      </c>
      <c r="AA131" s="3">
        <f>IF(ISERROR(VLOOKUP($A131,'SegEnds_NonXtal_BW#'!$A:$Z,19,FALSE)+VLOOKUP($A131,A:AL,28,FALSE)-50),"-",(VLOOKUP($A131,'SegEnds_NonXtal_BW#'!$A:$Z,19,FALSE)+VLOOKUP($A131,A:AL,28,FALSE)-50))</f>
        <v>188</v>
      </c>
      <c r="AB131" s="3">
        <v>207</v>
      </c>
      <c r="AC131" s="3">
        <f>IF(ISERROR((VLOOKUP($A131,'SegEnds_NonXtal_BW#'!$A:$Z,20,FALSE)+VLOOKUP($A131,A:AL,28,FALSE)-50)),"-",(VLOOKUP($A131,'SegEnds_NonXtal_BW#'!$A:$Z,20,FALSE)+VLOOKUP($A131,A:AL,28,FALSE)-50))</f>
        <v>225</v>
      </c>
      <c r="AD131" s="3">
        <f>IF(ISERROR(VLOOKUP($A131,'SegEnds_NonXtal_BW#'!$A:$Z,21,FALSE)+VLOOKUP($A131,A:AL,31,FALSE)-50),"-",(VLOOKUP($A131,'SegEnds_NonXtal_BW#'!$A:$Z,21,FALSE)+VLOOKUP($A131,A:AL,31,FALSE)-50))</f>
        <v>230</v>
      </c>
      <c r="AE131" s="3">
        <v>256</v>
      </c>
      <c r="AF131" s="3">
        <f>IF(ISERROR((VLOOKUP($A131,'SegEnds_NonXtal_BW#'!$A:$Z,22,FALSE)+VLOOKUP($A131,A:AL,31,FALSE)-50)),"-",(VLOOKUP($A131,'SegEnds_NonXtal_BW#'!$A:$Z,22,FALSE)+VLOOKUP($A131,A:AL,31,FALSE)-50))</f>
        <v>267</v>
      </c>
      <c r="AG131" s="3">
        <f>IF(ISERROR(VLOOKUP($A131,'SegEnds_NonXtal_BW#'!$A:$Z,23,FALSE)+VLOOKUP($A131,A:AL,34,FALSE)-50),"-",(VLOOKUP($A131,'SegEnds_NonXtal_BW#'!$A:$Z,23,FALSE)+VLOOKUP($A131,A:AL,34,FALSE)-50))</f>
        <v>273</v>
      </c>
      <c r="AH131" s="3">
        <v>299</v>
      </c>
      <c r="AI131" s="3">
        <f>IF(ISERROR((VLOOKUP($A131,'SegEnds_NonXtal_BW#'!$A:$Z,24,FALSE)+VLOOKUP($A131,A:AL,34,FALSE)-50)),"-",(VLOOKUP($A131,'SegEnds_NonXtal_BW#'!$A:$Z,24,FALSE)+VLOOKUP($A131,A:AL,34,FALSE)-50))</f>
        <v>305</v>
      </c>
      <c r="AJ131" s="3">
        <f>IF(ISERROR(VLOOKUP($A131,'SegEnds_NonXtal_BW#'!$A:$Z,25,FALSE)+VLOOKUP($A131,A:AL,37,FALSE)-50),"-",(VLOOKUP($A131,'SegEnds_NonXtal_BW#'!$A:$Z,25,FALSE)+VLOOKUP($A131,A:AL,37,FALSE)-50))</f>
        <v>306</v>
      </c>
      <c r="AK131" s="3">
        <v>309</v>
      </c>
      <c r="AL131" s="3">
        <f>IF(ISERROR((VLOOKUP($A131,'SegEnds_NonXtal_BW#'!$A:$Z,26,FALSE)+VLOOKUP($A131,A:AL,37,FALSE)-50)),"-",(VLOOKUP($A131,'SegEnds_NonXtal_BW#'!$A:$Z,26,FALSE)+VLOOKUP($A131,A:AL,37,FALSE)-50))</f>
        <v>321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2</v>
      </c>
      <c r="AV131" s="3">
        <f t="shared" si="45"/>
        <v>11</v>
      </c>
      <c r="AW131" s="3">
        <f t="shared" si="46"/>
        <v>3</v>
      </c>
      <c r="AX131" s="3">
        <f t="shared" si="47"/>
        <v>5</v>
      </c>
      <c r="AY131" s="3">
        <f t="shared" si="48"/>
        <v>6</v>
      </c>
      <c r="AZ131" s="3">
        <f t="shared" si="49"/>
        <v>1</v>
      </c>
      <c r="BA131" s="3">
        <f>IF(ISERROR(LEN(VLOOKUP(A131,Seqs!A:E,2,FALSE))-AL131),"-",LEN(VLOOKUP(A131,Seqs!A:E,2,FALSE))-AL131)</f>
        <v>39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49</v>
      </c>
    </row>
    <row r="132" spans="1:58" s="3" customFormat="1" x14ac:dyDescent="0.2">
      <c r="A132" s="3" t="s">
        <v>239</v>
      </c>
      <c r="B132" s="3" t="str">
        <f>LOWER(VLOOKUP(A132,Xtal_Templ!A:B,2,FALSE))</f>
        <v>cltr2_human</v>
      </c>
      <c r="C132" s="3">
        <f>VLOOKUP($A132,'SegEnds_NonXtal_BW#'!$A:$Z,3,FALSE)+D132-50</f>
        <v>52</v>
      </c>
      <c r="D132" s="3">
        <v>77</v>
      </c>
      <c r="E132" s="3">
        <f>IF(ISERROR(VLOOKUP($A132,'SegEnds_NonXtal_BW#'!$A:$Z,4,FALSE)+VLOOKUP($A132,A:AL,4,FALSE)-50),"-",(VLOOKUP($A132,'SegEnds_NonXtal_BW#'!$A:$Z,4,FALSE)+VLOOKUP($A132,A:AL,4,FALSE)-50))</f>
        <v>87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92</v>
      </c>
      <c r="J132" s="3">
        <v>105</v>
      </c>
      <c r="K132" s="3">
        <f>VLOOKUP($A132,'SegEnds_NonXtal_BW#'!$A:$Z,8,FALSE)+VLOOKUP($A132,A:AL,10,FALSE)-50</f>
        <v>122</v>
      </c>
      <c r="L132" s="3">
        <f t="shared" si="101"/>
        <v>124</v>
      </c>
      <c r="M132" s="3">
        <v>125</v>
      </c>
      <c r="N132" s="3">
        <f t="shared" si="102"/>
        <v>127</v>
      </c>
      <c r="O132" s="3">
        <f t="shared" si="103"/>
        <v>128</v>
      </c>
      <c r="P132" s="3">
        <v>157</v>
      </c>
      <c r="Q132" s="3">
        <f>VLOOKUP($A132,'SegEnds_NonXtal_BW#'!$A:$Z,12,FALSE)+VLOOKUP($A132,A:AL,16,FALSE)-50</f>
        <v>163</v>
      </c>
      <c r="R132" s="3">
        <f>IF(ISERROR(VLOOKUP($A132,'SegEnds_NonXtal_BW#'!$A:$Z,13,FALSE)+VLOOKUP($A132,A:AL,19,FALSE)-50),"-",VLOOKUP($A132,'SegEnds_NonXtal_BW#'!$A:$Z,13,FALSE)+VLOOKUP($A132,A:AL,19,FALSE)-50)</f>
        <v>164</v>
      </c>
      <c r="S132" s="3">
        <v>164</v>
      </c>
      <c r="T132" s="100">
        <f>IF(ISERROR(VLOOKUP($A132,'SegEnds_NonXtal_BW#'!$A:$Z,14,FALSE)+VLOOKUP($A132,A:AL,19,FALSE)-50),"-",(VLOOKUP($A132,'SegEnds_NonXtal_BW#'!$A:$Z,14,FALSE)+VLOOKUP($A132,A:AL,19,FALSE)-50))</f>
        <v>171</v>
      </c>
      <c r="U132" s="9">
        <f>IF(ISERROR(VLOOKUP($A132,'SegEnds_NonXtal_BW#'!$A:$Z,15,FALSE)+VLOOKUP($A132,A:AL,22,FALSE)-50),"-",VLOOKUP($A132,'SegEnds_NonXtal_BW#'!$A:$Z,15,FALSE)+VLOOKUP($A132,A:AL,22,FALSE)-50)</f>
        <v>172</v>
      </c>
      <c r="V132" s="3">
        <v>184</v>
      </c>
      <c r="W132" s="3">
        <f>IF(ISERROR(VLOOKUP($A132,'SegEnds_NonXtal_BW#'!$A:$Z,16,FALSE)+VLOOKUP($A132,A:AL,22,FALSE)-50),"-",(VLOOKUP($A132,'SegEnds_NonXtal_BW#'!$A:$Z,16,FALSE)+VLOOKUP($A132,A:AL,22,FALSE)-50))</f>
        <v>197</v>
      </c>
      <c r="X132" s="3">
        <f>IF(ISERROR(VLOOKUP($A132,'SegEnds_NonXtal_BW#'!$A:$Z,17,FALSE)+VLOOKUP($A132,A:AL,25,FALSE)-50),"-",(VLOOKUP($A132,'SegEnds_NonXtal_BW#'!$A:$Z,17,FALSE)+VLOOKUP($A132,A:AL,25,FALSE)-50))</f>
        <v>209</v>
      </c>
      <c r="Y132" s="3">
        <v>209</v>
      </c>
      <c r="Z132" s="3">
        <f>Y132+2</f>
        <v>211</v>
      </c>
      <c r="AA132" s="3">
        <f>IF(ISERROR(VLOOKUP($A132,'SegEnds_NonXtal_BW#'!$A:$Z,19,FALSE)+VLOOKUP($A132,A:AL,28,FALSE)-50),"-",(VLOOKUP($A132,'SegEnds_NonXtal_BW#'!$A:$Z,19,FALSE)+VLOOKUP($A132,A:AL,28,FALSE)-50))</f>
        <v>213</v>
      </c>
      <c r="AB132" s="3">
        <v>232</v>
      </c>
      <c r="AC132" s="3">
        <f>IF(ISERROR((VLOOKUP($A132,'SegEnds_NonXtal_BW#'!$A:$Z,20,FALSE)+VLOOKUP($A132,A:AL,28,FALSE)-50)),"-",(VLOOKUP($A132,'SegEnds_NonXtal_BW#'!$A:$Z,20,FALSE)+VLOOKUP($A132,A:AL,28,FALSE)-50))</f>
        <v>249</v>
      </c>
      <c r="AD132" s="3">
        <f>IF(ISERROR(VLOOKUP($A132,'SegEnds_NonXtal_BW#'!$A:$Z,21,FALSE)+VLOOKUP($A132,A:AL,31,FALSE)-50),"-",(VLOOKUP($A132,'SegEnds_NonXtal_BW#'!$A:$Z,21,FALSE)+VLOOKUP($A132,A:AL,31,FALSE)-50))</f>
        <v>254</v>
      </c>
      <c r="AE132" s="3">
        <v>278</v>
      </c>
      <c r="AF132" s="3">
        <f>IF(ISERROR((VLOOKUP($A132,'SegEnds_NonXtal_BW#'!$A:$Z,22,FALSE)+VLOOKUP($A132,A:AL,31,FALSE)-50)),"-",(VLOOKUP($A132,'SegEnds_NonXtal_BW#'!$A:$Z,22,FALSE)+VLOOKUP($A132,A:AL,31,FALSE)-50))</f>
        <v>292</v>
      </c>
      <c r="AG132" s="3">
        <f>IF(ISERROR(VLOOKUP($A132,'SegEnds_NonXtal_BW#'!$A:$Z,23,FALSE)+VLOOKUP($A132,A:AL,34,FALSE)-50),"-",(VLOOKUP($A132,'SegEnds_NonXtal_BW#'!$A:$Z,23,FALSE)+VLOOKUP($A132,A:AL,34,FALSE)-50))</f>
        <v>296</v>
      </c>
      <c r="AH132" s="3">
        <v>322</v>
      </c>
      <c r="AI132" s="3">
        <f>IF(ISERROR((VLOOKUP($A132,'SegEnds_NonXtal_BW#'!$A:$Z,24,FALSE)+VLOOKUP($A132,A:AL,34,FALSE)-50)),"-",(VLOOKUP($A132,'SegEnds_NonXtal_BW#'!$A:$Z,24,FALSE)+VLOOKUP($A132,A:AL,34,FALSE)-50))</f>
        <v>328</v>
      </c>
      <c r="AJ132" s="3">
        <f>IF(ISERROR(VLOOKUP($A132,'SegEnds_NonXtal_BW#'!$A:$Z,25,FALSE)+VLOOKUP($A132,A:AL,37,FALSE)-50),"-",(VLOOKUP($A132,'SegEnds_NonXtal_BW#'!$A:$Z,25,FALSE)+VLOOKUP($A132,A:AL,37,FALSE)-50))</f>
        <v>329</v>
      </c>
      <c r="AK132" s="3">
        <v>332</v>
      </c>
      <c r="AL132" s="3">
        <f>IF(ISERROR((VLOOKUP($A132,'SegEnds_NonXtal_BW#'!$A:$Z,26,FALSE)+VLOOKUP($A132,A:AL,37,FALSE)-50)),"-",(VLOOKUP($A132,'SegEnds_NonXtal_BW#'!$A:$Z,26,FALSE)+VLOOKUP($A132,A:AL,37,FALSE)-50))</f>
        <v>342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si="39"/>
        <v>-</v>
      </c>
      <c r="AQ132" s="3" t="str">
        <f t="shared" si="40"/>
        <v>-</v>
      </c>
      <c r="AR132" s="3">
        <f t="shared" si="41"/>
        <v>2</v>
      </c>
      <c r="AS132" s="3">
        <f t="shared" si="42"/>
        <v>1</v>
      </c>
      <c r="AT132" s="3">
        <f t="shared" si="43"/>
        <v>1</v>
      </c>
      <c r="AU132" s="3">
        <f t="shared" si="44"/>
        <v>1</v>
      </c>
      <c r="AV132" s="3">
        <f t="shared" si="45"/>
        <v>12</v>
      </c>
      <c r="AW132" s="3">
        <f t="shared" si="46"/>
        <v>2</v>
      </c>
      <c r="AX132" s="3">
        <f t="shared" si="47"/>
        <v>5</v>
      </c>
      <c r="AY132" s="3">
        <f t="shared" si="48"/>
        <v>4</v>
      </c>
      <c r="AZ132" s="3">
        <f t="shared" si="49"/>
        <v>1</v>
      </c>
      <c r="BA132" s="3">
        <f>IF(ISERROR(LEN(VLOOKUP(A132,Seqs!A:E,2,FALSE))-AL132),"-",LEN(VLOOKUP(A132,Seqs!A:E,2,FALSE))-AL132)</f>
        <v>25</v>
      </c>
      <c r="BB132" s="16">
        <f t="shared" si="50"/>
        <v>28</v>
      </c>
      <c r="BC132" s="9">
        <f t="shared" si="51"/>
        <v>20</v>
      </c>
      <c r="BD132" s="3">
        <f t="shared" si="52"/>
        <v>28</v>
      </c>
      <c r="BE132" s="3">
        <f t="shared" si="53"/>
        <v>46</v>
      </c>
      <c r="BF132" s="3">
        <f>AH132-AE132</f>
        <v>44</v>
      </c>
    </row>
    <row r="133" spans="1:58" s="3" customFormat="1" x14ac:dyDescent="0.2">
      <c r="A133" s="3" t="s">
        <v>240</v>
      </c>
      <c r="B133" s="3" t="str">
        <f>LOWER(VLOOKUP(A133,Xtal_Templ!A:B,2,FALSE))</f>
        <v>ccr7_human</v>
      </c>
      <c r="C133" s="3">
        <f>VLOOKUP($A133,'SegEnds_NonXtal_BW#'!$A:$Z,3,FALSE)+D133-50</f>
        <v>19</v>
      </c>
      <c r="D133" s="3">
        <v>40</v>
      </c>
      <c r="E133" s="3">
        <f>IF(ISERROR(VLOOKUP($A133,'SegEnds_NonXtal_BW#'!$A:$Z,4,FALSE)+VLOOKUP($A133,A:AL,4,FALSE)-50),"-",(VLOOKUP($A133,'SegEnds_NonXtal_BW#'!$A:$Z,4,FALSE)+VLOOKUP($A133,A:AL,4,FALSE)-50))</f>
        <v>50</v>
      </c>
      <c r="F133" s="3" t="str">
        <f>IF(ISERROR(VLOOKUP($A133,'SegEnds_NonXtal_BW#'!$A:$Z,5,FALSE)+VLOOKUP($A133,A:AL,7,FALSE)-50),"-",(VLOOKUP($A133,'SegEnds_NonXtal_BW#'!$A:$Z,5,FALSE)+VLOOKUP($A133,A:AL,7,FALSE)-50))</f>
        <v>-</v>
      </c>
      <c r="G133" s="3" t="s">
        <v>23</v>
      </c>
      <c r="H133" s="3" t="str">
        <f>IF(ISERROR(VLOOKUP($A133,'SegEnds_NonXtal_BW#'!$A:$Z,6,FALSE)+VLOOKUP($A133,A:AL,7,FALSE)-50),"-",(VLOOKUP($A133,'SegEnds_NonXtal_BW#'!$A:$Z,6,FALSE)+VLOOKUP($A133,A:AL,7,FALSE)-50))</f>
        <v>-</v>
      </c>
      <c r="I133" s="3">
        <f>VLOOKUP($A133,'SegEnds_NonXtal_BW#'!$A:$Z,7,FALSE)+J133-50</f>
        <v>55</v>
      </c>
      <c r="J133" s="3">
        <v>68</v>
      </c>
      <c r="K133" s="3">
        <f>VLOOKUP($A133,'SegEnds_NonXtal_BW#'!$A:$Z,8,FALSE)+VLOOKUP($A133,A:AL,10,FALSE)-50</f>
        <v>84</v>
      </c>
      <c r="L133" s="3">
        <f t="shared" si="101"/>
        <v>86</v>
      </c>
      <c r="M133" s="3">
        <v>87</v>
      </c>
      <c r="N133" s="3">
        <f t="shared" si="102"/>
        <v>89</v>
      </c>
      <c r="O133" s="3">
        <f t="shared" si="103"/>
        <v>90</v>
      </c>
      <c r="P133" s="3">
        <v>119</v>
      </c>
      <c r="Q133" s="3">
        <f>VLOOKUP($A133,'SegEnds_NonXtal_BW#'!$A:$Z,12,FALSE)+VLOOKUP($A133,A:AL,16,FALSE)-50</f>
        <v>125</v>
      </c>
      <c r="R133" s="3">
        <f>IF(ISERROR(VLOOKUP($A133,'SegEnds_NonXtal_BW#'!$A:$Z,13,FALSE)+VLOOKUP($A133,A:AL,19,FALSE)-50),"-",VLOOKUP($A133,'SegEnds_NonXtal_BW#'!$A:$Z,13,FALSE)+VLOOKUP($A133,A:AL,19,FALSE)-50)</f>
        <v>126</v>
      </c>
      <c r="S133" s="3">
        <v>126</v>
      </c>
      <c r="T133" s="100">
        <f>IF(ISERROR(VLOOKUP($A133,'SegEnds_NonXtal_BW#'!$A:$Z,14,FALSE)+VLOOKUP($A133,A:AL,19,FALSE)-50),"-",(VLOOKUP($A133,'SegEnds_NonXtal_BW#'!$A:$Z,14,FALSE)+VLOOKUP($A133,A:AL,19,FALSE)-50))</f>
        <v>133</v>
      </c>
      <c r="U133" s="9">
        <f>IF(ISERROR(VLOOKUP($A133,'SegEnds_NonXtal_BW#'!$A:$Z,15,FALSE)+VLOOKUP($A133,A:AL,22,FALSE)-50),"-",VLOOKUP($A133,'SegEnds_NonXtal_BW#'!$A:$Z,15,FALSE)+VLOOKUP($A133,A:AL,22,FALSE)-50)</f>
        <v>134</v>
      </c>
      <c r="V133" s="3">
        <v>146</v>
      </c>
      <c r="W133" s="3">
        <f>IF(ISERROR(VLOOKUP($A133,'SegEnds_NonXtal_BW#'!$A:$Z,16,FALSE)+VLOOKUP($A133,A:AL,22,FALSE)-50),"-",(VLOOKUP($A133,'SegEnds_NonXtal_BW#'!$A:$Z,16,FALSE)+VLOOKUP($A133,A:AL,22,FALSE)-50))</f>
        <v>160</v>
      </c>
      <c r="X133" s="3">
        <f>IF(ISERROR(VLOOKUP($A133,'SegEnds_NonXtal_BW#'!$A:$Z,17,FALSE)+VLOOKUP($A133,A:AL,25,FALSE)-50),"-",(VLOOKUP($A133,'SegEnds_NonXtal_BW#'!$A:$Z,17,FALSE)+VLOOKUP($A133,A:AL,25,FALSE)-50))</f>
        <v>172</v>
      </c>
      <c r="Y133" s="3">
        <v>172</v>
      </c>
      <c r="Z133" s="3">
        <f>Y133+2</f>
        <v>174</v>
      </c>
      <c r="AA133" s="3">
        <f>IF(ISERROR(VLOOKUP($A133,'SegEnds_NonXtal_BW#'!$A:$Z,19,FALSE)+VLOOKUP($A133,A:AL,28,FALSE)-50),"-",(VLOOKUP($A133,'SegEnds_NonXtal_BW#'!$A:$Z,19,FALSE)+VLOOKUP($A133,A:AL,28,FALSE)-50))</f>
        <v>182</v>
      </c>
      <c r="AB133" s="3">
        <v>199</v>
      </c>
      <c r="AC133" s="3">
        <f>IF(ISERROR((VLOOKUP($A133,'SegEnds_NonXtal_BW#'!$A:$Z,20,FALSE)+VLOOKUP($A133,A:AL,28,FALSE)-50)),"-",(VLOOKUP($A133,'SegEnds_NonXtal_BW#'!$A:$Z,20,FALSE)+VLOOKUP($A133,A:AL,28,FALSE)-50))</f>
        <v>217</v>
      </c>
      <c r="AD133" s="3">
        <f>IF(ISERROR(VLOOKUP($A133,'SegEnds_NonXtal_BW#'!$A:$Z,21,FALSE)+VLOOKUP($A133,A:AL,31,FALSE)-50),"-",(VLOOKUP($A133,'SegEnds_NonXtal_BW#'!$A:$Z,21,FALSE)+VLOOKUP($A133,A:AL,31,FALSE)-50))</f>
        <v>221</v>
      </c>
      <c r="AE133" s="3">
        <v>247</v>
      </c>
      <c r="AF133" s="3">
        <f>IF(ISERROR((VLOOKUP($A133,'SegEnds_NonXtal_BW#'!$A:$Z,22,FALSE)+VLOOKUP($A133,A:AL,31,FALSE)-50)),"-",(VLOOKUP($A133,'SegEnds_NonXtal_BW#'!$A:$Z,22,FALSE)+VLOOKUP($A133,A:AL,31,FALSE)-50))</f>
        <v>258</v>
      </c>
      <c r="AG133" s="3">
        <f>IF(ISERROR(VLOOKUP($A133,'SegEnds_NonXtal_BW#'!$A:$Z,23,FALSE)+VLOOKUP($A133,A:AL,34,FALSE)-50),"-",(VLOOKUP($A133,'SegEnds_NonXtal_BW#'!$A:$Z,23,FALSE)+VLOOKUP($A133,A:AL,34,FALSE)-50))</f>
        <v>264</v>
      </c>
      <c r="AH133" s="3">
        <v>283</v>
      </c>
      <c r="AI133" s="3">
        <f>IF(ISERROR((VLOOKUP($A133,'SegEnds_NonXtal_BW#'!$A:$Z,24,FALSE)+VLOOKUP($A133,A:AL,34,FALSE)-50)),"-",(VLOOKUP($A133,'SegEnds_NonXtal_BW#'!$A:$Z,24,FALSE)+VLOOKUP($A133,A:AL,34,FALSE)-50))</f>
        <v>289</v>
      </c>
      <c r="AJ133" s="3">
        <f>IF(ISERROR(VLOOKUP($A133,'SegEnds_NonXtal_BW#'!$A:$Z,25,FALSE)+VLOOKUP($A133,A:AL,37,FALSE)-50),"-",(VLOOKUP($A133,'SegEnds_NonXtal_BW#'!$A:$Z,25,FALSE)+VLOOKUP($A133,A:AL,37,FALSE)-50))</f>
        <v>290</v>
      </c>
      <c r="AK133" s="3">
        <v>293</v>
      </c>
      <c r="AL133" s="3">
        <f>IF(ISERROR((VLOOKUP($A133,'SegEnds_NonXtal_BW#'!$A:$Z,26,FALSE)+VLOOKUP($A133,A:AL,37,FALSE)-50)),"-",(VLOOKUP($A133,'SegEnds_NonXtal_BW#'!$A:$Z,26,FALSE)+VLOOKUP($A133,A:AL,37,FALSE)-50))</f>
        <v>302</v>
      </c>
      <c r="AM133" s="28" t="str">
        <f>VLOOKUP(A133,Classification!A:B,2,FALSE)</f>
        <v>A</v>
      </c>
      <c r="AN133" s="28" t="b">
        <f t="shared" si="55"/>
        <v>1</v>
      </c>
      <c r="AO133" s="3" t="str">
        <f>IF(ISERROR(MATCH(A133,'SegEnds_Xtal_Prot#'!B:B, 0)), "NoXtal", "Xtal")</f>
        <v>NoXtal</v>
      </c>
      <c r="AP133" s="3" t="str">
        <f t="shared" ref="AP133:AP196" si="104">IF(ISERROR(F133-E133),"-",F133-E133)</f>
        <v>-</v>
      </c>
      <c r="AQ133" s="3" t="str">
        <f t="shared" ref="AQ133:AQ196" si="105">IF(ISERROR(I133-H133),"-",I133-H133)</f>
        <v>-</v>
      </c>
      <c r="AR133" s="3">
        <f t="shared" ref="AR133:AR196" si="106">IF(ISERROR(L133-K133),"-",L133-K133)</f>
        <v>2</v>
      </c>
      <c r="AS133" s="3">
        <f t="shared" ref="AS133:AS196" si="107">IF(ISERROR(O133-N133),"-",O133-N133)</f>
        <v>1</v>
      </c>
      <c r="AT133" s="3">
        <f t="shared" ref="AT133:AT196" si="108">IF(ISERROR(R133-Q133),"-",R133-Q133)</f>
        <v>1</v>
      </c>
      <c r="AU133" s="3">
        <f t="shared" ref="AU133:AU196" si="109">IF(ISERROR(U133-T133),"-",U133-T133)</f>
        <v>1</v>
      </c>
      <c r="AV133" s="3">
        <f t="shared" ref="AV133:AV196" si="110">IF(ISERROR(X133-W133),"-",X133-W133)</f>
        <v>12</v>
      </c>
      <c r="AW133" s="3">
        <f t="shared" ref="AW133:AW196" si="111">IF(ISERROR(AA133-Z133),"-",AA133-Z133)</f>
        <v>8</v>
      </c>
      <c r="AX133" s="3">
        <f t="shared" ref="AX133:AX196" si="112">IF(ISERROR(AD133-AC133),"-",AD133-AC133)</f>
        <v>4</v>
      </c>
      <c r="AY133" s="3">
        <f t="shared" ref="AY133:AY196" si="113">IF(ISERROR(AG133-AF133),"-",AG133-AF133)</f>
        <v>6</v>
      </c>
      <c r="AZ133" s="3">
        <f t="shared" ref="AZ133:AZ196" si="114">IF(ISERROR(AJ133-AI133),"-",AJ133-AI133)</f>
        <v>1</v>
      </c>
      <c r="BA133" s="3">
        <f>IF(ISERROR(LEN(VLOOKUP(A133,Seqs!A:E,2,FALSE))-AL133),"-",LEN(VLOOKUP(A133,Seqs!A:E,2,FALSE))-AL133)</f>
        <v>29</v>
      </c>
      <c r="BB133" s="16">
        <f t="shared" ref="BB133:BB196" si="115">J133-D133</f>
        <v>28</v>
      </c>
      <c r="BC133" s="9">
        <f t="shared" ref="BC133:BC196" si="116">IF(ISERROR(V133-S133),"-",V133-S133)</f>
        <v>20</v>
      </c>
      <c r="BD133" s="3">
        <f t="shared" ref="BD133:BD196" si="117">J133-D133</f>
        <v>28</v>
      </c>
      <c r="BE133" s="3">
        <f t="shared" ref="BE133:BE196" si="118">AE133-AB133</f>
        <v>48</v>
      </c>
      <c r="BF133" s="3">
        <f>AH133-AE133</f>
        <v>36</v>
      </c>
    </row>
    <row r="134" spans="1:58" s="3" customFormat="1" x14ac:dyDescent="0.2">
      <c r="A134" s="3" t="s">
        <v>242</v>
      </c>
      <c r="B134" s="3" t="str">
        <f>LOWER(VLOOKUP(A134,Xtal_Templ!A:B,2,FALSE))</f>
        <v>par2_human</v>
      </c>
      <c r="C134" s="3">
        <f>VLOOKUP($A134,'SegEnds_NonXtal_BW#'!$A:$Z,3,FALSE)+D134-50</f>
        <v>49</v>
      </c>
      <c r="D134" s="3">
        <v>71</v>
      </c>
      <c r="E134" s="3">
        <f>IF(ISERROR(VLOOKUP($A134,'SegEnds_NonXtal_BW#'!$A:$Z,4,FALSE)+VLOOKUP($A134,A:AL,4,FALSE)-50),"-",(VLOOKUP($A134,'SegEnds_NonXtal_BW#'!$A:$Z,4,FALSE)+VLOOKUP($A134,A:AL,4,FALSE)-50))</f>
        <v>81</v>
      </c>
      <c r="F134" s="3">
        <f t="shared" ref="F134:F139" si="119">G134-2</f>
        <v>82</v>
      </c>
      <c r="G134" s="3">
        <v>84</v>
      </c>
      <c r="H134" s="3">
        <f t="shared" ref="H134:I139" si="120">G134+1</f>
        <v>85</v>
      </c>
      <c r="I134" s="3">
        <f t="shared" si="120"/>
        <v>86</v>
      </c>
      <c r="J134" s="3">
        <v>99</v>
      </c>
      <c r="K134" s="3">
        <f>VLOOKUP($A134,'SegEnds_NonXtal_BW#'!$A:$Z,8,FALSE)+VLOOKUP($A134,A:AL,10,FALSE)-50</f>
        <v>112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122</v>
      </c>
      <c r="P134" s="3">
        <v>148</v>
      </c>
      <c r="Q134" s="3">
        <f>VLOOKUP($A134,'SegEnds_NonXtal_BW#'!$A:$Z,12,FALSE)+VLOOKUP($A134,A:AL,16,FALSE)-50</f>
        <v>154</v>
      </c>
      <c r="R134" s="3">
        <f>IF(ISERROR(VLOOKUP($A134,'SegEnds_NonXtal_BW#'!$A:$Z,13,FALSE)+VLOOKUP($A134,A:AL,19,FALSE)-50),"-",VLOOKUP($A134,'SegEnds_NonXtal_BW#'!$A:$Z,13,FALSE)+VLOOKUP($A134,A:AL,19,FALSE)-50)</f>
        <v>155</v>
      </c>
      <c r="S134" s="3">
        <v>155</v>
      </c>
      <c r="T134" s="100">
        <f>IF(ISERROR(VLOOKUP($A134,'SegEnds_NonXtal_BW#'!$A:$Z,14,FALSE)+VLOOKUP($A134,A:AL,19,FALSE)-50),"-",(VLOOKUP($A134,'SegEnds_NonXtal_BW#'!$A:$Z,14,FALSE)+VLOOKUP($A134,A:AL,19,FALSE)-50))</f>
        <v>162</v>
      </c>
      <c r="U134" s="9">
        <f>IF(ISERROR(VLOOKUP($A134,'SegEnds_NonXtal_BW#'!$A:$Z,15,FALSE)+VLOOKUP($A134,A:AL,22,FALSE)-50),"-",VLOOKUP($A134,'SegEnds_NonXtal_BW#'!$A:$Z,15,FALSE)+VLOOKUP($A134,A:AL,22,FALSE)-50)</f>
        <v>163</v>
      </c>
      <c r="V134" s="3">
        <v>175</v>
      </c>
      <c r="W134" s="3">
        <f>IF(ISERROR(VLOOKUP($A134,'SegEnds_NonXtal_BW#'!$A:$Z,16,FALSE)+VLOOKUP($A134,A:AL,22,FALSE)-50),"-",(VLOOKUP($A134,'SegEnds_NonXtal_BW#'!$A:$Z,16,FALSE)+VLOOKUP($A134,A:AL,22,FALSE)-50))</f>
        <v>187</v>
      </c>
      <c r="X134" s="3" t="str">
        <f>IF(ISERROR(VLOOKUP($A134,'SegEnds_NonXtal_BW#'!$A:$Z,17,FALSE)+VLOOKUP($A134,A:AL,25,FALSE)-50),"-",(VLOOKUP($A134,'SegEnds_NonXtal_BW#'!$A:$Z,17,FALSE)+VLOOKUP($A134,A:AL,25,FALSE)-50))</f>
        <v>-</v>
      </c>
      <c r="Y134" s="3" t="s">
        <v>23</v>
      </c>
      <c r="Z134" s="3" t="str">
        <f>IF(ISERROR(VLOOKUP($A134,'SegEnds_NonXtal_BW#'!$A:$Z,18,FALSE)+VLOOKUP($A134,A:AL,25,FALSE)-50),"-",(VLOOKUP($A134,'SegEnds_NonXtal_BW#'!$A:$Z,18,FALSE)+VLOOKUP($A134,A:AL,25,FALSE)-50))</f>
        <v>-</v>
      </c>
      <c r="AA134" s="3">
        <f>IF(ISERROR(VLOOKUP($A134,'SegEnds_NonXtal_BW#'!$A:$Z,19,FALSE)+VLOOKUP($A134,A:AL,28,FALSE)-50),"-",(VLOOKUP($A134,'SegEnds_NonXtal_BW#'!$A:$Z,19,FALSE)+VLOOKUP($A134,A:AL,28,FALSE)-50))</f>
        <v>196</v>
      </c>
      <c r="AB134" s="3">
        <v>208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230</v>
      </c>
      <c r="AE134" s="3">
        <v>256</v>
      </c>
      <c r="AF134" s="3">
        <f>IF(ISERROR((VLOOKUP($A134,'SegEnds_NonXtal_BW#'!$A:$Z,22,FALSE)+VLOOKUP($A134,A:AL,31,FALSE)-50)),"-",(VLOOKUP($A134,'SegEnds_NonXtal_BW#'!$A:$Z,22,FALSE)+VLOOKUP($A134,A:AL,31,FALSE)-50))</f>
        <v>267</v>
      </c>
      <c r="AG134" s="3">
        <f>IF(ISERROR(VLOOKUP($A134,'SegEnds_NonXtal_BW#'!$A:$Z,23,FALSE)+VLOOKUP($A134,A:AL,34,FALSE)-50),"-",(VLOOKUP($A134,'SegEnds_NonXtal_BW#'!$A:$Z,23,FALSE)+VLOOKUP($A134,A:AL,34,FALSE)-50))</f>
        <v>275</v>
      </c>
      <c r="AH134" s="3">
        <v>294</v>
      </c>
      <c r="AI134" s="3">
        <f>IF(ISERROR((VLOOKUP($A134,'SegEnds_NonXtal_BW#'!$A:$Z,24,FALSE)+VLOOKUP($A134,A:AL,34,FALSE)-50)),"-",(VLOOKUP($A134,'SegEnds_NonXtal_BW#'!$A:$Z,24,FALSE)+VLOOKUP($A134,A:AL,34,FALSE)-50))</f>
        <v>300</v>
      </c>
      <c r="AJ134" s="3">
        <f>IF(ISERROR(VLOOKUP($A134,'SegEnds_NonXtal_BW#'!$A:$Z,25,FALSE)+VLOOKUP($A134,A:AL,37,FALSE)-50),"-",(VLOOKUP($A134,'SegEnds_NonXtal_BW#'!$A:$Z,25,FALSE)+VLOOKUP($A134,A:AL,37,FALSE)-50))</f>
        <v>301</v>
      </c>
      <c r="AK134" s="3">
        <v>304</v>
      </c>
      <c r="AL134" s="3">
        <f>IF(ISERROR((VLOOKUP($A134,'SegEnds_NonXtal_BW#'!$A:$Z,26,FALSE)+VLOOKUP($A134,A:AL,37,FALSE)-50)),"-",(VLOOKUP($A134,'SegEnds_NonXtal_BW#'!$A:$Z,26,FALSE)+VLOOKUP($A134,A:AL,37,FALSE)-50))</f>
        <v>315</v>
      </c>
      <c r="AM134" s="28" t="str">
        <f>VLOOKUP(A134,Classification!A:B,2,FALSE)</f>
        <v>A</v>
      </c>
      <c r="AN134" s="28" t="b">
        <f t="shared" ref="AN134:AN197" si="121">AND(IF(Y134="-",IF(AA134-W134&gt;3,TRUE,FALSE),TRUE),IF(M134="-",IF(O134-K134&gt;3,TRUE,FALSE),TRUE),IF(AG134-AF134&gt;1,TRUE,FALS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104"/>
        <v>1</v>
      </c>
      <c r="AQ134" s="3">
        <f t="shared" si="105"/>
        <v>1</v>
      </c>
      <c r="AR134" s="3" t="str">
        <f t="shared" si="106"/>
        <v>-</v>
      </c>
      <c r="AS134" s="3" t="str">
        <f t="shared" si="107"/>
        <v>-</v>
      </c>
      <c r="AT134" s="3">
        <f t="shared" si="108"/>
        <v>1</v>
      </c>
      <c r="AU134" s="3">
        <f t="shared" si="109"/>
        <v>1</v>
      </c>
      <c r="AV134" s="3" t="str">
        <f t="shared" si="110"/>
        <v>-</v>
      </c>
      <c r="AW134" s="3" t="str">
        <f t="shared" si="111"/>
        <v>-</v>
      </c>
      <c r="AX134" s="3">
        <f t="shared" si="112"/>
        <v>4</v>
      </c>
      <c r="AY134" s="3">
        <f t="shared" si="113"/>
        <v>8</v>
      </c>
      <c r="AZ134" s="3">
        <f t="shared" si="114"/>
        <v>1</v>
      </c>
      <c r="BA134" s="3">
        <f>IF(ISERROR(LEN(VLOOKUP(A134,Seqs!A:E,2,FALSE))-AL134),"-",LEN(VLOOKUP(A134,Seqs!A:E,2,FALSE))-AL134)</f>
        <v>43</v>
      </c>
      <c r="BB134" s="16">
        <f t="shared" si="115"/>
        <v>28</v>
      </c>
      <c r="BC134" s="9">
        <f t="shared" si="116"/>
        <v>20</v>
      </c>
      <c r="BD134" s="3">
        <f t="shared" si="117"/>
        <v>28</v>
      </c>
      <c r="BE134" s="3">
        <f t="shared" si="118"/>
        <v>48</v>
      </c>
    </row>
    <row r="135" spans="1:58" s="3" customFormat="1" x14ac:dyDescent="0.2">
      <c r="A135" s="3" t="s">
        <v>243</v>
      </c>
      <c r="B135" s="3" t="str">
        <f>LOWER(VLOOKUP(A135,Xtal_Templ!A:B,2,FALSE))</f>
        <v>gpr52_human</v>
      </c>
      <c r="C135" s="3">
        <f>VLOOKUP($A135,'SegEnds_NonXtal_BW#'!$A:$Z,3,FALSE)+D135-50</f>
        <v>28</v>
      </c>
      <c r="D135" s="3">
        <v>46</v>
      </c>
      <c r="E135" s="3">
        <f>IF(ISERROR(VLOOKUP($A135,'SegEnds_NonXtal_BW#'!$A:$Z,4,FALSE)+VLOOKUP($A135,A:AL,4,FALSE)-50),"-",(VLOOKUP($A135,'SegEnds_NonXtal_BW#'!$A:$Z,4,FALSE)+VLOOKUP($A135,A:AL,4,FALSE)-50))</f>
        <v>56</v>
      </c>
      <c r="F135" s="3">
        <f t="shared" si="119"/>
        <v>57</v>
      </c>
      <c r="G135" s="3">
        <v>59</v>
      </c>
      <c r="H135" s="3">
        <f t="shared" si="120"/>
        <v>60</v>
      </c>
      <c r="I135" s="3">
        <f t="shared" si="120"/>
        <v>61</v>
      </c>
      <c r="J135" s="3">
        <v>75</v>
      </c>
      <c r="K135" s="3">
        <f>VLOOKUP($A135,'SegEnds_NonXtal_BW#'!$A:$Z,8,FALSE)+VLOOKUP($A135,A:AL,10,FALSE)-50</f>
        <v>91</v>
      </c>
      <c r="L135" s="3" t="str">
        <f>IF(ISERROR(VLOOKUP($A135,'SegEnds_NonXtal_BW#'!$A:$Z,9,FALSE)+VLOOKUP($A135,A:AL,13,FALSE)-50),"-",(VLOOKUP($A135,'SegEnds_NonXtal_BW#'!$A:$Z,9,FALSE)+VLOOKUP($A135,A:AL,13,FALSE)-50))</f>
        <v>-</v>
      </c>
      <c r="M135" s="3" t="s">
        <v>23</v>
      </c>
      <c r="N135" s="3" t="str">
        <f>IF(ISERROR(VLOOKUP($A135,'SegEnds_NonXtal_BW#'!$A:$Z,10,FALSE)+VLOOKUP($A135,A:AL,13,FALSE)-50),"-",(VLOOKUP($A135,'SegEnds_NonXtal_BW#'!$A:$Z,10,FALSE)+VLOOKUP($A135,A:AL,13,FALSE)-50))</f>
        <v>-</v>
      </c>
      <c r="O135" s="3">
        <f>VLOOKUP($A135,'SegEnds_NonXtal_BW#'!$A:$Z,11,FALSE)+VLOOKUP($A135,A:AL,16,FALSE)-50</f>
        <v>95</v>
      </c>
      <c r="P135" s="3">
        <v>127</v>
      </c>
      <c r="Q135" s="3">
        <f>VLOOKUP($A135,'SegEnds_NonXtal_BW#'!$A:$Z,12,FALSE)+VLOOKUP($A135,A:AL,16,FALSE)-50</f>
        <v>133</v>
      </c>
      <c r="R135" s="3">
        <f>IF(ISERROR(VLOOKUP($A135,'SegEnds_NonXtal_BW#'!$A:$Z,13,FALSE)+VLOOKUP($A135,A:AL,19,FALSE)-50),"-",VLOOKUP($A135,'SegEnds_NonXtal_BW#'!$A:$Z,13,FALSE)+VLOOKUP($A135,A:AL,19,FALSE)-50)</f>
        <v>134</v>
      </c>
      <c r="S135" s="3">
        <v>134</v>
      </c>
      <c r="T135" s="100">
        <f>IF(ISERROR(VLOOKUP($A135,'SegEnds_NonXtal_BW#'!$A:$Z,14,FALSE)+VLOOKUP($A135,A:AL,19,FALSE)-50),"-",(VLOOKUP($A135,'SegEnds_NonXtal_BW#'!$A:$Z,14,FALSE)+VLOOKUP($A135,A:AL,19,FALSE)-50))</f>
        <v>141</v>
      </c>
      <c r="U135" s="9">
        <f>IF(ISERROR(VLOOKUP($A135,'SegEnds_NonXtal_BW#'!$A:$Z,15,FALSE)+VLOOKUP($A135,A:AL,22,FALSE)-50),"-",VLOOKUP($A135,'SegEnds_NonXtal_BW#'!$A:$Z,15,FALSE)+VLOOKUP($A135,A:AL,22,FALSE)-50)</f>
        <v>142</v>
      </c>
      <c r="V135" s="3">
        <v>154</v>
      </c>
      <c r="W135" s="3">
        <f>IF(ISERROR(VLOOKUP($A135,'SegEnds_NonXtal_BW#'!$A:$Z,16,FALSE)+VLOOKUP($A135,A:AL,22,FALSE)-50),"-",(VLOOKUP($A135,'SegEnds_NonXtal_BW#'!$A:$Z,16,FALSE)+VLOOKUP($A135,A:AL,22,FALSE)-50))</f>
        <v>166</v>
      </c>
      <c r="X135" s="3">
        <f>IF(ISERROR(VLOOKUP($A135,'SegEnds_NonXtal_BW#'!$A:$Z,17,FALSE)+VLOOKUP($A135,A:AL,25,FALSE)-50),"-",(VLOOKUP($A135,'SegEnds_NonXtal_BW#'!$A:$Z,17,FALSE)+VLOOKUP($A135,A:AL,25,FALSE)-50))</f>
        <v>181</v>
      </c>
      <c r="Y135" s="3">
        <v>181</v>
      </c>
      <c r="Z135" s="3">
        <f>Y135+2</f>
        <v>183</v>
      </c>
      <c r="AA135" s="3">
        <f>IF(ISERROR(VLOOKUP($A135,'SegEnds_NonXtal_BW#'!$A:$Z,19,FALSE)+VLOOKUP($A135,A:AL,28,FALSE)-50),"-",(VLOOKUP($A135,'SegEnds_NonXtal_BW#'!$A:$Z,19,FALSE)+VLOOKUP($A135,A:AL,28,FALSE)-50))</f>
        <v>187</v>
      </c>
      <c r="AB135" s="3">
        <v>202</v>
      </c>
      <c r="AC135" s="3">
        <f>IF(ISERROR((VLOOKUP($A135,'SegEnds_NonXtal_BW#'!$A:$Z,20,FALSE)+VLOOKUP($A135,A:AL,28,FALSE)-50)),"-",(VLOOKUP($A135,'SegEnds_NonXtal_BW#'!$A:$Z,20,FALSE)+VLOOKUP($A135,A:AL,28,FALSE)-50))</f>
        <v>233</v>
      </c>
      <c r="AD135" s="3">
        <f>IF(ISERROR(VLOOKUP($A135,'SegEnds_NonXtal_BW#'!$A:$Z,21,FALSE)+VLOOKUP($A135,A:AL,31,FALSE)-50),"-",(VLOOKUP($A135,'SegEnds_NonXtal_BW#'!$A:$Z,21,FALSE)+VLOOKUP($A135,A:AL,31,FALSE)-50))</f>
        <v>240</v>
      </c>
      <c r="AE135" s="3">
        <v>267</v>
      </c>
      <c r="AF135" s="3">
        <f>IF(ISERROR((VLOOKUP($A135,'SegEnds_NonXtal_BW#'!$A:$Z,22,FALSE)+VLOOKUP($A135,A:AL,31,FALSE)-50)),"-",(VLOOKUP($A135,'SegEnds_NonXtal_BW#'!$A:$Z,22,FALSE)+VLOOKUP($A135,A:AL,31,FALSE)-50))</f>
        <v>278</v>
      </c>
      <c r="AG135" s="3">
        <f>IF(ISERROR(VLOOKUP($A135,'SegEnds_NonXtal_BW#'!$A:$Z,23,FALSE)+VLOOKUP($A135,A:AL,34,FALSE)-50),"-",(VLOOKUP($A135,'SegEnds_NonXtal_BW#'!$A:$Z,23,FALSE)+VLOOKUP($A135,A:AL,34,FALSE)-50))</f>
        <v>283</v>
      </c>
      <c r="AH135" s="3">
        <v>301</v>
      </c>
      <c r="AI135" s="3">
        <f>IF(ISERROR((VLOOKUP($A135,'SegEnds_NonXtal_BW#'!$A:$Z,24,FALSE)+VLOOKUP($A135,A:AL,34,FALSE)-50)),"-",(VLOOKUP($A135,'SegEnds_NonXtal_BW#'!$A:$Z,24,FALSE)+VLOOKUP($A135,A:AL,34,FALSE)-50))</f>
        <v>307</v>
      </c>
      <c r="AJ135" s="3">
        <f>IF(ISERROR(VLOOKUP($A135,'SegEnds_NonXtal_BW#'!$A:$Z,25,FALSE)+VLOOKUP($A135,A:AL,37,FALSE)-50),"-",(VLOOKUP($A135,'SegEnds_NonXtal_BW#'!$A:$Z,25,FALSE)+VLOOKUP($A135,A:AL,37,FALSE)-50))</f>
        <v>308</v>
      </c>
      <c r="AK135" s="3">
        <v>311</v>
      </c>
      <c r="AL135" s="3">
        <f>IF(ISERROR((VLOOKUP($A135,'SegEnds_NonXtal_BW#'!$A:$Z,26,FALSE)+VLOOKUP($A135,A:AL,37,FALSE)-50)),"-",(VLOOKUP($A135,'SegEnds_NonXtal_BW#'!$A:$Z,26,FALSE)+VLOOKUP($A135,A:AL,37,FALSE)-50))</f>
        <v>328</v>
      </c>
      <c r="AM135" s="28" t="str">
        <f>VLOOKUP(A135,Classification!A:B,2,FALSE)</f>
        <v>A</v>
      </c>
      <c r="AN135" s="28" t="b">
        <f t="shared" si="121"/>
        <v>1</v>
      </c>
      <c r="AO135" s="3" t="str">
        <f>IF(ISERROR(MATCH(A135,'SegEnds_Xtal_Prot#'!B:B, 0)), "NoXtal", "Xtal")</f>
        <v>NoXtal</v>
      </c>
      <c r="AP135" s="3">
        <f t="shared" si="104"/>
        <v>1</v>
      </c>
      <c r="AQ135" s="3">
        <f t="shared" si="105"/>
        <v>1</v>
      </c>
      <c r="AR135" s="3" t="str">
        <f t="shared" si="106"/>
        <v>-</v>
      </c>
      <c r="AS135" s="3" t="str">
        <f t="shared" si="107"/>
        <v>-</v>
      </c>
      <c r="AT135" s="3">
        <f t="shared" si="108"/>
        <v>1</v>
      </c>
      <c r="AU135" s="3">
        <f t="shared" si="109"/>
        <v>1</v>
      </c>
      <c r="AV135" s="3">
        <f t="shared" si="110"/>
        <v>15</v>
      </c>
      <c r="AW135" s="3">
        <f t="shared" si="111"/>
        <v>4</v>
      </c>
      <c r="AX135" s="3">
        <f t="shared" si="112"/>
        <v>7</v>
      </c>
      <c r="AY135" s="3">
        <f t="shared" si="113"/>
        <v>5</v>
      </c>
      <c r="AZ135" s="3">
        <f t="shared" si="114"/>
        <v>1</v>
      </c>
      <c r="BA135" s="3">
        <f>IF(ISERROR(LEN(VLOOKUP(A135,Seqs!A:E,2,FALSE))-AL135),"-",LEN(VLOOKUP(A135,Seqs!A:E,2,FALSE))-AL135)</f>
        <v>21</v>
      </c>
      <c r="BB135" s="16">
        <f t="shared" si="115"/>
        <v>29</v>
      </c>
      <c r="BC135" s="9">
        <f t="shared" si="116"/>
        <v>20</v>
      </c>
      <c r="BD135" s="3">
        <f t="shared" si="117"/>
        <v>29</v>
      </c>
      <c r="BE135" s="3">
        <f t="shared" si="118"/>
        <v>65</v>
      </c>
    </row>
    <row r="136" spans="1:58" s="3" customFormat="1" x14ac:dyDescent="0.2">
      <c r="A136" s="3" t="s">
        <v>245</v>
      </c>
      <c r="B136" s="3" t="str">
        <f>LOWER(VLOOKUP(A136,Xtal_Templ!A:B,2,FALSE))</f>
        <v>agtr1_human</v>
      </c>
      <c r="C136" s="3">
        <f>VLOOKUP($A136,'SegEnds_NonXtal_BW#'!$A:$Z,3,FALSE)+D136-50</f>
        <v>35</v>
      </c>
      <c r="D136" s="3">
        <v>57</v>
      </c>
      <c r="E136" s="3">
        <f>IF(ISERROR(VLOOKUP($A136,'SegEnds_NonXtal_BW#'!$A:$Z,4,FALSE)+VLOOKUP($A136,A:AL,4,FALSE)-50),"-",(VLOOKUP($A136,'SegEnds_NonXtal_BW#'!$A:$Z,4,FALSE)+VLOOKUP($A136,A:AL,4,FALSE)-50))</f>
        <v>67</v>
      </c>
      <c r="F136" s="3">
        <f t="shared" si="119"/>
        <v>68</v>
      </c>
      <c r="G136" s="3">
        <v>70</v>
      </c>
      <c r="H136" s="3">
        <f t="shared" si="120"/>
        <v>71</v>
      </c>
      <c r="I136" s="3">
        <f t="shared" si="120"/>
        <v>72</v>
      </c>
      <c r="J136" s="3">
        <v>85</v>
      </c>
      <c r="K136" s="3">
        <f>VLOOKUP($A136,'SegEnds_NonXtal_BW#'!$A:$Z,8,FALSE)+VLOOKUP($A136,A:AL,10,FALSE)-50</f>
        <v>102</v>
      </c>
      <c r="L136" s="3">
        <f>M136-1</f>
        <v>104</v>
      </c>
      <c r="M136" s="3">
        <v>105</v>
      </c>
      <c r="N136" s="3">
        <f>M136+2</f>
        <v>107</v>
      </c>
      <c r="O136" s="3">
        <f>N136+1</f>
        <v>108</v>
      </c>
      <c r="P136" s="3">
        <v>137</v>
      </c>
      <c r="Q136" s="3">
        <f>VLOOKUP($A136,'SegEnds_NonXtal_BW#'!$A:$Z,12,FALSE)+VLOOKUP($A136,A:AL,16,FALSE)-50</f>
        <v>143</v>
      </c>
      <c r="R136" s="3">
        <f>IF(ISERROR(VLOOKUP($A136,'SegEnds_NonXtal_BW#'!$A:$Z,13,FALSE)+VLOOKUP($A136,A:AL,19,FALSE)-50),"-",VLOOKUP($A136,'SegEnds_NonXtal_BW#'!$A:$Z,13,FALSE)+VLOOKUP($A136,A:AL,19,FALSE)-50)</f>
        <v>144</v>
      </c>
      <c r="S136" s="3">
        <v>144</v>
      </c>
      <c r="T136" s="100">
        <f>IF(ISERROR(VLOOKUP($A136,'SegEnds_NonXtal_BW#'!$A:$Z,14,FALSE)+VLOOKUP($A136,A:AL,19,FALSE)-50),"-",(VLOOKUP($A136,'SegEnds_NonXtal_BW#'!$A:$Z,14,FALSE)+VLOOKUP($A136,A:AL,19,FALSE)-50))</f>
        <v>151</v>
      </c>
      <c r="U136" s="9">
        <f>IF(ISERROR(VLOOKUP($A136,'SegEnds_NonXtal_BW#'!$A:$Z,15,FALSE)+VLOOKUP($A136,A:AL,22,FALSE)-50),"-",VLOOKUP($A136,'SegEnds_NonXtal_BW#'!$A:$Z,15,FALSE)+VLOOKUP($A136,A:AL,22,FALSE)-50)</f>
        <v>152</v>
      </c>
      <c r="V136" s="3">
        <v>164</v>
      </c>
      <c r="W136" s="3">
        <f>IF(ISERROR(VLOOKUP($A136,'SegEnds_NonXtal_BW#'!$A:$Z,16,FALSE)+VLOOKUP($A136,A:AL,22,FALSE)-50),"-",(VLOOKUP($A136,'SegEnds_NonXtal_BW#'!$A:$Z,16,FALSE)+VLOOKUP($A136,A:AL,22,FALSE)-50))</f>
        <v>178</v>
      </c>
      <c r="X136" s="3">
        <f>IF(ISERROR(VLOOKUP($A136,'SegEnds_NonXtal_BW#'!$A:$Z,17,FALSE)+VLOOKUP($A136,A:AL,25,FALSE)-50),"-",(VLOOKUP($A136,'SegEnds_NonXtal_BW#'!$A:$Z,17,FALSE)+VLOOKUP($A136,A:AL,25,FALSE)-50))</f>
        <v>191</v>
      </c>
      <c r="Y136" s="3">
        <v>191</v>
      </c>
      <c r="Z136" s="3">
        <f>Y136+2</f>
        <v>193</v>
      </c>
      <c r="AA136" s="3">
        <f>IF(ISERROR(VLOOKUP($A136,'SegEnds_NonXtal_BW#'!$A:$Z,19,FALSE)+VLOOKUP($A136,A:AL,28,FALSE)-50),"-",(VLOOKUP($A136,'SegEnds_NonXtal_BW#'!$A:$Z,19,FALSE)+VLOOKUP($A136,A:AL,28,FALSE)-50))</f>
        <v>198</v>
      </c>
      <c r="AB136" s="3">
        <v>214</v>
      </c>
      <c r="AC136" s="3">
        <f>IF(ISERROR((VLOOKUP($A136,'SegEnds_NonXtal_BW#'!$A:$Z,20,FALSE)+VLOOKUP($A136,A:AL,28,FALSE)-50)),"-",(VLOOKUP($A136,'SegEnds_NonXtal_BW#'!$A:$Z,20,FALSE)+VLOOKUP($A136,A:AL,28,FALSE)-50))</f>
        <v>231</v>
      </c>
      <c r="AD136" s="3">
        <f>IF(ISERROR(VLOOKUP($A136,'SegEnds_NonXtal_BW#'!$A:$Z,21,FALSE)+VLOOKUP($A136,A:AL,31,FALSE)-50),"-",(VLOOKUP($A136,'SegEnds_NonXtal_BW#'!$A:$Z,21,FALSE)+VLOOKUP($A136,A:AL,31,FALSE)-50))</f>
        <v>237</v>
      </c>
      <c r="AE136" s="3">
        <v>259</v>
      </c>
      <c r="AF136" s="3">
        <f>IF(ISERROR((VLOOKUP($A136,'SegEnds_NonXtal_BW#'!$A:$Z,22,FALSE)+VLOOKUP($A136,A:AL,31,FALSE)-50)),"-",(VLOOKUP($A136,'SegEnds_NonXtal_BW#'!$A:$Z,22,FALSE)+VLOOKUP($A136,A:AL,31,FALSE)-50))</f>
        <v>273</v>
      </c>
      <c r="AG136" s="3">
        <f>IF(ISERROR(VLOOKUP($A136,'SegEnds_NonXtal_BW#'!$A:$Z,23,FALSE)+VLOOKUP($A136,A:AL,34,FALSE)-50),"-",(VLOOKUP($A136,'SegEnds_NonXtal_BW#'!$A:$Z,23,FALSE)+VLOOKUP($A136,A:AL,34,FALSE)-50))</f>
        <v>278</v>
      </c>
      <c r="AH136" s="3">
        <v>304</v>
      </c>
      <c r="AI136" s="3">
        <f>IF(ISERROR((VLOOKUP($A136,'SegEnds_NonXtal_BW#'!$A:$Z,24,FALSE)+VLOOKUP($A136,A:AL,34,FALSE)-50)),"-",(VLOOKUP($A136,'SegEnds_NonXtal_BW#'!$A:$Z,24,FALSE)+VLOOKUP($A136,A:AL,34,FALSE)-50))</f>
        <v>310</v>
      </c>
      <c r="AJ136" s="3">
        <f>IF(ISERROR(VLOOKUP($A136,'SegEnds_NonXtal_BW#'!$A:$Z,25,FALSE)+VLOOKUP($A136,A:AL,37,FALSE)-50),"-",(VLOOKUP($A136,'SegEnds_NonXtal_BW#'!$A:$Z,25,FALSE)+VLOOKUP($A136,A:AL,37,FALSE)-50))</f>
        <v>311</v>
      </c>
      <c r="AK136" s="3">
        <v>314</v>
      </c>
      <c r="AL136" s="3">
        <f>IF(ISERROR((VLOOKUP($A136,'SegEnds_NonXtal_BW#'!$A:$Z,26,FALSE)+VLOOKUP($A136,A:AL,37,FALSE)-50)),"-",(VLOOKUP($A136,'SegEnds_NonXtal_BW#'!$A:$Z,26,FALSE)+VLOOKUP($A136,A:AL,37,FALSE)-50))</f>
        <v>325</v>
      </c>
      <c r="AM136" s="28" t="str">
        <f>VLOOKUP(A136,Classification!A:B,2,FALSE)</f>
        <v>A</v>
      </c>
      <c r="AN136" s="28" t="b">
        <f t="shared" si="121"/>
        <v>1</v>
      </c>
      <c r="AO136" s="3" t="str">
        <f>IF(ISERROR(MATCH(A136,'SegEnds_Xtal_Prot#'!B:B, 0)), "NoXtal", "Xtal")</f>
        <v>NoXtal</v>
      </c>
      <c r="AP136" s="3">
        <f t="shared" si="104"/>
        <v>1</v>
      </c>
      <c r="AQ136" s="3">
        <f t="shared" si="105"/>
        <v>1</v>
      </c>
      <c r="AR136" s="3">
        <f t="shared" si="106"/>
        <v>2</v>
      </c>
      <c r="AS136" s="3">
        <f t="shared" si="107"/>
        <v>1</v>
      </c>
      <c r="AT136" s="3">
        <f t="shared" si="108"/>
        <v>1</v>
      </c>
      <c r="AU136" s="3">
        <f t="shared" si="109"/>
        <v>1</v>
      </c>
      <c r="AV136" s="3">
        <f t="shared" si="110"/>
        <v>13</v>
      </c>
      <c r="AW136" s="3">
        <f t="shared" si="111"/>
        <v>5</v>
      </c>
      <c r="AX136" s="3">
        <f t="shared" si="112"/>
        <v>6</v>
      </c>
      <c r="AY136" s="3">
        <f t="shared" si="113"/>
        <v>5</v>
      </c>
      <c r="AZ136" s="3">
        <f t="shared" si="114"/>
        <v>1</v>
      </c>
      <c r="BA136" s="3">
        <f>IF(ISERROR(LEN(VLOOKUP(A136,Seqs!A:E,2,FALSE))-AL136),"-",LEN(VLOOKUP(A136,Seqs!A:E,2,FALSE))-AL136)</f>
        <v>36</v>
      </c>
      <c r="BB136" s="16">
        <f t="shared" si="115"/>
        <v>28</v>
      </c>
      <c r="BC136" s="9">
        <f t="shared" si="116"/>
        <v>20</v>
      </c>
      <c r="BD136" s="3">
        <f t="shared" si="117"/>
        <v>28</v>
      </c>
      <c r="BE136" s="3">
        <f t="shared" si="118"/>
        <v>45</v>
      </c>
    </row>
    <row r="137" spans="1:58" s="3" customFormat="1" x14ac:dyDescent="0.2">
      <c r="A137" s="3" t="s">
        <v>246</v>
      </c>
      <c r="B137" s="3" t="str">
        <f>LOWER(VLOOKUP(A137,Xtal_Templ!A:B,2,FALSE))</f>
        <v>drd2_human</v>
      </c>
      <c r="C137" s="3">
        <f>VLOOKUP($A137,'SegEnds_NonXtal_BW#'!$A:$Z,3,FALSE)+D137-50</f>
        <v>2</v>
      </c>
      <c r="D137" s="3">
        <v>23</v>
      </c>
      <c r="E137" s="3">
        <f>IF(ISERROR(VLOOKUP($A137,'SegEnds_NonXtal_BW#'!$A:$Z,4,FALSE)+VLOOKUP($A137,A:AL,4,FALSE)-50),"-",(VLOOKUP($A137,'SegEnds_NonXtal_BW#'!$A:$Z,4,FALSE)+VLOOKUP($A137,A:AL,4,FALSE)-50))</f>
        <v>33</v>
      </c>
      <c r="F137" s="3">
        <f t="shared" si="119"/>
        <v>34</v>
      </c>
      <c r="G137" s="3">
        <v>36</v>
      </c>
      <c r="H137" s="3">
        <f t="shared" si="120"/>
        <v>37</v>
      </c>
      <c r="I137" s="3">
        <f t="shared" si="120"/>
        <v>38</v>
      </c>
      <c r="J137" s="3">
        <v>52</v>
      </c>
      <c r="K137" s="3">
        <f>VLOOKUP($A137,'SegEnds_NonXtal_BW#'!$A:$Z,8,FALSE)+VLOOKUP($A137,A:AL,10,FALSE)-50</f>
        <v>70</v>
      </c>
      <c r="L137" s="3" t="str">
        <f>IF(ISERROR(VLOOKUP($A137,'SegEnds_NonXtal_BW#'!$A:$Z,9,FALSE)+VLOOKUP($A137,A:AL,13,FALSE)-50),"-",(VLOOKUP($A137,'SegEnds_NonXtal_BW#'!$A:$Z,9,FALSE)+VLOOKUP($A137,A:AL,13,FALSE)-50))</f>
        <v>-</v>
      </c>
      <c r="M137" s="3" t="s">
        <v>23</v>
      </c>
      <c r="N137" s="3" t="str">
        <f>IF(ISERROR(VLOOKUP($A137,'SegEnds_NonXtal_BW#'!$A:$Z,10,FALSE)+VLOOKUP($A137,A:AL,13,FALSE)-50),"-",(VLOOKUP($A137,'SegEnds_NonXtal_BW#'!$A:$Z,10,FALSE)+VLOOKUP($A137,A:AL,13,FALSE)-50))</f>
        <v>-</v>
      </c>
      <c r="O137" s="3">
        <f>VLOOKUP($A137,'SegEnds_NonXtal_BW#'!$A:$Z,11,FALSE)+VLOOKUP($A137,A:AL,16,FALSE)-50</f>
        <v>75</v>
      </c>
      <c r="P137" s="3">
        <v>104</v>
      </c>
      <c r="Q137" s="3">
        <f>VLOOKUP($A137,'SegEnds_NonXtal_BW#'!$A:$Z,12,FALSE)+VLOOKUP($A137,A:AL,16,FALSE)-50</f>
        <v>110</v>
      </c>
      <c r="R137" s="3">
        <f>IF(ISERROR(VLOOKUP($A137,'SegEnds_NonXtal_BW#'!$A:$Z,13,FALSE)+VLOOKUP($A137,A:AL,19,FALSE)-50),"-",VLOOKUP($A137,'SegEnds_NonXtal_BW#'!$A:$Z,13,FALSE)+VLOOKUP($A137,A:AL,19,FALSE)-50)</f>
        <v>111</v>
      </c>
      <c r="S137" s="3">
        <v>111</v>
      </c>
      <c r="T137" s="100">
        <f>IF(ISERROR(VLOOKUP($A137,'SegEnds_NonXtal_BW#'!$A:$Z,14,FALSE)+VLOOKUP($A137,A:AL,19,FALSE)-50),"-",(VLOOKUP($A137,'SegEnds_NonXtal_BW#'!$A:$Z,14,FALSE)+VLOOKUP($A137,A:AL,19,FALSE)-50))</f>
        <v>118</v>
      </c>
      <c r="U137" s="9">
        <f>IF(ISERROR(VLOOKUP($A137,'SegEnds_NonXtal_BW#'!$A:$Z,15,FALSE)+VLOOKUP($A137,A:AL,22,FALSE)-50),"-",VLOOKUP($A137,'SegEnds_NonXtal_BW#'!$A:$Z,15,FALSE)+VLOOKUP($A137,A:AL,22,FALSE)-50)</f>
        <v>119</v>
      </c>
      <c r="V137" s="3">
        <v>131</v>
      </c>
      <c r="W137" s="3">
        <f>IF(ISERROR(VLOOKUP($A137,'SegEnds_NonXtal_BW#'!$A:$Z,16,FALSE)+VLOOKUP($A137,A:AL,22,FALSE)-50),"-",(VLOOKUP($A137,'SegEnds_NonXtal_BW#'!$A:$Z,16,FALSE)+VLOOKUP($A137,A:AL,22,FALSE)-50))</f>
        <v>143</v>
      </c>
      <c r="X137" s="3">
        <f>IF(ISERROR(VLOOKUP($A137,'SegEnds_NonXtal_BW#'!$A:$Z,17,FALSE)+VLOOKUP($A137,A:AL,25,FALSE)-50),"-",(VLOOKUP($A137,'SegEnds_NonXtal_BW#'!$A:$Z,17,FALSE)+VLOOKUP($A137,A:AL,25,FALSE)-50))</f>
        <v>159</v>
      </c>
      <c r="Y137" s="3">
        <v>159</v>
      </c>
      <c r="Z137" s="3">
        <f>Y137+2</f>
        <v>161</v>
      </c>
      <c r="AA137" s="3">
        <f>IF(ISERROR(VLOOKUP($A137,'SegEnds_NonXtal_BW#'!$A:$Z,19,FALSE)+VLOOKUP($A137,A:AL,28,FALSE)-50),"-",(VLOOKUP($A137,'SegEnds_NonXtal_BW#'!$A:$Z,19,FALSE)+VLOOKUP($A137,A:AL,28,FALSE)-50))</f>
        <v>169</v>
      </c>
      <c r="AB137" s="3">
        <v>184</v>
      </c>
      <c r="AC137" s="3">
        <f>IF(ISERROR((VLOOKUP($A137,'SegEnds_NonXtal_BW#'!$A:$Z,20,FALSE)+VLOOKUP($A137,A:AL,28,FALSE)-50)),"-",(VLOOKUP($A137,'SegEnds_NonXtal_BW#'!$A:$Z,20,FALSE)+VLOOKUP($A137,A:AL,28,FALSE)-50))</f>
        <v>210</v>
      </c>
      <c r="AD137" s="3">
        <f>IF(ISERROR(VLOOKUP($A137,'SegEnds_NonXtal_BW#'!$A:$Z,21,FALSE)+VLOOKUP($A137,A:AL,31,FALSE)-50),"-",(VLOOKUP($A137,'SegEnds_NonXtal_BW#'!$A:$Z,21,FALSE)+VLOOKUP($A137,A:AL,31,FALSE)-50))</f>
        <v>230</v>
      </c>
      <c r="AE137" s="3">
        <v>256</v>
      </c>
      <c r="AF137" s="3">
        <f>IF(ISERROR((VLOOKUP($A137,'SegEnds_NonXtal_BW#'!$A:$Z,22,FALSE)+VLOOKUP($A137,A:AL,31,FALSE)-50)),"-",(VLOOKUP($A137,'SegEnds_NonXtal_BW#'!$A:$Z,22,FALSE)+VLOOKUP($A137,A:AL,31,FALSE)-50))</f>
        <v>267</v>
      </c>
      <c r="AG137" s="3">
        <f>IF(ISERROR(VLOOKUP($A137,'SegEnds_NonXtal_BW#'!$A:$Z,23,FALSE)+VLOOKUP($A137,A:AL,34,FALSE)-50),"-",(VLOOKUP($A137,'SegEnds_NonXtal_BW#'!$A:$Z,23,FALSE)+VLOOKUP($A137,A:AL,34,FALSE)-50))</f>
        <v>272</v>
      </c>
      <c r="AH137" s="3">
        <v>291</v>
      </c>
      <c r="AI137" s="3">
        <f>IF(ISERROR((VLOOKUP($A137,'SegEnds_NonXtal_BW#'!$A:$Z,24,FALSE)+VLOOKUP($A137,A:AL,34,FALSE)-50)),"-",(VLOOKUP($A137,'SegEnds_NonXtal_BW#'!$A:$Z,24,FALSE)+VLOOKUP($A137,A:AL,34,FALSE)-50))</f>
        <v>297</v>
      </c>
      <c r="AJ137" s="3">
        <f>IF(ISERROR(VLOOKUP($A137,'SegEnds_NonXtal_BW#'!$A:$Z,25,FALSE)+VLOOKUP($A137,A:AL,37,FALSE)-50),"-",(VLOOKUP($A137,'SegEnds_NonXtal_BW#'!$A:$Z,25,FALSE)+VLOOKUP($A137,A:AL,37,FALSE)-50))</f>
        <v>298</v>
      </c>
      <c r="AK137" s="3">
        <v>301</v>
      </c>
      <c r="AL137" s="3">
        <f>IF(ISERROR((VLOOKUP($A137,'SegEnds_NonXtal_BW#'!$A:$Z,26,FALSE)+VLOOKUP($A137,A:AL,37,FALSE)-50)),"-",(VLOOKUP($A137,'SegEnds_NonXtal_BW#'!$A:$Z,26,FALSE)+VLOOKUP($A137,A:AL,37,FALSE)-50))</f>
        <v>310</v>
      </c>
      <c r="AM137" s="28" t="str">
        <f>VLOOKUP(A137,Classification!A:B,2,FALSE)</f>
        <v>A</v>
      </c>
      <c r="AN137" s="28" t="b">
        <f t="shared" si="121"/>
        <v>1</v>
      </c>
      <c r="AO137" s="3" t="str">
        <f>IF(ISERROR(MATCH(A137,'SegEnds_Xtal_Prot#'!B:B, 0)), "NoXtal", "Xtal")</f>
        <v>NoXtal</v>
      </c>
      <c r="AP137" s="3">
        <f t="shared" si="104"/>
        <v>1</v>
      </c>
      <c r="AQ137" s="3">
        <f t="shared" si="105"/>
        <v>1</v>
      </c>
      <c r="AR137" s="3" t="str">
        <f t="shared" si="106"/>
        <v>-</v>
      </c>
      <c r="AS137" s="3" t="str">
        <f t="shared" si="107"/>
        <v>-</v>
      </c>
      <c r="AT137" s="3">
        <f t="shared" si="108"/>
        <v>1</v>
      </c>
      <c r="AU137" s="3">
        <f t="shared" si="109"/>
        <v>1</v>
      </c>
      <c r="AV137" s="3">
        <f t="shared" si="110"/>
        <v>16</v>
      </c>
      <c r="AW137" s="3">
        <f t="shared" si="111"/>
        <v>8</v>
      </c>
      <c r="AX137" s="3">
        <f t="shared" si="112"/>
        <v>20</v>
      </c>
      <c r="AY137" s="3">
        <f t="shared" si="113"/>
        <v>5</v>
      </c>
      <c r="AZ137" s="3">
        <f t="shared" si="114"/>
        <v>1</v>
      </c>
      <c r="BA137" s="3">
        <f>IF(ISERROR(LEN(VLOOKUP(A137,Seqs!A:E,2,FALSE))-AL137),"-",LEN(VLOOKUP(A137,Seqs!A:E,2,FALSE))-AL137)</f>
        <v>27</v>
      </c>
      <c r="BB137" s="16">
        <f t="shared" si="115"/>
        <v>29</v>
      </c>
      <c r="BC137" s="9">
        <f t="shared" si="116"/>
        <v>20</v>
      </c>
      <c r="BD137" s="3">
        <f t="shared" si="117"/>
        <v>29</v>
      </c>
      <c r="BE137" s="3">
        <f t="shared" si="118"/>
        <v>72</v>
      </c>
      <c r="BF137" s="3">
        <f>AH137-AE137</f>
        <v>35</v>
      </c>
    </row>
    <row r="138" spans="1:58" s="3" customFormat="1" x14ac:dyDescent="0.2">
      <c r="A138" s="3" t="s">
        <v>248</v>
      </c>
      <c r="B138" s="3" t="str">
        <f>LOWER(VLOOKUP(A138,Xtal_Templ!A:B,2,FALSE))</f>
        <v>mc4r_human</v>
      </c>
      <c r="C138" s="3">
        <f>VLOOKUP($A138,'SegEnds_NonXtal_BW#'!$A:$Z,3,FALSE)+D138-50</f>
        <v>43</v>
      </c>
      <c r="D138" s="3">
        <v>58</v>
      </c>
      <c r="E138" s="3">
        <f>IF(ISERROR(VLOOKUP($A138,'SegEnds_NonXtal_BW#'!$A:$Z,4,FALSE)+VLOOKUP($A138,A:AL,4,FALSE)-50),"-",(VLOOKUP($A138,'SegEnds_NonXtal_BW#'!$A:$Z,4,FALSE)+VLOOKUP($A138,A:AL,4,FALSE)-50))</f>
        <v>68</v>
      </c>
      <c r="F138" s="3">
        <f t="shared" si="119"/>
        <v>69</v>
      </c>
      <c r="G138" s="3">
        <v>71</v>
      </c>
      <c r="H138" s="3">
        <f t="shared" si="120"/>
        <v>72</v>
      </c>
      <c r="I138" s="3">
        <f t="shared" si="120"/>
        <v>73</v>
      </c>
      <c r="J138" s="3">
        <v>86</v>
      </c>
      <c r="K138" s="3">
        <f>VLOOKUP($A138,'SegEnds_NonXtal_BW#'!$A:$Z,8,FALSE)+VLOOKUP($A138,A:AL,10,FALSE)-50</f>
        <v>98</v>
      </c>
      <c r="L138" s="3">
        <f>M138-1</f>
        <v>100</v>
      </c>
      <c r="M138" s="3">
        <v>101</v>
      </c>
      <c r="N138" s="3">
        <f>M138+2</f>
        <v>103</v>
      </c>
      <c r="O138" s="3">
        <f>N138+1</f>
        <v>104</v>
      </c>
      <c r="P138" s="3">
        <v>134</v>
      </c>
      <c r="Q138" s="3">
        <f>VLOOKUP($A138,'SegEnds_NonXtal_BW#'!$A:$Z,12,FALSE)+VLOOKUP($A138,A:AL,16,FALSE)-50</f>
        <v>140</v>
      </c>
      <c r="R138" s="3">
        <f>S138</f>
        <v>141</v>
      </c>
      <c r="S138" s="3">
        <v>141</v>
      </c>
      <c r="T138" s="100">
        <f>S138+7</f>
        <v>148</v>
      </c>
      <c r="U138" s="9">
        <f>IF(ISERROR(VLOOKUP($A138,'SegEnds_NonXtal_BW#'!$A:$Z,15,FALSE)+VLOOKUP($A138,A:AL,22,FALSE)-50),"-",VLOOKUP($A138,'SegEnds_NonXtal_BW#'!$A:$Z,15,FALSE)+VLOOKUP($A138,A:AL,22,FALSE)-50)</f>
        <v>149</v>
      </c>
      <c r="V138" s="3">
        <v>161</v>
      </c>
      <c r="W138" s="3">
        <f>IF(ISERROR(VLOOKUP($A138,'SegEnds_NonXtal_BW#'!$A:$Z,16,FALSE)+VLOOKUP($A138,A:AL,22,FALSE)-50),"-",(VLOOKUP($A138,'SegEnds_NonXtal_BW#'!$A:$Z,16,FALSE)+VLOOKUP($A138,A:AL,22,FALSE)-50))</f>
        <v>175</v>
      </c>
      <c r="X138" s="3" t="str">
        <f>IF(ISERROR(VLOOKUP($A138,'SegEnds_NonXtal_BW#'!$A:$Z,17,FALSE)+VLOOKUP($A138,A:AL,25,FALSE)-50),"-",(VLOOKUP($A138,'SegEnds_NonXtal_BW#'!$A:$Z,17,FALSE)+VLOOKUP($A138,A:AL,25,FALSE)-50))</f>
        <v>-</v>
      </c>
      <c r="Y138" s="3" t="s">
        <v>23</v>
      </c>
      <c r="Z138" s="3" t="str">
        <f>IF(ISERROR(VLOOKUP($A138,'SegEnds_NonXtal_BW#'!$A:$Z,18,FALSE)+VLOOKUP($A138,A:AL,25,FALSE)-50),"-",(VLOOKUP($A138,'SegEnds_NonXtal_BW#'!$A:$Z,18,FALSE)+VLOOKUP($A138,A:AL,25,FALSE)-50))</f>
        <v>-</v>
      </c>
      <c r="AA138" s="3">
        <f>IF(ISERROR(VLOOKUP($A138,'SegEnds_NonXtal_BW#'!$A:$Z,19,FALSE)+VLOOKUP($A138,A:AL,28,FALSE)-50),"-",(VLOOKUP($A138,'SegEnds_NonXtal_BW#'!$A:$Z,19,FALSE)+VLOOKUP($A138,A:AL,28,FALSE)-50))</f>
        <v>191</v>
      </c>
      <c r="AB138" s="3">
        <v>205</v>
      </c>
      <c r="AC138" s="3">
        <f>IF(ISERROR((VLOOKUP($A138,'SegEnds_NonXtal_BW#'!$A:$Z,20,FALSE)+VLOOKUP($A138,A:AL,28,FALSE)-50)),"-",(VLOOKUP($A138,'SegEnds_NonXtal_BW#'!$A:$Z,20,FALSE)+VLOOKUP($A138,A:AL,28,FALSE)-50))</f>
        <v>228</v>
      </c>
      <c r="AD138" s="3">
        <f>IF(ISERROR(VLOOKUP($A138,'SegEnds_NonXtal_BW#'!$A:$Z,21,FALSE)+VLOOKUP($A138,A:AL,31,FALSE)-50),"-",(VLOOKUP($A138,'SegEnds_NonXtal_BW#'!$A:$Z,21,FALSE)+VLOOKUP($A138,A:AL,31,FALSE)-50))</f>
        <v>234</v>
      </c>
      <c r="AE138" s="3">
        <v>262</v>
      </c>
      <c r="AF138" s="3">
        <f>IF(ISERROR((VLOOKUP($A138,'SegEnds_NonXtal_BW#'!$A:$Z,22,FALSE)+VLOOKUP($A138,A:AL,31,FALSE)-50)),"-",(VLOOKUP($A138,'SegEnds_NonXtal_BW#'!$A:$Z,22,FALSE)+VLOOKUP($A138,A:AL,31,FALSE)-50))</f>
        <v>273</v>
      </c>
      <c r="AG138" s="3">
        <f>IF(ISERROR(VLOOKUP($A138,'SegEnds_NonXtal_BW#'!$A:$Z,23,FALSE)+VLOOKUP($A138,A:AL,34,FALSE)-50),"-",(VLOOKUP($A138,'SegEnds_NonXtal_BW#'!$A:$Z,23,FALSE)+VLOOKUP($A138,A:AL,34,FALSE)-50))</f>
        <v>278</v>
      </c>
      <c r="AH138" s="3">
        <v>294</v>
      </c>
      <c r="AI138" s="3">
        <f>IF(ISERROR((VLOOKUP($A138,'SegEnds_NonXtal_BW#'!$A:$Z,24,FALSE)+VLOOKUP($A138,A:AL,34,FALSE)-50)),"-",(VLOOKUP($A138,'SegEnds_NonXtal_BW#'!$A:$Z,24,FALSE)+VLOOKUP($A138,A:AL,34,FALSE)-50))</f>
        <v>300</v>
      </c>
      <c r="AJ138" s="3">
        <f>IF(ISERROR(VLOOKUP($A138,'SegEnds_NonXtal_BW#'!$A:$Z,25,FALSE)+VLOOKUP($A138,A:AL,37,FALSE)-50),"-",(VLOOKUP($A138,'SegEnds_NonXtal_BW#'!$A:$Z,25,FALSE)+VLOOKUP($A138,A:AL,37,FALSE)-50))</f>
        <v>301</v>
      </c>
      <c r="AK138" s="3">
        <v>304</v>
      </c>
      <c r="AL138" s="3">
        <f>IF(ISERROR((VLOOKUP($A138,'SegEnds_NonXtal_BW#'!$A:$Z,26,FALSE)+VLOOKUP($A138,A:AL,37,FALSE)-50)),"-",(VLOOKUP($A138,'SegEnds_NonXtal_BW#'!$A:$Z,26,FALSE)+VLOOKUP($A138,A:AL,37,FALSE)-50))</f>
        <v>315</v>
      </c>
      <c r="AM138" s="28" t="str">
        <f>VLOOKUP(A138,Classification!A:B,2,FALSE)</f>
        <v>A</v>
      </c>
      <c r="AN138" s="28" t="b">
        <f t="shared" si="121"/>
        <v>1</v>
      </c>
      <c r="AO138" s="3" t="str">
        <f>IF(ISERROR(MATCH(A138,'SegEnds_Xtal_Prot#'!B:B, 0)), "NoXtal", "Xtal")</f>
        <v>NoXtal</v>
      </c>
      <c r="AP138" s="3">
        <f t="shared" si="104"/>
        <v>1</v>
      </c>
      <c r="AQ138" s="3">
        <f t="shared" si="105"/>
        <v>1</v>
      </c>
      <c r="AR138" s="3">
        <f t="shared" si="106"/>
        <v>2</v>
      </c>
      <c r="AS138" s="3">
        <f t="shared" si="107"/>
        <v>1</v>
      </c>
      <c r="AT138" s="3">
        <f t="shared" si="108"/>
        <v>1</v>
      </c>
      <c r="AU138" s="3">
        <f t="shared" si="109"/>
        <v>1</v>
      </c>
      <c r="AV138" s="3" t="str">
        <f t="shared" si="110"/>
        <v>-</v>
      </c>
      <c r="AW138" s="3" t="str">
        <f t="shared" si="111"/>
        <v>-</v>
      </c>
      <c r="AX138" s="3">
        <f t="shared" si="112"/>
        <v>6</v>
      </c>
      <c r="AY138" s="3">
        <f t="shared" si="113"/>
        <v>5</v>
      </c>
      <c r="AZ138" s="3">
        <f t="shared" si="114"/>
        <v>1</v>
      </c>
      <c r="BA138" s="3">
        <f>IF(ISERROR(LEN(VLOOKUP(A138,Seqs!A:E,2,FALSE))-AL138),"-",LEN(VLOOKUP(A138,Seqs!A:E,2,FALSE))-AL138)</f>
        <v>15</v>
      </c>
      <c r="BB138" s="16">
        <f t="shared" si="115"/>
        <v>28</v>
      </c>
      <c r="BC138" s="9">
        <f t="shared" si="116"/>
        <v>20</v>
      </c>
      <c r="BD138" s="3">
        <f t="shared" si="117"/>
        <v>28</v>
      </c>
      <c r="BE138" s="3">
        <f t="shared" si="118"/>
        <v>57</v>
      </c>
      <c r="BF138" s="3">
        <f>AH138-AE138</f>
        <v>32</v>
      </c>
    </row>
    <row r="139" spans="1:58" s="3" customFormat="1" x14ac:dyDescent="0.2">
      <c r="A139" s="3" t="s">
        <v>249</v>
      </c>
      <c r="B139" s="3" t="str">
        <f>LOWER(VLOOKUP(A139,Xtal_Templ!A:B,2,FALSE))</f>
        <v>mtr1a_human</v>
      </c>
      <c r="C139" s="3">
        <f>VLOOKUP($A139,'SegEnds_NonXtal_BW#'!$A:$Z,3,FALSE)+D139-50</f>
        <v>10</v>
      </c>
      <c r="D139" s="3">
        <v>32</v>
      </c>
      <c r="E139" s="3">
        <f>IF(ISERROR(VLOOKUP($A139,'SegEnds_NonXtal_BW#'!$A:$Z,4,FALSE)+VLOOKUP($A139,A:AL,4,FALSE)-50),"-",(VLOOKUP($A139,'SegEnds_NonXtal_BW#'!$A:$Z,4,FALSE)+VLOOKUP($A139,A:AL,4,FALSE)-50))</f>
        <v>42</v>
      </c>
      <c r="F139" s="3">
        <f t="shared" si="119"/>
        <v>43</v>
      </c>
      <c r="G139" s="3">
        <v>45</v>
      </c>
      <c r="H139" s="3">
        <f t="shared" si="120"/>
        <v>46</v>
      </c>
      <c r="I139" s="3">
        <f t="shared" si="120"/>
        <v>47</v>
      </c>
      <c r="J139" s="3">
        <v>60</v>
      </c>
      <c r="K139" s="3">
        <f>VLOOKUP($A139,'SegEnds_NonXtal_BW#'!$A:$Z,8,FALSE)+VLOOKUP($A139,A:AL,10,FALSE)-50</f>
        <v>78</v>
      </c>
      <c r="L139" s="3">
        <f>M139-1</f>
        <v>79</v>
      </c>
      <c r="M139" s="3">
        <v>80</v>
      </c>
      <c r="N139" s="3">
        <f>M139+2</f>
        <v>82</v>
      </c>
      <c r="O139" s="3">
        <f>N139+1</f>
        <v>83</v>
      </c>
      <c r="P139" s="3">
        <v>112</v>
      </c>
      <c r="Q139" s="3">
        <f>VLOOKUP($A139,'SegEnds_NonXtal_BW#'!$A:$Z,12,FALSE)+VLOOKUP($A139,A:AL,16,FALSE)-50</f>
        <v>118</v>
      </c>
      <c r="R139" s="3">
        <f>IF(ISERROR(VLOOKUP($A139,'SegEnds_NonXtal_BW#'!$A:$Z,13,FALSE)+VLOOKUP($A139,A:AL,19,FALSE)-50),"-",VLOOKUP($A139,'SegEnds_NonXtal_BW#'!$A:$Z,13,FALSE)+VLOOKUP($A139,A:AL,19,FALSE)-50)</f>
        <v>119</v>
      </c>
      <c r="S139" s="3">
        <v>119</v>
      </c>
      <c r="T139" s="100">
        <f>IF(ISERROR(VLOOKUP($A139,'SegEnds_NonXtal_BW#'!$A:$Z,14,FALSE)+VLOOKUP($A139,A:AL,19,FALSE)-50),"-",(VLOOKUP($A139,'SegEnds_NonXtal_BW#'!$A:$Z,14,FALSE)+VLOOKUP($A139,A:AL,19,FALSE)-50))</f>
        <v>126</v>
      </c>
      <c r="U139" s="9">
        <f>IF(ISERROR(VLOOKUP($A139,'SegEnds_NonXtal_BW#'!$A:$Z,15,FALSE)+VLOOKUP($A139,A:AL,22,FALSE)-50),"-",VLOOKUP($A139,'SegEnds_NonXtal_BW#'!$A:$Z,15,FALSE)+VLOOKUP($A139,A:AL,22,FALSE)-50)</f>
        <v>127</v>
      </c>
      <c r="V139" s="3">
        <v>139</v>
      </c>
      <c r="W139" s="3">
        <f>IF(ISERROR(VLOOKUP($A139,'SegEnds_NonXtal_BW#'!$A:$Z,16,FALSE)+VLOOKUP($A139,A:AL,22,FALSE)-50),"-",(VLOOKUP($A139,'SegEnds_NonXtal_BW#'!$A:$Z,16,FALSE)+VLOOKUP($A139,A:AL,22,FALSE)-50))</f>
        <v>153</v>
      </c>
      <c r="X139" s="3">
        <f>IF(ISERROR(VLOOKUP($A139,'SegEnds_NonXtal_BW#'!$A:$Z,17,FALSE)+VLOOKUP($A139,A:AL,25,FALSE)-50),"-",(VLOOKUP($A139,'SegEnds_NonXtal_BW#'!$A:$Z,17,FALSE)+VLOOKUP($A139,A:AL,25,FALSE)-50))</f>
        <v>162</v>
      </c>
      <c r="Y139" s="3">
        <v>162</v>
      </c>
      <c r="Z139" s="3">
        <f t="shared" ref="Z139:Z149" si="122">Y139+2</f>
        <v>164</v>
      </c>
      <c r="AA139" s="3">
        <f>IF(ISERROR(VLOOKUP($A139,'SegEnds_NonXtal_BW#'!$A:$Z,19,FALSE)+VLOOKUP($A139,A:AL,28,FALSE)-50),"-",(VLOOKUP($A139,'SegEnds_NonXtal_BW#'!$A:$Z,19,FALSE)+VLOOKUP($A139,A:AL,28,FALSE)-50))</f>
        <v>174</v>
      </c>
      <c r="AB139" s="3">
        <v>189</v>
      </c>
      <c r="AC139" s="3">
        <f>IF(ISERROR((VLOOKUP($A139,'SegEnds_NonXtal_BW#'!$A:$Z,20,FALSE)+VLOOKUP($A139,A:AL,28,FALSE)-50)),"-",(VLOOKUP($A139,'SegEnds_NonXtal_BW#'!$A:$Z,20,FALSE)+VLOOKUP($A139,A:AL,28,FALSE)-50))</f>
        <v>207</v>
      </c>
      <c r="AD139" s="3">
        <f>IF(ISERROR(VLOOKUP($A139,'SegEnds_NonXtal_BW#'!$A:$Z,21,FALSE)+VLOOKUP($A139,A:AL,31,FALSE)-50),"-",(VLOOKUP($A139,'SegEnds_NonXtal_BW#'!$A:$Z,21,FALSE)+VLOOKUP($A139,A:AL,31,FALSE)-50))</f>
        <v>211</v>
      </c>
      <c r="AE139" s="3">
        <v>237</v>
      </c>
      <c r="AF139" s="3">
        <f>IF(ISERROR((VLOOKUP($A139,'SegEnds_NonXtal_BW#'!$A:$Z,22,FALSE)+VLOOKUP($A139,A:AL,31,FALSE)-50)),"-",(VLOOKUP($A139,'SegEnds_NonXtal_BW#'!$A:$Z,22,FALSE)+VLOOKUP($A139,A:AL,31,FALSE)-50))</f>
        <v>248</v>
      </c>
      <c r="AG139" s="3">
        <f>IF(ISERROR(VLOOKUP($A139,'SegEnds_NonXtal_BW#'!$A:$Z,23,FALSE)+VLOOKUP($A139,A:AL,34,FALSE)-50),"-",(VLOOKUP($A139,'SegEnds_NonXtal_BW#'!$A:$Z,23,FALSE)+VLOOKUP($A139,A:AL,34,FALSE)-50))</f>
        <v>257</v>
      </c>
      <c r="AH139" s="3">
        <v>279</v>
      </c>
      <c r="AI139" s="3">
        <f>IF(ISERROR((VLOOKUP($A139,'SegEnds_NonXtal_BW#'!$A:$Z,24,FALSE)+VLOOKUP($A139,A:AL,34,FALSE)-50)),"-",(VLOOKUP($A139,'SegEnds_NonXtal_BW#'!$A:$Z,24,FALSE)+VLOOKUP($A139,A:AL,34,FALSE)-50))</f>
        <v>285</v>
      </c>
      <c r="AJ139" s="3">
        <f>IF(ISERROR(VLOOKUP($A139,'SegEnds_NonXtal_BW#'!$A:$Z,25,FALSE)+VLOOKUP($A139,A:AL,37,FALSE)-50),"-",(VLOOKUP($A139,'SegEnds_NonXtal_BW#'!$A:$Z,25,FALSE)+VLOOKUP($A139,A:AL,37,FALSE)-50))</f>
        <v>286</v>
      </c>
      <c r="AK139" s="3">
        <v>289</v>
      </c>
      <c r="AL139" s="3">
        <f>IF(ISERROR((VLOOKUP($A139,'SegEnds_NonXtal_BW#'!$A:$Z,26,FALSE)+VLOOKUP($A139,A:AL,37,FALSE)-50)),"-",(VLOOKUP($A139,'SegEnds_NonXtal_BW#'!$A:$Z,26,FALSE)+VLOOKUP($A139,A:AL,37,FALSE)-50))</f>
        <v>302</v>
      </c>
      <c r="AM139" s="28" t="str">
        <f>VLOOKUP(A139,Classification!A:B,2,FALSE)</f>
        <v>A</v>
      </c>
      <c r="AN139" s="28" t="b">
        <f t="shared" si="121"/>
        <v>1</v>
      </c>
      <c r="AO139" s="3" t="str">
        <f>IF(ISERROR(MATCH(A139,'SegEnds_Xtal_Prot#'!B:B, 0)), "NoXtal", "Xtal")</f>
        <v>NoXtal</v>
      </c>
      <c r="AP139" s="3">
        <f t="shared" si="104"/>
        <v>1</v>
      </c>
      <c r="AQ139" s="3">
        <f t="shared" si="105"/>
        <v>1</v>
      </c>
      <c r="AR139" s="3">
        <f t="shared" si="106"/>
        <v>1</v>
      </c>
      <c r="AS139" s="3">
        <f t="shared" si="107"/>
        <v>1</v>
      </c>
      <c r="AT139" s="3">
        <f t="shared" si="108"/>
        <v>1</v>
      </c>
      <c r="AU139" s="3">
        <f t="shared" si="109"/>
        <v>1</v>
      </c>
      <c r="AV139" s="3">
        <f t="shared" si="110"/>
        <v>9</v>
      </c>
      <c r="AW139" s="3">
        <f t="shared" si="111"/>
        <v>10</v>
      </c>
      <c r="AX139" s="3">
        <f t="shared" si="112"/>
        <v>4</v>
      </c>
      <c r="AY139" s="3">
        <f t="shared" si="113"/>
        <v>9</v>
      </c>
      <c r="AZ139" s="3">
        <f t="shared" si="114"/>
        <v>1</v>
      </c>
      <c r="BA139" s="3">
        <f>IF(ISERROR(LEN(VLOOKUP(A139,Seqs!A:E,2,FALSE))-AL139),"-",LEN(VLOOKUP(A139,Seqs!A:E,2,FALSE))-AL139)</f>
        <v>17</v>
      </c>
      <c r="BB139" s="16">
        <f t="shared" si="115"/>
        <v>28</v>
      </c>
      <c r="BC139" s="9">
        <f t="shared" si="116"/>
        <v>20</v>
      </c>
      <c r="BD139" s="3">
        <f t="shared" si="117"/>
        <v>28</v>
      </c>
      <c r="BE139" s="3">
        <f t="shared" si="118"/>
        <v>48</v>
      </c>
      <c r="BF139" s="3">
        <f>AH139-AE139</f>
        <v>42</v>
      </c>
    </row>
    <row r="140" spans="1:58" s="3" customFormat="1" x14ac:dyDescent="0.2">
      <c r="A140" s="3" t="s">
        <v>250</v>
      </c>
      <c r="B140" s="3" t="str">
        <f>LOWER(VLOOKUP(A140,Xtal_Templ!A:B,2,FALSE))</f>
        <v>fpr2_human</v>
      </c>
      <c r="C140" s="3">
        <f>VLOOKUP($A140,'SegEnds_NonXtal_BW#'!$A:$Z,3,FALSE)+D140-50</f>
        <v>36</v>
      </c>
      <c r="D140" s="3">
        <v>61</v>
      </c>
      <c r="E140" s="3">
        <f>IF(ISERROR(VLOOKUP($A140,'SegEnds_NonXtal_BW#'!$A:$Z,4,FALSE)+VLOOKUP($A140,A:AL,4,FALSE)-50),"-",(VLOOKUP($A140,'SegEnds_NonXtal_BW#'!$A:$Z,4,FALSE)+VLOOKUP($A140,A:AL,4,FALSE)-50))</f>
        <v>72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75</v>
      </c>
      <c r="J140" s="3">
        <v>88</v>
      </c>
      <c r="K140" s="3">
        <f>VLOOKUP($A140,'SegEnds_NonXtal_BW#'!$A:$Z,8,FALSE)+VLOOKUP($A140,A:AL,10,FALSE)-50</f>
        <v>104</v>
      </c>
      <c r="L140" s="3">
        <f>M140-1</f>
        <v>106</v>
      </c>
      <c r="M140" s="3">
        <v>107</v>
      </c>
      <c r="N140" s="3">
        <f>M140+2</f>
        <v>109</v>
      </c>
      <c r="O140" s="3">
        <f>N140+1</f>
        <v>110</v>
      </c>
      <c r="P140" s="3">
        <v>139</v>
      </c>
      <c r="Q140" s="3">
        <f>VLOOKUP($A140,'SegEnds_NonXtal_BW#'!$A:$Z,12,FALSE)+VLOOKUP($A140,A:AL,16,FALSE)-50</f>
        <v>145</v>
      </c>
      <c r="R140" s="3">
        <f>IF(ISERROR(VLOOKUP($A140,'SegEnds_NonXtal_BW#'!$A:$Z,13,FALSE)+VLOOKUP($A140,A:AL,19,FALSE)-50),"-",VLOOKUP($A140,'SegEnds_NonXtal_BW#'!$A:$Z,13,FALSE)+VLOOKUP($A140,A:AL,19,FALSE)-50)</f>
        <v>146</v>
      </c>
      <c r="S140" s="3">
        <v>146</v>
      </c>
      <c r="T140" s="100">
        <f>IF(ISERROR(VLOOKUP($A140,'SegEnds_NonXtal_BW#'!$A:$Z,14,FALSE)+VLOOKUP($A140,A:AL,19,FALSE)-50),"-",(VLOOKUP($A140,'SegEnds_NonXtal_BW#'!$A:$Z,14,FALSE)+VLOOKUP($A140,A:AL,19,FALSE)-50))</f>
        <v>153</v>
      </c>
      <c r="U140" s="9">
        <f>IF(ISERROR(VLOOKUP($A140,'SegEnds_NonXtal_BW#'!$A:$Z,15,FALSE)+VLOOKUP($A140,A:AL,22,FALSE)-50),"-",VLOOKUP($A140,'SegEnds_NonXtal_BW#'!$A:$Z,15,FALSE)+VLOOKUP($A140,A:AL,22,FALSE)-50)</f>
        <v>154</v>
      </c>
      <c r="V140" s="3">
        <v>166</v>
      </c>
      <c r="W140" s="3">
        <f>IF(ISERROR(VLOOKUP($A140,'SegEnds_NonXtal_BW#'!$A:$Z,16,FALSE)+VLOOKUP($A140,A:AL,22,FALSE)-50),"-",(VLOOKUP($A140,'SegEnds_NonXtal_BW#'!$A:$Z,16,FALSE)+VLOOKUP($A140,A:AL,22,FALSE)-50))</f>
        <v>180</v>
      </c>
      <c r="X140" s="3">
        <f>IF(ISERROR(VLOOKUP($A140,'SegEnds_NonXtal_BW#'!$A:$Z,17,FALSE)+VLOOKUP($A140,A:AL,25,FALSE)-50),"-",(VLOOKUP($A140,'SegEnds_NonXtal_BW#'!$A:$Z,17,FALSE)+VLOOKUP($A140,A:AL,25,FALSE)-50))</f>
        <v>191</v>
      </c>
      <c r="Y140" s="3">
        <v>191</v>
      </c>
      <c r="Z140" s="3">
        <f t="shared" si="122"/>
        <v>193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228</v>
      </c>
      <c r="AC140" s="3">
        <f>IF(ISERROR((VLOOKUP($A140,'SegEnds_NonXtal_BW#'!$A:$Z,20,FALSE)+VLOOKUP($A140,A:AL,28,FALSE)-50)),"-",(VLOOKUP($A140,'SegEnds_NonXtal_BW#'!$A:$Z,20,FALSE)+VLOOKUP($A140,A:AL,28,FALSE)-50))</f>
        <v>246</v>
      </c>
      <c r="AD140" s="3">
        <f>IF(ISERROR(VLOOKUP($A140,'SegEnds_NonXtal_BW#'!$A:$Z,21,FALSE)+VLOOKUP($A140,A:AL,31,FALSE)-50),"-",(VLOOKUP($A140,'SegEnds_NonXtal_BW#'!$A:$Z,21,FALSE)+VLOOKUP($A140,A:AL,31,FALSE)-50))</f>
        <v>251</v>
      </c>
      <c r="AE140" s="3">
        <v>271</v>
      </c>
      <c r="AF140" s="3">
        <f>IF(ISERROR((VLOOKUP($A140,'SegEnds_NonXtal_BW#'!$A:$Z,22,FALSE)+VLOOKUP($A140,A:AL,31,FALSE)-50)),"-",(VLOOKUP($A140,'SegEnds_NonXtal_BW#'!$A:$Z,22,FALSE)+VLOOKUP($A140,A:AL,31,FALSE)-50))</f>
        <v>282</v>
      </c>
      <c r="AG140" s="3">
        <f>IF(ISERROR(VLOOKUP($A140,'SegEnds_NonXtal_BW#'!$A:$Z,23,FALSE)+VLOOKUP($A140,A:AL,34,FALSE)-50),"-",(VLOOKUP($A140,'SegEnds_NonXtal_BW#'!$A:$Z,23,FALSE)+VLOOKUP($A140,A:AL,34,FALSE)-50))</f>
        <v>291</v>
      </c>
      <c r="AH140" s="3">
        <v>313</v>
      </c>
      <c r="AI140" s="3">
        <f>IF(ISERROR((VLOOKUP($A140,'SegEnds_NonXtal_BW#'!$A:$Z,24,FALSE)+VLOOKUP($A140,A:AL,34,FALSE)-50)),"-",(VLOOKUP($A140,'SegEnds_NonXtal_BW#'!$A:$Z,24,FALSE)+VLOOKUP($A140,A:AL,34,FALSE)-50))</f>
        <v>319</v>
      </c>
      <c r="AJ140" s="3">
        <f>IF(ISERROR(VLOOKUP($A140,'SegEnds_NonXtal_BW#'!$A:$Z,25,FALSE)+VLOOKUP($A140,A:AL,37,FALSE)-50),"-",(VLOOKUP($A140,'SegEnds_NonXtal_BW#'!$A:$Z,25,FALSE)+VLOOKUP($A140,A:AL,37,FALSE)-50))</f>
        <v>320</v>
      </c>
      <c r="AK140" s="3">
        <v>323</v>
      </c>
      <c r="AL140" s="3">
        <f>IF(ISERROR((VLOOKUP($A140,'SegEnds_NonXtal_BW#'!$A:$Z,26,FALSE)+VLOOKUP($A140,A:AL,37,FALSE)-50)),"-",(VLOOKUP($A140,'SegEnds_NonXtal_BW#'!$A:$Z,26,FALSE)+VLOOKUP($A140,A:AL,37,FALSE)-50))</f>
        <v>331</v>
      </c>
      <c r="AM140" s="28" t="str">
        <f>VLOOKUP(A140,Classification!A:B,2,FALSE)</f>
        <v>A</v>
      </c>
      <c r="AN140" s="28" t="b">
        <f t="shared" si="121"/>
        <v>1</v>
      </c>
      <c r="AO140" s="3" t="str">
        <f>IF(ISERROR(MATCH(A140,'SegEnds_Xtal_Prot#'!B:B, 0)), "NoXtal", "Xtal")</f>
        <v>NoXtal</v>
      </c>
      <c r="AP140" s="3" t="str">
        <f t="shared" si="104"/>
        <v>-</v>
      </c>
      <c r="AQ140" s="3" t="str">
        <f t="shared" si="105"/>
        <v>-</v>
      </c>
      <c r="AR140" s="3">
        <f t="shared" si="106"/>
        <v>2</v>
      </c>
      <c r="AS140" s="3">
        <f t="shared" si="107"/>
        <v>1</v>
      </c>
      <c r="AT140" s="3">
        <f t="shared" si="108"/>
        <v>1</v>
      </c>
      <c r="AU140" s="3">
        <f t="shared" si="109"/>
        <v>1</v>
      </c>
      <c r="AV140" s="3">
        <f t="shared" si="110"/>
        <v>11</v>
      </c>
      <c r="AW140" s="3">
        <f t="shared" si="111"/>
        <v>8</v>
      </c>
      <c r="AX140" s="3">
        <f t="shared" si="112"/>
        <v>5</v>
      </c>
      <c r="AY140" s="3">
        <f t="shared" si="113"/>
        <v>9</v>
      </c>
      <c r="AZ140" s="3">
        <f t="shared" si="114"/>
        <v>1</v>
      </c>
      <c r="BA140" s="3">
        <f>IF(ISERROR(LEN(VLOOKUP(A140,Seqs!A:E,2,FALSE))-AL140),"-",LEN(VLOOKUP(A140,Seqs!A:E,2,FALSE))-AL140)</f>
        <v>25</v>
      </c>
      <c r="BB140" s="16">
        <f t="shared" si="115"/>
        <v>27</v>
      </c>
      <c r="BC140" s="9">
        <f t="shared" si="116"/>
        <v>20</v>
      </c>
      <c r="BD140" s="3">
        <f t="shared" si="117"/>
        <v>27</v>
      </c>
      <c r="BE140" s="3">
        <f t="shared" si="118"/>
        <v>43</v>
      </c>
      <c r="BF140" s="3">
        <f>AH140-AE140</f>
        <v>42</v>
      </c>
    </row>
    <row r="141" spans="1:58" s="3" customFormat="1" x14ac:dyDescent="0.2">
      <c r="A141" s="3" t="s">
        <v>251</v>
      </c>
      <c r="B141" s="3" t="str">
        <f>LOWER(VLOOKUP(A141,Xtal_Templ!A:B,2,FALSE))</f>
        <v>fpr2_human</v>
      </c>
      <c r="C141" s="3">
        <f>VLOOKUP($A141,'SegEnds_NonXtal_BW#'!$A:$Z,3,FALSE)+D141-50</f>
        <v>22</v>
      </c>
      <c r="D141" s="3">
        <v>47</v>
      </c>
      <c r="E141" s="3">
        <f>IF(ISERROR(VLOOKUP($A141,'SegEnds_NonXtal_BW#'!$A:$Z,4,FALSE)+VLOOKUP($A141,A:AL,4,FALSE)-50),"-",(VLOOKUP($A141,'SegEnds_NonXtal_BW#'!$A:$Z,4,FALSE)+VLOOKUP($A141,A:AL,4,FALSE)-50))</f>
        <v>58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61</v>
      </c>
      <c r="J141" s="3">
        <v>74</v>
      </c>
      <c r="K141" s="3">
        <f>VLOOKUP($A141,'SegEnds_NonXtal_BW#'!$A:$Z,8,FALSE)+VLOOKUP($A141,A:AL,10,FALSE)-50</f>
        <v>91</v>
      </c>
      <c r="L141" s="3">
        <f>M141-1</f>
        <v>93</v>
      </c>
      <c r="M141" s="3">
        <v>94</v>
      </c>
      <c r="N141" s="3">
        <f>M141+2</f>
        <v>96</v>
      </c>
      <c r="O141" s="3">
        <f>N141+1</f>
        <v>97</v>
      </c>
      <c r="P141" s="3">
        <v>126</v>
      </c>
      <c r="Q141" s="3">
        <f>VLOOKUP($A141,'SegEnds_NonXtal_BW#'!$A:$Z,12,FALSE)+VLOOKUP($A141,A:AL,16,FALSE)-50</f>
        <v>132</v>
      </c>
      <c r="R141" s="3">
        <f>IF(ISERROR(VLOOKUP($A141,'SegEnds_NonXtal_BW#'!$A:$Z,13,FALSE)+VLOOKUP($A141,A:AL,19,FALSE)-50),"-",VLOOKUP($A141,'SegEnds_NonXtal_BW#'!$A:$Z,13,FALSE)+VLOOKUP($A141,A:AL,19,FALSE)-50)</f>
        <v>133</v>
      </c>
      <c r="S141" s="3">
        <v>133</v>
      </c>
      <c r="T141" s="100">
        <f>IF(ISERROR(VLOOKUP($A141,'SegEnds_NonXtal_BW#'!$A:$Z,14,FALSE)+VLOOKUP($A141,A:AL,19,FALSE)-50),"-",(VLOOKUP($A141,'SegEnds_NonXtal_BW#'!$A:$Z,14,FALSE)+VLOOKUP($A141,A:AL,19,FALSE)-50))</f>
        <v>140</v>
      </c>
      <c r="U141" s="9">
        <f>IF(ISERROR(VLOOKUP($A141,'SegEnds_NonXtal_BW#'!$A:$Z,15,FALSE)+VLOOKUP($A141,A:AL,22,FALSE)-50),"-",VLOOKUP($A141,'SegEnds_NonXtal_BW#'!$A:$Z,15,FALSE)+VLOOKUP($A141,A:AL,22,FALSE)-50)</f>
        <v>141</v>
      </c>
      <c r="V141" s="3">
        <v>153</v>
      </c>
      <c r="W141" s="3">
        <f>IF(ISERROR(VLOOKUP($A141,'SegEnds_NonXtal_BW#'!$A:$Z,16,FALSE)+VLOOKUP($A141,A:AL,22,FALSE)-50),"-",(VLOOKUP($A141,'SegEnds_NonXtal_BW#'!$A:$Z,16,FALSE)+VLOOKUP($A141,A:AL,22,FALSE)-50))</f>
        <v>167</v>
      </c>
      <c r="X141" s="3">
        <f>IF(ISERROR(VLOOKUP($A141,'SegEnds_NonXtal_BW#'!$A:$Z,17,FALSE)+VLOOKUP($A141,A:AL,25,FALSE)-50),"-",(VLOOKUP($A141,'SegEnds_NonXtal_BW#'!$A:$Z,17,FALSE)+VLOOKUP($A141,A:AL,25,FALSE)-50))</f>
        <v>179</v>
      </c>
      <c r="Y141" s="3">
        <v>179</v>
      </c>
      <c r="Z141" s="3">
        <f t="shared" si="122"/>
        <v>181</v>
      </c>
      <c r="AA141" s="3">
        <f>IF(ISERROR(VLOOKUP($A141,'SegEnds_NonXtal_BW#'!$A:$Z,19,FALSE)+VLOOKUP($A141,A:AL,28,FALSE)-50),"-",(VLOOKUP($A141,'SegEnds_NonXtal_BW#'!$A:$Z,19,FALSE)+VLOOKUP($A141,A:AL,28,FALSE)-50))</f>
        <v>190</v>
      </c>
      <c r="AB141" s="3">
        <v>217</v>
      </c>
      <c r="AC141" s="3">
        <f>IF(ISERROR((VLOOKUP($A141,'SegEnds_NonXtal_BW#'!$A:$Z,20,FALSE)+VLOOKUP($A141,A:AL,28,FALSE)-50)),"-",(VLOOKUP($A141,'SegEnds_NonXtal_BW#'!$A:$Z,20,FALSE)+VLOOKUP($A141,A:AL,28,FALSE)-50))</f>
        <v>235</v>
      </c>
      <c r="AD141" s="3">
        <f>IF(ISERROR(VLOOKUP($A141,'SegEnds_NonXtal_BW#'!$A:$Z,21,FALSE)+VLOOKUP($A141,A:AL,31,FALSE)-50),"-",(VLOOKUP($A141,'SegEnds_NonXtal_BW#'!$A:$Z,21,FALSE)+VLOOKUP($A141,A:AL,31,FALSE)-50))</f>
        <v>240</v>
      </c>
      <c r="AE141" s="3">
        <v>260</v>
      </c>
      <c r="AF141" s="3">
        <f>IF(ISERROR((VLOOKUP($A141,'SegEnds_NonXtal_BW#'!$A:$Z,22,FALSE)+VLOOKUP($A141,A:AL,31,FALSE)-50)),"-",(VLOOKUP($A141,'SegEnds_NonXtal_BW#'!$A:$Z,22,FALSE)+VLOOKUP($A141,A:AL,31,FALSE)-50))</f>
        <v>271</v>
      </c>
      <c r="AG141" s="3">
        <f>IF(ISERROR(VLOOKUP($A141,'SegEnds_NonXtal_BW#'!$A:$Z,23,FALSE)+VLOOKUP($A141,A:AL,34,FALSE)-50),"-",(VLOOKUP($A141,'SegEnds_NonXtal_BW#'!$A:$Z,23,FALSE)+VLOOKUP($A141,A:AL,34,FALSE)-50))</f>
        <v>277</v>
      </c>
      <c r="AH141" s="3">
        <v>296</v>
      </c>
      <c r="AI141" s="3">
        <f>IF(ISERROR((VLOOKUP($A141,'SegEnds_NonXtal_BW#'!$A:$Z,24,FALSE)+VLOOKUP($A141,A:AL,34,FALSE)-50)),"-",(VLOOKUP($A141,'SegEnds_NonXtal_BW#'!$A:$Z,24,FALSE)+VLOOKUP($A141,A:AL,34,FALSE)-50))</f>
        <v>302</v>
      </c>
      <c r="AJ141" s="3">
        <f>IF(ISERROR(VLOOKUP($A141,'SegEnds_NonXtal_BW#'!$A:$Z,25,FALSE)+VLOOKUP($A141,A:AL,37,FALSE)-50),"-",(VLOOKUP($A141,'SegEnds_NonXtal_BW#'!$A:$Z,25,FALSE)+VLOOKUP($A141,A:AL,37,FALSE)-50))</f>
        <v>303</v>
      </c>
      <c r="AK141" s="3">
        <v>306</v>
      </c>
      <c r="AL141" s="3">
        <f>IF(ISERROR((VLOOKUP($A141,'SegEnds_NonXtal_BW#'!$A:$Z,26,FALSE)+VLOOKUP($A141,A:AL,37,FALSE)-50)),"-",(VLOOKUP($A141,'SegEnds_NonXtal_BW#'!$A:$Z,26,FALSE)+VLOOKUP($A141,A:AL,37,FALSE)-50))</f>
        <v>314</v>
      </c>
      <c r="AM141" s="28" t="str">
        <f>VLOOKUP(A141,Classification!A:B,2,FALSE)</f>
        <v>A</v>
      </c>
      <c r="AN141" s="28" t="b">
        <f t="shared" si="121"/>
        <v>1</v>
      </c>
      <c r="AO141" s="3" t="str">
        <f>IF(ISERROR(MATCH(A141,'SegEnds_Xtal_Prot#'!B:B, 0)), "NoXtal", "Xtal")</f>
        <v>NoXtal</v>
      </c>
      <c r="AP141" s="3" t="str">
        <f t="shared" si="104"/>
        <v>-</v>
      </c>
      <c r="AQ141" s="3" t="str">
        <f t="shared" si="105"/>
        <v>-</v>
      </c>
      <c r="AR141" s="3">
        <f t="shared" si="106"/>
        <v>2</v>
      </c>
      <c r="AS141" s="3">
        <f t="shared" si="107"/>
        <v>1</v>
      </c>
      <c r="AT141" s="3">
        <f t="shared" si="108"/>
        <v>1</v>
      </c>
      <c r="AU141" s="3">
        <f t="shared" si="109"/>
        <v>1</v>
      </c>
      <c r="AV141" s="3">
        <f t="shared" si="110"/>
        <v>12</v>
      </c>
      <c r="AW141" s="3">
        <f t="shared" si="111"/>
        <v>9</v>
      </c>
      <c r="AX141" s="3">
        <f t="shared" si="112"/>
        <v>5</v>
      </c>
      <c r="AY141" s="3">
        <f t="shared" si="113"/>
        <v>6</v>
      </c>
      <c r="AZ141" s="3">
        <f t="shared" si="114"/>
        <v>1</v>
      </c>
      <c r="BA141" s="3">
        <f>IF(ISERROR(LEN(VLOOKUP(A141,Seqs!A:E,2,FALSE))-AL141),"-",LEN(VLOOKUP(A141,Seqs!A:E,2,FALSE))-AL141)</f>
        <v>19</v>
      </c>
      <c r="BB141" s="16">
        <f t="shared" si="115"/>
        <v>27</v>
      </c>
      <c r="BC141" s="9">
        <f t="shared" si="116"/>
        <v>20</v>
      </c>
      <c r="BD141" s="3">
        <f t="shared" si="117"/>
        <v>27</v>
      </c>
      <c r="BE141" s="3">
        <f t="shared" si="118"/>
        <v>43</v>
      </c>
      <c r="BF141" s="3">
        <f>AH141-AE141</f>
        <v>36</v>
      </c>
    </row>
    <row r="142" spans="1:58" s="3" customFormat="1" x14ac:dyDescent="0.2">
      <c r="A142" s="3" t="s">
        <v>252</v>
      </c>
      <c r="B142" s="3" t="str">
        <f>LOWER(VLOOKUP(A142,Xtal_Templ!A:B,2,FALSE))</f>
        <v>ptafr_human</v>
      </c>
      <c r="C142" s="3">
        <f>VLOOKUP($A142,'SegEnds_NonXtal_BW#'!$A:$Z,3,FALSE)+D142-50</f>
        <v>49</v>
      </c>
      <c r="D142" s="3">
        <v>72</v>
      </c>
      <c r="E142" s="3">
        <f>IF(ISERROR(VLOOKUP($A142,'SegEnds_NonXtal_BW#'!$A:$Z,4,FALSE)+VLOOKUP($A142,A:AL,4,FALSE)-50),"-",(VLOOKUP($A142,'SegEnds_NonXtal_BW#'!$A:$Z,4,FALSE)+VLOOKUP($A142,A:AL,4,FALSE)-50))</f>
        <v>83</v>
      </c>
      <c r="F142" s="3" t="str">
        <f>IF(ISERROR(VLOOKUP($A142,'SegEnds_NonXtal_BW#'!$A:$Z,5,FALSE)+VLOOKUP($A142,A:AL,7,FALSE)-50),"-",(VLOOKUP($A142,'SegEnds_NonXtal_BW#'!$A:$Z,5,FALSE)+VLOOKUP($A142,A:AL,7,FALSE)-50))</f>
        <v>-</v>
      </c>
      <c r="G142" s="3" t="s">
        <v>23</v>
      </c>
      <c r="H142" s="3" t="str">
        <f>IF(ISERROR(VLOOKUP($A142,'SegEnds_NonXtal_BW#'!$A:$Z,6,FALSE)+VLOOKUP($A142,A:AL,7,FALSE)-50),"-",(VLOOKUP($A142,'SegEnds_NonXtal_BW#'!$A:$Z,6,FALSE)+VLOOKUP($A142,A:AL,7,FALSE)-50))</f>
        <v>-</v>
      </c>
      <c r="I142" s="3">
        <f>VLOOKUP($A142,'SegEnds_NonXtal_BW#'!$A:$Z,7,FALSE)+J142-50</f>
        <v>87</v>
      </c>
      <c r="J142" s="3">
        <v>100</v>
      </c>
      <c r="K142" s="3">
        <f>VLOOKUP($A142,'SegEnds_NonXtal_BW#'!$A:$Z,8,FALSE)+VLOOKUP($A142,A:AL,10,FALSE)-50</f>
        <v>117</v>
      </c>
      <c r="L142" s="3">
        <f>M142-1</f>
        <v>119</v>
      </c>
      <c r="M142" s="3">
        <v>120</v>
      </c>
      <c r="N142" s="3">
        <f>M142+2</f>
        <v>122</v>
      </c>
      <c r="O142" s="3">
        <f>N142+1</f>
        <v>123</v>
      </c>
      <c r="P142" s="3">
        <v>152</v>
      </c>
      <c r="Q142" s="3">
        <f>VLOOKUP($A142,'SegEnds_NonXtal_BW#'!$A:$Z,12,FALSE)+VLOOKUP($A142,A:AL,16,FALSE)-50</f>
        <v>158</v>
      </c>
      <c r="R142" s="3">
        <f>IF(ISERROR(VLOOKUP($A142,'SegEnds_NonXtal_BW#'!$A:$Z,13,FALSE)+VLOOKUP($A142,A:AL,19,FALSE)-50),"-",VLOOKUP($A142,'SegEnds_NonXtal_BW#'!$A:$Z,13,FALSE)+VLOOKUP($A142,A:AL,19,FALSE)-50)</f>
        <v>159</v>
      </c>
      <c r="S142" s="3">
        <v>159</v>
      </c>
      <c r="T142" s="100">
        <f>IF(ISERROR(VLOOKUP($A142,'SegEnds_NonXtal_BW#'!$A:$Z,14,FALSE)+VLOOKUP($A142,A:AL,19,FALSE)-50),"-",(VLOOKUP($A142,'SegEnds_NonXtal_BW#'!$A:$Z,14,FALSE)+VLOOKUP($A142,A:AL,19,FALSE)-50))</f>
        <v>166</v>
      </c>
      <c r="U142" s="9">
        <f>IF(ISERROR(VLOOKUP($A142,'SegEnds_NonXtal_BW#'!$A:$Z,15,FALSE)+VLOOKUP($A142,A:AL,22,FALSE)-50),"-",VLOOKUP($A142,'SegEnds_NonXtal_BW#'!$A:$Z,15,FALSE)+VLOOKUP($A142,A:AL,22,FALSE)-50)</f>
        <v>167</v>
      </c>
      <c r="V142" s="3">
        <v>179</v>
      </c>
      <c r="W142" s="3">
        <f>IF(ISERROR(VLOOKUP($A142,'SegEnds_NonXtal_BW#'!$A:$Z,16,FALSE)+VLOOKUP($A142,A:AL,22,FALSE)-50),"-",(VLOOKUP($A142,'SegEnds_NonXtal_BW#'!$A:$Z,16,FALSE)+VLOOKUP($A142,A:AL,22,FALSE)-50))</f>
        <v>192</v>
      </c>
      <c r="X142" s="3">
        <f>IF(ISERROR(VLOOKUP($A142,'SegEnds_NonXtal_BW#'!$A:$Z,17,FALSE)+VLOOKUP($A142,A:AL,25,FALSE)-50),"-",(VLOOKUP($A142,'SegEnds_NonXtal_BW#'!$A:$Z,17,FALSE)+VLOOKUP($A142,A:AL,25,FALSE)-50))</f>
        <v>204</v>
      </c>
      <c r="Y142" s="3">
        <v>204</v>
      </c>
      <c r="Z142" s="3">
        <f t="shared" si="122"/>
        <v>206</v>
      </c>
      <c r="AA142" s="3">
        <f>IF(ISERROR(VLOOKUP($A142,'SegEnds_NonXtal_BW#'!$A:$Z,19,FALSE)+VLOOKUP($A142,A:AL,28,FALSE)-50),"-",(VLOOKUP($A142,'SegEnds_NonXtal_BW#'!$A:$Z,19,FALSE)+VLOOKUP($A142,A:AL,28,FALSE)-50))</f>
        <v>213</v>
      </c>
      <c r="AB142" s="3">
        <v>230</v>
      </c>
      <c r="AC142" s="3">
        <f>IF(ISERROR((VLOOKUP($A142,'SegEnds_NonXtal_BW#'!$A:$Z,20,FALSE)+VLOOKUP($A142,A:AL,28,FALSE)-50)),"-",(VLOOKUP($A142,'SegEnds_NonXtal_BW#'!$A:$Z,20,FALSE)+VLOOKUP($A142,A:AL,28,FALSE)-50))</f>
        <v>248</v>
      </c>
      <c r="AD142" s="3">
        <f>IF(ISERROR(VLOOKUP($A142,'SegEnds_NonXtal_BW#'!$A:$Z,21,FALSE)+VLOOKUP($A142,A:AL,31,FALSE)-50),"-",(VLOOKUP($A142,'SegEnds_NonXtal_BW#'!$A:$Z,21,FALSE)+VLOOKUP($A142,A:AL,31,FALSE)-50))</f>
        <v>254</v>
      </c>
      <c r="AE142" s="3">
        <v>281</v>
      </c>
      <c r="AF142" s="3">
        <f>IF(ISERROR((VLOOKUP($A142,'SegEnds_NonXtal_BW#'!$A:$Z,22,FALSE)+VLOOKUP($A142,A:AL,31,FALSE)-50)),"-",(VLOOKUP($A142,'SegEnds_NonXtal_BW#'!$A:$Z,22,FALSE)+VLOOKUP($A142,A:AL,31,FALSE)-50))</f>
        <v>292</v>
      </c>
      <c r="AG142" s="3">
        <f>IF(ISERROR(VLOOKUP($A142,'SegEnds_NonXtal_BW#'!$A:$Z,23,FALSE)+VLOOKUP($A142,A:AL,34,FALSE)-50),"-",(VLOOKUP($A142,'SegEnds_NonXtal_BW#'!$A:$Z,23,FALSE)+VLOOKUP($A142,A:AL,34,FALSE)-50))</f>
        <v>298</v>
      </c>
      <c r="AH142" s="3">
        <v>324</v>
      </c>
      <c r="AI142" s="3">
        <f>IF(ISERROR((VLOOKUP($A142,'SegEnds_NonXtal_BW#'!$A:$Z,24,FALSE)+VLOOKUP($A142,A:AL,34,FALSE)-50)),"-",(VLOOKUP($A142,'SegEnds_NonXtal_BW#'!$A:$Z,24,FALSE)+VLOOKUP($A142,A:AL,34,FALSE)-50))</f>
        <v>333</v>
      </c>
      <c r="AJ142" s="3">
        <f>IF(ISERROR(VLOOKUP($A142,'SegEnds_NonXtal_BW#'!$A:$Z,25,FALSE)+VLOOKUP($A142,A:AL,37,FALSE)-50),"-",(VLOOKUP($A142,'SegEnds_NonXtal_BW#'!$A:$Z,25,FALSE)+VLOOKUP($A142,A:AL,37,FALSE)-50))</f>
        <v>334</v>
      </c>
      <c r="AK142" s="3">
        <v>334</v>
      </c>
      <c r="AL142" s="3">
        <f>IF(ISERROR((VLOOKUP($A142,'SegEnds_NonXtal_BW#'!$A:$Z,26,FALSE)+VLOOKUP($A142,A:AL,37,FALSE)-50)),"-",(VLOOKUP($A142,'SegEnds_NonXtal_BW#'!$A:$Z,26,FALSE)+VLOOKUP($A142,A:AL,37,FALSE)-50))</f>
        <v>347</v>
      </c>
      <c r="AM142" s="28" t="str">
        <f>VLOOKUP(A142,Classification!A:B,2,FALSE)</f>
        <v>A</v>
      </c>
      <c r="AN142" s="28" t="b">
        <f t="shared" si="121"/>
        <v>1</v>
      </c>
      <c r="AO142" s="3" t="str">
        <f>IF(ISERROR(MATCH(A142,'SegEnds_Xtal_Prot#'!B:B, 0)), "NoXtal", "Xtal")</f>
        <v>NoXtal</v>
      </c>
      <c r="AP142" s="3" t="str">
        <f t="shared" si="104"/>
        <v>-</v>
      </c>
      <c r="AQ142" s="3" t="str">
        <f t="shared" si="105"/>
        <v>-</v>
      </c>
      <c r="AR142" s="3">
        <f t="shared" si="106"/>
        <v>2</v>
      </c>
      <c r="AS142" s="3">
        <f t="shared" si="107"/>
        <v>1</v>
      </c>
      <c r="AT142" s="3">
        <f t="shared" si="108"/>
        <v>1</v>
      </c>
      <c r="AU142" s="3">
        <f t="shared" si="109"/>
        <v>1</v>
      </c>
      <c r="AV142" s="3">
        <f t="shared" si="110"/>
        <v>12</v>
      </c>
      <c r="AW142" s="3">
        <f t="shared" si="111"/>
        <v>7</v>
      </c>
      <c r="AX142" s="3">
        <f t="shared" si="112"/>
        <v>6</v>
      </c>
      <c r="AY142" s="3">
        <f t="shared" si="113"/>
        <v>6</v>
      </c>
      <c r="AZ142" s="3">
        <f t="shared" si="114"/>
        <v>1</v>
      </c>
      <c r="BA142" s="3">
        <f>IF(ISERROR(LEN(VLOOKUP(A142,Seqs!A:E,2,FALSE))-AL142),"-",LEN(VLOOKUP(A142,Seqs!A:E,2,FALSE))-AL142)</f>
        <v>34</v>
      </c>
      <c r="BB142" s="16">
        <f t="shared" si="115"/>
        <v>28</v>
      </c>
      <c r="BC142" s="9">
        <f t="shared" si="116"/>
        <v>20</v>
      </c>
      <c r="BD142" s="3">
        <f t="shared" si="117"/>
        <v>28</v>
      </c>
      <c r="BE142" s="3">
        <f t="shared" si="118"/>
        <v>51</v>
      </c>
    </row>
    <row r="143" spans="1:58" s="3" customFormat="1" x14ac:dyDescent="0.2">
      <c r="A143" s="3" t="s">
        <v>253</v>
      </c>
      <c r="B143" s="3" t="str">
        <f>LOWER(VLOOKUP(A143,Xtal_Templ!A:B,2,FALSE))</f>
        <v>ccr6_human</v>
      </c>
      <c r="C143" s="3">
        <f>VLOOKUP($A143,'SegEnds_NonXtal_BW#'!$A:$Z,3,FALSE)+D143-50</f>
        <v>13</v>
      </c>
      <c r="D143" s="3">
        <v>38</v>
      </c>
      <c r="E143" s="3">
        <f>IF(ISERROR(VLOOKUP($A143,'SegEnds_NonXtal_BW#'!$A:$Z,4,FALSE)+VLOOKUP($A143,A:AL,4,FALSE)-50),"-",(VLOOKUP($A143,'SegEnds_NonXtal_BW#'!$A:$Z,4,FALSE)+VLOOKUP($A143,A:AL,4,FALSE)-50))</f>
        <v>48</v>
      </c>
      <c r="F143" s="3">
        <f>G143-2</f>
        <v>49</v>
      </c>
      <c r="G143" s="3">
        <v>51</v>
      </c>
      <c r="H143" s="3">
        <f>G143+1</f>
        <v>52</v>
      </c>
      <c r="I143" s="3">
        <f>H143+1</f>
        <v>53</v>
      </c>
      <c r="J143" s="3">
        <v>66</v>
      </c>
      <c r="K143" s="3">
        <f>VLOOKUP($A143,'SegEnds_NonXtal_BW#'!$A:$Z,8,FALSE)+VLOOKUP($A143,A:AL,10,FALSE)-50</f>
        <v>82</v>
      </c>
      <c r="L143" s="3" t="str">
        <f>IF(ISERROR(VLOOKUP($A143,'SegEnds_NonXtal_BW#'!$A:$Z,9,FALSE)+VLOOKUP($A143,A:AL,13,FALSE)-50),"-",(VLOOKUP($A143,'SegEnds_NonXtal_BW#'!$A:$Z,9,FALSE)+VLOOKUP($A143,A:AL,13,FALSE)-50))</f>
        <v>-</v>
      </c>
      <c r="M143" s="3" t="s">
        <v>23</v>
      </c>
      <c r="N143" s="3" t="str">
        <f>IF(ISERROR(VLOOKUP($A143,'SegEnds_NonXtal_BW#'!$A:$Z,10,FALSE)+VLOOKUP($A143,A:AL,13,FALSE)-50),"-",(VLOOKUP($A143,'SegEnds_NonXtal_BW#'!$A:$Z,10,FALSE)+VLOOKUP($A143,A:AL,13,FALSE)-50))</f>
        <v>-</v>
      </c>
      <c r="O143" s="3">
        <f>VLOOKUP($A143,'SegEnds_NonXtal_BW#'!$A:$Z,11,FALSE)+VLOOKUP($A143,A:AL,16,FALSE)-50</f>
        <v>88</v>
      </c>
      <c r="P143" s="3">
        <v>114</v>
      </c>
      <c r="Q143" s="3">
        <f>VLOOKUP($A143,'SegEnds_NonXtal_BW#'!$A:$Z,12,FALSE)+VLOOKUP($A143,A:AL,16,FALSE)-50</f>
        <v>120</v>
      </c>
      <c r="R143" s="3">
        <f>IF(ISERROR(VLOOKUP($A143,'SegEnds_NonXtal_BW#'!$A:$Z,13,FALSE)+VLOOKUP($A143,A:AL,19,FALSE)-50),"-",VLOOKUP($A143,'SegEnds_NonXtal_BW#'!$A:$Z,13,FALSE)+VLOOKUP($A143,A:AL,19,FALSE)-50)</f>
        <v>121</v>
      </c>
      <c r="S143" s="3">
        <v>121</v>
      </c>
      <c r="T143" s="100">
        <f>IF(ISERROR(VLOOKUP($A143,'SegEnds_NonXtal_BW#'!$A:$Z,14,FALSE)+VLOOKUP($A143,A:AL,19,FALSE)-50),"-",(VLOOKUP($A143,'SegEnds_NonXtal_BW#'!$A:$Z,14,FALSE)+VLOOKUP($A143,A:AL,19,FALSE)-50))</f>
        <v>128</v>
      </c>
      <c r="U143" s="9">
        <f>IF(ISERROR(VLOOKUP($A143,'SegEnds_NonXtal_BW#'!$A:$Z,15,FALSE)+VLOOKUP($A143,A:AL,22,FALSE)-50),"-",VLOOKUP($A143,'SegEnds_NonXtal_BW#'!$A:$Z,15,FALSE)+VLOOKUP($A143,A:AL,22,FALSE)-50)</f>
        <v>129</v>
      </c>
      <c r="V143" s="3">
        <v>141</v>
      </c>
      <c r="W143" s="3">
        <f>IF(ISERROR(VLOOKUP($A143,'SegEnds_NonXtal_BW#'!$A:$Z,16,FALSE)+VLOOKUP($A143,A:AL,22,FALSE)-50),"-",(VLOOKUP($A143,'SegEnds_NonXtal_BW#'!$A:$Z,16,FALSE)+VLOOKUP($A143,A:AL,22,FALSE)-50))</f>
        <v>155</v>
      </c>
      <c r="X143" s="3">
        <f>IF(ISERROR(VLOOKUP($A143,'SegEnds_NonXtal_BW#'!$A:$Z,17,FALSE)+VLOOKUP($A143,A:AL,25,FALSE)-50),"-",(VLOOKUP($A143,'SegEnds_NonXtal_BW#'!$A:$Z,17,FALSE)+VLOOKUP($A143,A:AL,25,FALSE)-50))</f>
        <v>162</v>
      </c>
      <c r="Y143" s="3">
        <v>162</v>
      </c>
      <c r="Z143" s="3">
        <f t="shared" si="122"/>
        <v>164</v>
      </c>
      <c r="AA143" s="3">
        <f>IF(ISERROR(VLOOKUP($A143,'SegEnds_NonXtal_BW#'!$A:$Z,19,FALSE)+VLOOKUP($A143,A:AL,28,FALSE)-50),"-",(VLOOKUP($A143,'SegEnds_NonXtal_BW#'!$A:$Z,19,FALSE)+VLOOKUP($A143,A:AL,28,FALSE)-50))</f>
        <v>168</v>
      </c>
      <c r="AB143" s="3">
        <v>183</v>
      </c>
      <c r="AC143" s="3">
        <f>IF(ISERROR((VLOOKUP($A143,'SegEnds_NonXtal_BW#'!$A:$Z,20,FALSE)+VLOOKUP($A143,A:AL,28,FALSE)-50)),"-",(VLOOKUP($A143,'SegEnds_NonXtal_BW#'!$A:$Z,20,FALSE)+VLOOKUP($A143,A:AL,28,FALSE)-50))</f>
        <v>201</v>
      </c>
      <c r="AD143" s="3">
        <f>IF(ISERROR(VLOOKUP($A143,'SegEnds_NonXtal_BW#'!$A:$Z,21,FALSE)+VLOOKUP($A143,A:AL,31,FALSE)-50),"-",(VLOOKUP($A143,'SegEnds_NonXtal_BW#'!$A:$Z,21,FALSE)+VLOOKUP($A143,A:AL,31,FALSE)-50))</f>
        <v>206</v>
      </c>
      <c r="AE143" s="3">
        <v>232</v>
      </c>
      <c r="AF143" s="3">
        <f>IF(ISERROR((VLOOKUP($A143,'SegEnds_NonXtal_BW#'!$A:$Z,22,FALSE)+VLOOKUP($A143,A:AL,31,FALSE)-50)),"-",(VLOOKUP($A143,'SegEnds_NonXtal_BW#'!$A:$Z,22,FALSE)+VLOOKUP($A143,A:AL,31,FALSE)-50))</f>
        <v>243</v>
      </c>
      <c r="AG143" s="3">
        <f>IF(ISERROR(VLOOKUP($A143,'SegEnds_NonXtal_BW#'!$A:$Z,23,FALSE)+VLOOKUP($A143,A:AL,34,FALSE)-50),"-",(VLOOKUP($A143,'SegEnds_NonXtal_BW#'!$A:$Z,23,FALSE)+VLOOKUP($A143,A:AL,34,FALSE)-50))</f>
        <v>251</v>
      </c>
      <c r="AH143" s="3">
        <v>273</v>
      </c>
      <c r="AI143" s="3">
        <f>IF(ISERROR((VLOOKUP($A143,'SegEnds_NonXtal_BW#'!$A:$Z,24,FALSE)+VLOOKUP($A143,A:AL,34,FALSE)-50)),"-",(VLOOKUP($A143,'SegEnds_NonXtal_BW#'!$A:$Z,24,FALSE)+VLOOKUP($A143,A:AL,34,FALSE)-50))</f>
        <v>279</v>
      </c>
      <c r="AJ143" s="3">
        <f>IF(ISERROR(VLOOKUP($A143,'SegEnds_NonXtal_BW#'!$A:$Z,25,FALSE)+VLOOKUP($A143,A:AL,37,FALSE)-50),"-",(VLOOKUP($A143,'SegEnds_NonXtal_BW#'!$A:$Z,25,FALSE)+VLOOKUP($A143,A:AL,37,FALSE)-50))</f>
        <v>280</v>
      </c>
      <c r="AK143" s="3">
        <v>283</v>
      </c>
      <c r="AL143" s="3">
        <f>IF(ISERROR((VLOOKUP($A143,'SegEnds_NonXtal_BW#'!$A:$Z,26,FALSE)+VLOOKUP($A143,A:AL,37,FALSE)-50)),"-",(VLOOKUP($A143,'SegEnds_NonXtal_BW#'!$A:$Z,26,FALSE)+VLOOKUP($A143,A:AL,37,FALSE)-50))</f>
        <v>295</v>
      </c>
      <c r="AM143" s="28" t="str">
        <f>VLOOKUP(A143,Classification!A:B,2,FALSE)</f>
        <v>A</v>
      </c>
      <c r="AN143" s="28" t="b">
        <f t="shared" si="121"/>
        <v>1</v>
      </c>
      <c r="AO143" s="3" t="str">
        <f>IF(ISERROR(MATCH(A143,'SegEnds_Xtal_Prot#'!B:B, 0)), "NoXtal", "Xtal")</f>
        <v>NoXtal</v>
      </c>
      <c r="AP143" s="3">
        <f t="shared" si="104"/>
        <v>1</v>
      </c>
      <c r="AQ143" s="3">
        <f t="shared" si="105"/>
        <v>1</v>
      </c>
      <c r="AR143" s="3" t="str">
        <f t="shared" si="106"/>
        <v>-</v>
      </c>
      <c r="AS143" s="3" t="str">
        <f t="shared" si="107"/>
        <v>-</v>
      </c>
      <c r="AT143" s="3">
        <f t="shared" si="108"/>
        <v>1</v>
      </c>
      <c r="AU143" s="3">
        <f t="shared" si="109"/>
        <v>1</v>
      </c>
      <c r="AV143" s="3">
        <f t="shared" si="110"/>
        <v>7</v>
      </c>
      <c r="AW143" s="3">
        <f t="shared" si="111"/>
        <v>4</v>
      </c>
      <c r="AX143" s="3">
        <f t="shared" si="112"/>
        <v>5</v>
      </c>
      <c r="AY143" s="3">
        <f t="shared" si="113"/>
        <v>8</v>
      </c>
      <c r="AZ143" s="3">
        <f t="shared" si="114"/>
        <v>1</v>
      </c>
      <c r="BA143" s="3">
        <f>IF(ISERROR(LEN(VLOOKUP(A143,Seqs!A:E,2,FALSE))-AL143),"-",LEN(VLOOKUP(A143,Seqs!A:E,2,FALSE))-AL143)</f>
        <v>14</v>
      </c>
      <c r="BB143" s="16">
        <f t="shared" si="115"/>
        <v>28</v>
      </c>
      <c r="BC143" s="9">
        <f t="shared" si="116"/>
        <v>20</v>
      </c>
      <c r="BD143" s="3">
        <f t="shared" si="117"/>
        <v>28</v>
      </c>
      <c r="BE143" s="3">
        <f t="shared" si="118"/>
        <v>49</v>
      </c>
      <c r="BF143" s="3">
        <f>AH143-AE143</f>
        <v>41</v>
      </c>
    </row>
    <row r="144" spans="1:58" s="3" customFormat="1" x14ac:dyDescent="0.2">
      <c r="A144" s="3" t="s">
        <v>254</v>
      </c>
      <c r="B144" s="3" t="str">
        <f>LOWER(VLOOKUP(A144,Xtal_Templ!A:B,2,FALSE))</f>
        <v>ednrb_human</v>
      </c>
      <c r="C144" s="3">
        <f>VLOOKUP($A144,'SegEnds_NonXtal_BW#'!$A:$Z,3,FALSE)+D144-50</f>
        <v>251</v>
      </c>
      <c r="D144" s="3">
        <v>279</v>
      </c>
      <c r="E144" s="3">
        <f>IF(ISERROR(VLOOKUP($A144,'SegEnds_NonXtal_BW#'!$A:$Z,4,FALSE)+VLOOKUP($A144,A:AL,4,FALSE)-50),"-",(VLOOKUP($A144,'SegEnds_NonXtal_BW#'!$A:$Z,4,FALSE)+VLOOKUP($A144,A:AL,4,FALSE)-50))</f>
        <v>289</v>
      </c>
      <c r="F144" s="3">
        <f>G144-2</f>
        <v>290</v>
      </c>
      <c r="G144" s="3">
        <v>292</v>
      </c>
      <c r="H144" s="3">
        <f>G144+1</f>
        <v>293</v>
      </c>
      <c r="I144" s="3">
        <f>H144+1</f>
        <v>294</v>
      </c>
      <c r="J144" s="3">
        <v>307</v>
      </c>
      <c r="K144" s="3">
        <f>VLOOKUP($A144,'SegEnds_NonXtal_BW#'!$A:$Z,8,FALSE)+VLOOKUP($A144,A:AL,10,FALSE)-50</f>
        <v>324</v>
      </c>
      <c r="L144" s="3">
        <f>M144-1</f>
        <v>326</v>
      </c>
      <c r="M144" s="3">
        <v>327</v>
      </c>
      <c r="N144" s="3">
        <f>M144+2</f>
        <v>329</v>
      </c>
      <c r="O144" s="3">
        <f>N144+1</f>
        <v>330</v>
      </c>
      <c r="P144" s="3">
        <v>359</v>
      </c>
      <c r="Q144" s="3">
        <f>VLOOKUP($A144,'SegEnds_NonXtal_BW#'!$A:$Z,12,FALSE)+VLOOKUP($A144,A:AL,16,FALSE)-50</f>
        <v>365</v>
      </c>
      <c r="R144" s="3">
        <f>IF(ISERROR(VLOOKUP($A144,'SegEnds_NonXtal_BW#'!$A:$Z,13,FALSE)+VLOOKUP($A144,A:AL,19,FALSE)-50),"-",VLOOKUP($A144,'SegEnds_NonXtal_BW#'!$A:$Z,13,FALSE)+VLOOKUP($A144,A:AL,19,FALSE)-50)</f>
        <v>367</v>
      </c>
      <c r="S144" s="3">
        <v>367</v>
      </c>
      <c r="T144" s="100">
        <f>IF(ISERROR(VLOOKUP($A144,'SegEnds_NonXtal_BW#'!$A:$Z,14,FALSE)+VLOOKUP($A144,A:AL,19,FALSE)-50),"-",(VLOOKUP($A144,'SegEnds_NonXtal_BW#'!$A:$Z,14,FALSE)+VLOOKUP($A144,A:AL,19,FALSE)-50))</f>
        <v>374</v>
      </c>
      <c r="U144" s="9">
        <f>IF(ISERROR(VLOOKUP($A144,'SegEnds_NonXtal_BW#'!$A:$Z,15,FALSE)+VLOOKUP($A144,A:AL,22,FALSE)-50),"-",VLOOKUP($A144,'SegEnds_NonXtal_BW#'!$A:$Z,15,FALSE)+VLOOKUP($A144,A:AL,22,FALSE)-50)</f>
        <v>375</v>
      </c>
      <c r="V144" s="3">
        <v>387</v>
      </c>
      <c r="W144" s="3">
        <f>IF(ISERROR(VLOOKUP($A144,'SegEnds_NonXtal_BW#'!$A:$Z,16,FALSE)+VLOOKUP($A144,A:AL,22,FALSE)-50),"-",(VLOOKUP($A144,'SegEnds_NonXtal_BW#'!$A:$Z,16,FALSE)+VLOOKUP($A144,A:AL,22,FALSE)-50))</f>
        <v>401</v>
      </c>
      <c r="X144" s="3">
        <f>IF(ISERROR(VLOOKUP($A144,'SegEnds_NonXtal_BW#'!$A:$Z,17,FALSE)+VLOOKUP($A144,A:AL,25,FALSE)-50),"-",(VLOOKUP($A144,'SegEnds_NonXtal_BW#'!$A:$Z,17,FALSE)+VLOOKUP($A144,A:AL,25,FALSE)-50))</f>
        <v>419</v>
      </c>
      <c r="Y144" s="3">
        <v>419</v>
      </c>
      <c r="Z144" s="3">
        <f t="shared" si="122"/>
        <v>421</v>
      </c>
      <c r="AA144" s="3">
        <f>IF(ISERROR(VLOOKUP($A144,'SegEnds_NonXtal_BW#'!$A:$Z,19,FALSE)+VLOOKUP($A144,A:AL,28,FALSE)-50),"-",(VLOOKUP($A144,'SegEnds_NonXtal_BW#'!$A:$Z,19,FALSE)+VLOOKUP($A144,A:AL,28,FALSE)-50))</f>
        <v>432</v>
      </c>
      <c r="AB144" s="3">
        <v>454</v>
      </c>
      <c r="AC144" s="3">
        <f>IF(ISERROR((VLOOKUP($A144,'SegEnds_NonXtal_BW#'!$A:$Z,20,FALSE)+VLOOKUP($A144,A:AL,28,FALSE)-50)),"-",(VLOOKUP($A144,'SegEnds_NonXtal_BW#'!$A:$Z,20,FALSE)+VLOOKUP($A144,A:AL,28,FALSE)-50))</f>
        <v>476</v>
      </c>
      <c r="AD144" s="3">
        <f>IF(ISERROR(VLOOKUP($A144,'SegEnds_NonXtal_BW#'!$A:$Z,21,FALSE)+VLOOKUP($A144,A:AL,31,FALSE)-50),"-",(VLOOKUP($A144,'SegEnds_NonXtal_BW#'!$A:$Z,21,FALSE)+VLOOKUP($A144,A:AL,31,FALSE)-50))</f>
        <v>481</v>
      </c>
      <c r="AE144" s="3">
        <v>507</v>
      </c>
      <c r="AF144" s="3">
        <f>IF(ISERROR((VLOOKUP($A144,'SegEnds_NonXtal_BW#'!$A:$Z,22,FALSE)+VLOOKUP($A144,A:AL,31,FALSE)-50)),"-",(VLOOKUP($A144,'SegEnds_NonXtal_BW#'!$A:$Z,22,FALSE)+VLOOKUP($A144,A:AL,31,FALSE)-50))</f>
        <v>518</v>
      </c>
      <c r="AG144" s="3">
        <f>IF(ISERROR(VLOOKUP($A144,'SegEnds_NonXtal_BW#'!$A:$Z,23,FALSE)+VLOOKUP($A144,A:AL,34,FALSE)-50),"-",(VLOOKUP($A144,'SegEnds_NonXtal_BW#'!$A:$Z,23,FALSE)+VLOOKUP($A144,A:AL,34,FALSE)-50))</f>
        <v>520</v>
      </c>
      <c r="AH144" s="3">
        <v>546</v>
      </c>
      <c r="AI144" s="3">
        <f>IF(ISERROR((VLOOKUP($A144,'SegEnds_NonXtal_BW#'!$A:$Z,24,FALSE)+VLOOKUP($A144,A:AL,34,FALSE)-50)),"-",(VLOOKUP($A144,'SegEnds_NonXtal_BW#'!$A:$Z,24,FALSE)+VLOOKUP($A144,A:AL,34,FALSE)-50))</f>
        <v>552</v>
      </c>
      <c r="AJ144" s="3">
        <f>IF(ISERROR(VLOOKUP($A144,'SegEnds_NonXtal_BW#'!$A:$Z,25,FALSE)+VLOOKUP($A144,A:AL,37,FALSE)-50),"-",(VLOOKUP($A144,'SegEnds_NonXtal_BW#'!$A:$Z,25,FALSE)+VLOOKUP($A144,A:AL,37,FALSE)-50))</f>
        <v>553</v>
      </c>
      <c r="AK144" s="3">
        <v>556</v>
      </c>
      <c r="AL144" s="3">
        <f>IF(ISERROR((VLOOKUP($A144,'SegEnds_NonXtal_BW#'!$A:$Z,26,FALSE)+VLOOKUP($A144,A:AL,37,FALSE)-50)),"-",(VLOOKUP($A144,'SegEnds_NonXtal_BW#'!$A:$Z,26,FALSE)+VLOOKUP($A144,A:AL,37,FALSE)-50))</f>
        <v>566</v>
      </c>
      <c r="AM144" s="28" t="str">
        <f>VLOOKUP(A144,Classification!A:B,2,FALSE)</f>
        <v>A</v>
      </c>
      <c r="AN144" s="28" t="b">
        <f t="shared" si="121"/>
        <v>1</v>
      </c>
      <c r="AO144" s="3" t="str">
        <f>IF(ISERROR(MATCH(A144,'SegEnds_Xtal_Prot#'!B:B, 0)), "NoXtal", "Xtal")</f>
        <v>NoXtal</v>
      </c>
      <c r="AP144" s="3">
        <f t="shared" si="104"/>
        <v>1</v>
      </c>
      <c r="AQ144" s="3">
        <f t="shared" si="105"/>
        <v>1</v>
      </c>
      <c r="AR144" s="3">
        <f t="shared" si="106"/>
        <v>2</v>
      </c>
      <c r="AS144" s="3">
        <f t="shared" si="107"/>
        <v>1</v>
      </c>
      <c r="AT144" s="3">
        <f t="shared" si="108"/>
        <v>2</v>
      </c>
      <c r="AU144" s="3">
        <f t="shared" si="109"/>
        <v>1</v>
      </c>
      <c r="AV144" s="3">
        <f t="shared" si="110"/>
        <v>18</v>
      </c>
      <c r="AW144" s="3">
        <f t="shared" si="111"/>
        <v>11</v>
      </c>
      <c r="AX144" s="3">
        <f t="shared" si="112"/>
        <v>5</v>
      </c>
      <c r="AY144" s="3">
        <f t="shared" si="113"/>
        <v>2</v>
      </c>
      <c r="AZ144" s="3">
        <f t="shared" si="114"/>
        <v>1</v>
      </c>
      <c r="BA144" s="3">
        <f>IF(ISERROR(LEN(VLOOKUP(A144,Seqs!A:E,2,FALSE))-AL144),"-",LEN(VLOOKUP(A144,Seqs!A:E,2,FALSE))-AL144)</f>
        <v>47</v>
      </c>
      <c r="BB144" s="16">
        <f t="shared" si="115"/>
        <v>28</v>
      </c>
      <c r="BC144" s="9">
        <f t="shared" si="116"/>
        <v>20</v>
      </c>
      <c r="BD144" s="3">
        <f t="shared" si="117"/>
        <v>28</v>
      </c>
      <c r="BE144" s="3">
        <f t="shared" si="118"/>
        <v>53</v>
      </c>
    </row>
    <row r="145" spans="1:58" s="3" customFormat="1" x14ac:dyDescent="0.2">
      <c r="A145" s="3" t="s">
        <v>255</v>
      </c>
      <c r="B145" s="3" t="str">
        <f>LOWER(VLOOKUP(A145,Xtal_Templ!A:B,2,FALSE))</f>
        <v>ntr1_rat</v>
      </c>
      <c r="C145" s="3">
        <f>VLOOKUP($A145,'SegEnds_NonXtal_BW#'!$A:$Z,3,FALSE)+D145-50</f>
        <v>27</v>
      </c>
      <c r="D145" s="3">
        <v>48</v>
      </c>
      <c r="E145" s="3">
        <f>IF(ISERROR(VLOOKUP($A145,'SegEnds_NonXtal_BW#'!$A:$Z,4,FALSE)+VLOOKUP($A145,A:AL,4,FALSE)-50),"-",(VLOOKUP($A145,'SegEnds_NonXtal_BW#'!$A:$Z,4,FALSE)+VLOOKUP($A145,A:AL,4,FALSE)-50))</f>
        <v>58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66</v>
      </c>
      <c r="J145" s="3">
        <v>79</v>
      </c>
      <c r="K145" s="3">
        <f>VLOOKUP($A145,'SegEnds_NonXtal_BW#'!$A:$Z,8,FALSE)+VLOOKUP($A145,A:AL,10,FALSE)-50</f>
        <v>97</v>
      </c>
      <c r="L145" s="3" t="str">
        <f>IF(ISERROR(VLOOKUP($A145,'SegEnds_NonXtal_BW#'!$A:$Z,9,FALSE)+VLOOKUP($A145,A:AL,13,FALSE)-50),"-",(VLOOKUP($A145,'SegEnds_NonXtal_BW#'!$A:$Z,9,FALSE)+VLOOKUP($A145,A:AL,13,FALSE)-50))</f>
        <v>-</v>
      </c>
      <c r="M145" s="3" t="s">
        <v>23</v>
      </c>
      <c r="N145" s="3" t="str">
        <f>IF(ISERROR(VLOOKUP($A145,'SegEnds_NonXtal_BW#'!$A:$Z,10,FALSE)+VLOOKUP($A145,A:AL,13,FALSE)-50),"-",(VLOOKUP($A145,'SegEnds_NonXtal_BW#'!$A:$Z,10,FALSE)+VLOOKUP($A145,A:AL,13,FALSE)-50))</f>
        <v>-</v>
      </c>
      <c r="O145" s="3">
        <f>VLOOKUP($A145,'SegEnds_NonXtal_BW#'!$A:$Z,11,FALSE)+VLOOKUP($A145,A:AL,16,FALSE)-50</f>
        <v>101</v>
      </c>
      <c r="P145" s="3">
        <v>133</v>
      </c>
      <c r="Q145" s="3">
        <f>VLOOKUP($A145,'SegEnds_NonXtal_BW#'!$A:$Z,12,FALSE)+VLOOKUP($A145,A:AL,16,FALSE)-50</f>
        <v>139</v>
      </c>
      <c r="R145" s="3">
        <f>IF(ISERROR(VLOOKUP($A145,'SegEnds_NonXtal_BW#'!$A:$Z,13,FALSE)+VLOOKUP($A145,A:AL,19,FALSE)-50),"-",VLOOKUP($A145,'SegEnds_NonXtal_BW#'!$A:$Z,13,FALSE)+VLOOKUP($A145,A:AL,19,FALSE)-50)</f>
        <v>140</v>
      </c>
      <c r="S145" s="3">
        <v>140</v>
      </c>
      <c r="T145" s="100">
        <f>IF(ISERROR(VLOOKUP($A145,'SegEnds_NonXtal_BW#'!$A:$Z,14,FALSE)+VLOOKUP($A145,A:AL,19,FALSE)-50),"-",(VLOOKUP($A145,'SegEnds_NonXtal_BW#'!$A:$Z,14,FALSE)+VLOOKUP($A145,A:AL,19,FALSE)-50))</f>
        <v>147</v>
      </c>
      <c r="U145" s="9">
        <f>IF(ISERROR(VLOOKUP($A145,'SegEnds_NonXtal_BW#'!$A:$Z,15,FALSE)+VLOOKUP($A145,A:AL,22,FALSE)-50),"-",VLOOKUP($A145,'SegEnds_NonXtal_BW#'!$A:$Z,15,FALSE)+VLOOKUP($A145,A:AL,22,FALSE)-50)</f>
        <v>148</v>
      </c>
      <c r="V145" s="3">
        <v>160</v>
      </c>
      <c r="W145" s="3">
        <f>IF(ISERROR(VLOOKUP($A145,'SegEnds_NonXtal_BW#'!$A:$Z,16,FALSE)+VLOOKUP($A145,A:AL,22,FALSE)-50),"-",(VLOOKUP($A145,'SegEnds_NonXtal_BW#'!$A:$Z,16,FALSE)+VLOOKUP($A145,A:AL,22,FALSE)-50))</f>
        <v>174</v>
      </c>
      <c r="X145" s="3">
        <f>IF(ISERROR(VLOOKUP($A145,'SegEnds_NonXtal_BW#'!$A:$Z,17,FALSE)+VLOOKUP($A145,A:AL,25,FALSE)-50),"-",(VLOOKUP($A145,'SegEnds_NonXtal_BW#'!$A:$Z,17,FALSE)+VLOOKUP($A145,A:AL,25,FALSE)-50))</f>
        <v>210</v>
      </c>
      <c r="Y145" s="3">
        <v>210</v>
      </c>
      <c r="Z145" s="3">
        <f t="shared" si="122"/>
        <v>212</v>
      </c>
      <c r="AA145" s="3">
        <f>IF(ISERROR(VLOOKUP($A145,'SegEnds_NonXtal_BW#'!$A:$Z,19,FALSE)+VLOOKUP($A145,A:AL,28,FALSE)-50),"-",(VLOOKUP($A145,'SegEnds_NonXtal_BW#'!$A:$Z,19,FALSE)+VLOOKUP($A145,A:AL,28,FALSE)-50))</f>
        <v>216</v>
      </c>
      <c r="AB145" s="3">
        <v>231</v>
      </c>
      <c r="AC145" s="3">
        <f>IF(ISERROR((VLOOKUP($A145,'SegEnds_NonXtal_BW#'!$A:$Z,20,FALSE)+VLOOKUP($A145,A:AL,28,FALSE)-50)),"-",(VLOOKUP($A145,'SegEnds_NonXtal_BW#'!$A:$Z,20,FALSE)+VLOOKUP($A145,A:AL,28,FALSE)-50))</f>
        <v>262</v>
      </c>
      <c r="AD145" s="3">
        <f>IF(ISERROR(VLOOKUP($A145,'SegEnds_NonXtal_BW#'!$A:$Z,21,FALSE)+VLOOKUP($A145,A:AL,31,FALSE)-50),"-",(VLOOKUP($A145,'SegEnds_NonXtal_BW#'!$A:$Z,21,FALSE)+VLOOKUP($A145,A:AL,31,FALSE)-50))</f>
        <v>271</v>
      </c>
      <c r="AE145" s="3">
        <v>298</v>
      </c>
      <c r="AF145" s="3">
        <f>IF(ISERROR((VLOOKUP($A145,'SegEnds_NonXtal_BW#'!$A:$Z,22,FALSE)+VLOOKUP($A145,A:AL,31,FALSE)-50)),"-",(VLOOKUP($A145,'SegEnds_NonXtal_BW#'!$A:$Z,22,FALSE)+VLOOKUP($A145,A:AL,31,FALSE)-50))</f>
        <v>309</v>
      </c>
      <c r="AG145" s="3">
        <f>IF(ISERROR(VLOOKUP($A145,'SegEnds_NonXtal_BW#'!$A:$Z,23,FALSE)+VLOOKUP($A145,A:AL,34,FALSE)-50),"-",(VLOOKUP($A145,'SegEnds_NonXtal_BW#'!$A:$Z,23,FALSE)+VLOOKUP($A145,A:AL,34,FALSE)-50))</f>
        <v>315</v>
      </c>
      <c r="AH145" s="3">
        <v>341</v>
      </c>
      <c r="AI145" s="3">
        <f>IF(ISERROR((VLOOKUP($A145,'SegEnds_NonXtal_BW#'!$A:$Z,24,FALSE)+VLOOKUP($A145,A:AL,34,FALSE)-50)),"-",(VLOOKUP($A145,'SegEnds_NonXtal_BW#'!$A:$Z,24,FALSE)+VLOOKUP($A145,A:AL,34,FALSE)-50))</f>
        <v>347</v>
      </c>
      <c r="AJ145" s="3">
        <f>IF(ISERROR(VLOOKUP($A145,'SegEnds_NonXtal_BW#'!$A:$Z,25,FALSE)+VLOOKUP($A145,A:AL,37,FALSE)-50),"-",(VLOOKUP($A145,'SegEnds_NonXtal_BW#'!$A:$Z,25,FALSE)+VLOOKUP($A145,A:AL,37,FALSE)-50))</f>
        <v>348</v>
      </c>
      <c r="AK145" s="3">
        <v>351</v>
      </c>
      <c r="AL145" s="3">
        <f>IF(ISERROR((VLOOKUP($A145,'SegEnds_NonXtal_BW#'!$A:$Z,26,FALSE)+VLOOKUP($A145,A:AL,37,FALSE)-50)),"-",(VLOOKUP($A145,'SegEnds_NonXtal_BW#'!$A:$Z,26,FALSE)+VLOOKUP($A145,A:AL,37,FALSE)-50))</f>
        <v>363</v>
      </c>
      <c r="AM145" s="28" t="str">
        <f>VLOOKUP(A145,Classification!A:B,2,FALSE)</f>
        <v>A</v>
      </c>
      <c r="AN145" s="28" t="b">
        <f t="shared" si="121"/>
        <v>1</v>
      </c>
      <c r="AO145" s="3" t="str">
        <f>IF(ISERROR(MATCH(A145,'SegEnds_Xtal_Prot#'!B:B, 0)), "NoXtal", "Xtal")</f>
        <v>NoXtal</v>
      </c>
      <c r="AP145" s="3" t="str">
        <f t="shared" si="104"/>
        <v>-</v>
      </c>
      <c r="AQ145" s="3" t="str">
        <f t="shared" si="105"/>
        <v>-</v>
      </c>
      <c r="AR145" s="3" t="str">
        <f t="shared" si="106"/>
        <v>-</v>
      </c>
      <c r="AS145" s="3" t="str">
        <f t="shared" si="107"/>
        <v>-</v>
      </c>
      <c r="AT145" s="3">
        <f t="shared" si="108"/>
        <v>1</v>
      </c>
      <c r="AU145" s="3">
        <f t="shared" si="109"/>
        <v>1</v>
      </c>
      <c r="AV145" s="3">
        <f t="shared" si="110"/>
        <v>36</v>
      </c>
      <c r="AW145" s="3">
        <f t="shared" si="111"/>
        <v>4</v>
      </c>
      <c r="AX145" s="3">
        <f t="shared" si="112"/>
        <v>9</v>
      </c>
      <c r="AY145" s="3">
        <f t="shared" si="113"/>
        <v>6</v>
      </c>
      <c r="AZ145" s="3">
        <f t="shared" si="114"/>
        <v>1</v>
      </c>
      <c r="BA145" s="3">
        <f>IF(ISERROR(LEN(VLOOKUP(A145,Seqs!A:E,2,FALSE))-AL145),"-",LEN(VLOOKUP(A145,Seqs!A:E,2,FALSE))-AL145)</f>
        <v>90</v>
      </c>
      <c r="BB145" s="16">
        <f t="shared" si="115"/>
        <v>31</v>
      </c>
      <c r="BC145" s="9">
        <f t="shared" si="116"/>
        <v>20</v>
      </c>
      <c r="BD145" s="3">
        <f t="shared" si="117"/>
        <v>31</v>
      </c>
      <c r="BE145" s="3">
        <f t="shared" si="118"/>
        <v>67</v>
      </c>
    </row>
    <row r="146" spans="1:58" s="3" customFormat="1" x14ac:dyDescent="0.2">
      <c r="A146" s="3" t="s">
        <v>256</v>
      </c>
      <c r="B146" s="3" t="str">
        <f>LOWER(VLOOKUP(A146,Xtal_Templ!A:B,2,FALSE))</f>
        <v>ptafr_human</v>
      </c>
      <c r="C146" s="3">
        <f>VLOOKUP($A146,'SegEnds_NonXtal_BW#'!$A:$Z,3,FALSE)+D146-50</f>
        <v>12</v>
      </c>
      <c r="D146" s="3">
        <v>35</v>
      </c>
      <c r="E146" s="3">
        <f>IF(ISERROR(VLOOKUP($A146,'SegEnds_NonXtal_BW#'!$A:$Z,4,FALSE)+VLOOKUP($A146,A:AL,4,FALSE)-50),"-",(VLOOKUP($A146,'SegEnds_NonXtal_BW#'!$A:$Z,4,FALSE)+VLOOKUP($A146,A:AL,4,FALSE)-50))</f>
        <v>46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50</v>
      </c>
      <c r="J146" s="3">
        <v>63</v>
      </c>
      <c r="K146" s="3">
        <f>VLOOKUP($A146,'SegEnds_NonXtal_BW#'!$A:$Z,8,FALSE)+VLOOKUP($A146,A:AL,10,FALSE)-50</f>
        <v>80</v>
      </c>
      <c r="L146" s="3">
        <f>M146-1</f>
        <v>82</v>
      </c>
      <c r="M146" s="3">
        <v>83</v>
      </c>
      <c r="N146" s="3">
        <f>M146+2</f>
        <v>85</v>
      </c>
      <c r="O146" s="3">
        <f>N146+1</f>
        <v>86</v>
      </c>
      <c r="P146" s="3">
        <v>115</v>
      </c>
      <c r="Q146" s="3">
        <f>VLOOKUP($A146,'SegEnds_NonXtal_BW#'!$A:$Z,12,FALSE)+VLOOKUP($A146,A:AL,16,FALSE)-50</f>
        <v>121</v>
      </c>
      <c r="R146" s="3">
        <f>IF(ISERROR(VLOOKUP($A146,'SegEnds_NonXtal_BW#'!$A:$Z,13,FALSE)+VLOOKUP($A146,A:AL,19,FALSE)-50),"-",VLOOKUP($A146,'SegEnds_NonXtal_BW#'!$A:$Z,13,FALSE)+VLOOKUP($A146,A:AL,19,FALSE)-50)</f>
        <v>122</v>
      </c>
      <c r="S146" s="3">
        <v>122</v>
      </c>
      <c r="T146" s="100">
        <f>IF(ISERROR(VLOOKUP($A146,'SegEnds_NonXtal_BW#'!$A:$Z,14,FALSE)+VLOOKUP($A146,A:AL,19,FALSE)-50),"-",(VLOOKUP($A146,'SegEnds_NonXtal_BW#'!$A:$Z,14,FALSE)+VLOOKUP($A146,A:AL,19,FALSE)-50))</f>
        <v>129</v>
      </c>
      <c r="U146" s="9">
        <f>IF(ISERROR(VLOOKUP($A146,'SegEnds_NonXtal_BW#'!$A:$Z,15,FALSE)+VLOOKUP($A146,A:AL,22,FALSE)-50),"-",VLOOKUP($A146,'SegEnds_NonXtal_BW#'!$A:$Z,15,FALSE)+VLOOKUP($A146,A:AL,22,FALSE)-50)</f>
        <v>130</v>
      </c>
      <c r="V146" s="3">
        <v>142</v>
      </c>
      <c r="W146" s="3">
        <f>IF(ISERROR(VLOOKUP($A146,'SegEnds_NonXtal_BW#'!$A:$Z,16,FALSE)+VLOOKUP($A146,A:AL,22,FALSE)-50),"-",(VLOOKUP($A146,'SegEnds_NonXtal_BW#'!$A:$Z,16,FALSE)+VLOOKUP($A146,A:AL,22,FALSE)-50))</f>
        <v>155</v>
      </c>
      <c r="X146" s="3">
        <f>IF(ISERROR(VLOOKUP($A146,'SegEnds_NonXtal_BW#'!$A:$Z,17,FALSE)+VLOOKUP($A146,A:AL,25,FALSE)-50),"-",(VLOOKUP($A146,'SegEnds_NonXtal_BW#'!$A:$Z,17,FALSE)+VLOOKUP($A146,A:AL,25,FALSE)-50))</f>
        <v>168</v>
      </c>
      <c r="Y146" s="3">
        <v>168</v>
      </c>
      <c r="Z146" s="3">
        <f t="shared" si="122"/>
        <v>170</v>
      </c>
      <c r="AA146" s="3">
        <f>IF(ISERROR(VLOOKUP($A146,'SegEnds_NonXtal_BW#'!$A:$Z,19,FALSE)+VLOOKUP($A146,A:AL,28,FALSE)-50),"-",(VLOOKUP($A146,'SegEnds_NonXtal_BW#'!$A:$Z,19,FALSE)+VLOOKUP($A146,A:AL,28,FALSE)-50))</f>
        <v>176</v>
      </c>
      <c r="AB146" s="3">
        <v>193</v>
      </c>
      <c r="AC146" s="3">
        <f>IF(ISERROR((VLOOKUP($A146,'SegEnds_NonXtal_BW#'!$A:$Z,20,FALSE)+VLOOKUP($A146,A:AL,28,FALSE)-50)),"-",(VLOOKUP($A146,'SegEnds_NonXtal_BW#'!$A:$Z,20,FALSE)+VLOOKUP($A146,A:AL,28,FALSE)-50))</f>
        <v>210</v>
      </c>
      <c r="AD146" s="3">
        <f>IF(ISERROR(VLOOKUP($A146,'SegEnds_NonXtal_BW#'!$A:$Z,21,FALSE)+VLOOKUP($A146,A:AL,31,FALSE)-50),"-",(VLOOKUP($A146,'SegEnds_NonXtal_BW#'!$A:$Z,21,FALSE)+VLOOKUP($A146,A:AL,31,FALSE)-50))</f>
        <v>215</v>
      </c>
      <c r="AE146" s="3">
        <v>239</v>
      </c>
      <c r="AF146" s="3">
        <f>IF(ISERROR((VLOOKUP($A146,'SegEnds_NonXtal_BW#'!$A:$Z,22,FALSE)+VLOOKUP($A146,A:AL,31,FALSE)-50)),"-",(VLOOKUP($A146,'SegEnds_NonXtal_BW#'!$A:$Z,22,FALSE)+VLOOKUP($A146,A:AL,31,FALSE)-50))</f>
        <v>253</v>
      </c>
      <c r="AG146" s="3">
        <f>IF(ISERROR(VLOOKUP($A146,'SegEnds_NonXtal_BW#'!$A:$Z,23,FALSE)+VLOOKUP($A146,A:AL,34,FALSE)-50),"-",(VLOOKUP($A146,'SegEnds_NonXtal_BW#'!$A:$Z,23,FALSE)+VLOOKUP($A146,A:AL,34,FALSE)-50))</f>
        <v>257</v>
      </c>
      <c r="AH146" s="3">
        <v>283</v>
      </c>
      <c r="AI146" s="3">
        <f>IF(ISERROR((VLOOKUP($A146,'SegEnds_NonXtal_BW#'!$A:$Z,24,FALSE)+VLOOKUP($A146,A:AL,34,FALSE)-50)),"-",(VLOOKUP($A146,'SegEnds_NonXtal_BW#'!$A:$Z,24,FALSE)+VLOOKUP($A146,A:AL,34,FALSE)-50))</f>
        <v>292</v>
      </c>
      <c r="AJ146" s="3">
        <f>IF(ISERROR(VLOOKUP($A146,'SegEnds_NonXtal_BW#'!$A:$Z,25,FALSE)+VLOOKUP($A146,A:AL,37,FALSE)-50),"-",(VLOOKUP($A146,'SegEnds_NonXtal_BW#'!$A:$Z,25,FALSE)+VLOOKUP($A146,A:AL,37,FALSE)-50))</f>
        <v>293</v>
      </c>
      <c r="AK146" s="3">
        <v>293</v>
      </c>
      <c r="AL146" s="3">
        <f>IF(ISERROR((VLOOKUP($A146,'SegEnds_NonXtal_BW#'!$A:$Z,26,FALSE)+VLOOKUP($A146,A:AL,37,FALSE)-50)),"-",(VLOOKUP($A146,'SegEnds_NonXtal_BW#'!$A:$Z,26,FALSE)+VLOOKUP($A146,A:AL,37,FALSE)-50))</f>
        <v>306</v>
      </c>
      <c r="AM146" s="28" t="str">
        <f>VLOOKUP(A146,Classification!A:B,2,FALSE)</f>
        <v>A</v>
      </c>
      <c r="AN146" s="28" t="b">
        <f t="shared" si="121"/>
        <v>1</v>
      </c>
      <c r="AO146" s="3" t="str">
        <f>IF(ISERROR(MATCH(A146,'SegEnds_Xtal_Prot#'!B:B, 0)), "NoXtal", "Xtal")</f>
        <v>NoXtal</v>
      </c>
      <c r="AP146" s="3" t="str">
        <f t="shared" si="104"/>
        <v>-</v>
      </c>
      <c r="AQ146" s="3" t="str">
        <f t="shared" si="105"/>
        <v>-</v>
      </c>
      <c r="AR146" s="3">
        <f t="shared" si="106"/>
        <v>2</v>
      </c>
      <c r="AS146" s="3">
        <f t="shared" si="107"/>
        <v>1</v>
      </c>
      <c r="AT146" s="3">
        <f t="shared" si="108"/>
        <v>1</v>
      </c>
      <c r="AU146" s="3">
        <f t="shared" si="109"/>
        <v>1</v>
      </c>
      <c r="AV146" s="3">
        <f t="shared" si="110"/>
        <v>13</v>
      </c>
      <c r="AW146" s="3">
        <f t="shared" si="111"/>
        <v>6</v>
      </c>
      <c r="AX146" s="3">
        <f t="shared" si="112"/>
        <v>5</v>
      </c>
      <c r="AY146" s="3">
        <f t="shared" si="113"/>
        <v>4</v>
      </c>
      <c r="AZ146" s="3">
        <f t="shared" si="114"/>
        <v>1</v>
      </c>
      <c r="BA146" s="3">
        <f>IF(ISERROR(LEN(VLOOKUP(A146,Seqs!A:E,2,FALSE))-AL146),"-",LEN(VLOOKUP(A146,Seqs!A:E,2,FALSE))-AL146)</f>
        <v>56</v>
      </c>
      <c r="BB146" s="16">
        <f t="shared" si="115"/>
        <v>28</v>
      </c>
      <c r="BC146" s="9">
        <f t="shared" si="116"/>
        <v>20</v>
      </c>
      <c r="BD146" s="3">
        <f t="shared" si="117"/>
        <v>28</v>
      </c>
      <c r="BE146" s="3">
        <f t="shared" si="118"/>
        <v>46</v>
      </c>
    </row>
    <row r="147" spans="1:58" s="3" customFormat="1" x14ac:dyDescent="0.2">
      <c r="A147" s="3" t="s">
        <v>257</v>
      </c>
      <c r="B147" s="3" t="str">
        <f>LOWER(VLOOKUP(A147,Xtal_Templ!A:B,2,FALSE))</f>
        <v>par1_human</v>
      </c>
      <c r="C147" s="3">
        <f>VLOOKUP($A147,'SegEnds_NonXtal_BW#'!$A:$Z,3,FALSE)+D147-50</f>
        <v>11</v>
      </c>
      <c r="D147" s="3">
        <v>32</v>
      </c>
      <c r="E147" s="3">
        <f>IF(ISERROR(VLOOKUP($A147,'SegEnds_NonXtal_BW#'!$A:$Z,4,FALSE)+VLOOKUP($A147,A:AL,4,FALSE)-50),"-",(VLOOKUP($A147,'SegEnds_NonXtal_BW#'!$A:$Z,4,FALSE)+VLOOKUP($A147,A:AL,4,FALSE)-50))</f>
        <v>42</v>
      </c>
      <c r="F147" s="3" t="str">
        <f>IF(ISERROR(VLOOKUP($A147,'SegEnds_NonXtal_BW#'!$A:$Z,5,FALSE)+VLOOKUP($A147,A:AL,7,FALSE)-50),"-",(VLOOKUP($A147,'SegEnds_NonXtal_BW#'!$A:$Z,5,FALSE)+VLOOKUP($A147,A:AL,7,FALSE)-50))</f>
        <v>-</v>
      </c>
      <c r="G147" s="3" t="s">
        <v>23</v>
      </c>
      <c r="H147" s="3" t="str">
        <f>IF(ISERROR(VLOOKUP($A147,'SegEnds_NonXtal_BW#'!$A:$Z,6,FALSE)+VLOOKUP($A147,A:AL,7,FALSE)-50),"-",(VLOOKUP($A147,'SegEnds_NonXtal_BW#'!$A:$Z,6,FALSE)+VLOOKUP($A147,A:AL,7,FALSE)-50))</f>
        <v>-</v>
      </c>
      <c r="I147" s="3">
        <f>VLOOKUP($A147,'SegEnds_NonXtal_BW#'!$A:$Z,7,FALSE)+J147-50</f>
        <v>48</v>
      </c>
      <c r="J147" s="3">
        <v>61</v>
      </c>
      <c r="K147" s="3">
        <f>VLOOKUP($A147,'SegEnds_NonXtal_BW#'!$A:$Z,8,FALSE)+VLOOKUP($A147,A:AL,10,FALSE)-50</f>
        <v>77</v>
      </c>
      <c r="L147" s="3">
        <f>M147-1</f>
        <v>80</v>
      </c>
      <c r="M147" s="3">
        <v>81</v>
      </c>
      <c r="N147" s="3">
        <f>M147+2</f>
        <v>83</v>
      </c>
      <c r="O147" s="3">
        <f>N147+1</f>
        <v>84</v>
      </c>
      <c r="P147" s="3">
        <v>113</v>
      </c>
      <c r="Q147" s="3">
        <f>VLOOKUP($A147,'SegEnds_NonXtal_BW#'!$A:$Z,12,FALSE)+VLOOKUP($A147,A:AL,16,FALSE)-50</f>
        <v>119</v>
      </c>
      <c r="R147" s="3">
        <f>IF(ISERROR(VLOOKUP($A147,'SegEnds_NonXtal_BW#'!$A:$Z,13,FALSE)+VLOOKUP($A147,A:AL,19,FALSE)-50),"-",VLOOKUP($A147,'SegEnds_NonXtal_BW#'!$A:$Z,13,FALSE)+VLOOKUP($A147,A:AL,19,FALSE)-50)</f>
        <v>120</v>
      </c>
      <c r="S147" s="3">
        <v>120</v>
      </c>
      <c r="T147" s="100">
        <f>IF(ISERROR(VLOOKUP($A147,'SegEnds_NonXtal_BW#'!$A:$Z,14,FALSE)+VLOOKUP($A147,A:AL,19,FALSE)-50),"-",(VLOOKUP($A147,'SegEnds_NonXtal_BW#'!$A:$Z,14,FALSE)+VLOOKUP($A147,A:AL,19,FALSE)-50))</f>
        <v>127</v>
      </c>
      <c r="U147" s="9">
        <f>IF(ISERROR(VLOOKUP($A147,'SegEnds_NonXtal_BW#'!$A:$Z,15,FALSE)+VLOOKUP($A147,A:AL,22,FALSE)-50),"-",VLOOKUP($A147,'SegEnds_NonXtal_BW#'!$A:$Z,15,FALSE)+VLOOKUP($A147,A:AL,22,FALSE)-50)</f>
        <v>128</v>
      </c>
      <c r="V147" s="3">
        <v>140</v>
      </c>
      <c r="W147" s="3">
        <f>IF(ISERROR(VLOOKUP($A147,'SegEnds_NonXtal_BW#'!$A:$Z,16,FALSE)+VLOOKUP($A147,A:AL,22,FALSE)-50),"-",(VLOOKUP($A147,'SegEnds_NonXtal_BW#'!$A:$Z,16,FALSE)+VLOOKUP($A147,A:AL,22,FALSE)-50))</f>
        <v>153</v>
      </c>
      <c r="X147" s="3">
        <f>IF(ISERROR(VLOOKUP($A147,'SegEnds_NonXtal_BW#'!$A:$Z,17,FALSE)+VLOOKUP($A147,A:AL,25,FALSE)-50),"-",(VLOOKUP($A147,'SegEnds_NonXtal_BW#'!$A:$Z,17,FALSE)+VLOOKUP($A147,A:AL,25,FALSE)-50))</f>
        <v>169</v>
      </c>
      <c r="Y147" s="3">
        <v>169</v>
      </c>
      <c r="Z147" s="3">
        <f t="shared" si="122"/>
        <v>171</v>
      </c>
      <c r="AA147" s="3">
        <f>IF(ISERROR(VLOOKUP($A147,'SegEnds_NonXtal_BW#'!$A:$Z,19,FALSE)+VLOOKUP($A147,A:AL,28,FALSE)-50),"-",(VLOOKUP($A147,'SegEnds_NonXtal_BW#'!$A:$Z,19,FALSE)+VLOOKUP($A147,A:AL,28,FALSE)-50))</f>
        <v>178</v>
      </c>
      <c r="AB147" s="3">
        <v>196</v>
      </c>
      <c r="AC147" s="3">
        <f>IF(ISERROR((VLOOKUP($A147,'SegEnds_NonXtal_BW#'!$A:$Z,20,FALSE)+VLOOKUP($A147,A:AL,28,FALSE)-50)),"-",(VLOOKUP($A147,'SegEnds_NonXtal_BW#'!$A:$Z,20,FALSE)+VLOOKUP($A147,A:AL,28,FALSE)-50))</f>
        <v>214</v>
      </c>
      <c r="AD147" s="3">
        <f>IF(ISERROR(VLOOKUP($A147,'SegEnds_NonXtal_BW#'!$A:$Z,21,FALSE)+VLOOKUP($A147,A:AL,31,FALSE)-50),"-",(VLOOKUP($A147,'SegEnds_NonXtal_BW#'!$A:$Z,21,FALSE)+VLOOKUP($A147,A:AL,31,FALSE)-50))</f>
        <v>218</v>
      </c>
      <c r="AE147" s="3">
        <v>240</v>
      </c>
      <c r="AF147" s="3">
        <f>IF(ISERROR((VLOOKUP($A147,'SegEnds_NonXtal_BW#'!$A:$Z,22,FALSE)+VLOOKUP($A147,A:AL,31,FALSE)-50)),"-",(VLOOKUP($A147,'SegEnds_NonXtal_BW#'!$A:$Z,22,FALSE)+VLOOKUP($A147,A:AL,31,FALSE)-50))</f>
        <v>251</v>
      </c>
      <c r="AG147" s="3">
        <f>IF(ISERROR(VLOOKUP($A147,'SegEnds_NonXtal_BW#'!$A:$Z,23,FALSE)+VLOOKUP($A147,A:AL,34,FALSE)-50),"-",(VLOOKUP($A147,'SegEnds_NonXtal_BW#'!$A:$Z,23,FALSE)+VLOOKUP($A147,A:AL,34,FALSE)-50))</f>
        <v>256</v>
      </c>
      <c r="AH147" s="3">
        <v>273</v>
      </c>
      <c r="AI147" s="3">
        <f>IF(ISERROR((VLOOKUP($A147,'SegEnds_NonXtal_BW#'!$A:$Z,24,FALSE)+VLOOKUP($A147,A:AL,34,FALSE)-50)),"-",(VLOOKUP($A147,'SegEnds_NonXtal_BW#'!$A:$Z,24,FALSE)+VLOOKUP($A147,A:AL,34,FALSE)-50))</f>
        <v>279</v>
      </c>
      <c r="AJ147" s="3">
        <f>IF(ISERROR(VLOOKUP($A147,'SegEnds_NonXtal_BW#'!$A:$Z,25,FALSE)+VLOOKUP($A147,A:AL,37,FALSE)-50),"-",(VLOOKUP($A147,'SegEnds_NonXtal_BW#'!$A:$Z,25,FALSE)+VLOOKUP($A147,A:AL,37,FALSE)-50))</f>
        <v>280</v>
      </c>
      <c r="AK147" s="3">
        <v>283</v>
      </c>
      <c r="AL147" s="3">
        <f>IF(ISERROR((VLOOKUP($A147,'SegEnds_NonXtal_BW#'!$A:$Z,26,FALSE)+VLOOKUP($A147,A:AL,37,FALSE)-50)),"-",(VLOOKUP($A147,'SegEnds_NonXtal_BW#'!$A:$Z,26,FALSE)+VLOOKUP($A147,A:AL,37,FALSE)-50))</f>
        <v>294</v>
      </c>
      <c r="AM147" s="28" t="str">
        <f>VLOOKUP(A147,Classification!A:B,2,FALSE)</f>
        <v>A</v>
      </c>
      <c r="AN147" s="28" t="b">
        <f t="shared" si="121"/>
        <v>1</v>
      </c>
      <c r="AO147" s="3" t="str">
        <f>IF(ISERROR(MATCH(A147,'SegEnds_Xtal_Prot#'!B:B, 0)), "NoXtal", "Xtal")</f>
        <v>NoXtal</v>
      </c>
      <c r="AP147" s="3" t="str">
        <f t="shared" si="104"/>
        <v>-</v>
      </c>
      <c r="AQ147" s="3" t="str">
        <f t="shared" si="105"/>
        <v>-</v>
      </c>
      <c r="AR147" s="3">
        <f t="shared" si="106"/>
        <v>3</v>
      </c>
      <c r="AS147" s="3">
        <f t="shared" si="107"/>
        <v>1</v>
      </c>
      <c r="AT147" s="3">
        <f t="shared" si="108"/>
        <v>1</v>
      </c>
      <c r="AU147" s="3">
        <f t="shared" si="109"/>
        <v>1</v>
      </c>
      <c r="AV147" s="3">
        <f t="shared" si="110"/>
        <v>16</v>
      </c>
      <c r="AW147" s="3">
        <f t="shared" si="111"/>
        <v>7</v>
      </c>
      <c r="AX147" s="3">
        <f t="shared" si="112"/>
        <v>4</v>
      </c>
      <c r="AY147" s="3">
        <f t="shared" si="113"/>
        <v>5</v>
      </c>
      <c r="AZ147" s="3">
        <f t="shared" si="114"/>
        <v>1</v>
      </c>
      <c r="BA147" s="3">
        <f>IF(ISERROR(LEN(VLOOKUP(A147,Seqs!A:E,2,FALSE))-AL147),"-",LEN(VLOOKUP(A147,Seqs!A:E,2,FALSE))-AL147)</f>
        <v>52</v>
      </c>
      <c r="BB147" s="16">
        <f t="shared" si="115"/>
        <v>29</v>
      </c>
      <c r="BC147" s="9">
        <f t="shared" si="116"/>
        <v>20</v>
      </c>
      <c r="BD147" s="3">
        <f t="shared" si="117"/>
        <v>29</v>
      </c>
      <c r="BE147" s="3">
        <f t="shared" si="118"/>
        <v>44</v>
      </c>
    </row>
    <row r="148" spans="1:58" s="3" customFormat="1" x14ac:dyDescent="0.2">
      <c r="A148" s="3" t="s">
        <v>259</v>
      </c>
      <c r="B148" s="3" t="str">
        <f>LOWER(VLOOKUP(A148,Xtal_Templ!A:B,2,FALSE))</f>
        <v>gpr52_human</v>
      </c>
      <c r="C148" s="3">
        <f>VLOOKUP($A148,'SegEnds_NonXtal_BW#'!$A:$Z,3,FALSE)+D148-50</f>
        <v>40</v>
      </c>
      <c r="D148" s="3">
        <v>58</v>
      </c>
      <c r="E148" s="3">
        <f>IF(ISERROR(VLOOKUP($A148,'SegEnds_NonXtal_BW#'!$A:$Z,4,FALSE)+VLOOKUP($A148,A:AL,4,FALSE)-50),"-",(VLOOKUP($A148,'SegEnds_NonXtal_BW#'!$A:$Z,4,FALSE)+VLOOKUP($A148,A:AL,4,FALSE)-50))</f>
        <v>68</v>
      </c>
      <c r="F148" s="3">
        <f>G148-2</f>
        <v>69</v>
      </c>
      <c r="G148" s="3">
        <v>71</v>
      </c>
      <c r="H148" s="3">
        <f>G148+1</f>
        <v>72</v>
      </c>
      <c r="I148" s="3">
        <f>H148+1</f>
        <v>73</v>
      </c>
      <c r="J148" s="3">
        <v>87</v>
      </c>
      <c r="K148" s="3">
        <f>VLOOKUP($A148,'SegEnds_NonXtal_BW#'!$A:$Z,8,FALSE)+VLOOKUP($A148,A:AL,10,FALSE)-50</f>
        <v>104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110</v>
      </c>
      <c r="P148" s="3">
        <v>139</v>
      </c>
      <c r="Q148" s="3">
        <f>VLOOKUP($A148,'SegEnds_NonXtal_BW#'!$A:$Z,12,FALSE)+VLOOKUP($A148,A:AL,16,FALSE)-50</f>
        <v>145</v>
      </c>
      <c r="R148" s="3">
        <f>IF(ISERROR(VLOOKUP($A148,'SegEnds_NonXtal_BW#'!$A:$Z,13,FALSE)+VLOOKUP($A148,A:AL,19,FALSE)-50),"-",VLOOKUP($A148,'SegEnds_NonXtal_BW#'!$A:$Z,13,FALSE)+VLOOKUP($A148,A:AL,19,FALSE)-50)</f>
        <v>146</v>
      </c>
      <c r="S148" s="3">
        <v>146</v>
      </c>
      <c r="T148" s="100">
        <f>IF(ISERROR(VLOOKUP($A148,'SegEnds_NonXtal_BW#'!$A:$Z,14,FALSE)+VLOOKUP($A148,A:AL,19,FALSE)-50),"-",(VLOOKUP($A148,'SegEnds_NonXtal_BW#'!$A:$Z,14,FALSE)+VLOOKUP($A148,A:AL,19,FALSE)-50))</f>
        <v>153</v>
      </c>
      <c r="U148" s="9">
        <f>IF(ISERROR(VLOOKUP($A148,'SegEnds_NonXtal_BW#'!$A:$Z,15,FALSE)+VLOOKUP($A148,A:AL,22,FALSE)-50),"-",VLOOKUP($A148,'SegEnds_NonXtal_BW#'!$A:$Z,15,FALSE)+VLOOKUP($A148,A:AL,22,FALSE)-50)</f>
        <v>154</v>
      </c>
      <c r="V148" s="3">
        <v>166</v>
      </c>
      <c r="W148" s="3">
        <f>IF(ISERROR(VLOOKUP($A148,'SegEnds_NonXtal_BW#'!$A:$Z,16,FALSE)+VLOOKUP($A148,A:AL,22,FALSE)-50),"-",(VLOOKUP($A148,'SegEnds_NonXtal_BW#'!$A:$Z,16,FALSE)+VLOOKUP($A148,A:AL,22,FALSE)-50))</f>
        <v>178</v>
      </c>
      <c r="X148" s="3">
        <f>IF(ISERROR(VLOOKUP($A148,'SegEnds_NonXtal_BW#'!$A:$Z,17,FALSE)+VLOOKUP($A148,A:AL,25,FALSE)-50),"-",(VLOOKUP($A148,'SegEnds_NonXtal_BW#'!$A:$Z,17,FALSE)+VLOOKUP($A148,A:AL,25,FALSE)-50))</f>
        <v>193</v>
      </c>
      <c r="Y148" s="3">
        <v>193</v>
      </c>
      <c r="Z148" s="3">
        <f t="shared" si="122"/>
        <v>195</v>
      </c>
      <c r="AA148" s="3">
        <f>IF(ISERROR(VLOOKUP($A148,'SegEnds_NonXtal_BW#'!$A:$Z,19,FALSE)+VLOOKUP($A148,A:AL,28,FALSE)-50),"-",(VLOOKUP($A148,'SegEnds_NonXtal_BW#'!$A:$Z,19,FALSE)+VLOOKUP($A148,A:AL,28,FALSE)-50))</f>
        <v>200</v>
      </c>
      <c r="AB148" s="3">
        <v>214</v>
      </c>
      <c r="AC148" s="3">
        <f>IF(ISERROR((VLOOKUP($A148,'SegEnds_NonXtal_BW#'!$A:$Z,20,FALSE)+VLOOKUP($A148,A:AL,28,FALSE)-50)),"-",(VLOOKUP($A148,'SegEnds_NonXtal_BW#'!$A:$Z,20,FALSE)+VLOOKUP($A148,A:AL,28,FALSE)-50))</f>
        <v>245</v>
      </c>
      <c r="AD148" s="3">
        <f>IF(ISERROR(VLOOKUP($A148,'SegEnds_NonXtal_BW#'!$A:$Z,21,FALSE)+VLOOKUP($A148,A:AL,31,FALSE)-50),"-",(VLOOKUP($A148,'SegEnds_NonXtal_BW#'!$A:$Z,21,FALSE)+VLOOKUP($A148,A:AL,31,FALSE)-50))</f>
        <v>253</v>
      </c>
      <c r="AE148" s="3">
        <v>280</v>
      </c>
      <c r="AF148" s="3">
        <f>IF(ISERROR((VLOOKUP($A148,'SegEnds_NonXtal_BW#'!$A:$Z,22,FALSE)+VLOOKUP($A148,A:AL,31,FALSE)-50)),"-",(VLOOKUP($A148,'SegEnds_NonXtal_BW#'!$A:$Z,22,FALSE)+VLOOKUP($A148,A:AL,31,FALSE)-50))</f>
        <v>291</v>
      </c>
      <c r="AG148" s="3">
        <f>IF(ISERROR(VLOOKUP($A148,'SegEnds_NonXtal_BW#'!$A:$Z,23,FALSE)+VLOOKUP($A148,A:AL,34,FALSE)-50),"-",(VLOOKUP($A148,'SegEnds_NonXtal_BW#'!$A:$Z,23,FALSE)+VLOOKUP($A148,A:AL,34,FALSE)-50))</f>
        <v>295</v>
      </c>
      <c r="AH148" s="3">
        <v>314</v>
      </c>
      <c r="AI148" s="3">
        <f>IF(ISERROR((VLOOKUP($A148,'SegEnds_NonXtal_BW#'!$A:$Z,24,FALSE)+VLOOKUP($A148,A:AL,34,FALSE)-50)),"-",(VLOOKUP($A148,'SegEnds_NonXtal_BW#'!$A:$Z,24,FALSE)+VLOOKUP($A148,A:AL,34,FALSE)-50))</f>
        <v>320</v>
      </c>
      <c r="AJ148" s="3">
        <f>IF(ISERROR(VLOOKUP($A148,'SegEnds_NonXtal_BW#'!$A:$Z,25,FALSE)+VLOOKUP($A148,A:AL,37,FALSE)-50),"-",(VLOOKUP($A148,'SegEnds_NonXtal_BW#'!$A:$Z,25,FALSE)+VLOOKUP($A148,A:AL,37,FALSE)-50))</f>
        <v>321</v>
      </c>
      <c r="AK148" s="3">
        <v>324</v>
      </c>
      <c r="AL148" s="3">
        <f>IF(ISERROR((VLOOKUP($A148,'SegEnds_NonXtal_BW#'!$A:$Z,26,FALSE)+VLOOKUP($A148,A:AL,37,FALSE)-50)),"-",(VLOOKUP($A148,'SegEnds_NonXtal_BW#'!$A:$Z,26,FALSE)+VLOOKUP($A148,A:AL,37,FALSE)-50))</f>
        <v>341</v>
      </c>
      <c r="AM148" s="28" t="str">
        <f>VLOOKUP(A148,Classification!A:B,2,FALSE)</f>
        <v>A</v>
      </c>
      <c r="AN148" s="28" t="b">
        <f t="shared" si="121"/>
        <v>1</v>
      </c>
      <c r="AO148" s="3" t="str">
        <f>IF(ISERROR(MATCH(A148,'SegEnds_Xtal_Prot#'!B:B, 0)), "NoXtal", "Xtal")</f>
        <v>Xtal</v>
      </c>
      <c r="AP148" s="3">
        <f t="shared" si="104"/>
        <v>1</v>
      </c>
      <c r="AQ148" s="3">
        <f t="shared" si="105"/>
        <v>1</v>
      </c>
      <c r="AR148" s="3" t="str">
        <f t="shared" si="106"/>
        <v>-</v>
      </c>
      <c r="AS148" s="3" t="str">
        <f t="shared" si="107"/>
        <v>-</v>
      </c>
      <c r="AT148" s="3">
        <f t="shared" si="108"/>
        <v>1</v>
      </c>
      <c r="AU148" s="3">
        <f t="shared" si="109"/>
        <v>1</v>
      </c>
      <c r="AV148" s="3">
        <f t="shared" si="110"/>
        <v>15</v>
      </c>
      <c r="AW148" s="3">
        <f t="shared" si="111"/>
        <v>5</v>
      </c>
      <c r="AX148" s="3">
        <f t="shared" si="112"/>
        <v>8</v>
      </c>
      <c r="AY148" s="3">
        <f t="shared" si="113"/>
        <v>4</v>
      </c>
      <c r="AZ148" s="3">
        <f t="shared" si="114"/>
        <v>1</v>
      </c>
      <c r="BA148" s="3">
        <f>IF(ISERROR(LEN(VLOOKUP(A148,Seqs!A:E,2,FALSE))-AL148),"-",LEN(VLOOKUP(A148,Seqs!A:E,2,FALSE))-AL148)</f>
        <v>20</v>
      </c>
      <c r="BB148" s="16">
        <f t="shared" si="115"/>
        <v>29</v>
      </c>
      <c r="BC148" s="9">
        <f t="shared" si="116"/>
        <v>20</v>
      </c>
      <c r="BD148" s="3">
        <f t="shared" si="117"/>
        <v>29</v>
      </c>
      <c r="BE148" s="3">
        <f t="shared" si="118"/>
        <v>66</v>
      </c>
      <c r="BF148" s="3">
        <f>AH148-AE148</f>
        <v>34</v>
      </c>
    </row>
    <row r="149" spans="1:58" s="3" customFormat="1" x14ac:dyDescent="0.2">
      <c r="A149" s="3" t="s">
        <v>260</v>
      </c>
      <c r="B149" s="3" t="str">
        <f>LOWER(VLOOKUP(A149,Xtal_Templ!A:B,2,FALSE))</f>
        <v>oprk_human</v>
      </c>
      <c r="C149" s="3">
        <f>VLOOKUP($A149,'SegEnds_NonXtal_BW#'!$A:$Z,3,FALSE)+D149-50</f>
        <v>18</v>
      </c>
      <c r="D149" s="3">
        <v>38</v>
      </c>
      <c r="E149" s="3">
        <f>IF(ISERROR(VLOOKUP($A149,'SegEnds_NonXtal_BW#'!$A:$Z,4,FALSE)+VLOOKUP($A149,A:AL,4,FALSE)-50),"-",(VLOOKUP($A149,'SegEnds_NonXtal_BW#'!$A:$Z,4,FALSE)+VLOOKUP($A149,A:AL,4,FALSE)-50))</f>
        <v>48</v>
      </c>
      <c r="F149" s="3" t="str">
        <f>IF(ISERROR(VLOOKUP($A149,'SegEnds_NonXtal_BW#'!$A:$Z,5,FALSE)+VLOOKUP($A149,A:AL,7,FALSE)-50),"-",(VLOOKUP($A149,'SegEnds_NonXtal_BW#'!$A:$Z,5,FALSE)+VLOOKUP($A149,A:AL,7,FALSE)-50))</f>
        <v>-</v>
      </c>
      <c r="G149" s="3" t="s">
        <v>23</v>
      </c>
      <c r="H149" s="3" t="str">
        <f>IF(ISERROR(VLOOKUP($A149,'SegEnds_NonXtal_BW#'!$A:$Z,6,FALSE)+VLOOKUP($A149,A:AL,7,FALSE)-50),"-",(VLOOKUP($A149,'SegEnds_NonXtal_BW#'!$A:$Z,6,FALSE)+VLOOKUP($A149,A:AL,7,FALSE)-50))</f>
        <v>-</v>
      </c>
      <c r="I149" s="3">
        <f>VLOOKUP($A149,'SegEnds_NonXtal_BW#'!$A:$Z,7,FALSE)+J149-50</f>
        <v>57</v>
      </c>
      <c r="J149" s="3">
        <v>70</v>
      </c>
      <c r="K149" s="3">
        <f>VLOOKUP($A149,'SegEnds_NonXtal_BW#'!$A:$Z,8,FALSE)+VLOOKUP($A149,A:AL,10,FALSE)-50</f>
        <v>83</v>
      </c>
      <c r="L149" s="3" t="str">
        <f>IF(ISERROR(VLOOKUP($A149,'SegEnds_NonXtal_BW#'!$A:$Z,9,FALSE)+VLOOKUP($A149,A:AL,13,FALSE)-50),"-",(VLOOKUP($A149,'SegEnds_NonXtal_BW#'!$A:$Z,9,FALSE)+VLOOKUP($A149,A:AL,13,FALSE)-50))</f>
        <v>-</v>
      </c>
      <c r="M149" s="3" t="s">
        <v>23</v>
      </c>
      <c r="N149" s="3" t="str">
        <f>IF(ISERROR(VLOOKUP($A149,'SegEnds_NonXtal_BW#'!$A:$Z,10,FALSE)+VLOOKUP($A149,A:AL,13,FALSE)-50),"-",(VLOOKUP($A149,'SegEnds_NonXtal_BW#'!$A:$Z,10,FALSE)+VLOOKUP($A149,A:AL,13,FALSE)-50))</f>
        <v>-</v>
      </c>
      <c r="O149" s="3">
        <f>VLOOKUP($A149,'SegEnds_NonXtal_BW#'!$A:$Z,11,FALSE)+VLOOKUP($A149,A:AL,16,FALSE)-50</f>
        <v>93</v>
      </c>
      <c r="P149" s="3">
        <v>119</v>
      </c>
      <c r="Q149" s="3">
        <f>VLOOKUP($A149,'SegEnds_NonXtal_BW#'!$A:$Z,12,FALSE)+VLOOKUP($A149,A:AL,16,FALSE)-50</f>
        <v>125</v>
      </c>
      <c r="R149" s="3">
        <f>IF(ISERROR(VLOOKUP($A149,'SegEnds_NonXtal_BW#'!$A:$Z,13,FALSE)+VLOOKUP($A149,A:AL,19,FALSE)-50),"-",VLOOKUP($A149,'SegEnds_NonXtal_BW#'!$A:$Z,13,FALSE)+VLOOKUP($A149,A:AL,19,FALSE)-50)</f>
        <v>126</v>
      </c>
      <c r="S149" s="3">
        <v>126</v>
      </c>
      <c r="T149" s="100">
        <f>IF(ISERROR(VLOOKUP($A149,'SegEnds_NonXtal_BW#'!$A:$Z,14,FALSE)+VLOOKUP($A149,A:AL,19,FALSE)-50),"-",(VLOOKUP($A149,'SegEnds_NonXtal_BW#'!$A:$Z,14,FALSE)+VLOOKUP($A149,A:AL,19,FALSE)-50))</f>
        <v>133</v>
      </c>
      <c r="U149" s="9">
        <f>IF(ISERROR(VLOOKUP($A149,'SegEnds_NonXtal_BW#'!$A:$Z,15,FALSE)+VLOOKUP($A149,A:AL,22,FALSE)-50),"-",VLOOKUP($A149,'SegEnds_NonXtal_BW#'!$A:$Z,15,FALSE)+VLOOKUP($A149,A:AL,22,FALSE)-50)</f>
        <v>134</v>
      </c>
      <c r="V149" s="3">
        <v>146</v>
      </c>
      <c r="W149" s="3">
        <f>IF(ISERROR(VLOOKUP($A149,'SegEnds_NonXtal_BW#'!$A:$Z,16,FALSE)+VLOOKUP($A149,A:AL,22,FALSE)-50),"-",(VLOOKUP($A149,'SegEnds_NonXtal_BW#'!$A:$Z,16,FALSE)+VLOOKUP($A149,A:AL,22,FALSE)-50))</f>
        <v>160</v>
      </c>
      <c r="X149" s="3">
        <f>IF(ISERROR(VLOOKUP($A149,'SegEnds_NonXtal_BW#'!$A:$Z,17,FALSE)+VLOOKUP($A149,A:AL,25,FALSE)-50),"-",(VLOOKUP($A149,'SegEnds_NonXtal_BW#'!$A:$Z,17,FALSE)+VLOOKUP($A149,A:AL,25,FALSE)-50))</f>
        <v>168</v>
      </c>
      <c r="Y149" s="3">
        <v>168</v>
      </c>
      <c r="Z149" s="3">
        <f t="shared" si="122"/>
        <v>170</v>
      </c>
      <c r="AA149" s="3">
        <f>IF(ISERROR(VLOOKUP($A149,'SegEnds_NonXtal_BW#'!$A:$Z,19,FALSE)+VLOOKUP($A149,A:AL,28,FALSE)-50),"-",(VLOOKUP($A149,'SegEnds_NonXtal_BW#'!$A:$Z,19,FALSE)+VLOOKUP($A149,A:AL,28,FALSE)-50))</f>
        <v>173</v>
      </c>
      <c r="AB149" s="3">
        <v>193</v>
      </c>
      <c r="AC149" s="3">
        <f>IF(ISERROR((VLOOKUP($A149,'SegEnds_NonXtal_BW#'!$A:$Z,20,FALSE)+VLOOKUP($A149,A:AL,28,FALSE)-50)),"-",(VLOOKUP($A149,'SegEnds_NonXtal_BW#'!$A:$Z,20,FALSE)+VLOOKUP($A149,A:AL,28,FALSE)-50))</f>
        <v>211</v>
      </c>
      <c r="AD149" s="3">
        <f>IF(ISERROR(VLOOKUP($A149,'SegEnds_NonXtal_BW#'!$A:$Z,21,FALSE)+VLOOKUP($A149,A:AL,31,FALSE)-50),"-",(VLOOKUP($A149,'SegEnds_NonXtal_BW#'!$A:$Z,21,FALSE)+VLOOKUP($A149,A:AL,31,FALSE)-50))</f>
        <v>215</v>
      </c>
      <c r="AE149" s="3">
        <v>241</v>
      </c>
      <c r="AF149" s="3">
        <f>IF(ISERROR((VLOOKUP($A149,'SegEnds_NonXtal_BW#'!$A:$Z,22,FALSE)+VLOOKUP($A149,A:AL,31,FALSE)-50)),"-",(VLOOKUP($A149,'SegEnds_NonXtal_BW#'!$A:$Z,22,FALSE)+VLOOKUP($A149,A:AL,31,FALSE)-50))</f>
        <v>255</v>
      </c>
      <c r="AG149" s="3">
        <f>IF(ISERROR(VLOOKUP($A149,'SegEnds_NonXtal_BW#'!$A:$Z,23,FALSE)+VLOOKUP($A149,A:AL,34,FALSE)-50),"-",(VLOOKUP($A149,'SegEnds_NonXtal_BW#'!$A:$Z,23,FALSE)+VLOOKUP($A149,A:AL,34,FALSE)-50))</f>
        <v>259</v>
      </c>
      <c r="AH149" s="3">
        <v>285</v>
      </c>
      <c r="AI149" s="3">
        <f>IF(ISERROR((VLOOKUP($A149,'SegEnds_NonXtal_BW#'!$A:$Z,24,FALSE)+VLOOKUP($A149,A:AL,34,FALSE)-50)),"-",(VLOOKUP($A149,'SegEnds_NonXtal_BW#'!$A:$Z,24,FALSE)+VLOOKUP($A149,A:AL,34,FALSE)-50))</f>
        <v>291</v>
      </c>
      <c r="AJ149" s="3">
        <f>IF(ISERROR(VLOOKUP($A149,'SegEnds_NonXtal_BW#'!$A:$Z,25,FALSE)+VLOOKUP($A149,A:AL,37,FALSE)-50),"-",(VLOOKUP($A149,'SegEnds_NonXtal_BW#'!$A:$Z,25,FALSE)+VLOOKUP($A149,A:AL,37,FALSE)-50))</f>
        <v>292</v>
      </c>
      <c r="AK149" s="3">
        <v>295</v>
      </c>
      <c r="AL149" s="3">
        <f>IF(ISERROR((VLOOKUP($A149,'SegEnds_NonXtal_BW#'!$A:$Z,26,FALSE)+VLOOKUP($A149,A:AL,37,FALSE)-50)),"-",(VLOOKUP($A149,'SegEnds_NonXtal_BW#'!$A:$Z,26,FALSE)+VLOOKUP($A149,A:AL,37,FALSE)-50))</f>
        <v>304</v>
      </c>
      <c r="AM149" s="28" t="str">
        <f>VLOOKUP(A149,Classification!A:B,2,FALSE)</f>
        <v>A</v>
      </c>
      <c r="AN149" s="28" t="b">
        <f t="shared" si="121"/>
        <v>1</v>
      </c>
      <c r="AO149" s="3" t="str">
        <f>IF(ISERROR(MATCH(A149,'SegEnds_Xtal_Prot#'!B:B, 0)), "NoXtal", "Xtal")</f>
        <v>NoXtal</v>
      </c>
      <c r="AP149" s="3" t="str">
        <f t="shared" si="104"/>
        <v>-</v>
      </c>
      <c r="AQ149" s="3" t="str">
        <f t="shared" si="105"/>
        <v>-</v>
      </c>
      <c r="AR149" s="3" t="str">
        <f t="shared" si="106"/>
        <v>-</v>
      </c>
      <c r="AS149" s="3" t="str">
        <f t="shared" si="107"/>
        <v>-</v>
      </c>
      <c r="AT149" s="3">
        <f t="shared" si="108"/>
        <v>1</v>
      </c>
      <c r="AU149" s="3">
        <f t="shared" si="109"/>
        <v>1</v>
      </c>
      <c r="AV149" s="3">
        <f t="shared" si="110"/>
        <v>8</v>
      </c>
      <c r="AW149" s="3">
        <f t="shared" si="111"/>
        <v>3</v>
      </c>
      <c r="AX149" s="3">
        <f t="shared" si="112"/>
        <v>4</v>
      </c>
      <c r="AY149" s="3">
        <f t="shared" si="113"/>
        <v>4</v>
      </c>
      <c r="AZ149" s="3">
        <f t="shared" si="114"/>
        <v>1</v>
      </c>
      <c r="BA149" s="3">
        <f>IF(ISERROR(LEN(VLOOKUP(A149,Seqs!A:E,2,FALSE))-AL149),"-",LEN(VLOOKUP(A149,Seqs!A:E,2,FALSE))-AL149)</f>
        <v>15</v>
      </c>
      <c r="BB149" s="16">
        <f t="shared" si="115"/>
        <v>32</v>
      </c>
      <c r="BC149" s="9">
        <f t="shared" si="116"/>
        <v>20</v>
      </c>
      <c r="BD149" s="3">
        <f t="shared" si="117"/>
        <v>32</v>
      </c>
      <c r="BE149" s="3">
        <f t="shared" si="118"/>
        <v>48</v>
      </c>
      <c r="BF149" s="3">
        <f>AH149-AE149</f>
        <v>44</v>
      </c>
    </row>
    <row r="150" spans="1:58" s="3" customFormat="1" x14ac:dyDescent="0.2">
      <c r="A150" s="3" t="s">
        <v>261</v>
      </c>
      <c r="B150" s="3" t="str">
        <f>LOWER(VLOOKUP(A150,Xtal_Templ!A:B,2,FALSE))</f>
        <v>s1pr1_human</v>
      </c>
      <c r="C150" s="3">
        <f>VLOOKUP($A150,'SegEnds_NonXtal_BW#'!$A:$Z,3,FALSE)+D150-50</f>
        <v>69</v>
      </c>
      <c r="D150" s="3">
        <v>90</v>
      </c>
      <c r="E150" s="3">
        <f>IF(ISERROR(VLOOKUP($A150,'SegEnds_NonXtal_BW#'!$A:$Z,4,FALSE)+VLOOKUP($A150,A:AL,4,FALSE)-50),"-",(VLOOKUP($A150,'SegEnds_NonXtal_BW#'!$A:$Z,4,FALSE)+VLOOKUP($A150,A:AL,4,FALSE)-50))</f>
        <v>100</v>
      </c>
      <c r="F150" s="3">
        <f>G150-2</f>
        <v>101</v>
      </c>
      <c r="G150" s="3">
        <v>103</v>
      </c>
      <c r="H150" s="3">
        <f>G150+1</f>
        <v>104</v>
      </c>
      <c r="I150" s="3">
        <f>H150+1</f>
        <v>105</v>
      </c>
      <c r="J150" s="3">
        <v>118</v>
      </c>
      <c r="K150" s="3">
        <f>VLOOKUP($A150,'SegEnds_NonXtal_BW#'!$A:$Z,8,FALSE)+VLOOKUP($A150,A:AL,10,FALSE)-50</f>
        <v>130</v>
      </c>
      <c r="L150" s="3">
        <f>M150-1</f>
        <v>132</v>
      </c>
      <c r="M150" s="3">
        <v>133</v>
      </c>
      <c r="N150" s="3">
        <f>M150+2</f>
        <v>135</v>
      </c>
      <c r="O150" s="3">
        <f>N150+1</f>
        <v>136</v>
      </c>
      <c r="P150" s="3">
        <v>166</v>
      </c>
      <c r="Q150" s="3">
        <f>VLOOKUP($A150,'SegEnds_NonXtal_BW#'!$A:$Z,12,FALSE)+VLOOKUP($A150,A:AL,16,FALSE)-50</f>
        <v>172</v>
      </c>
      <c r="R150" s="3">
        <f>S150</f>
        <v>173</v>
      </c>
      <c r="S150" s="3">
        <v>173</v>
      </c>
      <c r="T150" s="100">
        <f>S150+7</f>
        <v>180</v>
      </c>
      <c r="U150" s="9">
        <f>IF(ISERROR(VLOOKUP($A150,'SegEnds_NonXtal_BW#'!$A:$Z,15,FALSE)+VLOOKUP($A150,A:AL,22,FALSE)-50),"-",VLOOKUP($A150,'SegEnds_NonXtal_BW#'!$A:$Z,15,FALSE)+VLOOKUP($A150,A:AL,22,FALSE)-50)</f>
        <v>181</v>
      </c>
      <c r="V150" s="3">
        <v>193</v>
      </c>
      <c r="W150" s="3">
        <f>IF(ISERROR(VLOOKUP($A150,'SegEnds_NonXtal_BW#'!$A:$Z,16,FALSE)+VLOOKUP($A150,A:AL,22,FALSE)-50),"-",(VLOOKUP($A150,'SegEnds_NonXtal_BW#'!$A:$Z,16,FALSE)+VLOOKUP($A150,A:AL,22,FALSE)-50))</f>
        <v>206</v>
      </c>
      <c r="X150" s="3" t="str">
        <f>IF(ISERROR(VLOOKUP($A150,'SegEnds_NonXtal_BW#'!$A:$Z,17,FALSE)+VLOOKUP($A150,A:AL,25,FALSE)-50),"-",(VLOOKUP($A150,'SegEnds_NonXtal_BW#'!$A:$Z,17,FALSE)+VLOOKUP($A150,A:AL,25,FALSE)-50))</f>
        <v>-</v>
      </c>
      <c r="Y150" s="3" t="s">
        <v>23</v>
      </c>
      <c r="Z150" s="3" t="str">
        <f>IF(ISERROR(VLOOKUP($A150,'SegEnds_NonXtal_BW#'!$A:$Z,18,FALSE)+VLOOKUP($A150,A:AL,25,FALSE)-50),"-",(VLOOKUP($A150,'SegEnds_NonXtal_BW#'!$A:$Z,18,FALSE)+VLOOKUP($A150,A:AL,25,FALSE)-50))</f>
        <v>-</v>
      </c>
      <c r="AA150" s="3">
        <f>IF(ISERROR(VLOOKUP($A150,'SegEnds_NonXtal_BW#'!$A:$Z,19,FALSE)+VLOOKUP($A150,A:AL,28,FALSE)-50),"-",(VLOOKUP($A150,'SegEnds_NonXtal_BW#'!$A:$Z,19,FALSE)+VLOOKUP($A150,A:AL,28,FALSE)-50))</f>
        <v>223</v>
      </c>
      <c r="AB150" s="3">
        <v>237</v>
      </c>
      <c r="AC150" s="3">
        <f>IF(ISERROR((VLOOKUP($A150,'SegEnds_NonXtal_BW#'!$A:$Z,20,FALSE)+VLOOKUP($A150,A:AL,28,FALSE)-50)),"-",(VLOOKUP($A150,'SegEnds_NonXtal_BW#'!$A:$Z,20,FALSE)+VLOOKUP($A150,A:AL,28,FALSE)-50))</f>
        <v>260</v>
      </c>
      <c r="AD150" s="3">
        <f>IF(ISERROR(VLOOKUP($A150,'SegEnds_NonXtal_BW#'!$A:$Z,21,FALSE)+VLOOKUP($A150,A:AL,31,FALSE)-50),"-",(VLOOKUP($A150,'SegEnds_NonXtal_BW#'!$A:$Z,21,FALSE)+VLOOKUP($A150,A:AL,31,FALSE)-50))</f>
        <v>266</v>
      </c>
      <c r="AE150" s="3">
        <v>294</v>
      </c>
      <c r="AF150" s="3">
        <f>IF(ISERROR((VLOOKUP($A150,'SegEnds_NonXtal_BW#'!$A:$Z,22,FALSE)+VLOOKUP($A150,A:AL,31,FALSE)-50)),"-",(VLOOKUP($A150,'SegEnds_NonXtal_BW#'!$A:$Z,22,FALSE)+VLOOKUP($A150,A:AL,31,FALSE)-50))</f>
        <v>305</v>
      </c>
      <c r="AG150" s="3">
        <f>IF(ISERROR(VLOOKUP($A150,'SegEnds_NonXtal_BW#'!$A:$Z,23,FALSE)+VLOOKUP($A150,A:AL,34,FALSE)-50),"-",(VLOOKUP($A150,'SegEnds_NonXtal_BW#'!$A:$Z,23,FALSE)+VLOOKUP($A150,A:AL,34,FALSE)-50))</f>
        <v>310</v>
      </c>
      <c r="AH150" s="3">
        <v>326</v>
      </c>
      <c r="AI150" s="3">
        <f>IF(ISERROR((VLOOKUP($A150,'SegEnds_NonXtal_BW#'!$A:$Z,24,FALSE)+VLOOKUP($A150,A:AL,34,FALSE)-50)),"-",(VLOOKUP($A150,'SegEnds_NonXtal_BW#'!$A:$Z,24,FALSE)+VLOOKUP($A150,A:AL,34,FALSE)-50))</f>
        <v>332</v>
      </c>
      <c r="AJ150" s="3">
        <f>IF(ISERROR(VLOOKUP($A150,'SegEnds_NonXtal_BW#'!$A:$Z,25,FALSE)+VLOOKUP($A150,A:AL,37,FALSE)-50),"-",(VLOOKUP($A150,'SegEnds_NonXtal_BW#'!$A:$Z,25,FALSE)+VLOOKUP($A150,A:AL,37,FALSE)-50))</f>
        <v>333</v>
      </c>
      <c r="AK150" s="3">
        <v>336</v>
      </c>
      <c r="AL150" s="3">
        <f>IF(ISERROR((VLOOKUP($A150,'SegEnds_NonXtal_BW#'!$A:$Z,26,FALSE)+VLOOKUP($A150,A:AL,37,FALSE)-50)),"-",(VLOOKUP($A150,'SegEnds_NonXtal_BW#'!$A:$Z,26,FALSE)+VLOOKUP($A150,A:AL,37,FALSE)-50))</f>
        <v>345</v>
      </c>
      <c r="AM150" s="28" t="str">
        <f>VLOOKUP(A150,Classification!A:B,2,FALSE)</f>
        <v>A</v>
      </c>
      <c r="AN150" s="28" t="b">
        <f t="shared" si="121"/>
        <v>1</v>
      </c>
      <c r="AO150" s="3" t="str">
        <f>IF(ISERROR(MATCH(A150,'SegEnds_Xtal_Prot#'!B:B, 0)), "NoXtal", "Xtal")</f>
        <v>NoXtal</v>
      </c>
      <c r="AP150" s="3">
        <f t="shared" si="104"/>
        <v>1</v>
      </c>
      <c r="AQ150" s="3">
        <f t="shared" si="105"/>
        <v>1</v>
      </c>
      <c r="AR150" s="3">
        <f t="shared" si="106"/>
        <v>2</v>
      </c>
      <c r="AS150" s="3">
        <f t="shared" si="107"/>
        <v>1</v>
      </c>
      <c r="AT150" s="3">
        <f t="shared" si="108"/>
        <v>1</v>
      </c>
      <c r="AU150" s="3">
        <f t="shared" si="109"/>
        <v>1</v>
      </c>
      <c r="AV150" s="3" t="str">
        <f t="shared" si="110"/>
        <v>-</v>
      </c>
      <c r="AW150" s="3" t="str">
        <f t="shared" si="111"/>
        <v>-</v>
      </c>
      <c r="AX150" s="3">
        <f t="shared" si="112"/>
        <v>6</v>
      </c>
      <c r="AY150" s="3">
        <f t="shared" si="113"/>
        <v>5</v>
      </c>
      <c r="AZ150" s="3">
        <f t="shared" si="114"/>
        <v>1</v>
      </c>
      <c r="BA150" s="3">
        <f>IF(ISERROR(LEN(VLOOKUP(A150,Seqs!A:E,2,FALSE))-AL150),"-",LEN(VLOOKUP(A150,Seqs!A:E,2,FALSE))-AL150)</f>
        <v>17</v>
      </c>
      <c r="BB150" s="16">
        <f t="shared" si="115"/>
        <v>28</v>
      </c>
      <c r="BC150" s="9">
        <f t="shared" si="116"/>
        <v>20</v>
      </c>
      <c r="BD150" s="3">
        <f t="shared" si="117"/>
        <v>28</v>
      </c>
      <c r="BE150" s="3">
        <f t="shared" si="118"/>
        <v>57</v>
      </c>
      <c r="BF150" s="3">
        <f>AH150-AE150</f>
        <v>32</v>
      </c>
    </row>
    <row r="151" spans="1:58" s="3" customFormat="1" x14ac:dyDescent="0.2">
      <c r="A151" s="3" t="s">
        <v>262</v>
      </c>
      <c r="B151" s="3" t="str">
        <f>LOWER(VLOOKUP(A151,Xtal_Templ!A:B,2,FALSE))</f>
        <v>ox2r_human</v>
      </c>
      <c r="C151" s="3">
        <f>VLOOKUP($A151,'SegEnds_NonXtal_BW#'!$A:$Z,3,FALSE)+D151-50</f>
        <v>41</v>
      </c>
      <c r="D151" s="3">
        <v>60</v>
      </c>
      <c r="E151" s="3">
        <f>IF(ISERROR(VLOOKUP($A151,'SegEnds_NonXtal_BW#'!$A:$Z,4,FALSE)+VLOOKUP($A151,A:AL,4,FALSE)-50),"-",(VLOOKUP($A151,'SegEnds_NonXtal_BW#'!$A:$Z,4,FALSE)+VLOOKUP($A151,A:AL,4,FALSE)-50))</f>
        <v>70</v>
      </c>
      <c r="F151" s="3" t="str">
        <f>IF(ISERROR(VLOOKUP($A151,'SegEnds_NonXtal_BW#'!$A:$Z,5,FALSE)+VLOOKUP($A151,A:AL,7,FALSE)-50),"-",(VLOOKUP($A151,'SegEnds_NonXtal_BW#'!$A:$Z,5,FALSE)+VLOOKUP($A151,A:AL,7,FALSE)-50))</f>
        <v>-</v>
      </c>
      <c r="G151" s="3" t="s">
        <v>23</v>
      </c>
      <c r="H151" s="3" t="str">
        <f>IF(ISERROR(VLOOKUP($A151,'SegEnds_NonXtal_BW#'!$A:$Z,6,FALSE)+VLOOKUP($A151,A:AL,7,FALSE)-50),"-",(VLOOKUP($A151,'SegEnds_NonXtal_BW#'!$A:$Z,6,FALSE)+VLOOKUP($A151,A:AL,7,FALSE)-50))</f>
        <v>-</v>
      </c>
      <c r="I151" s="3">
        <f>VLOOKUP($A151,'SegEnds_NonXtal_BW#'!$A:$Z,7,FALSE)+J151-50</f>
        <v>73</v>
      </c>
      <c r="J151" s="3">
        <v>86</v>
      </c>
      <c r="K151" s="3">
        <f>VLOOKUP($A151,'SegEnds_NonXtal_BW#'!$A:$Z,8,FALSE)+VLOOKUP($A151,A:AL,10,FALSE)-50</f>
        <v>104</v>
      </c>
      <c r="L151" s="3">
        <f>M151-1</f>
        <v>106</v>
      </c>
      <c r="M151" s="3">
        <v>107</v>
      </c>
      <c r="N151" s="3">
        <f>M151+2</f>
        <v>109</v>
      </c>
      <c r="O151" s="3">
        <f>N151+1</f>
        <v>110</v>
      </c>
      <c r="P151" s="3">
        <v>140</v>
      </c>
      <c r="Q151" s="3">
        <f>VLOOKUP($A151,'SegEnds_NonXtal_BW#'!$A:$Z,12,FALSE)+VLOOKUP($A151,A:AL,16,FALSE)-50</f>
        <v>146</v>
      </c>
      <c r="R151" s="3">
        <f>IF(ISERROR(VLOOKUP($A151,'SegEnds_NonXtal_BW#'!$A:$Z,13,FALSE)+VLOOKUP($A151,A:AL,19,FALSE)-50),"-",VLOOKUP($A151,'SegEnds_NonXtal_BW#'!$A:$Z,13,FALSE)+VLOOKUP($A151,A:AL,19,FALSE)-50)</f>
        <v>147</v>
      </c>
      <c r="S151" s="3">
        <v>147</v>
      </c>
      <c r="T151" s="100">
        <f>IF(ISERROR(VLOOKUP($A151,'SegEnds_NonXtal_BW#'!$A:$Z,14,FALSE)+VLOOKUP($A151,A:AL,19,FALSE)-50),"-",(VLOOKUP($A151,'SegEnds_NonXtal_BW#'!$A:$Z,14,FALSE)+VLOOKUP($A151,A:AL,19,FALSE)-50))</f>
        <v>154</v>
      </c>
      <c r="U151" s="9">
        <f>IF(ISERROR(VLOOKUP($A151,'SegEnds_NonXtal_BW#'!$A:$Z,15,FALSE)+VLOOKUP($A151,A:AL,22,FALSE)-50),"-",VLOOKUP($A151,'SegEnds_NonXtal_BW#'!$A:$Z,15,FALSE)+VLOOKUP($A151,A:AL,22,FALSE)-50)</f>
        <v>155</v>
      </c>
      <c r="V151" s="3">
        <v>167</v>
      </c>
      <c r="W151" s="3">
        <f>IF(ISERROR(VLOOKUP($A151,'SegEnds_NonXtal_BW#'!$A:$Z,16,FALSE)+VLOOKUP($A151,A:AL,22,FALSE)-50),"-",(VLOOKUP($A151,'SegEnds_NonXtal_BW#'!$A:$Z,16,FALSE)+VLOOKUP($A151,A:AL,22,FALSE)-50))</f>
        <v>181</v>
      </c>
      <c r="X151" s="3">
        <f>IF(ISERROR(VLOOKUP($A151,'SegEnds_NonXtal_BW#'!$A:$Z,17,FALSE)+VLOOKUP($A151,A:AL,25,FALSE)-50),"-",(VLOOKUP($A151,'SegEnds_NonXtal_BW#'!$A:$Z,17,FALSE)+VLOOKUP($A151,A:AL,25,FALSE)-50))</f>
        <v>195</v>
      </c>
      <c r="Y151" s="3">
        <v>195</v>
      </c>
      <c r="Z151" s="3">
        <f>Y151+2</f>
        <v>197</v>
      </c>
      <c r="AA151" s="3">
        <f>IF(ISERROR(VLOOKUP($A151,'SegEnds_NonXtal_BW#'!$A:$Z,19,FALSE)+VLOOKUP($A151,A:AL,28,FALSE)-50),"-",(VLOOKUP($A151,'SegEnds_NonXtal_BW#'!$A:$Z,19,FALSE)+VLOOKUP($A151,A:AL,28,FALSE)-50))</f>
        <v>205</v>
      </c>
      <c r="AB151" s="3">
        <v>220</v>
      </c>
      <c r="AC151" s="3">
        <f>IF(ISERROR((VLOOKUP($A151,'SegEnds_NonXtal_BW#'!$A:$Z,20,FALSE)+VLOOKUP($A151,A:AL,28,FALSE)-50)),"-",(VLOOKUP($A151,'SegEnds_NonXtal_BW#'!$A:$Z,20,FALSE)+VLOOKUP($A151,A:AL,28,FALSE)-50))</f>
        <v>246</v>
      </c>
      <c r="AD151" s="3">
        <f>IF(ISERROR(VLOOKUP($A151,'SegEnds_NonXtal_BW#'!$A:$Z,21,FALSE)+VLOOKUP($A151,A:AL,31,FALSE)-50),"-",(VLOOKUP($A151,'SegEnds_NonXtal_BW#'!$A:$Z,21,FALSE)+VLOOKUP($A151,A:AL,31,FALSE)-50))</f>
        <v>276</v>
      </c>
      <c r="AE151" s="3">
        <v>302</v>
      </c>
      <c r="AF151" s="3">
        <f>IF(ISERROR((VLOOKUP($A151,'SegEnds_NonXtal_BW#'!$A:$Z,22,FALSE)+VLOOKUP($A151,A:AL,31,FALSE)-50)),"-",(VLOOKUP($A151,'SegEnds_NonXtal_BW#'!$A:$Z,22,FALSE)+VLOOKUP($A151,A:AL,31,FALSE)-50))</f>
        <v>313</v>
      </c>
      <c r="AG151" s="3">
        <f>IF(ISERROR(VLOOKUP($A151,'SegEnds_NonXtal_BW#'!$A:$Z,23,FALSE)+VLOOKUP($A151,A:AL,34,FALSE)-50),"-",(VLOOKUP($A151,'SegEnds_NonXtal_BW#'!$A:$Z,23,FALSE)+VLOOKUP($A151,A:AL,34,FALSE)-50))</f>
        <v>319</v>
      </c>
      <c r="AH151" s="3">
        <v>338</v>
      </c>
      <c r="AI151" s="3">
        <f>IF(ISERROR((VLOOKUP($A151,'SegEnds_NonXtal_BW#'!$A:$Z,24,FALSE)+VLOOKUP($A151,A:AL,34,FALSE)-50)),"-",(VLOOKUP($A151,'SegEnds_NonXtal_BW#'!$A:$Z,24,FALSE)+VLOOKUP($A151,A:AL,34,FALSE)-50))</f>
        <v>344</v>
      </c>
      <c r="AJ151" s="3">
        <f>IF(ISERROR(VLOOKUP($A151,'SegEnds_NonXtal_BW#'!$A:$Z,25,FALSE)+VLOOKUP($A151,A:AL,37,FALSE)-50),"-",(VLOOKUP($A151,'SegEnds_NonXtal_BW#'!$A:$Z,25,FALSE)+VLOOKUP($A151,A:AL,37,FALSE)-50))</f>
        <v>345</v>
      </c>
      <c r="AK151" s="3">
        <v>348</v>
      </c>
      <c r="AL151" s="3">
        <f>IF(ISERROR((VLOOKUP($A151,'SegEnds_NonXtal_BW#'!$A:$Z,26,FALSE)+VLOOKUP($A151,A:AL,37,FALSE)-50)),"-",(VLOOKUP($A151,'SegEnds_NonXtal_BW#'!$A:$Z,26,FALSE)+VLOOKUP($A151,A:AL,37,FALSE)-50))</f>
        <v>361</v>
      </c>
      <c r="AM151" s="28" t="str">
        <f>VLOOKUP(A151,Classification!A:B,2,FALSE)</f>
        <v>A</v>
      </c>
      <c r="AN151" s="28" t="b">
        <f t="shared" si="121"/>
        <v>1</v>
      </c>
      <c r="AO151" s="3" t="str">
        <f>IF(ISERROR(MATCH(A151,'SegEnds_Xtal_Prot#'!B:B, 0)), "NoXtal", "Xtal")</f>
        <v>NoXtal</v>
      </c>
      <c r="AP151" s="3" t="str">
        <f t="shared" si="104"/>
        <v>-</v>
      </c>
      <c r="AQ151" s="3" t="str">
        <f t="shared" si="105"/>
        <v>-</v>
      </c>
      <c r="AR151" s="3">
        <f t="shared" si="106"/>
        <v>2</v>
      </c>
      <c r="AS151" s="3">
        <f t="shared" si="107"/>
        <v>1</v>
      </c>
      <c r="AT151" s="3">
        <f t="shared" si="108"/>
        <v>1</v>
      </c>
      <c r="AU151" s="3">
        <f t="shared" si="109"/>
        <v>1</v>
      </c>
      <c r="AV151" s="3">
        <f t="shared" si="110"/>
        <v>14</v>
      </c>
      <c r="AW151" s="3">
        <f t="shared" si="111"/>
        <v>8</v>
      </c>
      <c r="AX151" s="3">
        <f t="shared" si="112"/>
        <v>30</v>
      </c>
      <c r="AY151" s="3">
        <f t="shared" si="113"/>
        <v>6</v>
      </c>
      <c r="AZ151" s="3">
        <f t="shared" si="114"/>
        <v>1</v>
      </c>
      <c r="BA151" s="3">
        <f>IF(ISERROR(LEN(VLOOKUP(A151,Seqs!A:E,2,FALSE))-AL151),"-",LEN(VLOOKUP(A151,Seqs!A:E,2,FALSE))-AL151)</f>
        <v>90</v>
      </c>
      <c r="BB151" s="16">
        <f t="shared" si="115"/>
        <v>26</v>
      </c>
      <c r="BC151" s="9">
        <f t="shared" si="116"/>
        <v>20</v>
      </c>
      <c r="BD151" s="3">
        <f t="shared" si="117"/>
        <v>26</v>
      </c>
      <c r="BE151" s="3">
        <f t="shared" si="118"/>
        <v>82</v>
      </c>
    </row>
    <row r="152" spans="1:58" s="3" customFormat="1" x14ac:dyDescent="0.2">
      <c r="A152" s="3" t="s">
        <v>266</v>
      </c>
      <c r="B152" s="3" t="str">
        <f>LOWER(VLOOKUP(A152,Xtal_Templ!A:B,2,FALSE))</f>
        <v>drd2_human</v>
      </c>
      <c r="C152" s="3">
        <f>VLOOKUP($A152,'SegEnds_NonXtal_BW#'!$A:$Z,3,FALSE)+D152-50</f>
        <v>2</v>
      </c>
      <c r="D152" s="3">
        <v>23</v>
      </c>
      <c r="E152" s="3">
        <f>IF(ISERROR(VLOOKUP($A152,'SegEnds_NonXtal_BW#'!$A:$Z,4,FALSE)+VLOOKUP($A152,A:AL,4,FALSE)-50),"-",(VLOOKUP($A152,'SegEnds_NonXtal_BW#'!$A:$Z,4,FALSE)+VLOOKUP($A152,A:AL,4,FALSE)-50))</f>
        <v>33</v>
      </c>
      <c r="F152" s="3">
        <f>G152-2</f>
        <v>34</v>
      </c>
      <c r="G152" s="3">
        <v>36</v>
      </c>
      <c r="H152" s="3">
        <f>G152+1</f>
        <v>37</v>
      </c>
      <c r="I152" s="3">
        <f>H152+1</f>
        <v>38</v>
      </c>
      <c r="J152" s="3">
        <v>52</v>
      </c>
      <c r="K152" s="3">
        <f>VLOOKUP($A152,'SegEnds_NonXtal_BW#'!$A:$Z,8,FALSE)+VLOOKUP($A152,A:AL,10,FALSE)-50</f>
        <v>70</v>
      </c>
      <c r="L152" s="3" t="str">
        <f>IF(ISERROR(VLOOKUP($A152,'SegEnds_NonXtal_BW#'!$A:$Z,9,FALSE)+VLOOKUP($A152,A:AL,13,FALSE)-50),"-",(VLOOKUP($A152,'SegEnds_NonXtal_BW#'!$A:$Z,9,FALSE)+VLOOKUP($A152,A:AL,13,FALSE)-50))</f>
        <v>-</v>
      </c>
      <c r="M152" s="3" t="s">
        <v>23</v>
      </c>
      <c r="N152" s="3" t="str">
        <f>IF(ISERROR(VLOOKUP($A152,'SegEnds_NonXtal_BW#'!$A:$Z,10,FALSE)+VLOOKUP($A152,A:AL,13,FALSE)-50),"-",(VLOOKUP($A152,'SegEnds_NonXtal_BW#'!$A:$Z,10,FALSE)+VLOOKUP($A152,A:AL,13,FALSE)-50))</f>
        <v>-</v>
      </c>
      <c r="O152" s="3">
        <f>VLOOKUP($A152,'SegEnds_NonXtal_BW#'!$A:$Z,11,FALSE)+VLOOKUP($A152,A:AL,16,FALSE)-50</f>
        <v>75</v>
      </c>
      <c r="P152" s="3">
        <v>104</v>
      </c>
      <c r="Q152" s="3">
        <f>VLOOKUP($A152,'SegEnds_NonXtal_BW#'!$A:$Z,12,FALSE)+VLOOKUP($A152,A:AL,16,FALSE)-50</f>
        <v>110</v>
      </c>
      <c r="R152" s="3">
        <f>IF(ISERROR(VLOOKUP($A152,'SegEnds_NonXtal_BW#'!$A:$Z,13,FALSE)+VLOOKUP($A152,A:AL,19,FALSE)-50),"-",VLOOKUP($A152,'SegEnds_NonXtal_BW#'!$A:$Z,13,FALSE)+VLOOKUP($A152,A:AL,19,FALSE)-50)</f>
        <v>111</v>
      </c>
      <c r="S152" s="3">
        <v>111</v>
      </c>
      <c r="T152" s="100">
        <f>IF(ISERROR(VLOOKUP($A152,'SegEnds_NonXtal_BW#'!$A:$Z,14,FALSE)+VLOOKUP($A152,A:AL,19,FALSE)-50),"-",(VLOOKUP($A152,'SegEnds_NonXtal_BW#'!$A:$Z,14,FALSE)+VLOOKUP($A152,A:AL,19,FALSE)-50))</f>
        <v>118</v>
      </c>
      <c r="U152" s="9">
        <f>IF(ISERROR(VLOOKUP($A152,'SegEnds_NonXtal_BW#'!$A:$Z,15,FALSE)+VLOOKUP($A152,A:AL,22,FALSE)-50),"-",VLOOKUP($A152,'SegEnds_NonXtal_BW#'!$A:$Z,15,FALSE)+VLOOKUP($A152,A:AL,22,FALSE)-50)</f>
        <v>119</v>
      </c>
      <c r="V152" s="3">
        <v>131</v>
      </c>
      <c r="W152" s="3">
        <f>IF(ISERROR(VLOOKUP($A152,'SegEnds_NonXtal_BW#'!$A:$Z,16,FALSE)+VLOOKUP($A152,A:AL,22,FALSE)-50),"-",(VLOOKUP($A152,'SegEnds_NonXtal_BW#'!$A:$Z,16,FALSE)+VLOOKUP($A152,A:AL,22,FALSE)-50))</f>
        <v>143</v>
      </c>
      <c r="X152" s="3">
        <f>IF(ISERROR(VLOOKUP($A152,'SegEnds_NonXtal_BW#'!$A:$Z,17,FALSE)+VLOOKUP($A152,A:AL,25,FALSE)-50),"-",(VLOOKUP($A152,'SegEnds_NonXtal_BW#'!$A:$Z,17,FALSE)+VLOOKUP($A152,A:AL,25,FALSE)-50))</f>
        <v>156</v>
      </c>
      <c r="Y152" s="3">
        <v>156</v>
      </c>
      <c r="Z152" s="3">
        <f>Y152+2</f>
        <v>158</v>
      </c>
      <c r="AA152" s="3">
        <f>IF(ISERROR(VLOOKUP($A152,'SegEnds_NonXtal_BW#'!$A:$Z,19,FALSE)+VLOOKUP($A152,A:AL,28,FALSE)-50),"-",(VLOOKUP($A152,'SegEnds_NonXtal_BW#'!$A:$Z,19,FALSE)+VLOOKUP($A152,A:AL,28,FALSE)-50))</f>
        <v>169</v>
      </c>
      <c r="AB152" s="3">
        <v>184</v>
      </c>
      <c r="AC152" s="3">
        <f>IF(ISERROR((VLOOKUP($A152,'SegEnds_NonXtal_BW#'!$A:$Z,20,FALSE)+VLOOKUP($A152,A:AL,28,FALSE)-50)),"-",(VLOOKUP($A152,'SegEnds_NonXtal_BW#'!$A:$Z,20,FALSE)+VLOOKUP($A152,A:AL,28,FALSE)-50))</f>
        <v>210</v>
      </c>
      <c r="AD152" s="3">
        <f>IF(ISERROR(VLOOKUP($A152,'SegEnds_NonXtal_BW#'!$A:$Z,21,FALSE)+VLOOKUP($A152,A:AL,31,FALSE)-50),"-",(VLOOKUP($A152,'SegEnds_NonXtal_BW#'!$A:$Z,21,FALSE)+VLOOKUP($A152,A:AL,31,FALSE)-50))</f>
        <v>230</v>
      </c>
      <c r="AE152" s="3">
        <v>256</v>
      </c>
      <c r="AF152" s="3">
        <f>IF(ISERROR((VLOOKUP($A152,'SegEnds_NonXtal_BW#'!$A:$Z,22,FALSE)+VLOOKUP($A152,A:AL,31,FALSE)-50)),"-",(VLOOKUP($A152,'SegEnds_NonXtal_BW#'!$A:$Z,22,FALSE)+VLOOKUP($A152,A:AL,31,FALSE)-50))</f>
        <v>267</v>
      </c>
      <c r="AG152" s="3">
        <f>IF(ISERROR(VLOOKUP($A152,'SegEnds_NonXtal_BW#'!$A:$Z,23,FALSE)+VLOOKUP($A152,A:AL,34,FALSE)-50),"-",(VLOOKUP($A152,'SegEnds_NonXtal_BW#'!$A:$Z,23,FALSE)+VLOOKUP($A152,A:AL,34,FALSE)-50))</f>
        <v>272</v>
      </c>
      <c r="AH152" s="3">
        <v>291</v>
      </c>
      <c r="AI152" s="3">
        <f>IF(ISERROR((VLOOKUP($A152,'SegEnds_NonXtal_BW#'!$A:$Z,24,FALSE)+VLOOKUP($A152,A:AL,34,FALSE)-50)),"-",(VLOOKUP($A152,'SegEnds_NonXtal_BW#'!$A:$Z,24,FALSE)+VLOOKUP($A152,A:AL,34,FALSE)-50))</f>
        <v>297</v>
      </c>
      <c r="AJ152" s="3">
        <f>IF(ISERROR(VLOOKUP($A152,'SegEnds_NonXtal_BW#'!$A:$Z,25,FALSE)+VLOOKUP($A152,A:AL,37,FALSE)-50),"-",(VLOOKUP($A152,'SegEnds_NonXtal_BW#'!$A:$Z,25,FALSE)+VLOOKUP($A152,A:AL,37,FALSE)-50))</f>
        <v>298</v>
      </c>
      <c r="AK152" s="3">
        <v>301</v>
      </c>
      <c r="AL152" s="3">
        <f>IF(ISERROR((VLOOKUP($A152,'SegEnds_NonXtal_BW#'!$A:$Z,26,FALSE)+VLOOKUP($A152,A:AL,37,FALSE)-50)),"-",(VLOOKUP($A152,'SegEnds_NonXtal_BW#'!$A:$Z,26,FALSE)+VLOOKUP($A152,A:AL,37,FALSE)-50))</f>
        <v>310</v>
      </c>
      <c r="AM152" s="28" t="str">
        <f>VLOOKUP(A152,Classification!A:B,2,FALSE)</f>
        <v>A</v>
      </c>
      <c r="AN152" s="28" t="b">
        <f t="shared" si="121"/>
        <v>1</v>
      </c>
      <c r="AO152" s="3" t="str">
        <f>IF(ISERROR(MATCH(A152,'SegEnds_Xtal_Prot#'!B:B, 0)), "NoXtal", "Xtal")</f>
        <v>NoXtal</v>
      </c>
      <c r="AP152" s="3">
        <f t="shared" si="104"/>
        <v>1</v>
      </c>
      <c r="AQ152" s="3">
        <f t="shared" si="105"/>
        <v>1</v>
      </c>
      <c r="AR152" s="3" t="str">
        <f t="shared" si="106"/>
        <v>-</v>
      </c>
      <c r="AS152" s="3" t="str">
        <f t="shared" si="107"/>
        <v>-</v>
      </c>
      <c r="AT152" s="3">
        <f t="shared" si="108"/>
        <v>1</v>
      </c>
      <c r="AU152" s="3">
        <f t="shared" si="109"/>
        <v>1</v>
      </c>
      <c r="AV152" s="3">
        <f t="shared" si="110"/>
        <v>13</v>
      </c>
      <c r="AW152" s="3">
        <f t="shared" si="111"/>
        <v>11</v>
      </c>
      <c r="AX152" s="3">
        <f t="shared" si="112"/>
        <v>20</v>
      </c>
      <c r="AY152" s="3">
        <f t="shared" si="113"/>
        <v>5</v>
      </c>
      <c r="AZ152" s="3">
        <f t="shared" si="114"/>
        <v>1</v>
      </c>
      <c r="BA152" s="3">
        <f>IF(ISERROR(LEN(VLOOKUP(A152,Seqs!A:E,2,FALSE))-AL152),"-",LEN(VLOOKUP(A152,Seqs!A:E,2,FALSE))-AL152)</f>
        <v>53</v>
      </c>
      <c r="BB152" s="16">
        <f t="shared" si="115"/>
        <v>29</v>
      </c>
      <c r="BC152" s="9">
        <f t="shared" si="116"/>
        <v>20</v>
      </c>
      <c r="BD152" s="3">
        <f t="shared" si="117"/>
        <v>29</v>
      </c>
      <c r="BE152" s="3">
        <f t="shared" si="118"/>
        <v>72</v>
      </c>
    </row>
    <row r="153" spans="1:58" s="3" customFormat="1" x14ac:dyDescent="0.2">
      <c r="A153" s="3" t="s">
        <v>267</v>
      </c>
      <c r="B153" s="3" t="str">
        <f>LOWER(VLOOKUP(A153,Xtal_Templ!A:B,2,FALSE))</f>
        <v>oprd_human</v>
      </c>
      <c r="C153" s="3">
        <f>VLOOKUP($A153,'SegEnds_NonXtal_BW#'!$A:$Z,3,FALSE)+D153-50</f>
        <v>5</v>
      </c>
      <c r="D153" s="3">
        <v>33</v>
      </c>
      <c r="E153" s="3">
        <f>IF(ISERROR(VLOOKUP($A153,'SegEnds_NonXtal_BW#'!$A:$Z,4,FALSE)+VLOOKUP($A153,A:AL,4,FALSE)-50),"-",(VLOOKUP($A153,'SegEnds_NonXtal_BW#'!$A:$Z,4,FALSE)+VLOOKUP($A153,A:AL,4,FALSE)-50))</f>
        <v>43</v>
      </c>
      <c r="F153" s="3" t="str">
        <f>IF(ISERROR(VLOOKUP($A153,'SegEnds_NonXtal_BW#'!$A:$Z,5,FALSE)+VLOOKUP($A153,A:AL,7,FALSE)-50),"-",(VLOOKUP($A153,'SegEnds_NonXtal_BW#'!$A:$Z,5,FALSE)+VLOOKUP($A153,A:AL,7,FALSE)-50))</f>
        <v>-</v>
      </c>
      <c r="G153" s="3" t="s">
        <v>23</v>
      </c>
      <c r="H153" s="3" t="str">
        <f>IF(ISERROR(VLOOKUP($A153,'SegEnds_NonXtal_BW#'!$A:$Z,6,FALSE)+VLOOKUP($A153,A:AL,7,FALSE)-50),"-",(VLOOKUP($A153,'SegEnds_NonXtal_BW#'!$A:$Z,6,FALSE)+VLOOKUP($A153,A:AL,7,FALSE)-50))</f>
        <v>-</v>
      </c>
      <c r="I153" s="3">
        <f>VLOOKUP($A153,'SegEnds_NonXtal_BW#'!$A:$Z,7,FALSE)+J153-50</f>
        <v>48</v>
      </c>
      <c r="J153" s="3">
        <v>61</v>
      </c>
      <c r="K153" s="3">
        <f>VLOOKUP($A153,'SegEnds_NonXtal_BW#'!$A:$Z,8,FALSE)+VLOOKUP($A153,A:AL,10,FALSE)-50</f>
        <v>78</v>
      </c>
      <c r="L153" s="3">
        <f>M153-1</f>
        <v>80</v>
      </c>
      <c r="M153" s="3">
        <v>81</v>
      </c>
      <c r="N153" s="3">
        <f>M153+2</f>
        <v>83</v>
      </c>
      <c r="O153" s="3">
        <f>N153+1</f>
        <v>84</v>
      </c>
      <c r="P153" s="3">
        <v>117</v>
      </c>
      <c r="Q153" s="3">
        <f>VLOOKUP($A153,'SegEnds_NonXtal_BW#'!$A:$Z,12,FALSE)+VLOOKUP($A153,A:AL,16,FALSE)-50</f>
        <v>123</v>
      </c>
      <c r="R153" s="3">
        <f>IF(ISERROR(VLOOKUP($A153,'SegEnds_NonXtal_BW#'!$A:$Z,13,FALSE)+VLOOKUP($A153,A:AL,19,FALSE)-50),"-",VLOOKUP($A153,'SegEnds_NonXtal_BW#'!$A:$Z,13,FALSE)+VLOOKUP($A153,A:AL,19,FALSE)-50)</f>
        <v>140</v>
      </c>
      <c r="S153" s="3">
        <v>140</v>
      </c>
      <c r="T153" s="100">
        <f>IF(ISERROR(VLOOKUP($A153,'SegEnds_NonXtal_BW#'!$A:$Z,14,FALSE)+VLOOKUP($A153,A:AL,19,FALSE)-50),"-",(VLOOKUP($A153,'SegEnds_NonXtal_BW#'!$A:$Z,14,FALSE)+VLOOKUP($A153,A:AL,19,FALSE)-50))</f>
        <v>147</v>
      </c>
      <c r="U153" s="9">
        <f>IF(ISERROR(VLOOKUP($A153,'SegEnds_NonXtal_BW#'!$A:$Z,15,FALSE)+VLOOKUP($A153,A:AL,22,FALSE)-50),"-",VLOOKUP($A153,'SegEnds_NonXtal_BW#'!$A:$Z,15,FALSE)+VLOOKUP($A153,A:AL,22,FALSE)-50)</f>
        <v>148</v>
      </c>
      <c r="V153" s="3">
        <v>160</v>
      </c>
      <c r="W153" s="3">
        <f>IF(ISERROR(VLOOKUP($A153,'SegEnds_NonXtal_BW#'!$A:$Z,16,FALSE)+VLOOKUP($A153,A:AL,22,FALSE)-50),"-",(VLOOKUP($A153,'SegEnds_NonXtal_BW#'!$A:$Z,16,FALSE)+VLOOKUP($A153,A:AL,22,FALSE)-50))</f>
        <v>174</v>
      </c>
      <c r="X153" s="3" t="str">
        <f>IF(ISERROR(VLOOKUP($A153,'SegEnds_NonXtal_BW#'!$A:$Z,17,FALSE)+VLOOKUP($A153,A:AL,25,FALSE)-50),"-",(VLOOKUP($A153,'SegEnds_NonXtal_BW#'!$A:$Z,17,FALSE)+VLOOKUP($A153,A:AL,25,FALSE)-50))</f>
        <v>-</v>
      </c>
      <c r="Y153" s="3" t="s">
        <v>23</v>
      </c>
      <c r="Z153" s="3" t="str">
        <f>IF(ISERROR(VLOOKUP($A153,'SegEnds_NonXtal_BW#'!$A:$Z,18,FALSE)+VLOOKUP($A153,A:AL,25,FALSE)-50),"-",(VLOOKUP($A153,'SegEnds_NonXtal_BW#'!$A:$Z,18,FALSE)+VLOOKUP($A153,A:AL,25,FALSE)-50))</f>
        <v>-</v>
      </c>
      <c r="AA153" s="3">
        <f>IF(ISERROR(VLOOKUP($A153,'SegEnds_NonXtal_BW#'!$A:$Z,19,FALSE)+VLOOKUP($A153,A:AL,28,FALSE)-50),"-",(VLOOKUP($A153,'SegEnds_NonXtal_BW#'!$A:$Z,19,FALSE)+VLOOKUP($A153,A:AL,28,FALSE)-50))</f>
        <v>193</v>
      </c>
      <c r="AB153" s="3">
        <v>213</v>
      </c>
      <c r="AC153" s="3">
        <f>IF(ISERROR((VLOOKUP($A153,'SegEnds_NonXtal_BW#'!$A:$Z,20,FALSE)+VLOOKUP($A153,A:AL,28,FALSE)-50)),"-",(VLOOKUP($A153,'SegEnds_NonXtal_BW#'!$A:$Z,20,FALSE)+VLOOKUP($A153,A:AL,28,FALSE)-50))</f>
        <v>231</v>
      </c>
      <c r="AD153" s="3">
        <f>IF(ISERROR(VLOOKUP($A153,'SegEnds_NonXtal_BW#'!$A:$Z,21,FALSE)+VLOOKUP($A153,A:AL,31,FALSE)-50),"-",(VLOOKUP($A153,'SegEnds_NonXtal_BW#'!$A:$Z,21,FALSE)+VLOOKUP($A153,A:AL,31,FALSE)-50))</f>
        <v>237</v>
      </c>
      <c r="AE153" s="3">
        <v>264</v>
      </c>
      <c r="AF153" s="3">
        <f>IF(ISERROR((VLOOKUP($A153,'SegEnds_NonXtal_BW#'!$A:$Z,22,FALSE)+VLOOKUP($A153,A:AL,31,FALSE)-50)),"-",(VLOOKUP($A153,'SegEnds_NonXtal_BW#'!$A:$Z,22,FALSE)+VLOOKUP($A153,A:AL,31,FALSE)-50))</f>
        <v>275</v>
      </c>
      <c r="AG153" s="3">
        <f>IF(ISERROR(VLOOKUP($A153,'SegEnds_NonXtal_BW#'!$A:$Z,23,FALSE)+VLOOKUP($A153,A:AL,34,FALSE)-50),"-",(VLOOKUP($A153,'SegEnds_NonXtal_BW#'!$A:$Z,23,FALSE)+VLOOKUP($A153,A:AL,34,FALSE)-50))</f>
        <v>284</v>
      </c>
      <c r="AH153" s="3">
        <v>306</v>
      </c>
      <c r="AI153" s="3">
        <f>IF(ISERROR((VLOOKUP($A153,'SegEnds_NonXtal_BW#'!$A:$Z,24,FALSE)+VLOOKUP($A153,A:AL,34,FALSE)-50)),"-",(VLOOKUP($A153,'SegEnds_NonXtal_BW#'!$A:$Z,24,FALSE)+VLOOKUP($A153,A:AL,34,FALSE)-50))</f>
        <v>312</v>
      </c>
      <c r="AJ153" s="3">
        <f>IF(ISERROR(VLOOKUP($A153,'SegEnds_NonXtal_BW#'!$A:$Z,25,FALSE)+VLOOKUP($A153,A:AL,37,FALSE)-50),"-",(VLOOKUP($A153,'SegEnds_NonXtal_BW#'!$A:$Z,25,FALSE)+VLOOKUP($A153,A:AL,37,FALSE)-50))</f>
        <v>313</v>
      </c>
      <c r="AK153" s="3">
        <v>316</v>
      </c>
      <c r="AL153" s="3">
        <f>IF(ISERROR((VLOOKUP($A153,'SegEnds_NonXtal_BW#'!$A:$Z,26,FALSE)+VLOOKUP($A153,A:AL,37,FALSE)-50)),"-",(VLOOKUP($A153,'SegEnds_NonXtal_BW#'!$A:$Z,26,FALSE)+VLOOKUP($A153,A:AL,37,FALSE)-50))</f>
        <v>326</v>
      </c>
      <c r="AM153" s="28" t="str">
        <f>VLOOKUP(A153,Classification!A:B,2,FALSE)</f>
        <v>A</v>
      </c>
      <c r="AN153" s="28" t="b">
        <f t="shared" si="121"/>
        <v>1</v>
      </c>
      <c r="AO153" s="3" t="str">
        <f>IF(ISERROR(MATCH(A153,'SegEnds_Xtal_Prot#'!B:B, 0)), "NoXtal", "Xtal")</f>
        <v>NoXtal</v>
      </c>
      <c r="AP153" s="3" t="str">
        <f t="shared" si="104"/>
        <v>-</v>
      </c>
      <c r="AQ153" s="3" t="str">
        <f t="shared" si="105"/>
        <v>-</v>
      </c>
      <c r="AR153" s="3">
        <f t="shared" si="106"/>
        <v>2</v>
      </c>
      <c r="AS153" s="3">
        <f t="shared" si="107"/>
        <v>1</v>
      </c>
      <c r="AT153" s="3">
        <f t="shared" si="108"/>
        <v>17</v>
      </c>
      <c r="AU153" s="3">
        <f t="shared" si="109"/>
        <v>1</v>
      </c>
      <c r="AV153" s="3" t="str">
        <f t="shared" si="110"/>
        <v>-</v>
      </c>
      <c r="AW153" s="3" t="str">
        <f t="shared" si="111"/>
        <v>-</v>
      </c>
      <c r="AX153" s="3">
        <f t="shared" si="112"/>
        <v>6</v>
      </c>
      <c r="AY153" s="3">
        <f t="shared" si="113"/>
        <v>9</v>
      </c>
      <c r="AZ153" s="3">
        <f t="shared" si="114"/>
        <v>1</v>
      </c>
      <c r="BA153" s="3">
        <f>IF(ISERROR(LEN(VLOOKUP(A153,Seqs!A:E,2,FALSE))-AL153),"-",LEN(VLOOKUP(A153,Seqs!A:E,2,FALSE))-AL153)</f>
        <v>10</v>
      </c>
      <c r="BB153" s="16">
        <f t="shared" si="115"/>
        <v>28</v>
      </c>
      <c r="BC153" s="9">
        <f t="shared" si="116"/>
        <v>20</v>
      </c>
      <c r="BD153" s="3">
        <f t="shared" si="117"/>
        <v>28</v>
      </c>
      <c r="BE153" s="3">
        <f t="shared" si="118"/>
        <v>51</v>
      </c>
      <c r="BF153" s="3">
        <f>AH153-AE153</f>
        <v>42</v>
      </c>
    </row>
    <row r="154" spans="1:58" s="3" customFormat="1" x14ac:dyDescent="0.2">
      <c r="A154" s="3" t="s">
        <v>269</v>
      </c>
      <c r="B154" s="3" t="str">
        <f>LOWER(VLOOKUP(A154,Xtal_Templ!A:B,2,FALSE))</f>
        <v>ednrb_human</v>
      </c>
      <c r="C154" s="3">
        <f>VLOOKUP($A154,'SegEnds_NonXtal_BW#'!$A:$Z,3,FALSE)+D154-50</f>
        <v>10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 t="str">
        <f>IF(ISERROR(VLOOKUP($A154,'SegEnds_NonXtal_BW#'!$A:$Z,9,FALSE)+VLOOKUP($A154,A:AL,13,FALSE)-50),"-",(VLOOKUP($A154,'SegEnds_NonXtal_BW#'!$A:$Z,9,FALSE)+VLOOKUP($A154,A:AL,13,FALSE)-50))</f>
        <v>-</v>
      </c>
      <c r="M154" s="3" t="s">
        <v>23</v>
      </c>
      <c r="N154" s="3" t="str">
        <f>IF(ISERROR(VLOOKUP($A154,'SegEnds_NonXtal_BW#'!$A:$Z,10,FALSE)+VLOOKUP($A154,A:AL,13,FALSE)-50),"-",(VLOOKUP($A154,'SegEnds_NonXtal_BW#'!$A:$Z,10,FALSE)+VLOOKUP($A154,A:AL,13,FALSE)-50))</f>
        <v>-</v>
      </c>
      <c r="O154" s="3">
        <f>VLOOKUP($A154,'SegEnds_NonXtal_BW#'!$A:$Z,11,FALSE)+VLOOKUP($A154,A:AL,16,FALSE)-50</f>
        <v>89</v>
      </c>
      <c r="P154" s="3">
        <v>118</v>
      </c>
      <c r="Q154" s="3">
        <f>VLOOKUP($A154,'SegEnds_NonXtal_BW#'!$A:$Z,12,FALSE)+VLOOKUP($A154,A:AL,16,FALSE)-50</f>
        <v>124</v>
      </c>
      <c r="R154" s="3">
        <f>IF(ISERROR(VLOOKUP($A154,'SegEnds_NonXtal_BW#'!$A:$Z,13,FALSE)+VLOOKUP($A154,A:AL,19,FALSE)-50),"-",VLOOKUP($A154,'SegEnds_NonXtal_BW#'!$A:$Z,13,FALSE)+VLOOKUP($A154,A:AL,19,FALSE)-50)</f>
        <v>125</v>
      </c>
      <c r="S154" s="3">
        <v>125</v>
      </c>
      <c r="T154" s="100">
        <f>IF(ISERROR(VLOOKUP($A154,'SegEnds_NonXtal_BW#'!$A:$Z,14,FALSE)+VLOOKUP($A154,A:AL,19,FALSE)-50),"-",(VLOOKUP($A154,'SegEnds_NonXtal_BW#'!$A:$Z,14,FALSE)+VLOOKUP($A154,A:AL,19,FALSE)-50))</f>
        <v>132</v>
      </c>
      <c r="U154" s="9">
        <f>IF(ISERROR(VLOOKUP($A154,'SegEnds_NonXtal_BW#'!$A:$Z,15,FALSE)+VLOOKUP($A154,A:AL,22,FALSE)-50),"-",VLOOKUP($A154,'SegEnds_NonXtal_BW#'!$A:$Z,15,FALSE)+VLOOKUP($A154,A:AL,22,FALSE)-50)</f>
        <v>133</v>
      </c>
      <c r="V154" s="3">
        <v>145</v>
      </c>
      <c r="W154" s="3">
        <f>IF(ISERROR(VLOOKUP($A154,'SegEnds_NonXtal_BW#'!$A:$Z,16,FALSE)+VLOOKUP($A154,A:AL,22,FALSE)-50),"-",(VLOOKUP($A154,'SegEnds_NonXtal_BW#'!$A:$Z,16,FALSE)+VLOOKUP($A154,A:AL,22,FALSE)-50))</f>
        <v>159</v>
      </c>
      <c r="X154" s="3">
        <f>IF(ISERROR(VLOOKUP($A154,'SegEnds_NonXtal_BW#'!$A:$Z,17,FALSE)+VLOOKUP($A154,A:AL,25,FALSE)-50),"-",(VLOOKUP($A154,'SegEnds_NonXtal_BW#'!$A:$Z,17,FALSE)+VLOOKUP($A154,A:AL,25,FALSE)-50))</f>
        <v>168</v>
      </c>
      <c r="Y154" s="3">
        <v>168</v>
      </c>
      <c r="Z154" s="3">
        <f>Y154+2</f>
        <v>170</v>
      </c>
      <c r="AA154" s="3">
        <f>IF(ISERROR(VLOOKUP($A154,'SegEnds_NonXtal_BW#'!$A:$Z,19,FALSE)+VLOOKUP($A154,A:AL,28,FALSE)-50),"-",(VLOOKUP($A154,'SegEnds_NonXtal_BW#'!$A:$Z,19,FALSE)+VLOOKUP($A154,A:AL,28,FALSE)-50))</f>
        <v>213</v>
      </c>
      <c r="AB154" s="3">
        <v>235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308</v>
      </c>
      <c r="AE154" s="3">
        <v>334</v>
      </c>
      <c r="AF154" s="3">
        <f>IF(ISERROR((VLOOKUP($A154,'SegEnds_NonXtal_BW#'!$A:$Z,22,FALSE)+VLOOKUP($A154,A:AL,31,FALSE)-50)),"-",(VLOOKUP($A154,'SegEnds_NonXtal_BW#'!$A:$Z,22,FALSE)+VLOOKUP($A154,A:AL,31,FALSE)-50))</f>
        <v>345</v>
      </c>
      <c r="AG154" s="3">
        <f>IF(ISERROR(VLOOKUP($A154,'SegEnds_NonXtal_BW#'!$A:$Z,23,FALSE)+VLOOKUP($A154,A:AL,34,FALSE)-50),"-",(VLOOKUP($A154,'SegEnds_NonXtal_BW#'!$A:$Z,23,FALSE)+VLOOKUP($A154,A:AL,34,FALSE)-50))</f>
        <v>350</v>
      </c>
      <c r="AH154" s="3">
        <v>367</v>
      </c>
      <c r="AI154" s="3">
        <f>IF(ISERROR((VLOOKUP($A154,'SegEnds_NonXtal_BW#'!$A:$Z,24,FALSE)+VLOOKUP($A154,A:AL,34,FALSE)-50)),"-",(VLOOKUP($A154,'SegEnds_NonXtal_BW#'!$A:$Z,24,FALSE)+VLOOKUP($A154,A:AL,34,FALSE)-50))</f>
        <v>373</v>
      </c>
      <c r="AJ154" s="3">
        <f>IF(ISERROR(VLOOKUP($A154,'SegEnds_NonXtal_BW#'!$A:$Z,25,FALSE)+VLOOKUP($A154,A:AL,37,FALSE)-50),"-",(VLOOKUP($A154,'SegEnds_NonXtal_BW#'!$A:$Z,25,FALSE)+VLOOKUP($A154,A:AL,37,FALSE)-50))</f>
        <v>374</v>
      </c>
      <c r="AK154" s="3">
        <v>377</v>
      </c>
      <c r="AL154" s="3">
        <f>IF(ISERROR((VLOOKUP($A154,'SegEnds_NonXtal_BW#'!$A:$Z,26,FALSE)+VLOOKUP($A154,A:AL,37,FALSE)-50)),"-",(VLOOKUP($A154,'SegEnds_NonXtal_BW#'!$A:$Z,26,FALSE)+VLOOKUP($A154,A:AL,37,FALSE)-50))</f>
        <v>387</v>
      </c>
      <c r="AM154" s="28" t="str">
        <f>VLOOKUP(A154,Classification!A:B,2,FALSE)</f>
        <v>A</v>
      </c>
      <c r="AN154" s="28" t="b">
        <f t="shared" si="121"/>
        <v>1</v>
      </c>
      <c r="AO154" s="3" t="str">
        <f>IF(ISERROR(MATCH(A154,'SegEnds_Xtal_Prot#'!B:B, 0)), "NoXtal", "Xtal")</f>
        <v>NoXtal</v>
      </c>
      <c r="AP154" s="3">
        <f t="shared" si="104"/>
        <v>1</v>
      </c>
      <c r="AQ154" s="3">
        <f t="shared" si="105"/>
        <v>1</v>
      </c>
      <c r="AR154" s="3" t="str">
        <f t="shared" si="106"/>
        <v>-</v>
      </c>
      <c r="AS154" s="3" t="str">
        <f t="shared" si="107"/>
        <v>-</v>
      </c>
      <c r="AT154" s="3">
        <f t="shared" si="108"/>
        <v>1</v>
      </c>
      <c r="AU154" s="3">
        <f t="shared" si="109"/>
        <v>1</v>
      </c>
      <c r="AV154" s="3">
        <f t="shared" si="110"/>
        <v>9</v>
      </c>
      <c r="AW154" s="3">
        <f t="shared" si="111"/>
        <v>43</v>
      </c>
      <c r="AX154" s="3">
        <f t="shared" si="112"/>
        <v>49</v>
      </c>
      <c r="AY154" s="3">
        <f t="shared" si="113"/>
        <v>5</v>
      </c>
      <c r="AZ154" s="3">
        <f t="shared" si="114"/>
        <v>1</v>
      </c>
      <c r="BA154" s="3">
        <f>IF(ISERROR(LEN(VLOOKUP(A154,Seqs!A:E,2,FALSE))-AL154),"-",LEN(VLOOKUP(A154,Seqs!A:E,2,FALSE))-AL154)</f>
        <v>9</v>
      </c>
      <c r="BB154" s="16">
        <f t="shared" si="115"/>
        <v>28</v>
      </c>
      <c r="BC154" s="9">
        <f t="shared" si="116"/>
        <v>20</v>
      </c>
      <c r="BD154" s="3">
        <f t="shared" si="117"/>
        <v>28</v>
      </c>
      <c r="BE154" s="3">
        <f t="shared" si="118"/>
        <v>99</v>
      </c>
      <c r="BF154" s="3">
        <f>AH154-AE154</f>
        <v>33</v>
      </c>
    </row>
    <row r="155" spans="1:58" s="3" customFormat="1" x14ac:dyDescent="0.2">
      <c r="A155" s="3" t="s">
        <v>270</v>
      </c>
      <c r="B155" s="3" t="str">
        <f>LOWER(VLOOKUP(A155,Xtal_Templ!A:B,2,FALSE))</f>
        <v>5ht2c_human</v>
      </c>
      <c r="C155" s="3">
        <f>VLOOKUP($A155,'SegEnds_NonXtal_BW#'!$A:$Z,3,FALSE)+D155-50</f>
        <v>21</v>
      </c>
      <c r="D155" s="3">
        <v>38</v>
      </c>
      <c r="E155" s="3">
        <f>IF(ISERROR(VLOOKUP($A155,'SegEnds_NonXtal_BW#'!$A:$Z,4,FALSE)+VLOOKUP($A155,A:AL,4,FALSE)-50),"-",(VLOOKUP($A155,'SegEnds_NonXtal_BW#'!$A:$Z,4,FALSE)+VLOOKUP($A155,A:AL,4,FALSE)-50))</f>
        <v>48</v>
      </c>
      <c r="F155" s="3">
        <f>G155-2</f>
        <v>49</v>
      </c>
      <c r="G155" s="3">
        <v>51</v>
      </c>
      <c r="H155" s="3">
        <f>G155+1</f>
        <v>52</v>
      </c>
      <c r="I155" s="3">
        <f>H155+1</f>
        <v>53</v>
      </c>
      <c r="J155" s="3">
        <v>66</v>
      </c>
      <c r="K155" s="3">
        <f>VLOOKUP($A155,'SegEnds_NonXtal_BW#'!$A:$Z,8,FALSE)+VLOOKUP($A155,A:AL,10,FALSE)-50</f>
        <v>84</v>
      </c>
      <c r="L155" s="3">
        <f>M155-1</f>
        <v>86</v>
      </c>
      <c r="M155" s="3">
        <v>87</v>
      </c>
      <c r="N155" s="3">
        <f>M155+2</f>
        <v>89</v>
      </c>
      <c r="O155" s="3">
        <f>N155+1</f>
        <v>90</v>
      </c>
      <c r="P155" s="3">
        <v>119</v>
      </c>
      <c r="Q155" s="3">
        <f>VLOOKUP($A155,'SegEnds_NonXtal_BW#'!$A:$Z,12,FALSE)+VLOOKUP($A155,A:AL,16,FALSE)-50</f>
        <v>125</v>
      </c>
      <c r="R155" s="3">
        <f>IF(ISERROR(VLOOKUP($A155,'SegEnds_NonXtal_BW#'!$A:$Z,13,FALSE)+VLOOKUP($A155,A:AL,19,FALSE)-50),"-",VLOOKUP($A155,'SegEnds_NonXtal_BW#'!$A:$Z,13,FALSE)+VLOOKUP($A155,A:AL,19,FALSE)-50)</f>
        <v>126</v>
      </c>
      <c r="S155" s="3">
        <v>126</v>
      </c>
      <c r="T155" s="100">
        <f>IF(ISERROR(VLOOKUP($A155,'SegEnds_NonXtal_BW#'!$A:$Z,14,FALSE)+VLOOKUP($A155,A:AL,19,FALSE)-50),"-",(VLOOKUP($A155,'SegEnds_NonXtal_BW#'!$A:$Z,14,FALSE)+VLOOKUP($A155,A:AL,19,FALSE)-50))</f>
        <v>133</v>
      </c>
      <c r="U155" s="9">
        <f>IF(ISERROR(VLOOKUP($A155,'SegEnds_NonXtal_BW#'!$A:$Z,15,FALSE)+VLOOKUP($A155,A:AL,22,FALSE)-50),"-",VLOOKUP($A155,'SegEnds_NonXtal_BW#'!$A:$Z,15,FALSE)+VLOOKUP($A155,A:AL,22,FALSE)-50)</f>
        <v>134</v>
      </c>
      <c r="V155" s="3">
        <v>146</v>
      </c>
      <c r="W155" s="3">
        <f>IF(ISERROR(VLOOKUP($A155,'SegEnds_NonXtal_BW#'!$A:$Z,16,FALSE)+VLOOKUP($A155,A:AL,22,FALSE)-50),"-",(VLOOKUP($A155,'SegEnds_NonXtal_BW#'!$A:$Z,16,FALSE)+VLOOKUP($A155,A:AL,22,FALSE)-50))</f>
        <v>163</v>
      </c>
      <c r="X155" s="3">
        <f>IF(ISERROR(VLOOKUP($A155,'SegEnds_NonXtal_BW#'!$A:$Z,17,FALSE)+VLOOKUP($A155,A:AL,25,FALSE)-50),"-",(VLOOKUP($A155,'SegEnds_NonXtal_BW#'!$A:$Z,17,FALSE)+VLOOKUP($A155,A:AL,25,FALSE)-50))</f>
        <v>172</v>
      </c>
      <c r="Y155" s="3">
        <v>172</v>
      </c>
      <c r="Z155" s="3">
        <f>Y155+2</f>
        <v>174</v>
      </c>
      <c r="AA155" s="3">
        <f>IF(ISERROR(VLOOKUP($A155,'SegEnds_NonXtal_BW#'!$A:$Z,19,FALSE)+VLOOKUP($A155,A:AL,28,FALSE)-50),"-",(VLOOKUP($A155,'SegEnds_NonXtal_BW#'!$A:$Z,19,FALSE)+VLOOKUP($A155,A:AL,28,FALSE)-50))</f>
        <v>218</v>
      </c>
      <c r="AB155" s="3">
        <v>233</v>
      </c>
      <c r="AC155" s="3">
        <f>IF(ISERROR((VLOOKUP($A155,'SegEnds_NonXtal_BW#'!$A:$Z,20,FALSE)+VLOOKUP($A155,A:AL,28,FALSE)-50)),"-",(VLOOKUP($A155,'SegEnds_NonXtal_BW#'!$A:$Z,20,FALSE)+VLOOKUP($A155,A:AL,28,FALSE)-50))</f>
        <v>264</v>
      </c>
      <c r="AD155" s="3">
        <f>IF(ISERROR(VLOOKUP($A155,'SegEnds_NonXtal_BW#'!$A:$Z,21,FALSE)+VLOOKUP($A155,A:AL,31,FALSE)-50),"-",(VLOOKUP($A155,'SegEnds_NonXtal_BW#'!$A:$Z,21,FALSE)+VLOOKUP($A155,A:AL,31,FALSE)-50))</f>
        <v>273</v>
      </c>
      <c r="AE155" s="3">
        <v>300</v>
      </c>
      <c r="AF155" s="3">
        <f>IF(ISERROR((VLOOKUP($A155,'SegEnds_NonXtal_BW#'!$A:$Z,22,FALSE)+VLOOKUP($A155,A:AL,31,FALSE)-50)),"-",(VLOOKUP($A155,'SegEnds_NonXtal_BW#'!$A:$Z,22,FALSE)+VLOOKUP($A155,A:AL,31,FALSE)-50))</f>
        <v>311</v>
      </c>
      <c r="AG155" s="3">
        <f>IF(ISERROR(VLOOKUP($A155,'SegEnds_NonXtal_BW#'!$A:$Z,23,FALSE)+VLOOKUP($A155,A:AL,34,FALSE)-50),"-",(VLOOKUP($A155,'SegEnds_NonXtal_BW#'!$A:$Z,23,FALSE)+VLOOKUP($A155,A:AL,34,FALSE)-50))</f>
        <v>317</v>
      </c>
      <c r="AH155" s="3">
        <v>336</v>
      </c>
      <c r="AI155" s="3">
        <f>IF(ISERROR((VLOOKUP($A155,'SegEnds_NonXtal_BW#'!$A:$Z,24,FALSE)+VLOOKUP($A155,A:AL,34,FALSE)-50)),"-",(VLOOKUP($A155,'SegEnds_NonXtal_BW#'!$A:$Z,24,FALSE)+VLOOKUP($A155,A:AL,34,FALSE)-50))</f>
        <v>342</v>
      </c>
      <c r="AJ155" s="3">
        <f>IF(ISERROR(VLOOKUP($A155,'SegEnds_NonXtal_BW#'!$A:$Z,25,FALSE)+VLOOKUP($A155,A:AL,37,FALSE)-50),"-",(VLOOKUP($A155,'SegEnds_NonXtal_BW#'!$A:$Z,25,FALSE)+VLOOKUP($A155,A:AL,37,FALSE)-50))</f>
        <v>343</v>
      </c>
      <c r="AK155" s="3">
        <v>346</v>
      </c>
      <c r="AL155" s="3">
        <f>IF(ISERROR((VLOOKUP($A155,'SegEnds_NonXtal_BW#'!$A:$Z,26,FALSE)+VLOOKUP($A155,A:AL,37,FALSE)-50)),"-",(VLOOKUP($A155,'SegEnds_NonXtal_BW#'!$A:$Z,26,FALSE)+VLOOKUP($A155,A:AL,37,FALSE)-50))</f>
        <v>356</v>
      </c>
      <c r="AM155" s="28" t="str">
        <f>VLOOKUP(A155,Classification!A:B,2,FALSE)</f>
        <v>A</v>
      </c>
      <c r="AN155" s="28" t="b">
        <f t="shared" si="121"/>
        <v>1</v>
      </c>
      <c r="AO155" s="3" t="str">
        <f>IF(ISERROR(MATCH(A155,'SegEnds_Xtal_Prot#'!B:B, 0)), "NoXtal", "Xtal")</f>
        <v>NoXtal</v>
      </c>
      <c r="AP155" s="3">
        <f t="shared" si="104"/>
        <v>1</v>
      </c>
      <c r="AQ155" s="3">
        <f t="shared" si="105"/>
        <v>1</v>
      </c>
      <c r="AR155" s="3">
        <f t="shared" si="106"/>
        <v>2</v>
      </c>
      <c r="AS155" s="3">
        <f t="shared" si="107"/>
        <v>1</v>
      </c>
      <c r="AT155" s="3">
        <f t="shared" si="108"/>
        <v>1</v>
      </c>
      <c r="AU155" s="3">
        <f t="shared" si="109"/>
        <v>1</v>
      </c>
      <c r="AV155" s="3">
        <f t="shared" si="110"/>
        <v>9</v>
      </c>
      <c r="AW155" s="3">
        <f t="shared" si="111"/>
        <v>44</v>
      </c>
      <c r="AX155" s="3">
        <f t="shared" si="112"/>
        <v>9</v>
      </c>
      <c r="AY155" s="3">
        <f t="shared" si="113"/>
        <v>6</v>
      </c>
      <c r="AZ155" s="3">
        <f t="shared" si="114"/>
        <v>1</v>
      </c>
      <c r="BA155" s="3">
        <f>IF(ISERROR(LEN(VLOOKUP(A155,Seqs!A:E,2,FALSE))-AL155),"-",LEN(VLOOKUP(A155,Seqs!A:E,2,FALSE))-AL155)</f>
        <v>14</v>
      </c>
      <c r="BB155" s="16">
        <f t="shared" si="115"/>
        <v>28</v>
      </c>
      <c r="BC155" s="9">
        <f t="shared" si="116"/>
        <v>20</v>
      </c>
      <c r="BD155" s="3">
        <f t="shared" si="117"/>
        <v>28</v>
      </c>
      <c r="BE155" s="3">
        <f t="shared" si="118"/>
        <v>67</v>
      </c>
      <c r="BF155" s="3">
        <f>AH155-AE155</f>
        <v>36</v>
      </c>
    </row>
    <row r="156" spans="1:58" s="3" customFormat="1" x14ac:dyDescent="0.2">
      <c r="A156" s="3" t="s">
        <v>271</v>
      </c>
      <c r="B156" s="3" t="str">
        <f>LOWER(VLOOKUP(A156,Xtal_Templ!A:B,2,FALSE))</f>
        <v>p2y12_human</v>
      </c>
      <c r="C156" s="3">
        <f>VLOOKUP($A156,'SegEnds_NonXtal_BW#'!$A:$Z,3,FALSE)+D156-50</f>
        <v>38</v>
      </c>
      <c r="D156" s="3">
        <v>60</v>
      </c>
      <c r="E156" s="3">
        <f>IF(ISERROR(VLOOKUP($A156,'SegEnds_NonXtal_BW#'!$A:$Z,4,FALSE)+VLOOKUP($A156,A:AL,4,FALSE)-50),"-",(VLOOKUP($A156,'SegEnds_NonXtal_BW#'!$A:$Z,4,FALSE)+VLOOKUP($A156,A:AL,4,FALSE)-50))</f>
        <v>70</v>
      </c>
      <c r="F156" s="3" t="str">
        <f>IF(ISERROR(VLOOKUP($A156,'SegEnds_NonXtal_BW#'!$A:$Z,5,FALSE)+VLOOKUP($A156,A:AL,7,FALSE)-50),"-",(VLOOKUP($A156,'SegEnds_NonXtal_BW#'!$A:$Z,5,FALSE)+VLOOKUP($A156,A:AL,7,FALSE)-50))</f>
        <v>-</v>
      </c>
      <c r="G156" s="3" t="s">
        <v>23</v>
      </c>
      <c r="H156" s="3" t="str">
        <f>IF(ISERROR(VLOOKUP($A156,'SegEnds_NonXtal_BW#'!$A:$Z,6,FALSE)+VLOOKUP($A156,A:AL,7,FALSE)-50),"-",(VLOOKUP($A156,'SegEnds_NonXtal_BW#'!$A:$Z,6,FALSE)+VLOOKUP($A156,A:AL,7,FALSE)-50))</f>
        <v>-</v>
      </c>
      <c r="I156" s="3">
        <f>VLOOKUP($A156,'SegEnds_NonXtal_BW#'!$A:$Z,7,FALSE)+J156-50</f>
        <v>74</v>
      </c>
      <c r="J156" s="3">
        <v>87</v>
      </c>
      <c r="K156" s="3">
        <f>VLOOKUP($A156,'SegEnds_NonXtal_BW#'!$A:$Z,8,FALSE)+VLOOKUP($A156,A:AL,10,FALSE)-50</f>
        <v>103</v>
      </c>
      <c r="L156" s="3">
        <f>M156-1</f>
        <v>106</v>
      </c>
      <c r="M156" s="3">
        <v>107</v>
      </c>
      <c r="N156" s="3">
        <f>M156+2</f>
        <v>109</v>
      </c>
      <c r="O156" s="3">
        <f>N156+1</f>
        <v>110</v>
      </c>
      <c r="P156" s="3">
        <v>139</v>
      </c>
      <c r="Q156" s="3">
        <f>VLOOKUP($A156,'SegEnds_NonXtal_BW#'!$A:$Z,12,FALSE)+VLOOKUP($A156,A:AL,16,FALSE)-50</f>
        <v>145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>
        <f>IF(ISERROR(VLOOKUP($A156,'SegEnds_NonXtal_BW#'!$A:$Z,17,FALSE)+VLOOKUP($A156,A:AL,25,FALSE)-50),"-",(VLOOKUP($A156,'SegEnds_NonXtal_BW#'!$A:$Z,17,FALSE)+VLOOKUP($A156,A:AL,25,FALSE)-50))</f>
        <v>192</v>
      </c>
      <c r="Y156" s="3">
        <v>192</v>
      </c>
      <c r="Z156" s="3">
        <f>Y156+2</f>
        <v>194</v>
      </c>
      <c r="AA156" s="3">
        <f>IF(ISERROR(VLOOKUP($A156,'SegEnds_NonXtal_BW#'!$A:$Z,19,FALSE)+VLOOKUP($A156,A:AL,28,FALSE)-50),"-",(VLOOKUP($A156,'SegEnds_NonXtal_BW#'!$A:$Z,19,FALSE)+VLOOKUP($A156,A:AL,28,FALSE)-50))</f>
        <v>198</v>
      </c>
      <c r="AB156" s="3">
        <v>218</v>
      </c>
      <c r="AC156" s="3">
        <f>IF(ISERROR((VLOOKUP($A156,'SegEnds_NonXtal_BW#'!$A:$Z,20,FALSE)+VLOOKUP($A156,A:AL,28,FALSE)-50)),"-",(VLOOKUP($A156,'SegEnds_NonXtal_BW#'!$A:$Z,20,FALSE)+VLOOKUP($A156,A:AL,28,FALSE)-50))</f>
        <v>236</v>
      </c>
      <c r="AD156" s="3">
        <f>IF(ISERROR(VLOOKUP($A156,'SegEnds_NonXtal_BW#'!$A:$Z,21,FALSE)+VLOOKUP($A156,A:AL,31,FALSE)-50),"-",(VLOOKUP($A156,'SegEnds_NonXtal_BW#'!$A:$Z,21,FALSE)+VLOOKUP($A156,A:AL,31,FALSE)-50))</f>
        <v>241</v>
      </c>
      <c r="AE156" s="3">
        <v>267</v>
      </c>
      <c r="AF156" s="3">
        <f>IF(ISERROR((VLOOKUP($A156,'SegEnds_NonXtal_BW#'!$A:$Z,22,FALSE)+VLOOKUP($A156,A:AL,31,FALSE)-50)),"-",(VLOOKUP($A156,'SegEnds_NonXtal_BW#'!$A:$Z,22,FALSE)+VLOOKUP($A156,A:AL,31,FALSE)-50))</f>
        <v>281</v>
      </c>
      <c r="AG156" s="3">
        <f>IF(ISERROR(VLOOKUP($A156,'SegEnds_NonXtal_BW#'!$A:$Z,23,FALSE)+VLOOKUP($A156,A:AL,34,FALSE)-50),"-",(VLOOKUP($A156,'SegEnds_NonXtal_BW#'!$A:$Z,23,FALSE)+VLOOKUP($A156,A:AL,34,FALSE)-50))</f>
        <v>285</v>
      </c>
      <c r="AH156" s="3">
        <v>311</v>
      </c>
      <c r="AI156" s="3">
        <f>IF(ISERROR((VLOOKUP($A156,'SegEnds_NonXtal_BW#'!$A:$Z,24,FALSE)+VLOOKUP($A156,A:AL,34,FALSE)-50)),"-",(VLOOKUP($A156,'SegEnds_NonXtal_BW#'!$A:$Z,24,FALSE)+VLOOKUP($A156,A:AL,34,FALSE)-50))</f>
        <v>317</v>
      </c>
      <c r="AJ156" s="3">
        <f>IF(ISERROR(VLOOKUP($A156,'SegEnds_NonXtal_BW#'!$A:$Z,25,FALSE)+VLOOKUP($A156,A:AL,37,FALSE)-50),"-",(VLOOKUP($A156,'SegEnds_NonXtal_BW#'!$A:$Z,25,FALSE)+VLOOKUP($A156,A:AL,37,FALSE)-50))</f>
        <v>318</v>
      </c>
      <c r="AK156" s="3">
        <v>321</v>
      </c>
      <c r="AL156" s="3">
        <f>IF(ISERROR((VLOOKUP($A156,'SegEnds_NonXtal_BW#'!$A:$Z,26,FALSE)+VLOOKUP($A156,A:AL,37,FALSE)-50)),"-",(VLOOKUP($A156,'SegEnds_NonXtal_BW#'!$A:$Z,26,FALSE)+VLOOKUP($A156,A:AL,37,FALSE)-50))</f>
        <v>328</v>
      </c>
      <c r="AM156" s="28" t="str">
        <f>VLOOKUP(A156,Classification!A:B,2,FALSE)</f>
        <v>A</v>
      </c>
      <c r="AN156" s="28" t="b">
        <f t="shared" si="121"/>
        <v>1</v>
      </c>
      <c r="AO156" s="3" t="str">
        <f>IF(ISERROR(MATCH(A156,'SegEnds_Xtal_Prot#'!B:B, 0)), "NoXtal", "Xtal")</f>
        <v>NoXtal</v>
      </c>
      <c r="AP156" s="3" t="str">
        <f t="shared" si="104"/>
        <v>-</v>
      </c>
      <c r="AQ156" s="3" t="str">
        <f t="shared" si="105"/>
        <v>-</v>
      </c>
      <c r="AR156" s="3">
        <f t="shared" si="106"/>
        <v>3</v>
      </c>
      <c r="AS156" s="3">
        <f t="shared" si="107"/>
        <v>1</v>
      </c>
      <c r="AT156" s="3">
        <f t="shared" si="108"/>
        <v>1</v>
      </c>
      <c r="AU156" s="3">
        <f t="shared" si="109"/>
        <v>1</v>
      </c>
      <c r="AV156" s="3">
        <f t="shared" si="110"/>
        <v>12</v>
      </c>
      <c r="AW156" s="3">
        <f t="shared" si="111"/>
        <v>4</v>
      </c>
      <c r="AX156" s="3">
        <f t="shared" si="112"/>
        <v>5</v>
      </c>
      <c r="AY156" s="3">
        <f t="shared" si="113"/>
        <v>4</v>
      </c>
      <c r="AZ156" s="3">
        <f t="shared" si="114"/>
        <v>1</v>
      </c>
      <c r="BA156" s="3">
        <f>IF(ISERROR(LEN(VLOOKUP(A156,Seqs!A:E,2,FALSE))-AL156),"-",LEN(VLOOKUP(A156,Seqs!A:E,2,FALSE))-AL156)</f>
        <v>30</v>
      </c>
      <c r="BB156" s="16">
        <f t="shared" si="115"/>
        <v>27</v>
      </c>
      <c r="BC156" s="9">
        <f t="shared" si="116"/>
        <v>20</v>
      </c>
      <c r="BD156" s="3">
        <f t="shared" si="117"/>
        <v>27</v>
      </c>
      <c r="BE156" s="3">
        <f t="shared" si="118"/>
        <v>49</v>
      </c>
    </row>
    <row r="157" spans="1:58" s="3" customFormat="1" x14ac:dyDescent="0.2">
      <c r="A157" s="3" t="s">
        <v>272</v>
      </c>
      <c r="B157" s="3" t="str">
        <f>LOWER(VLOOKUP(A157,Xtal_Templ!A:B,2,FALSE))</f>
        <v>ox1r_human</v>
      </c>
      <c r="C157" s="3">
        <f>VLOOKUP($A157,'SegEnds_NonXtal_BW#'!$A:$Z,3,FALSE)+D157-50</f>
        <v>31</v>
      </c>
      <c r="D157" s="3">
        <v>49</v>
      </c>
      <c r="E157" s="3">
        <f>IF(ISERROR(VLOOKUP($A157,'SegEnds_NonXtal_BW#'!$A:$Z,4,FALSE)+VLOOKUP($A157,A:AL,4,FALSE)-50),"-",(VLOOKUP($A157,'SegEnds_NonXtal_BW#'!$A:$Z,4,FALSE)+VLOOKUP($A157,A:AL,4,FALSE)-50))</f>
        <v>59</v>
      </c>
      <c r="F157" s="3">
        <f>G157-2</f>
        <v>60</v>
      </c>
      <c r="G157" s="3">
        <v>62</v>
      </c>
      <c r="H157" s="3">
        <f>G157+1</f>
        <v>63</v>
      </c>
      <c r="I157" s="3">
        <f>H157+1</f>
        <v>64</v>
      </c>
      <c r="J157" s="3">
        <v>77</v>
      </c>
      <c r="K157" s="3">
        <f>VLOOKUP($A157,'SegEnds_NonXtal_BW#'!$A:$Z,8,FALSE)+VLOOKUP($A157,A:AL,10,FALSE)-50</f>
        <v>95</v>
      </c>
      <c r="L157" s="3" t="str">
        <f>IF(ISERROR(VLOOKUP($A157,'SegEnds_NonXtal_BW#'!$A:$Z,9,FALSE)+VLOOKUP($A157,A:AL,13,FALSE)-50),"-",(VLOOKUP($A157,'SegEnds_NonXtal_BW#'!$A:$Z,9,FALSE)+VLOOKUP($A157,A:AL,13,FALSE)-50))</f>
        <v>-</v>
      </c>
      <c r="M157" s="3" t="s">
        <v>23</v>
      </c>
      <c r="N157" s="3" t="str">
        <f>IF(ISERROR(VLOOKUP($A157,'SegEnds_NonXtal_BW#'!$A:$Z,10,FALSE)+VLOOKUP($A157,A:AL,13,FALSE)-50),"-",(VLOOKUP($A157,'SegEnds_NonXtal_BW#'!$A:$Z,10,FALSE)+VLOOKUP($A157,A:AL,13,FALSE)-50))</f>
        <v>-</v>
      </c>
      <c r="O157" s="3">
        <f>VLOOKUP($A157,'SegEnds_NonXtal_BW#'!$A:$Z,11,FALSE)+VLOOKUP($A157,A:AL,16,FALSE)-50</f>
        <v>106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146</v>
      </c>
      <c r="S157" s="3">
        <v>146</v>
      </c>
      <c r="T157" s="100">
        <f>IF(ISERROR(VLOOKUP($A157,'SegEnds_NonXtal_BW#'!$A:$Z,14,FALSE)+VLOOKUP($A157,A:AL,19,FALSE)-50),"-",(VLOOKUP($A157,'SegEnds_NonXtal_BW#'!$A:$Z,14,FALSE)+VLOOKUP($A157,A:AL,19,FALSE)-50))</f>
        <v>153</v>
      </c>
      <c r="U157" s="9">
        <f>IF(ISERROR(VLOOKUP($A157,'SegEnds_NonXtal_BW#'!$A:$Z,15,FALSE)+VLOOKUP($A157,A:AL,22,FALSE)-50),"-",VLOOKUP($A157,'SegEnds_NonXtal_BW#'!$A:$Z,15,FALSE)+VLOOKUP($A157,A:AL,22,FALSE)-50)</f>
        <v>154</v>
      </c>
      <c r="V157" s="3">
        <v>166</v>
      </c>
      <c r="W157" s="3">
        <f>IF(ISERROR(VLOOKUP($A157,'SegEnds_NonXtal_BW#'!$A:$Z,16,FALSE)+VLOOKUP($A157,A:AL,22,FALSE)-50),"-",(VLOOKUP($A157,'SegEnds_NonXtal_BW#'!$A:$Z,16,FALSE)+VLOOKUP($A157,A:AL,22,FALSE)-50))</f>
        <v>180</v>
      </c>
      <c r="X157" s="3" t="str">
        <f>IF(ISERROR(VLOOKUP($A157,'SegEnds_NonXtal_BW#'!$A:$Z,17,FALSE)+VLOOKUP($A157,A:AL,25,FALSE)-50),"-",(VLOOKUP($A157,'SegEnds_NonXtal_BW#'!$A:$Z,17,FALSE)+VLOOKUP($A157,A:AL,25,FALSE)-50))</f>
        <v>-</v>
      </c>
      <c r="Y157" s="3" t="s">
        <v>23</v>
      </c>
      <c r="Z157" s="3" t="str">
        <f>IF(ISERROR(VLOOKUP($A157,'SegEnds_NonXtal_BW#'!$A:$Z,18,FALSE)+VLOOKUP($A157,A:AL,25,FALSE)-50),"-",(VLOOKUP($A157,'SegEnds_NonXtal_BW#'!$A:$Z,18,FALSE)+VLOOKUP($A157,A:AL,25,FALSE)-50))</f>
        <v>-</v>
      </c>
      <c r="AA157" s="3">
        <f>IF(ISERROR(VLOOKUP($A157,'SegEnds_NonXtal_BW#'!$A:$Z,19,FALSE)+VLOOKUP($A157,A:AL,28,FALSE)-50),"-",(VLOOKUP($A157,'SegEnds_NonXtal_BW#'!$A:$Z,19,FALSE)+VLOOKUP($A157,A:AL,28,FALSE)-50))</f>
        <v>223</v>
      </c>
      <c r="AB157" s="3">
        <v>238</v>
      </c>
      <c r="AC157" s="3">
        <f>IF(ISERROR((VLOOKUP($A157,'SegEnds_NonXtal_BW#'!$A:$Z,20,FALSE)+VLOOKUP($A157,A:AL,28,FALSE)-50)),"-",(VLOOKUP($A157,'SegEnds_NonXtal_BW#'!$A:$Z,20,FALSE)+VLOOKUP($A157,A:AL,28,FALSE)-50))</f>
        <v>262</v>
      </c>
      <c r="AD157" s="3">
        <f>IF(ISERROR(VLOOKUP($A157,'SegEnds_NonXtal_BW#'!$A:$Z,21,FALSE)+VLOOKUP($A157,A:AL,31,FALSE)-50),"-",(VLOOKUP($A157,'SegEnds_NonXtal_BW#'!$A:$Z,21,FALSE)+VLOOKUP($A157,A:AL,31,FALSE)-50))</f>
        <v>270</v>
      </c>
      <c r="AE157" s="3">
        <v>299</v>
      </c>
      <c r="AF157" s="3">
        <f>IF(ISERROR((VLOOKUP($A157,'SegEnds_NonXtal_BW#'!$A:$Z,22,FALSE)+VLOOKUP($A157,A:AL,31,FALSE)-50)),"-",(VLOOKUP($A157,'SegEnds_NonXtal_BW#'!$A:$Z,22,FALSE)+VLOOKUP($A157,A:AL,31,FALSE)-50))</f>
        <v>310</v>
      </c>
      <c r="AG157" s="3">
        <f>IF(ISERROR(VLOOKUP($A157,'SegEnds_NonXtal_BW#'!$A:$Z,23,FALSE)+VLOOKUP($A157,A:AL,34,FALSE)-50),"-",(VLOOKUP($A157,'SegEnds_NonXtal_BW#'!$A:$Z,23,FALSE)+VLOOKUP($A157,A:AL,34,FALSE)-50))</f>
        <v>315</v>
      </c>
      <c r="AH157" s="3">
        <v>333</v>
      </c>
      <c r="AI157" s="3">
        <f>IF(ISERROR((VLOOKUP($A157,'SegEnds_NonXtal_BW#'!$A:$Z,24,FALSE)+VLOOKUP($A157,A:AL,34,FALSE)-50)),"-",(VLOOKUP($A157,'SegEnds_NonXtal_BW#'!$A:$Z,24,FALSE)+VLOOKUP($A157,A:AL,34,FALSE)-50))</f>
        <v>339</v>
      </c>
      <c r="AJ157" s="3">
        <f>IF(ISERROR(VLOOKUP($A157,'SegEnds_NonXtal_BW#'!$A:$Z,25,FALSE)+VLOOKUP($A157,A:AL,37,FALSE)-50),"-",(VLOOKUP($A157,'SegEnds_NonXtal_BW#'!$A:$Z,25,FALSE)+VLOOKUP($A157,A:AL,37,FALSE)-50))</f>
        <v>340</v>
      </c>
      <c r="AK157" s="3">
        <v>343</v>
      </c>
      <c r="AL157" s="3">
        <f>IF(ISERROR((VLOOKUP($A157,'SegEnds_NonXtal_BW#'!$A:$Z,26,FALSE)+VLOOKUP($A157,A:AL,37,FALSE)-50)),"-",(VLOOKUP($A157,'SegEnds_NonXtal_BW#'!$A:$Z,26,FALSE)+VLOOKUP($A157,A:AL,37,FALSE)-50))</f>
        <v>356</v>
      </c>
      <c r="AM157" s="28" t="str">
        <f>VLOOKUP(A157,Classification!A:B,2,FALSE)</f>
        <v>A</v>
      </c>
      <c r="AN157" s="28" t="b">
        <f t="shared" si="121"/>
        <v>1</v>
      </c>
      <c r="AO157" s="3" t="str">
        <f>IF(ISERROR(MATCH(A157,'SegEnds_Xtal_Prot#'!B:B, 0)), "NoXtal", "Xtal")</f>
        <v>NoXtal</v>
      </c>
      <c r="AP157" s="3">
        <f t="shared" si="104"/>
        <v>1</v>
      </c>
      <c r="AQ157" s="3">
        <f t="shared" si="105"/>
        <v>1</v>
      </c>
      <c r="AR157" s="3" t="str">
        <f t="shared" si="106"/>
        <v>-</v>
      </c>
      <c r="AS157" s="3" t="str">
        <f t="shared" si="107"/>
        <v>-</v>
      </c>
      <c r="AT157" s="3">
        <f t="shared" si="108"/>
        <v>2</v>
      </c>
      <c r="AU157" s="3">
        <f t="shared" si="109"/>
        <v>1</v>
      </c>
      <c r="AV157" s="3" t="str">
        <f t="shared" si="110"/>
        <v>-</v>
      </c>
      <c r="AW157" s="3" t="str">
        <f t="shared" si="111"/>
        <v>-</v>
      </c>
      <c r="AX157" s="3">
        <f t="shared" si="112"/>
        <v>8</v>
      </c>
      <c r="AY157" s="3">
        <f t="shared" si="113"/>
        <v>5</v>
      </c>
      <c r="AZ157" s="3">
        <f t="shared" si="114"/>
        <v>1</v>
      </c>
      <c r="BA157" s="3">
        <f>IF(ISERROR(LEN(VLOOKUP(A157,Seqs!A:E,2,FALSE))-AL157),"-",LEN(VLOOKUP(A157,Seqs!A:E,2,FALSE))-AL157)</f>
        <v>28</v>
      </c>
      <c r="BB157" s="16">
        <f t="shared" si="115"/>
        <v>28</v>
      </c>
      <c r="BC157" s="9">
        <f t="shared" si="116"/>
        <v>20</v>
      </c>
      <c r="BD157" s="3">
        <f t="shared" si="117"/>
        <v>28</v>
      </c>
      <c r="BE157" s="3">
        <f t="shared" si="118"/>
        <v>61</v>
      </c>
    </row>
    <row r="158" spans="1:58" s="3" customFormat="1" x14ac:dyDescent="0.2">
      <c r="A158" s="3" t="s">
        <v>273</v>
      </c>
      <c r="B158" s="3" t="str">
        <f>LOWER(VLOOKUP(A158,Xtal_Templ!A:B,2,FALSE))</f>
        <v>ednrb_human</v>
      </c>
      <c r="C158" s="3">
        <f>VLOOKUP($A158,'SegEnds_NonXtal_BW#'!$A:$Z,3,FALSE)+D158-50</f>
        <v>30</v>
      </c>
      <c r="D158" s="3">
        <v>58</v>
      </c>
      <c r="E158" s="3">
        <f>IF(ISERROR(VLOOKUP($A158,'SegEnds_NonXtal_BW#'!$A:$Z,4,FALSE)+VLOOKUP($A158,A:AL,4,FALSE)-50),"-",(VLOOKUP($A158,'SegEnds_NonXtal_BW#'!$A:$Z,4,FALSE)+VLOOKUP($A158,A:AL,4,FALSE)-50))</f>
        <v>68</v>
      </c>
      <c r="F158" s="3">
        <f>G158-2</f>
        <v>69</v>
      </c>
      <c r="G158" s="3">
        <v>71</v>
      </c>
      <c r="H158" s="3">
        <f>G158+1</f>
        <v>72</v>
      </c>
      <c r="I158" s="3">
        <f>H158+1</f>
        <v>73</v>
      </c>
      <c r="J158" s="3">
        <v>86</v>
      </c>
      <c r="K158" s="3">
        <f>VLOOKUP($A158,'SegEnds_NonXtal_BW#'!$A:$Z,8,FALSE)+VLOOKUP($A158,A:AL,10,FALSE)-50</f>
        <v>103</v>
      </c>
      <c r="L158" s="3">
        <f t="shared" ref="L158:L164" si="123">M158-1</f>
        <v>105</v>
      </c>
      <c r="M158" s="3">
        <v>106</v>
      </c>
      <c r="N158" s="3">
        <f t="shared" ref="N158:N164" si="124">M158+2</f>
        <v>108</v>
      </c>
      <c r="O158" s="3">
        <f t="shared" ref="O158:O164" si="125">N158+1</f>
        <v>109</v>
      </c>
      <c r="P158" s="3">
        <v>138</v>
      </c>
      <c r="Q158" s="3">
        <f>VLOOKUP($A158,'SegEnds_NonXtal_BW#'!$A:$Z,12,FALSE)+VLOOKUP($A158,A:AL,16,FALSE)-50</f>
        <v>144</v>
      </c>
      <c r="R158" s="3">
        <f>IF(ISERROR(VLOOKUP($A158,'SegEnds_NonXtal_BW#'!$A:$Z,13,FALSE)+VLOOKUP($A158,A:AL,19,FALSE)-50),"-",VLOOKUP($A158,'SegEnds_NonXtal_BW#'!$A:$Z,13,FALSE)+VLOOKUP($A158,A:AL,19,FALSE)-50)</f>
        <v>145</v>
      </c>
      <c r="S158" s="3">
        <v>145</v>
      </c>
      <c r="T158" s="100">
        <f>IF(ISERROR(VLOOKUP($A158,'SegEnds_NonXtal_BW#'!$A:$Z,14,FALSE)+VLOOKUP($A158,A:AL,19,FALSE)-50),"-",(VLOOKUP($A158,'SegEnds_NonXtal_BW#'!$A:$Z,14,FALSE)+VLOOKUP($A158,A:AL,19,FALSE)-50))</f>
        <v>152</v>
      </c>
      <c r="U158" s="9">
        <f>IF(ISERROR(VLOOKUP($A158,'SegEnds_NonXtal_BW#'!$A:$Z,15,FALSE)+VLOOKUP($A158,A:AL,22,FALSE)-50),"-",VLOOKUP($A158,'SegEnds_NonXtal_BW#'!$A:$Z,15,FALSE)+VLOOKUP($A158,A:AL,22,FALSE)-50)</f>
        <v>153</v>
      </c>
      <c r="V158" s="3">
        <v>165</v>
      </c>
      <c r="W158" s="3">
        <f>IF(ISERROR(VLOOKUP($A158,'SegEnds_NonXtal_BW#'!$A:$Z,16,FALSE)+VLOOKUP($A158,A:AL,22,FALSE)-50),"-",(VLOOKUP($A158,'SegEnds_NonXtal_BW#'!$A:$Z,16,FALSE)+VLOOKUP($A158,A:AL,22,FALSE)-50))</f>
        <v>179</v>
      </c>
      <c r="X158" s="3">
        <f>IF(ISERROR(VLOOKUP($A158,'SegEnds_NonXtal_BW#'!$A:$Z,17,FALSE)+VLOOKUP($A158,A:AL,25,FALSE)-50),"-",(VLOOKUP($A158,'SegEnds_NonXtal_BW#'!$A:$Z,17,FALSE)+VLOOKUP($A158,A:AL,25,FALSE)-50))</f>
        <v>196</v>
      </c>
      <c r="Y158" s="3">
        <v>196</v>
      </c>
      <c r="Z158" s="3">
        <f t="shared" ref="Z158:Z173" si="126">Y158+2</f>
        <v>198</v>
      </c>
      <c r="AA158" s="3">
        <f>IF(ISERROR(VLOOKUP($A158,'SegEnds_NonXtal_BW#'!$A:$Z,19,FALSE)+VLOOKUP($A158,A:AL,28,FALSE)-50),"-",(VLOOKUP($A158,'SegEnds_NonXtal_BW#'!$A:$Z,19,FALSE)+VLOOKUP($A158,A:AL,28,FALSE)-50))</f>
        <v>200</v>
      </c>
      <c r="AB158" s="3">
        <v>222</v>
      </c>
      <c r="AC158" s="3">
        <f>IF(ISERROR((VLOOKUP($A158,'SegEnds_NonXtal_BW#'!$A:$Z,20,FALSE)+VLOOKUP($A158,A:AL,28,FALSE)-50)),"-",(VLOOKUP($A158,'SegEnds_NonXtal_BW#'!$A:$Z,20,FALSE)+VLOOKUP($A158,A:AL,28,FALSE)-50))</f>
        <v>245</v>
      </c>
      <c r="AD158" s="3">
        <f>IF(ISERROR(VLOOKUP($A158,'SegEnds_NonXtal_BW#'!$A:$Z,21,FALSE)+VLOOKUP($A158,A:AL,31,FALSE)-50),"-",(VLOOKUP($A158,'SegEnds_NonXtal_BW#'!$A:$Z,21,FALSE)+VLOOKUP($A158,A:AL,31,FALSE)-50))</f>
        <v>251</v>
      </c>
      <c r="AE158" s="3">
        <v>279</v>
      </c>
      <c r="AF158" s="3">
        <f>IF(ISERROR((VLOOKUP($A158,'SegEnds_NonXtal_BW#'!$A:$Z,22,FALSE)+VLOOKUP($A158,A:AL,31,FALSE)-50)),"-",(VLOOKUP($A158,'SegEnds_NonXtal_BW#'!$A:$Z,22,FALSE)+VLOOKUP($A158,A:AL,31,FALSE)-50))</f>
        <v>290</v>
      </c>
      <c r="AG158" s="3">
        <f>IF(ISERROR(VLOOKUP($A158,'SegEnds_NonXtal_BW#'!$A:$Z,23,FALSE)+VLOOKUP($A158,A:AL,34,FALSE)-50),"-",(VLOOKUP($A158,'SegEnds_NonXtal_BW#'!$A:$Z,23,FALSE)+VLOOKUP($A158,A:AL,34,FALSE)-50))</f>
        <v>297</v>
      </c>
      <c r="AH158" s="3">
        <v>319</v>
      </c>
      <c r="AI158" s="3">
        <f>IF(ISERROR((VLOOKUP($A158,'SegEnds_NonXtal_BW#'!$A:$Z,24,FALSE)+VLOOKUP($A158,A:AL,34,FALSE)-50)),"-",(VLOOKUP($A158,'SegEnds_NonXtal_BW#'!$A:$Z,24,FALSE)+VLOOKUP($A158,A:AL,34,FALSE)-50))</f>
        <v>325</v>
      </c>
      <c r="AJ158" s="3">
        <f>IF(ISERROR(VLOOKUP($A158,'SegEnds_NonXtal_BW#'!$A:$Z,25,FALSE)+VLOOKUP($A158,A:AL,37,FALSE)-50),"-",(VLOOKUP($A158,'SegEnds_NonXtal_BW#'!$A:$Z,25,FALSE)+VLOOKUP($A158,A:AL,37,FALSE)-50))</f>
        <v>326</v>
      </c>
      <c r="AK158" s="3">
        <v>329</v>
      </c>
      <c r="AL158" s="3">
        <f>IF(ISERROR((VLOOKUP($A158,'SegEnds_NonXtal_BW#'!$A:$Z,26,FALSE)+VLOOKUP($A158,A:AL,37,FALSE)-50)),"-",(VLOOKUP($A158,'SegEnds_NonXtal_BW#'!$A:$Z,26,FALSE)+VLOOKUP($A158,A:AL,37,FALSE)-50))</f>
        <v>339</v>
      </c>
      <c r="AM158" s="28" t="str">
        <f>VLOOKUP(A158,Classification!A:B,2,FALSE)</f>
        <v>A</v>
      </c>
      <c r="AN158" s="28" t="b">
        <f t="shared" si="121"/>
        <v>1</v>
      </c>
      <c r="AO158" s="3" t="str">
        <f>IF(ISERROR(MATCH(A158,'SegEnds_Xtal_Prot#'!B:B, 0)), "NoXtal", "Xtal")</f>
        <v>NoXtal</v>
      </c>
      <c r="AP158" s="3">
        <f t="shared" si="104"/>
        <v>1</v>
      </c>
      <c r="AQ158" s="3">
        <f t="shared" si="105"/>
        <v>1</v>
      </c>
      <c r="AR158" s="3">
        <f t="shared" si="106"/>
        <v>2</v>
      </c>
      <c r="AS158" s="3">
        <f t="shared" si="107"/>
        <v>1</v>
      </c>
      <c r="AT158" s="3">
        <f t="shared" si="108"/>
        <v>1</v>
      </c>
      <c r="AU158" s="3">
        <f t="shared" si="109"/>
        <v>1</v>
      </c>
      <c r="AV158" s="3">
        <f t="shared" si="110"/>
        <v>17</v>
      </c>
      <c r="AW158" s="3">
        <f t="shared" si="111"/>
        <v>2</v>
      </c>
      <c r="AX158" s="3">
        <f t="shared" si="112"/>
        <v>6</v>
      </c>
      <c r="AY158" s="3">
        <f t="shared" si="113"/>
        <v>7</v>
      </c>
      <c r="AZ158" s="3">
        <f t="shared" si="114"/>
        <v>1</v>
      </c>
      <c r="BA158" s="3">
        <f>IF(ISERROR(LEN(VLOOKUP(A158,Seqs!A:E,2,FALSE))-AL158),"-",LEN(VLOOKUP(A158,Seqs!A:E,2,FALSE))-AL158)</f>
        <v>45</v>
      </c>
      <c r="BB158" s="16">
        <f t="shared" si="115"/>
        <v>28</v>
      </c>
      <c r="BC158" s="9">
        <f t="shared" si="116"/>
        <v>20</v>
      </c>
      <c r="BD158" s="3">
        <f t="shared" si="117"/>
        <v>28</v>
      </c>
      <c r="BE158" s="3">
        <f t="shared" si="118"/>
        <v>57</v>
      </c>
    </row>
    <row r="159" spans="1:58" s="3" customFormat="1" x14ac:dyDescent="0.2">
      <c r="A159" s="3" t="s">
        <v>274</v>
      </c>
      <c r="B159" s="3" t="str">
        <f>LOWER(VLOOKUP(A159,Xtal_Templ!A:B,2,FALSE))</f>
        <v>p2ry1_human</v>
      </c>
      <c r="C159" s="3">
        <f>VLOOKUP($A159,'SegEnds_NonXtal_BW#'!$A:$Z,3,FALSE)+D159-50</f>
        <v>13</v>
      </c>
      <c r="D159" s="3">
        <v>33</v>
      </c>
      <c r="E159" s="3">
        <f>IF(ISERROR(VLOOKUP($A159,'SegEnds_NonXtal_BW#'!$A:$Z,4,FALSE)+VLOOKUP($A159,A:AL,4,FALSE)-50),"-",(VLOOKUP($A159,'SegEnds_NonXtal_BW#'!$A:$Z,4,FALSE)+VLOOKUP($A159,A:AL,4,FALSE)-50))</f>
        <v>43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48</v>
      </c>
      <c r="J159" s="3">
        <v>61</v>
      </c>
      <c r="K159" s="3">
        <f>VLOOKUP($A159,'SegEnds_NonXtal_BW#'!$A:$Z,8,FALSE)+VLOOKUP($A159,A:AL,10,FALSE)-50</f>
        <v>77</v>
      </c>
      <c r="L159" s="3">
        <f t="shared" si="123"/>
        <v>80</v>
      </c>
      <c r="M159" s="3">
        <v>81</v>
      </c>
      <c r="N159" s="3">
        <f t="shared" si="124"/>
        <v>83</v>
      </c>
      <c r="O159" s="3">
        <f t="shared" si="125"/>
        <v>84</v>
      </c>
      <c r="P159" s="3">
        <v>113</v>
      </c>
      <c r="Q159" s="3">
        <f>VLOOKUP($A159,'SegEnds_NonXtal_BW#'!$A:$Z,12,FALSE)+VLOOKUP($A159,A:AL,16,FALSE)-50</f>
        <v>119</v>
      </c>
      <c r="R159" s="3">
        <f>IF(ISERROR(VLOOKUP($A159,'SegEnds_NonXtal_BW#'!$A:$Z,13,FALSE)+VLOOKUP($A159,A:AL,19,FALSE)-50),"-",VLOOKUP($A159,'SegEnds_NonXtal_BW#'!$A:$Z,13,FALSE)+VLOOKUP($A159,A:AL,19,FALSE)-50)</f>
        <v>120</v>
      </c>
      <c r="S159" s="3">
        <v>120</v>
      </c>
      <c r="T159" s="100">
        <f>IF(ISERROR(VLOOKUP($A159,'SegEnds_NonXtal_BW#'!$A:$Z,14,FALSE)+VLOOKUP($A159,A:AL,19,FALSE)-50),"-",(VLOOKUP($A159,'SegEnds_NonXtal_BW#'!$A:$Z,14,FALSE)+VLOOKUP($A159,A:AL,19,FALSE)-50))</f>
        <v>127</v>
      </c>
      <c r="U159" s="9">
        <f>IF(ISERROR(VLOOKUP($A159,'SegEnds_NonXtal_BW#'!$A:$Z,15,FALSE)+VLOOKUP($A159,A:AL,22,FALSE)-50),"-",VLOOKUP($A159,'SegEnds_NonXtal_BW#'!$A:$Z,15,FALSE)+VLOOKUP($A159,A:AL,22,FALSE)-50)</f>
        <v>128</v>
      </c>
      <c r="V159" s="3">
        <v>140</v>
      </c>
      <c r="W159" s="3">
        <f>IF(ISERROR(VLOOKUP($A159,'SegEnds_NonXtal_BW#'!$A:$Z,16,FALSE)+VLOOKUP($A159,A:AL,22,FALSE)-50),"-",(VLOOKUP($A159,'SegEnds_NonXtal_BW#'!$A:$Z,16,FALSE)+VLOOKUP($A159,A:AL,22,FALSE)-50))</f>
        <v>154</v>
      </c>
      <c r="X159" s="3">
        <f>IF(ISERROR(VLOOKUP($A159,'SegEnds_NonXtal_BW#'!$A:$Z,17,FALSE)+VLOOKUP($A159,A:AL,25,FALSE)-50),"-",(VLOOKUP($A159,'SegEnds_NonXtal_BW#'!$A:$Z,17,FALSE)+VLOOKUP($A159,A:AL,25,FALSE)-50))</f>
        <v>165</v>
      </c>
      <c r="Y159" s="3">
        <v>165</v>
      </c>
      <c r="Z159" s="3">
        <f t="shared" si="126"/>
        <v>167</v>
      </c>
      <c r="AA159" s="3">
        <f>IF(ISERROR(VLOOKUP($A159,'SegEnds_NonXtal_BW#'!$A:$Z,19,FALSE)+VLOOKUP($A159,A:AL,28,FALSE)-50),"-",(VLOOKUP($A159,'SegEnds_NonXtal_BW#'!$A:$Z,19,FALSE)+VLOOKUP($A159,A:AL,28,FALSE)-50))</f>
        <v>170</v>
      </c>
      <c r="AB159" s="3">
        <v>188</v>
      </c>
      <c r="AC159" s="3">
        <f>IF(ISERROR((VLOOKUP($A159,'SegEnds_NonXtal_BW#'!$A:$Z,20,FALSE)+VLOOKUP($A159,A:AL,28,FALSE)-50)),"-",(VLOOKUP($A159,'SegEnds_NonXtal_BW#'!$A:$Z,20,FALSE)+VLOOKUP($A159,A:AL,28,FALSE)-50))</f>
        <v>205</v>
      </c>
      <c r="AD159" s="3">
        <f>IF(ISERROR(VLOOKUP($A159,'SegEnds_NonXtal_BW#'!$A:$Z,21,FALSE)+VLOOKUP($A159,A:AL,31,FALSE)-50),"-",(VLOOKUP($A159,'SegEnds_NonXtal_BW#'!$A:$Z,21,FALSE)+VLOOKUP($A159,A:AL,31,FALSE)-50))</f>
        <v>211</v>
      </c>
      <c r="AE159" s="3">
        <v>235</v>
      </c>
      <c r="AF159" s="3">
        <f>IF(ISERROR((VLOOKUP($A159,'SegEnds_NonXtal_BW#'!$A:$Z,22,FALSE)+VLOOKUP($A159,A:AL,31,FALSE)-50)),"-",(VLOOKUP($A159,'SegEnds_NonXtal_BW#'!$A:$Z,22,FALSE)+VLOOKUP($A159,A:AL,31,FALSE)-50))</f>
        <v>246</v>
      </c>
      <c r="AG159" s="3">
        <f>IF(ISERROR(VLOOKUP($A159,'SegEnds_NonXtal_BW#'!$A:$Z,23,FALSE)+VLOOKUP($A159,A:AL,34,FALSE)-50),"-",(VLOOKUP($A159,'SegEnds_NonXtal_BW#'!$A:$Z,23,FALSE)+VLOOKUP($A159,A:AL,34,FALSE)-50))</f>
        <v>253</v>
      </c>
      <c r="AH159" s="3">
        <v>275</v>
      </c>
      <c r="AI159" s="3">
        <f>IF(ISERROR((VLOOKUP($A159,'SegEnds_NonXtal_BW#'!$A:$Z,24,FALSE)+VLOOKUP($A159,A:AL,34,FALSE)-50)),"-",(VLOOKUP($A159,'SegEnds_NonXtal_BW#'!$A:$Z,24,FALSE)+VLOOKUP($A159,A:AL,34,FALSE)-50))</f>
        <v>281</v>
      </c>
      <c r="AJ159" s="3">
        <f>IF(ISERROR(VLOOKUP($A159,'SegEnds_NonXtal_BW#'!$A:$Z,25,FALSE)+VLOOKUP($A159,A:AL,37,FALSE)-50),"-",(VLOOKUP($A159,'SegEnds_NonXtal_BW#'!$A:$Z,25,FALSE)+VLOOKUP($A159,A:AL,37,FALSE)-50))</f>
        <v>282</v>
      </c>
      <c r="AK159" s="3">
        <v>285</v>
      </c>
      <c r="AL159" s="3">
        <f>IF(ISERROR((VLOOKUP($A159,'SegEnds_NonXtal_BW#'!$A:$Z,26,FALSE)+VLOOKUP($A159,A:AL,37,FALSE)-50)),"-",(VLOOKUP($A159,'SegEnds_NonXtal_BW#'!$A:$Z,26,FALSE)+VLOOKUP($A159,A:AL,37,FALSE)-50))</f>
        <v>294</v>
      </c>
      <c r="AM159" s="28" t="str">
        <f>VLOOKUP(A159,Classification!A:B,2,FALSE)</f>
        <v>A</v>
      </c>
      <c r="AN159" s="28" t="b">
        <f t="shared" si="121"/>
        <v>1</v>
      </c>
      <c r="AO159" s="3" t="str">
        <f>IF(ISERROR(MATCH(A159,'SegEnds_Xtal_Prot#'!B:B, 0)), "NoXtal", "Xtal")</f>
        <v>NoXtal</v>
      </c>
      <c r="AP159" s="3" t="str">
        <f t="shared" si="104"/>
        <v>-</v>
      </c>
      <c r="AQ159" s="3" t="str">
        <f t="shared" si="105"/>
        <v>-</v>
      </c>
      <c r="AR159" s="3">
        <f t="shared" si="106"/>
        <v>3</v>
      </c>
      <c r="AS159" s="3">
        <f t="shared" si="107"/>
        <v>1</v>
      </c>
      <c r="AT159" s="3">
        <f t="shared" si="108"/>
        <v>1</v>
      </c>
      <c r="AU159" s="3">
        <f t="shared" si="109"/>
        <v>1</v>
      </c>
      <c r="AV159" s="3">
        <f t="shared" si="110"/>
        <v>11</v>
      </c>
      <c r="AW159" s="3">
        <f t="shared" si="111"/>
        <v>3</v>
      </c>
      <c r="AX159" s="3">
        <f t="shared" si="112"/>
        <v>6</v>
      </c>
      <c r="AY159" s="3">
        <f t="shared" si="113"/>
        <v>7</v>
      </c>
      <c r="AZ159" s="3">
        <f t="shared" si="114"/>
        <v>1</v>
      </c>
      <c r="BA159" s="3">
        <f>IF(ISERROR(LEN(VLOOKUP(A159,Seqs!A:E,2,FALSE))-AL159),"-",LEN(VLOOKUP(A159,Seqs!A:E,2,FALSE))-AL159)</f>
        <v>52</v>
      </c>
      <c r="BB159" s="16">
        <f t="shared" si="115"/>
        <v>28</v>
      </c>
      <c r="BC159" s="9">
        <f t="shared" si="116"/>
        <v>20</v>
      </c>
      <c r="BD159" s="3">
        <f t="shared" si="117"/>
        <v>28</v>
      </c>
      <c r="BE159" s="3">
        <f t="shared" si="118"/>
        <v>47</v>
      </c>
    </row>
    <row r="160" spans="1:58" s="3" customFormat="1" x14ac:dyDescent="0.2">
      <c r="A160" s="3" t="s">
        <v>275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23"/>
        <v>92</v>
      </c>
      <c r="M160" s="3">
        <v>93</v>
      </c>
      <c r="N160" s="3">
        <f t="shared" si="124"/>
        <v>95</v>
      </c>
      <c r="O160" s="3">
        <f t="shared" si="125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26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21"/>
        <v>1</v>
      </c>
      <c r="AO160" s="3" t="str">
        <f>IF(ISERROR(MATCH(A160,'SegEnds_Xtal_Prot#'!B:B, 0)), "NoXtal", "Xtal")</f>
        <v>NoXtal</v>
      </c>
      <c r="AP160" s="3" t="str">
        <f t="shared" si="104"/>
        <v>-</v>
      </c>
      <c r="AQ160" s="3" t="str">
        <f t="shared" si="105"/>
        <v>-</v>
      </c>
      <c r="AR160" s="3">
        <f t="shared" si="106"/>
        <v>3</v>
      </c>
      <c r="AS160" s="3">
        <f t="shared" si="107"/>
        <v>1</v>
      </c>
      <c r="AT160" s="3">
        <f t="shared" si="108"/>
        <v>1</v>
      </c>
      <c r="AU160" s="3">
        <f t="shared" si="109"/>
        <v>1</v>
      </c>
      <c r="AV160" s="3">
        <f t="shared" si="110"/>
        <v>11</v>
      </c>
      <c r="AW160" s="3">
        <f t="shared" si="111"/>
        <v>3</v>
      </c>
      <c r="AX160" s="3">
        <f t="shared" si="112"/>
        <v>5</v>
      </c>
      <c r="AY160" s="3">
        <f t="shared" si="113"/>
        <v>5</v>
      </c>
      <c r="AZ160" s="3">
        <f t="shared" si="114"/>
        <v>1</v>
      </c>
      <c r="BA160" s="3">
        <f>IF(ISERROR(LEN(VLOOKUP(A160,Seqs!A:E,2,FALSE))-AL160),"-",LEN(VLOOKUP(A160,Seqs!A:E,2,FALSE))-AL160)</f>
        <v>53</v>
      </c>
      <c r="BB160" s="16">
        <f t="shared" si="115"/>
        <v>28</v>
      </c>
      <c r="BC160" s="9">
        <f t="shared" si="116"/>
        <v>20</v>
      </c>
      <c r="BD160" s="3">
        <f t="shared" si="117"/>
        <v>28</v>
      </c>
      <c r="BE160" s="3">
        <f t="shared" si="118"/>
        <v>46</v>
      </c>
    </row>
    <row r="161" spans="1:58" s="3" customFormat="1" x14ac:dyDescent="0.2">
      <c r="A161" s="3" t="s">
        <v>276</v>
      </c>
      <c r="B161" s="3" t="str">
        <f>LOWER(VLOOKUP(A161,Xtal_Templ!A:B,2,FALSE))</f>
        <v>p2ry1_human</v>
      </c>
      <c r="C161" s="3">
        <f>VLOOKUP($A161,'SegEnds_NonXtal_BW#'!$A:$Z,3,FALSE)+D161-50</f>
        <v>25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 t="str">
        <f>IF(ISERROR(VLOOKUP($A161,'SegEnds_NonXtal_BW#'!$A:$Z,5,FALSE)+VLOOKUP($A161,A:AL,7,FALSE)-50),"-",(VLOOKUP($A161,'SegEnds_NonXtal_BW#'!$A:$Z,5,FALSE)+VLOOKUP($A161,A:AL,7,FALSE)-50))</f>
        <v>-</v>
      </c>
      <c r="G161" s="3" t="s">
        <v>23</v>
      </c>
      <c r="H161" s="3" t="str">
        <f>IF(ISERROR(VLOOKUP($A161,'SegEnds_NonXtal_BW#'!$A:$Z,6,FALSE)+VLOOKUP($A161,A:AL,7,FALSE)-50),"-",(VLOOKUP($A161,'SegEnds_NonXtal_BW#'!$A:$Z,6,FALSE)+VLOOKUP($A161,A:AL,7,FALSE)-50))</f>
        <v>-</v>
      </c>
      <c r="I161" s="3">
        <f>VLOOKUP($A161,'SegEnds_NonXtal_BW#'!$A:$Z,7,FALSE)+J161-50</f>
        <v>60</v>
      </c>
      <c r="J161" s="3">
        <v>73</v>
      </c>
      <c r="K161" s="3">
        <f>VLOOKUP($A161,'SegEnds_NonXtal_BW#'!$A:$Z,8,FALSE)+VLOOKUP($A161,A:AL,10,FALSE)-50</f>
        <v>89</v>
      </c>
      <c r="L161" s="3">
        <f t="shared" si="123"/>
        <v>92</v>
      </c>
      <c r="M161" s="3">
        <v>93</v>
      </c>
      <c r="N161" s="3">
        <f t="shared" si="124"/>
        <v>95</v>
      </c>
      <c r="O161" s="3">
        <f t="shared" si="125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166</v>
      </c>
      <c r="X161" s="3">
        <f>IF(ISERROR(VLOOKUP($A161,'SegEnds_NonXtal_BW#'!$A:$Z,17,FALSE)+VLOOKUP($A161,A:AL,25,FALSE)-50),"-",(VLOOKUP($A161,'SegEnds_NonXtal_BW#'!$A:$Z,17,FALSE)+VLOOKUP($A161,A:AL,25,FALSE)-50))</f>
        <v>177</v>
      </c>
      <c r="Y161" s="3">
        <v>177</v>
      </c>
      <c r="Z161" s="3">
        <f t="shared" si="126"/>
        <v>179</v>
      </c>
      <c r="AA161" s="3">
        <f>IF(ISERROR(VLOOKUP($A161,'SegEnds_NonXtal_BW#'!$A:$Z,19,FALSE)+VLOOKUP($A161,A:AL,28,FALSE)-50),"-",(VLOOKUP($A161,'SegEnds_NonXtal_BW#'!$A:$Z,19,FALSE)+VLOOKUP($A161,A:AL,28,FALSE)-50))</f>
        <v>182</v>
      </c>
      <c r="AB161" s="3">
        <v>200</v>
      </c>
      <c r="AC161" s="3">
        <f>IF(ISERROR((VLOOKUP($A161,'SegEnds_NonXtal_BW#'!$A:$Z,20,FALSE)+VLOOKUP($A161,A:AL,28,FALSE)-50)),"-",(VLOOKUP($A161,'SegEnds_NonXtal_BW#'!$A:$Z,20,FALSE)+VLOOKUP($A161,A:AL,28,FALSE)-50))</f>
        <v>217</v>
      </c>
      <c r="AD161" s="3">
        <f>IF(ISERROR(VLOOKUP($A161,'SegEnds_NonXtal_BW#'!$A:$Z,21,FALSE)+VLOOKUP($A161,A:AL,31,FALSE)-50),"-",(VLOOKUP($A161,'SegEnds_NonXtal_BW#'!$A:$Z,21,FALSE)+VLOOKUP($A161,A:AL,31,FALSE)-50))</f>
        <v>222</v>
      </c>
      <c r="AE161" s="3">
        <v>246</v>
      </c>
      <c r="AF161" s="3">
        <f>IF(ISERROR((VLOOKUP($A161,'SegEnds_NonXtal_BW#'!$A:$Z,22,FALSE)+VLOOKUP($A161,A:AL,31,FALSE)-50)),"-",(VLOOKUP($A161,'SegEnds_NonXtal_BW#'!$A:$Z,22,FALSE)+VLOOKUP($A161,A:AL,31,FALSE)-50))</f>
        <v>260</v>
      </c>
      <c r="AG161" s="3">
        <f>IF(ISERROR(VLOOKUP($A161,'SegEnds_NonXtal_BW#'!$A:$Z,23,FALSE)+VLOOKUP($A161,A:AL,34,FALSE)-50),"-",(VLOOKUP($A161,'SegEnds_NonXtal_BW#'!$A:$Z,23,FALSE)+VLOOKUP($A161,A:AL,34,FALSE)-50))</f>
        <v>265</v>
      </c>
      <c r="AH161" s="3">
        <v>291</v>
      </c>
      <c r="AI161" s="3">
        <f>IF(ISERROR((VLOOKUP($A161,'SegEnds_NonXtal_BW#'!$A:$Z,24,FALSE)+VLOOKUP($A161,A:AL,34,FALSE)-50)),"-",(VLOOKUP($A161,'SegEnds_NonXtal_BW#'!$A:$Z,24,FALSE)+VLOOKUP($A161,A:AL,34,FALSE)-50))</f>
        <v>297</v>
      </c>
      <c r="AJ161" s="3">
        <f>IF(ISERROR(VLOOKUP($A161,'SegEnds_NonXtal_BW#'!$A:$Z,25,FALSE)+VLOOKUP($A161,A:AL,37,FALSE)-50),"-",(VLOOKUP($A161,'SegEnds_NonXtal_BW#'!$A:$Z,25,FALSE)+VLOOKUP($A161,A:AL,37,FALSE)-50))</f>
        <v>298</v>
      </c>
      <c r="AK161" s="3">
        <v>301</v>
      </c>
      <c r="AL161" s="3">
        <f>IF(ISERROR((VLOOKUP($A161,'SegEnds_NonXtal_BW#'!$A:$Z,26,FALSE)+VLOOKUP($A161,A:AL,37,FALSE)-50)),"-",(VLOOKUP($A161,'SegEnds_NonXtal_BW#'!$A:$Z,26,FALSE)+VLOOKUP($A161,A:AL,37,FALSE)-50))</f>
        <v>310</v>
      </c>
      <c r="AM161" s="28" t="str">
        <f>VLOOKUP(A161,Classification!A:B,2,FALSE)</f>
        <v>A</v>
      </c>
      <c r="AN161" s="28" t="b">
        <f t="shared" si="121"/>
        <v>1</v>
      </c>
      <c r="AO161" s="3" t="str">
        <f>IF(ISERROR(MATCH(A161,'SegEnds_Xtal_Prot#'!B:B, 0)), "NoXtal", "Xtal")</f>
        <v>NoXtal</v>
      </c>
      <c r="AP161" s="3" t="str">
        <f t="shared" si="104"/>
        <v>-</v>
      </c>
      <c r="AQ161" s="3" t="str">
        <f t="shared" si="105"/>
        <v>-</v>
      </c>
      <c r="AR161" s="3">
        <f t="shared" si="106"/>
        <v>3</v>
      </c>
      <c r="AS161" s="3">
        <f t="shared" si="107"/>
        <v>1</v>
      </c>
      <c r="AT161" s="3">
        <f t="shared" si="108"/>
        <v>1</v>
      </c>
      <c r="AU161" s="3">
        <f t="shared" si="109"/>
        <v>1</v>
      </c>
      <c r="AV161" s="3">
        <f t="shared" si="110"/>
        <v>11</v>
      </c>
      <c r="AW161" s="3">
        <f t="shared" si="111"/>
        <v>3</v>
      </c>
      <c r="AX161" s="3">
        <f t="shared" si="112"/>
        <v>5</v>
      </c>
      <c r="AY161" s="3">
        <f t="shared" si="113"/>
        <v>5</v>
      </c>
      <c r="AZ161" s="3">
        <f t="shared" si="114"/>
        <v>1</v>
      </c>
      <c r="BA161" s="3">
        <f>IF(ISERROR(LEN(VLOOKUP(A161,Seqs!A:E,2,FALSE))-AL161),"-",LEN(VLOOKUP(A161,Seqs!A:E,2,FALSE))-AL161)</f>
        <v>77</v>
      </c>
      <c r="BB161" s="16">
        <f t="shared" si="115"/>
        <v>28</v>
      </c>
      <c r="BC161" s="9">
        <f t="shared" si="116"/>
        <v>20</v>
      </c>
      <c r="BD161" s="3">
        <f t="shared" si="117"/>
        <v>28</v>
      </c>
      <c r="BE161" s="3">
        <f t="shared" si="118"/>
        <v>46</v>
      </c>
    </row>
    <row r="162" spans="1:58" s="3" customFormat="1" x14ac:dyDescent="0.2">
      <c r="A162" s="3" t="s">
        <v>277</v>
      </c>
      <c r="B162" s="3" t="str">
        <f>LOWER(VLOOKUP(A162,Xtal_Templ!A:B,2,FALSE))</f>
        <v>hrh1_human</v>
      </c>
      <c r="C162" s="3">
        <f>VLOOKUP($A162,'SegEnds_NonXtal_BW#'!$A:$Z,3,FALSE)+D162-50</f>
        <v>29</v>
      </c>
      <c r="D162" s="3">
        <v>45</v>
      </c>
      <c r="E162" s="3">
        <f>IF(ISERROR(VLOOKUP($A162,'SegEnds_NonXtal_BW#'!$A:$Z,4,FALSE)+VLOOKUP($A162,A:AL,4,FALSE)-50),"-",(VLOOKUP($A162,'SegEnds_NonXtal_BW#'!$A:$Z,4,FALSE)+VLOOKUP($A162,A:AL,4,FALSE)-50))</f>
        <v>55</v>
      </c>
      <c r="F162" s="3">
        <f>G162-2</f>
        <v>56</v>
      </c>
      <c r="G162" s="3">
        <v>58</v>
      </c>
      <c r="H162" s="3">
        <f t="shared" ref="H162:I164" si="127">G162+1</f>
        <v>59</v>
      </c>
      <c r="I162" s="3">
        <f t="shared" si="127"/>
        <v>60</v>
      </c>
      <c r="J162" s="3">
        <v>73</v>
      </c>
      <c r="K162" s="3">
        <f>VLOOKUP($A162,'SegEnds_NonXtal_BW#'!$A:$Z,8,FALSE)+VLOOKUP($A162,A:AL,10,FALSE)-50</f>
        <v>90</v>
      </c>
      <c r="L162" s="3">
        <f t="shared" si="123"/>
        <v>92</v>
      </c>
      <c r="M162" s="3">
        <v>93</v>
      </c>
      <c r="N162" s="3">
        <f t="shared" si="124"/>
        <v>95</v>
      </c>
      <c r="O162" s="3">
        <f t="shared" si="125"/>
        <v>96</v>
      </c>
      <c r="P162" s="3">
        <v>125</v>
      </c>
      <c r="Q162" s="3">
        <f>VLOOKUP($A162,'SegEnds_NonXtal_BW#'!$A:$Z,12,FALSE)+VLOOKUP($A162,A:AL,16,FALSE)-50</f>
        <v>131</v>
      </c>
      <c r="R162" s="3">
        <f>IF(ISERROR(VLOOKUP($A162,'SegEnds_NonXtal_BW#'!$A:$Z,13,FALSE)+VLOOKUP($A162,A:AL,19,FALSE)-50),"-",VLOOKUP($A162,'SegEnds_NonXtal_BW#'!$A:$Z,13,FALSE)+VLOOKUP($A162,A:AL,19,FALSE)-50)</f>
        <v>132</v>
      </c>
      <c r="S162" s="3">
        <v>132</v>
      </c>
      <c r="T162" s="100">
        <f>IF(ISERROR(VLOOKUP($A162,'SegEnds_NonXtal_BW#'!$A:$Z,14,FALSE)+VLOOKUP($A162,A:AL,19,FALSE)-50),"-",(VLOOKUP($A162,'SegEnds_NonXtal_BW#'!$A:$Z,14,FALSE)+VLOOKUP($A162,A:AL,19,FALSE)-50))</f>
        <v>139</v>
      </c>
      <c r="U162" s="9">
        <f>IF(ISERROR(VLOOKUP($A162,'SegEnds_NonXtal_BW#'!$A:$Z,15,FALSE)+VLOOKUP($A162,A:AL,22,FALSE)-50),"-",VLOOKUP($A162,'SegEnds_NonXtal_BW#'!$A:$Z,15,FALSE)+VLOOKUP($A162,A:AL,22,FALSE)-50)</f>
        <v>140</v>
      </c>
      <c r="V162" s="3">
        <v>152</v>
      </c>
      <c r="W162" s="3">
        <f>IF(ISERROR(VLOOKUP($A162,'SegEnds_NonXtal_BW#'!$A:$Z,16,FALSE)+VLOOKUP($A162,A:AL,22,FALSE)-50),"-",(VLOOKUP($A162,'SegEnds_NonXtal_BW#'!$A:$Z,16,FALSE)+VLOOKUP($A162,A:AL,22,FALSE)-50))</f>
        <v>164</v>
      </c>
      <c r="X162" s="3">
        <f>IF(ISERROR(VLOOKUP($A162,'SegEnds_NonXtal_BW#'!$A:$Z,17,FALSE)+VLOOKUP($A162,A:AL,25,FALSE)-50),"-",(VLOOKUP($A162,'SegEnds_NonXtal_BW#'!$A:$Z,17,FALSE)+VLOOKUP($A162,A:AL,25,FALSE)-50))</f>
        <v>180</v>
      </c>
      <c r="Y162" s="3">
        <v>180</v>
      </c>
      <c r="Z162" s="3">
        <f t="shared" si="126"/>
        <v>182</v>
      </c>
      <c r="AA162" s="3">
        <f>IF(ISERROR(VLOOKUP($A162,'SegEnds_NonXtal_BW#'!$A:$Z,19,FALSE)+VLOOKUP($A162,A:AL,28,FALSE)-50),"-",(VLOOKUP($A162,'SegEnds_NonXtal_BW#'!$A:$Z,19,FALSE)+VLOOKUP($A162,A:AL,28,FALSE)-50))</f>
        <v>187</v>
      </c>
      <c r="AB162" s="3">
        <v>202</v>
      </c>
      <c r="AC162" s="3">
        <f>IF(ISERROR((VLOOKUP($A162,'SegEnds_NonXtal_BW#'!$A:$Z,20,FALSE)+VLOOKUP($A162,A:AL,28,FALSE)-50)),"-",(VLOOKUP($A162,'SegEnds_NonXtal_BW#'!$A:$Z,20,FALSE)+VLOOKUP($A162,A:AL,28,FALSE)-50))</f>
        <v>228</v>
      </c>
      <c r="AD162" s="3">
        <f>IF(ISERROR(VLOOKUP($A162,'SegEnds_NonXtal_BW#'!$A:$Z,21,FALSE)+VLOOKUP($A162,A:AL,31,FALSE)-50),"-",(VLOOKUP($A162,'SegEnds_NonXtal_BW#'!$A:$Z,21,FALSE)+VLOOKUP($A162,A:AL,31,FALSE)-50))</f>
        <v>404</v>
      </c>
      <c r="AE162" s="3">
        <v>430</v>
      </c>
      <c r="AF162" s="3">
        <f>IF(ISERROR((VLOOKUP($A162,'SegEnds_NonXtal_BW#'!$A:$Z,22,FALSE)+VLOOKUP($A162,A:AL,31,FALSE)-50)),"-",(VLOOKUP($A162,'SegEnds_NonXtal_BW#'!$A:$Z,22,FALSE)+VLOOKUP($A162,A:AL,31,FALSE)-50))</f>
        <v>441</v>
      </c>
      <c r="AG162" s="3">
        <f>IF(ISERROR(VLOOKUP($A162,'SegEnds_NonXtal_BW#'!$A:$Z,23,FALSE)+VLOOKUP($A162,A:AL,34,FALSE)-50),"-",(VLOOKUP($A162,'SegEnds_NonXtal_BW#'!$A:$Z,23,FALSE)+VLOOKUP($A162,A:AL,34,FALSE)-50))</f>
        <v>446</v>
      </c>
      <c r="AH162" s="3">
        <v>465</v>
      </c>
      <c r="AI162" s="3">
        <f>IF(ISERROR((VLOOKUP($A162,'SegEnds_NonXtal_BW#'!$A:$Z,24,FALSE)+VLOOKUP($A162,A:AL,34,FALSE)-50)),"-",(VLOOKUP($A162,'SegEnds_NonXtal_BW#'!$A:$Z,24,FALSE)+VLOOKUP($A162,A:AL,34,FALSE)-50))</f>
        <v>471</v>
      </c>
      <c r="AJ162" s="3">
        <f>IF(ISERROR(VLOOKUP($A162,'SegEnds_NonXtal_BW#'!$A:$Z,25,FALSE)+VLOOKUP($A162,A:AL,37,FALSE)-50),"-",(VLOOKUP($A162,'SegEnds_NonXtal_BW#'!$A:$Z,25,FALSE)+VLOOKUP($A162,A:AL,37,FALSE)-50))</f>
        <v>472</v>
      </c>
      <c r="AK162" s="3">
        <v>475</v>
      </c>
      <c r="AL162" s="3">
        <f>IF(ISERROR((VLOOKUP($A162,'SegEnds_NonXtal_BW#'!$A:$Z,26,FALSE)+VLOOKUP($A162,A:AL,37,FALSE)-50)),"-",(VLOOKUP($A162,'SegEnds_NonXtal_BW#'!$A:$Z,26,FALSE)+VLOOKUP($A162,A:AL,37,FALSE)-50))</f>
        <v>484</v>
      </c>
      <c r="AM162" s="28" t="str">
        <f>VLOOKUP(A162,Classification!A:B,2,FALSE)</f>
        <v>A</v>
      </c>
      <c r="AN162" s="28" t="b">
        <f t="shared" si="121"/>
        <v>1</v>
      </c>
      <c r="AO162" s="3" t="str">
        <f>IF(ISERROR(MATCH(A162,'SegEnds_Xtal_Prot#'!B:B, 0)), "NoXtal", "Xtal")</f>
        <v>Xtal</v>
      </c>
      <c r="AP162" s="3">
        <f t="shared" si="104"/>
        <v>1</v>
      </c>
      <c r="AQ162" s="3">
        <f t="shared" si="105"/>
        <v>1</v>
      </c>
      <c r="AR162" s="3">
        <f t="shared" si="106"/>
        <v>2</v>
      </c>
      <c r="AS162" s="3">
        <f t="shared" si="107"/>
        <v>1</v>
      </c>
      <c r="AT162" s="3">
        <f t="shared" si="108"/>
        <v>1</v>
      </c>
      <c r="AU162" s="3">
        <f t="shared" si="109"/>
        <v>1</v>
      </c>
      <c r="AV162" s="3">
        <f t="shared" si="110"/>
        <v>16</v>
      </c>
      <c r="AW162" s="3">
        <f t="shared" si="111"/>
        <v>5</v>
      </c>
      <c r="AX162" s="3">
        <f t="shared" si="112"/>
        <v>176</v>
      </c>
      <c r="AY162" s="3">
        <f t="shared" si="113"/>
        <v>5</v>
      </c>
      <c r="AZ162" s="3">
        <f t="shared" si="114"/>
        <v>1</v>
      </c>
      <c r="BA162" s="3">
        <f>IF(ISERROR(LEN(VLOOKUP(A162,Seqs!A:E,2,FALSE))-AL162),"-",LEN(VLOOKUP(A162,Seqs!A:E,2,FALSE))-AL162)</f>
        <v>3</v>
      </c>
      <c r="BB162" s="16">
        <f t="shared" si="115"/>
        <v>28</v>
      </c>
      <c r="BC162" s="9">
        <f t="shared" si="116"/>
        <v>20</v>
      </c>
      <c r="BD162" s="3">
        <f t="shared" si="117"/>
        <v>28</v>
      </c>
      <c r="BE162" s="3">
        <f t="shared" si="118"/>
        <v>228</v>
      </c>
      <c r="BF162" s="3">
        <f>AH162-AE162</f>
        <v>35</v>
      </c>
    </row>
    <row r="163" spans="1:58" s="3" customFormat="1" x14ac:dyDescent="0.2">
      <c r="A163" s="3" t="s">
        <v>278</v>
      </c>
      <c r="B163" s="3" t="str">
        <f>LOWER(VLOOKUP(A163,Xtal_Templ!A:B,2,FALSE))</f>
        <v>ada2c_human</v>
      </c>
      <c r="C163" s="3">
        <f>VLOOKUP($A163,'SegEnds_NonXtal_BW#'!$A:$Z,3,FALSE)+D163-50</f>
        <v>14</v>
      </c>
      <c r="D163" s="3">
        <v>36</v>
      </c>
      <c r="E163" s="3">
        <f>IF(ISERROR(VLOOKUP($A163,'SegEnds_NonXtal_BW#'!$A:$Z,4,FALSE)+VLOOKUP($A163,A:AL,4,FALSE)-50),"-",(VLOOKUP($A163,'SegEnds_NonXtal_BW#'!$A:$Z,4,FALSE)+VLOOKUP($A163,A:AL,4,FALSE)-50))</f>
        <v>46</v>
      </c>
      <c r="F163" s="3">
        <f>G163-2</f>
        <v>47</v>
      </c>
      <c r="G163" s="3">
        <v>49</v>
      </c>
      <c r="H163" s="3">
        <f t="shared" si="127"/>
        <v>50</v>
      </c>
      <c r="I163" s="3">
        <f t="shared" si="127"/>
        <v>51</v>
      </c>
      <c r="J163" s="3">
        <v>64</v>
      </c>
      <c r="K163" s="3">
        <f>VLOOKUP($A163,'SegEnds_NonXtal_BW#'!$A:$Z,8,FALSE)+VLOOKUP($A163,A:AL,10,FALSE)-50</f>
        <v>82</v>
      </c>
      <c r="L163" s="3">
        <f t="shared" si="123"/>
        <v>83</v>
      </c>
      <c r="M163" s="3">
        <v>84</v>
      </c>
      <c r="N163" s="3">
        <f t="shared" si="124"/>
        <v>86</v>
      </c>
      <c r="O163" s="3">
        <f t="shared" si="125"/>
        <v>87</v>
      </c>
      <c r="P163" s="3">
        <v>116</v>
      </c>
      <c r="Q163" s="3">
        <f>VLOOKUP($A163,'SegEnds_NonXtal_BW#'!$A:$Z,12,FALSE)+VLOOKUP($A163,A:AL,16,FALSE)-50</f>
        <v>122</v>
      </c>
      <c r="R163" s="3">
        <f>IF(ISERROR(VLOOKUP($A163,'SegEnds_NonXtal_BW#'!$A:$Z,13,FALSE)+VLOOKUP($A163,A:AL,19,FALSE)-50),"-",VLOOKUP($A163,'SegEnds_NonXtal_BW#'!$A:$Z,13,FALSE)+VLOOKUP($A163,A:AL,19,FALSE)-50)</f>
        <v>123</v>
      </c>
      <c r="S163" s="3">
        <v>123</v>
      </c>
      <c r="T163" s="100">
        <f>IF(ISERROR(VLOOKUP($A163,'SegEnds_NonXtal_BW#'!$A:$Z,14,FALSE)+VLOOKUP($A163,A:AL,19,FALSE)-50),"-",(VLOOKUP($A163,'SegEnds_NonXtal_BW#'!$A:$Z,14,FALSE)+VLOOKUP($A163,A:AL,19,FALSE)-50))</f>
        <v>130</v>
      </c>
      <c r="U163" s="9">
        <f>IF(ISERROR(VLOOKUP($A163,'SegEnds_NonXtal_BW#'!$A:$Z,15,FALSE)+VLOOKUP($A163,A:AL,22,FALSE)-50),"-",VLOOKUP($A163,'SegEnds_NonXtal_BW#'!$A:$Z,15,FALSE)+VLOOKUP($A163,A:AL,22,FALSE)-50)</f>
        <v>131</v>
      </c>
      <c r="V163" s="3">
        <v>143</v>
      </c>
      <c r="W163" s="3">
        <f>IF(ISERROR(VLOOKUP($A163,'SegEnds_NonXtal_BW#'!$A:$Z,16,FALSE)+VLOOKUP($A163,A:AL,22,FALSE)-50),"-",(VLOOKUP($A163,'SegEnds_NonXtal_BW#'!$A:$Z,16,FALSE)+VLOOKUP($A163,A:AL,22,FALSE)-50))</f>
        <v>155</v>
      </c>
      <c r="X163" s="3">
        <f>IF(ISERROR(VLOOKUP($A163,'SegEnds_NonXtal_BW#'!$A:$Z,17,FALSE)+VLOOKUP($A163,A:AL,25,FALSE)-50),"-",(VLOOKUP($A163,'SegEnds_NonXtal_BW#'!$A:$Z,17,FALSE)+VLOOKUP($A163,A:AL,25,FALSE)-50))</f>
        <v>174</v>
      </c>
      <c r="Y163" s="3">
        <v>174</v>
      </c>
      <c r="Z163" s="3">
        <f t="shared" si="126"/>
        <v>176</v>
      </c>
      <c r="AA163" s="3">
        <f>IF(ISERROR(VLOOKUP($A163,'SegEnds_NonXtal_BW#'!$A:$Z,19,FALSE)+VLOOKUP($A163,A:AL,28,FALSE)-50),"-",(VLOOKUP($A163,'SegEnds_NonXtal_BW#'!$A:$Z,19,FALSE)+VLOOKUP($A163,A:AL,28,FALSE)-50))</f>
        <v>179</v>
      </c>
      <c r="AB163" s="3">
        <v>194</v>
      </c>
      <c r="AC163" s="3">
        <f>IF(ISERROR((VLOOKUP($A163,'SegEnds_NonXtal_BW#'!$A:$Z,20,FALSE)+VLOOKUP($A163,A:AL,28,FALSE)-50)),"-",(VLOOKUP($A163,'SegEnds_NonXtal_BW#'!$A:$Z,20,FALSE)+VLOOKUP($A163,A:AL,28,FALSE)-50))</f>
        <v>217</v>
      </c>
      <c r="AD163" s="3">
        <f>IF(ISERROR(VLOOKUP($A163,'SegEnds_NonXtal_BW#'!$A:$Z,21,FALSE)+VLOOKUP($A163,A:AL,31,FALSE)-50),"-",(VLOOKUP($A163,'SegEnds_NonXtal_BW#'!$A:$Z,21,FALSE)+VLOOKUP($A163,A:AL,31,FALSE)-50))</f>
        <v>221</v>
      </c>
      <c r="AE163" s="3">
        <v>249</v>
      </c>
      <c r="AF163" s="3">
        <f>IF(ISERROR((VLOOKUP($A163,'SegEnds_NonXtal_BW#'!$A:$Z,22,FALSE)+VLOOKUP($A163,A:AL,31,FALSE)-50)),"-",(VLOOKUP($A163,'SegEnds_NonXtal_BW#'!$A:$Z,22,FALSE)+VLOOKUP($A163,A:AL,31,FALSE)-50))</f>
        <v>260</v>
      </c>
      <c r="AG163" s="3">
        <f>IF(ISERROR(VLOOKUP($A163,'SegEnds_NonXtal_BW#'!$A:$Z,23,FALSE)+VLOOKUP($A163,A:AL,34,FALSE)-50),"-",(VLOOKUP($A163,'SegEnds_NonXtal_BW#'!$A:$Z,23,FALSE)+VLOOKUP($A163,A:AL,34,FALSE)-50))</f>
        <v>266</v>
      </c>
      <c r="AH163" s="3">
        <v>285</v>
      </c>
      <c r="AI163" s="3">
        <v>291</v>
      </c>
      <c r="AJ163" s="3">
        <f>IF(ISERROR(VLOOKUP($A163,'SegEnds_NonXtal_BW#'!$A:$Z,25,FALSE)+VLOOKUP($A163,A:AL,37,FALSE)-50),"-",(VLOOKUP($A163,'SegEnds_NonXtal_BW#'!$A:$Z,25,FALSE)+VLOOKUP($A163,A:AL,37,FALSE)-50))</f>
        <v>292</v>
      </c>
      <c r="AK163" s="3">
        <v>295</v>
      </c>
      <c r="AL163" s="3">
        <f>IF(ISERROR((VLOOKUP($A163,'SegEnds_NonXtal_BW#'!$A:$Z,26,FALSE)+VLOOKUP($A163,A:AL,37,FALSE)-50)),"-",(VLOOKUP($A163,'SegEnds_NonXtal_BW#'!$A:$Z,26,FALSE)+VLOOKUP($A163,A:AL,37,FALSE)-50))</f>
        <v>304</v>
      </c>
      <c r="AM163" s="28" t="str">
        <f>VLOOKUP(A163,Classification!A:B,2,FALSE)</f>
        <v>A</v>
      </c>
      <c r="AN163" s="28" t="b">
        <f t="shared" si="121"/>
        <v>1</v>
      </c>
      <c r="AO163" s="3" t="str">
        <f>IF(ISERROR(MATCH(A163,'SegEnds_Xtal_Prot#'!B:B, 0)), "NoXtal", "Xtal")</f>
        <v>NoXtal</v>
      </c>
      <c r="AP163" s="3">
        <f t="shared" si="104"/>
        <v>1</v>
      </c>
      <c r="AQ163" s="3">
        <f t="shared" si="105"/>
        <v>1</v>
      </c>
      <c r="AR163" s="3">
        <f t="shared" si="106"/>
        <v>1</v>
      </c>
      <c r="AS163" s="3">
        <f t="shared" si="107"/>
        <v>1</v>
      </c>
      <c r="AT163" s="3">
        <f t="shared" si="108"/>
        <v>1</v>
      </c>
      <c r="AU163" s="3">
        <f t="shared" si="109"/>
        <v>1</v>
      </c>
      <c r="AV163" s="3">
        <f t="shared" si="110"/>
        <v>19</v>
      </c>
      <c r="AW163" s="3">
        <f t="shared" si="111"/>
        <v>3</v>
      </c>
      <c r="AX163" s="3">
        <f t="shared" si="112"/>
        <v>4</v>
      </c>
      <c r="AY163" s="3">
        <f t="shared" si="113"/>
        <v>6</v>
      </c>
      <c r="AZ163" s="3">
        <f t="shared" si="114"/>
        <v>1</v>
      </c>
      <c r="BA163" s="3">
        <f>IF(ISERROR(LEN(VLOOKUP(A163,Seqs!A:E,2,FALSE))-AL163),"-",LEN(VLOOKUP(A163,Seqs!A:E,2,FALSE))-AL163)</f>
        <v>55</v>
      </c>
      <c r="BB163" s="16">
        <f t="shared" si="115"/>
        <v>28</v>
      </c>
      <c r="BC163" s="9">
        <f t="shared" si="116"/>
        <v>20</v>
      </c>
      <c r="BD163" s="3">
        <f t="shared" si="117"/>
        <v>28</v>
      </c>
      <c r="BE163" s="3">
        <f t="shared" si="118"/>
        <v>55</v>
      </c>
    </row>
    <row r="164" spans="1:58" s="3" customFormat="1" x14ac:dyDescent="0.2">
      <c r="A164" s="3" t="s">
        <v>281</v>
      </c>
      <c r="B164" s="3" t="str">
        <f>LOWER(VLOOKUP(A164,Xtal_Templ!A:B,2,FALSE))</f>
        <v>oprk_human</v>
      </c>
      <c r="C164" s="3">
        <f>VLOOKUP($A164,'SegEnds_NonXtal_BW#'!$A:$Z,3,FALSE)+D164-50</f>
        <v>40</v>
      </c>
      <c r="D164" s="3">
        <v>60</v>
      </c>
      <c r="E164" s="3">
        <f>IF(ISERROR(VLOOKUP($A164,'SegEnds_NonXtal_BW#'!$A:$Z,4,FALSE)+VLOOKUP($A164,A:AL,4,FALSE)-50),"-",(VLOOKUP($A164,'SegEnds_NonXtal_BW#'!$A:$Z,4,FALSE)+VLOOKUP($A164,A:AL,4,FALSE)-50))</f>
        <v>70</v>
      </c>
      <c r="F164" s="3">
        <f>G164-2</f>
        <v>71</v>
      </c>
      <c r="G164" s="3">
        <v>73</v>
      </c>
      <c r="H164" s="3">
        <f t="shared" si="127"/>
        <v>74</v>
      </c>
      <c r="I164" s="3">
        <f t="shared" si="127"/>
        <v>75</v>
      </c>
      <c r="J164" s="3">
        <v>88</v>
      </c>
      <c r="K164" s="3">
        <f>VLOOKUP($A164,'SegEnds_NonXtal_BW#'!$A:$Z,8,FALSE)+VLOOKUP($A164,A:AL,10,FALSE)-50</f>
        <v>105</v>
      </c>
      <c r="L164" s="3">
        <f t="shared" si="123"/>
        <v>107</v>
      </c>
      <c r="M164" s="3">
        <v>108</v>
      </c>
      <c r="N164" s="3">
        <f t="shared" si="124"/>
        <v>110</v>
      </c>
      <c r="O164" s="3">
        <f t="shared" si="125"/>
        <v>111</v>
      </c>
      <c r="P164" s="3">
        <v>140</v>
      </c>
      <c r="Q164" s="3">
        <f>VLOOKUP($A164,'SegEnds_NonXtal_BW#'!$A:$Z,12,FALSE)+VLOOKUP($A164,A:AL,16,FALSE)-50</f>
        <v>146</v>
      </c>
      <c r="R164" s="3">
        <f>IF(ISERROR(VLOOKUP($A164,'SegEnds_NonXtal_BW#'!$A:$Z,13,FALSE)+VLOOKUP($A164,A:AL,19,FALSE)-50),"-",VLOOKUP($A164,'SegEnds_NonXtal_BW#'!$A:$Z,13,FALSE)+VLOOKUP($A164,A:AL,19,FALSE)-50)</f>
        <v>147</v>
      </c>
      <c r="S164" s="3">
        <v>147</v>
      </c>
      <c r="T164" s="100">
        <f>IF(ISERROR(VLOOKUP($A164,'SegEnds_NonXtal_BW#'!$A:$Z,14,FALSE)+VLOOKUP($A164,A:AL,19,FALSE)-50),"-",(VLOOKUP($A164,'SegEnds_NonXtal_BW#'!$A:$Z,14,FALSE)+VLOOKUP($A164,A:AL,19,FALSE)-50))</f>
        <v>154</v>
      </c>
      <c r="U164" s="9">
        <f>IF(ISERROR(VLOOKUP($A164,'SegEnds_NonXtal_BW#'!$A:$Z,15,FALSE)+VLOOKUP($A164,A:AL,22,FALSE)-50),"-",VLOOKUP($A164,'SegEnds_NonXtal_BW#'!$A:$Z,15,FALSE)+VLOOKUP($A164,A:AL,22,FALSE)-50)</f>
        <v>155</v>
      </c>
      <c r="V164" s="3">
        <v>167</v>
      </c>
      <c r="W164" s="3">
        <f>IF(ISERROR(VLOOKUP($A164,'SegEnds_NonXtal_BW#'!$A:$Z,16,FALSE)+VLOOKUP($A164,A:AL,22,FALSE)-50),"-",(VLOOKUP($A164,'SegEnds_NonXtal_BW#'!$A:$Z,16,FALSE)+VLOOKUP($A164,A:AL,22,FALSE)-50))</f>
        <v>181</v>
      </c>
      <c r="X164" s="3">
        <f>IF(ISERROR(VLOOKUP($A164,'SegEnds_NonXtal_BW#'!$A:$Z,17,FALSE)+VLOOKUP($A164,A:AL,25,FALSE)-50),"-",(VLOOKUP($A164,'SegEnds_NonXtal_BW#'!$A:$Z,17,FALSE)+VLOOKUP($A164,A:AL,25,FALSE)-50))</f>
        <v>191</v>
      </c>
      <c r="Y164" s="3">
        <v>191</v>
      </c>
      <c r="Z164" s="3">
        <f t="shared" si="126"/>
        <v>193</v>
      </c>
      <c r="AA164" s="3">
        <f>IF(ISERROR(VLOOKUP($A164,'SegEnds_NonXtal_BW#'!$A:$Z,19,FALSE)+VLOOKUP($A164,A:AL,28,FALSE)-50),"-",(VLOOKUP($A164,'SegEnds_NonXtal_BW#'!$A:$Z,19,FALSE)+VLOOKUP($A164,A:AL,28,FALSE)-50))</f>
        <v>196</v>
      </c>
      <c r="AB164" s="3">
        <v>216</v>
      </c>
      <c r="AC164" s="3">
        <f>IF(ISERROR((VLOOKUP($A164,'SegEnds_NonXtal_BW#'!$A:$Z,20,FALSE)+VLOOKUP($A164,A:AL,28,FALSE)-50)),"-",(VLOOKUP($A164,'SegEnds_NonXtal_BW#'!$A:$Z,20,FALSE)+VLOOKUP($A164,A:AL,28,FALSE)-50))</f>
        <v>247</v>
      </c>
      <c r="AD164" s="3">
        <f>IF(ISERROR(VLOOKUP($A164,'SegEnds_NonXtal_BW#'!$A:$Z,21,FALSE)+VLOOKUP($A164,A:AL,31,FALSE)-50),"-",(VLOOKUP($A164,'SegEnds_NonXtal_BW#'!$A:$Z,21,FALSE)+VLOOKUP($A164,A:AL,31,FALSE)-50))</f>
        <v>251</v>
      </c>
      <c r="AE164" s="3">
        <v>278</v>
      </c>
      <c r="AF164" s="3">
        <f>IF(ISERROR((VLOOKUP($A164,'SegEnds_NonXtal_BW#'!$A:$Z,22,FALSE)+VLOOKUP($A164,A:AL,31,FALSE)-50)),"-",(VLOOKUP($A164,'SegEnds_NonXtal_BW#'!$A:$Z,22,FALSE)+VLOOKUP($A164,A:AL,31,FALSE)-50))</f>
        <v>289</v>
      </c>
      <c r="AG164" s="3">
        <f>IF(ISERROR(VLOOKUP($A164,'SegEnds_NonXtal_BW#'!$A:$Z,23,FALSE)+VLOOKUP($A164,A:AL,34,FALSE)-50),"-",(VLOOKUP($A164,'SegEnds_NonXtal_BW#'!$A:$Z,23,FALSE)+VLOOKUP($A164,A:AL,34,FALSE)-50))</f>
        <v>298</v>
      </c>
      <c r="AH164" s="3">
        <v>320</v>
      </c>
      <c r="AI164" s="3">
        <f>IF(ISERROR((VLOOKUP($A164,'SegEnds_NonXtal_BW#'!$A:$Z,24,FALSE)+VLOOKUP($A164,A:AL,34,FALSE)-50)),"-",(VLOOKUP($A164,'SegEnds_NonXtal_BW#'!$A:$Z,24,FALSE)+VLOOKUP($A164,A:AL,34,FALSE)-50))</f>
        <v>326</v>
      </c>
      <c r="AJ164" s="3">
        <f>IF(ISERROR(VLOOKUP($A164,'SegEnds_NonXtal_BW#'!$A:$Z,25,FALSE)+VLOOKUP($A164,A:AL,37,FALSE)-50),"-",(VLOOKUP($A164,'SegEnds_NonXtal_BW#'!$A:$Z,25,FALSE)+VLOOKUP($A164,A:AL,37,FALSE)-50))</f>
        <v>327</v>
      </c>
      <c r="AK164" s="3">
        <v>330</v>
      </c>
      <c r="AL164" s="3">
        <f>IF(ISERROR((VLOOKUP($A164,'SegEnds_NonXtal_BW#'!$A:$Z,26,FALSE)+VLOOKUP($A164,A:AL,37,FALSE)-50)),"-",(VLOOKUP($A164,'SegEnds_NonXtal_BW#'!$A:$Z,26,FALSE)+VLOOKUP($A164,A:AL,37,FALSE)-50))</f>
        <v>339</v>
      </c>
      <c r="AM164" s="28" t="str">
        <f>VLOOKUP(A164,Classification!A:B,2,FALSE)</f>
        <v>A</v>
      </c>
      <c r="AN164" s="28" t="b">
        <f t="shared" si="121"/>
        <v>1</v>
      </c>
      <c r="AO164" s="3" t="str">
        <f>IF(ISERROR(MATCH(A164,'SegEnds_Xtal_Prot#'!B:B, 0)), "NoXtal", "Xtal")</f>
        <v>NoXtal</v>
      </c>
      <c r="AP164" s="3">
        <f t="shared" si="104"/>
        <v>1</v>
      </c>
      <c r="AQ164" s="3">
        <f t="shared" si="105"/>
        <v>1</v>
      </c>
      <c r="AR164" s="3">
        <f t="shared" si="106"/>
        <v>2</v>
      </c>
      <c r="AS164" s="3">
        <f t="shared" si="107"/>
        <v>1</v>
      </c>
      <c r="AT164" s="3">
        <f t="shared" si="108"/>
        <v>1</v>
      </c>
      <c r="AU164" s="3">
        <f t="shared" si="109"/>
        <v>1</v>
      </c>
      <c r="AV164" s="3">
        <f t="shared" si="110"/>
        <v>10</v>
      </c>
      <c r="AW164" s="3">
        <f t="shared" si="111"/>
        <v>3</v>
      </c>
      <c r="AX164" s="3">
        <f t="shared" si="112"/>
        <v>4</v>
      </c>
      <c r="AY164" s="3">
        <f t="shared" si="113"/>
        <v>9</v>
      </c>
      <c r="AZ164" s="3">
        <f t="shared" si="114"/>
        <v>1</v>
      </c>
      <c r="BA164" s="3">
        <f>IF(ISERROR(LEN(VLOOKUP(A164,Seqs!A:E,2,FALSE))-AL164),"-",LEN(VLOOKUP(A164,Seqs!A:E,2,FALSE))-AL164)</f>
        <v>59</v>
      </c>
      <c r="BB164" s="16">
        <f t="shared" si="115"/>
        <v>28</v>
      </c>
      <c r="BC164" s="9">
        <f t="shared" si="116"/>
        <v>20</v>
      </c>
      <c r="BD164" s="3">
        <f t="shared" si="117"/>
        <v>28</v>
      </c>
      <c r="BE164" s="3">
        <f t="shared" si="118"/>
        <v>62</v>
      </c>
    </row>
    <row r="165" spans="1:58" s="3" customFormat="1" x14ac:dyDescent="0.2">
      <c r="A165" s="3" t="s">
        <v>282</v>
      </c>
      <c r="B165" s="3" t="str">
        <f>LOWER(VLOOKUP(A165,Xtal_Templ!A:B,2,FALSE))</f>
        <v>agtr1_human</v>
      </c>
      <c r="C165" s="3">
        <f>VLOOKUP($A165,'SegEnds_NonXtal_BW#'!$A:$Z,3,FALSE)+D165-50</f>
        <v>534</v>
      </c>
      <c r="D165" s="3">
        <v>556</v>
      </c>
      <c r="E165" s="3">
        <f>IF(ISERROR(VLOOKUP($A165,'SegEnds_NonXtal_BW#'!$A:$Z,4,FALSE)+VLOOKUP($A165,A:AL,4,FALSE)-50),"-",(VLOOKUP($A165,'SegEnds_NonXtal_BW#'!$A:$Z,4,FALSE)+VLOOKUP($A165,A:AL,4,FALSE)-50))</f>
        <v>566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571</v>
      </c>
      <c r="J165" s="3">
        <v>584</v>
      </c>
      <c r="K165" s="3">
        <f>VLOOKUP($A165,'SegEnds_NonXtal_BW#'!$A:$Z,8,FALSE)+VLOOKUP($A165,A:AL,10,FALSE)-50</f>
        <v>601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611</v>
      </c>
      <c r="P165" s="3">
        <v>643</v>
      </c>
      <c r="Q165" s="3">
        <f>VLOOKUP($A165,'SegEnds_NonXtal_BW#'!$A:$Z,12,FALSE)+VLOOKUP($A165,A:AL,16,FALSE)-50</f>
        <v>649</v>
      </c>
      <c r="R165" s="3">
        <f>IF(ISERROR(VLOOKUP($A165,'SegEnds_NonXtal_BW#'!$A:$Z,13,FALSE)+VLOOKUP($A165,A:AL,19,FALSE)-50),"-",VLOOKUP($A165,'SegEnds_NonXtal_BW#'!$A:$Z,13,FALSE)+VLOOKUP($A165,A:AL,19,FALSE)-50)</f>
        <v>650</v>
      </c>
      <c r="S165" s="3">
        <v>650</v>
      </c>
      <c r="T165" s="100">
        <f>IF(ISERROR(VLOOKUP($A165,'SegEnds_NonXtal_BW#'!$A:$Z,14,FALSE)+VLOOKUP($A165,A:AL,19,FALSE)-50),"-",(VLOOKUP($A165,'SegEnds_NonXtal_BW#'!$A:$Z,14,FALSE)+VLOOKUP($A165,A:AL,19,FALSE)-50))</f>
        <v>657</v>
      </c>
      <c r="U165" s="9">
        <f>IF(ISERROR(VLOOKUP($A165,'SegEnds_NonXtal_BW#'!$A:$Z,15,FALSE)+VLOOKUP($A165,A:AL,22,FALSE)-50),"-",VLOOKUP($A165,'SegEnds_NonXtal_BW#'!$A:$Z,15,FALSE)+VLOOKUP($A165,A:AL,22,FALSE)-50)</f>
        <v>658</v>
      </c>
      <c r="V165" s="3">
        <v>670</v>
      </c>
      <c r="W165" s="3">
        <f>IF(ISERROR(VLOOKUP($A165,'SegEnds_NonXtal_BW#'!$A:$Z,16,FALSE)+VLOOKUP($A165,A:AL,22,FALSE)-50),"-",(VLOOKUP($A165,'SegEnds_NonXtal_BW#'!$A:$Z,16,FALSE)+VLOOKUP($A165,A:AL,22,FALSE)-50))</f>
        <v>684</v>
      </c>
      <c r="X165" s="3">
        <f>IF(ISERROR(VLOOKUP($A165,'SegEnds_NonXtal_BW#'!$A:$Z,17,FALSE)+VLOOKUP($A165,A:AL,25,FALSE)-50),"-",(VLOOKUP($A165,'SegEnds_NonXtal_BW#'!$A:$Z,17,FALSE)+VLOOKUP($A165,A:AL,25,FALSE)-50))</f>
        <v>693</v>
      </c>
      <c r="Y165" s="3">
        <v>693</v>
      </c>
      <c r="Z165" s="3">
        <f t="shared" si="126"/>
        <v>695</v>
      </c>
      <c r="AA165" s="3">
        <f>IF(ISERROR(VLOOKUP($A165,'SegEnds_NonXtal_BW#'!$A:$Z,19,FALSE)+VLOOKUP($A165,A:AL,28,FALSE)-50),"-",(VLOOKUP($A165,'SegEnds_NonXtal_BW#'!$A:$Z,19,FALSE)+VLOOKUP($A165,A:AL,28,FALSE)-50))</f>
        <v>701</v>
      </c>
      <c r="AB165" s="3">
        <v>717</v>
      </c>
      <c r="AC165" s="3">
        <f>IF(ISERROR((VLOOKUP($A165,'SegEnds_NonXtal_BW#'!$A:$Z,20,FALSE)+VLOOKUP($A165,A:AL,28,FALSE)-50)),"-",(VLOOKUP($A165,'SegEnds_NonXtal_BW#'!$A:$Z,20,FALSE)+VLOOKUP($A165,A:AL,28,FALSE)-50))</f>
        <v>734</v>
      </c>
      <c r="AD165" s="3">
        <f>IF(ISERROR(VLOOKUP($A165,'SegEnds_NonXtal_BW#'!$A:$Z,21,FALSE)+VLOOKUP($A165,A:AL,31,FALSE)-50),"-",(VLOOKUP($A165,'SegEnds_NonXtal_BW#'!$A:$Z,21,FALSE)+VLOOKUP($A165,A:AL,31,FALSE)-50))</f>
        <v>740</v>
      </c>
      <c r="AE165" s="3">
        <v>762</v>
      </c>
      <c r="AF165" s="3">
        <f>IF(ISERROR((VLOOKUP($A165,'SegEnds_NonXtal_BW#'!$A:$Z,22,FALSE)+VLOOKUP($A165,A:AL,31,FALSE)-50)),"-",(VLOOKUP($A165,'SegEnds_NonXtal_BW#'!$A:$Z,22,FALSE)+VLOOKUP($A165,A:AL,31,FALSE)-50))</f>
        <v>773</v>
      </c>
      <c r="AG165" s="3">
        <f>IF(ISERROR(VLOOKUP($A165,'SegEnds_NonXtal_BW#'!$A:$Z,23,FALSE)+VLOOKUP($A165,A:AL,34,FALSE)-50),"-",(VLOOKUP($A165,'SegEnds_NonXtal_BW#'!$A:$Z,23,FALSE)+VLOOKUP($A165,A:AL,34,FALSE)-50))</f>
        <v>779</v>
      </c>
      <c r="AH165" s="3">
        <v>798</v>
      </c>
      <c r="AI165" s="3">
        <f>IF(ISERROR((VLOOKUP($A165,'SegEnds_NonXtal_BW#'!$A:$Z,24,FALSE)+VLOOKUP($A165,A:AL,34,FALSE)-50)),"-",(VLOOKUP($A165,'SegEnds_NonXtal_BW#'!$A:$Z,24,FALSE)+VLOOKUP($A165,A:AL,34,FALSE)-50))</f>
        <v>804</v>
      </c>
      <c r="AJ165" s="3">
        <f>IF(ISERROR(VLOOKUP($A165,'SegEnds_NonXtal_BW#'!$A:$Z,25,FALSE)+VLOOKUP($A165,A:AL,37,FALSE)-50),"-",(VLOOKUP($A165,'SegEnds_NonXtal_BW#'!$A:$Z,25,FALSE)+VLOOKUP($A165,A:AL,37,FALSE)-50))</f>
        <v>805</v>
      </c>
      <c r="AK165" s="3">
        <v>808</v>
      </c>
      <c r="AL165" s="3">
        <f>IF(ISERROR((VLOOKUP($A165,'SegEnds_NonXtal_BW#'!$A:$Z,26,FALSE)+VLOOKUP($A165,A:AL,37,FALSE)-50)),"-",(VLOOKUP($A165,'SegEnds_NonXtal_BW#'!$A:$Z,26,FALSE)+VLOOKUP($A165,A:AL,37,FALSE)-50))</f>
        <v>819</v>
      </c>
      <c r="AM165" s="28" t="str">
        <f>VLOOKUP(A165,Classification!A:B,2,FALSE)</f>
        <v>A</v>
      </c>
      <c r="AN165" s="28" t="b">
        <f t="shared" si="121"/>
        <v>1</v>
      </c>
      <c r="AO165" s="3" t="str">
        <f>IF(ISERROR(MATCH(A165,'SegEnds_Xtal_Prot#'!B:B, 0)), "NoXtal", "Xtal")</f>
        <v>NoXtal</v>
      </c>
      <c r="AP165" s="3" t="str">
        <f t="shared" si="104"/>
        <v>-</v>
      </c>
      <c r="AQ165" s="3" t="str">
        <f t="shared" si="105"/>
        <v>-</v>
      </c>
      <c r="AR165" s="3" t="str">
        <f t="shared" si="106"/>
        <v>-</v>
      </c>
      <c r="AS165" s="3" t="str">
        <f t="shared" si="107"/>
        <v>-</v>
      </c>
      <c r="AT165" s="3">
        <f t="shared" si="108"/>
        <v>1</v>
      </c>
      <c r="AU165" s="3">
        <f t="shared" si="109"/>
        <v>1</v>
      </c>
      <c r="AV165" s="3">
        <f t="shared" si="110"/>
        <v>9</v>
      </c>
      <c r="AW165" s="3">
        <f t="shared" si="111"/>
        <v>6</v>
      </c>
      <c r="AX165" s="3">
        <f t="shared" si="112"/>
        <v>6</v>
      </c>
      <c r="AY165" s="3">
        <f t="shared" si="113"/>
        <v>6</v>
      </c>
      <c r="AZ165" s="3">
        <f t="shared" si="114"/>
        <v>1</v>
      </c>
      <c r="BA165" s="3">
        <f>IF(ISERROR(LEN(VLOOKUP(A165,Seqs!A:E,2,FALSE))-AL165),"-",LEN(VLOOKUP(A165,Seqs!A:E,2,FALSE))-AL165)</f>
        <v>132</v>
      </c>
      <c r="BB165" s="16">
        <f t="shared" si="115"/>
        <v>28</v>
      </c>
      <c r="BC165" s="9">
        <f t="shared" si="116"/>
        <v>20</v>
      </c>
      <c r="BD165" s="3">
        <f t="shared" si="117"/>
        <v>28</v>
      </c>
      <c r="BE165" s="3">
        <f t="shared" si="118"/>
        <v>45</v>
      </c>
    </row>
    <row r="166" spans="1:58" s="3" customFormat="1" x14ac:dyDescent="0.2">
      <c r="A166" s="3" t="s">
        <v>283</v>
      </c>
      <c r="B166" s="3" t="str">
        <f>LOWER(VLOOKUP(A166,Xtal_Templ!A:B,2,FALSE))</f>
        <v>aa2ar_human</v>
      </c>
      <c r="C166" s="3">
        <f>VLOOKUP($A166,'SegEnds_NonXtal_BW#'!$A:$Z,3,FALSE)+D166-50</f>
        <v>552</v>
      </c>
      <c r="D166" s="3">
        <v>575</v>
      </c>
      <c r="E166" s="3">
        <f>IF(ISERROR(VLOOKUP($A166,'SegEnds_NonXtal_BW#'!$A:$Z,4,FALSE)+VLOOKUP($A166,A:AL,4,FALSE)-50),"-",(VLOOKUP($A166,'SegEnds_NonXtal_BW#'!$A:$Z,4,FALSE)+VLOOKUP($A166,A:AL,4,FALSE)-50))</f>
        <v>585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590</v>
      </c>
      <c r="J166" s="3">
        <v>603</v>
      </c>
      <c r="K166" s="3">
        <f>VLOOKUP($A166,'SegEnds_NonXtal_BW#'!$A:$Z,8,FALSE)+VLOOKUP($A166,A:AL,10,FALSE)-50</f>
        <v>620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630</v>
      </c>
      <c r="P166" s="3">
        <v>662</v>
      </c>
      <c r="Q166" s="3">
        <f>VLOOKUP($A166,'SegEnds_NonXtal_BW#'!$A:$Z,12,FALSE)+VLOOKUP($A166,A:AL,16,FALSE)-50</f>
        <v>668</v>
      </c>
      <c r="R166" s="3">
        <f>IF(ISERROR(VLOOKUP($A166,'SegEnds_NonXtal_BW#'!$A:$Z,13,FALSE)+VLOOKUP($A166,A:AL,19,FALSE)-50),"-",VLOOKUP($A166,'SegEnds_NonXtal_BW#'!$A:$Z,13,FALSE)+VLOOKUP($A166,A:AL,19,FALSE)-50)</f>
        <v>669</v>
      </c>
      <c r="S166" s="3">
        <v>669</v>
      </c>
      <c r="T166" s="100">
        <f>IF(ISERROR(VLOOKUP($A166,'SegEnds_NonXtal_BW#'!$A:$Z,14,FALSE)+VLOOKUP($A166,A:AL,19,FALSE)-50),"-",(VLOOKUP($A166,'SegEnds_NonXtal_BW#'!$A:$Z,14,FALSE)+VLOOKUP($A166,A:AL,19,FALSE)-50))</f>
        <v>676</v>
      </c>
      <c r="U166" s="9">
        <f>IF(ISERROR(VLOOKUP($A166,'SegEnds_NonXtal_BW#'!$A:$Z,15,FALSE)+VLOOKUP($A166,A:AL,22,FALSE)-50),"-",VLOOKUP($A166,'SegEnds_NonXtal_BW#'!$A:$Z,15,FALSE)+VLOOKUP($A166,A:AL,22,FALSE)-50)</f>
        <v>677</v>
      </c>
      <c r="V166" s="3">
        <v>689</v>
      </c>
      <c r="W166" s="3">
        <f>IF(ISERROR(VLOOKUP($A166,'SegEnds_NonXtal_BW#'!$A:$Z,16,FALSE)+VLOOKUP($A166,A:AL,22,FALSE)-50),"-",(VLOOKUP($A166,'SegEnds_NonXtal_BW#'!$A:$Z,16,FALSE)+VLOOKUP($A166,A:AL,22,FALSE)-50))</f>
        <v>702</v>
      </c>
      <c r="X166" s="3">
        <f>IF(ISERROR(VLOOKUP($A166,'SegEnds_NonXtal_BW#'!$A:$Z,17,FALSE)+VLOOKUP($A166,A:AL,25,FALSE)-50),"-",(VLOOKUP($A166,'SegEnds_NonXtal_BW#'!$A:$Z,17,FALSE)+VLOOKUP($A166,A:AL,25,FALSE)-50))</f>
        <v>712</v>
      </c>
      <c r="Y166" s="3">
        <v>712</v>
      </c>
      <c r="Z166" s="3">
        <f t="shared" si="126"/>
        <v>714</v>
      </c>
      <c r="AA166" s="3">
        <f>IF(ISERROR(VLOOKUP($A166,'SegEnds_NonXtal_BW#'!$A:$Z,19,FALSE)+VLOOKUP($A166,A:AL,28,FALSE)-50),"-",(VLOOKUP($A166,'SegEnds_NonXtal_BW#'!$A:$Z,19,FALSE)+VLOOKUP($A166,A:AL,28,FALSE)-50))</f>
        <v>720</v>
      </c>
      <c r="AB166" s="3">
        <v>736</v>
      </c>
      <c r="AC166" s="3">
        <f>IF(ISERROR((VLOOKUP($A166,'SegEnds_NonXtal_BW#'!$A:$Z,20,FALSE)+VLOOKUP($A166,A:AL,28,FALSE)-50)),"-",(VLOOKUP($A166,'SegEnds_NonXtal_BW#'!$A:$Z,20,FALSE)+VLOOKUP($A166,A:AL,28,FALSE)-50))</f>
        <v>753</v>
      </c>
      <c r="AD166" s="3">
        <f>IF(ISERROR(VLOOKUP($A166,'SegEnds_NonXtal_BW#'!$A:$Z,21,FALSE)+VLOOKUP($A166,A:AL,31,FALSE)-50),"-",(VLOOKUP($A166,'SegEnds_NonXtal_BW#'!$A:$Z,21,FALSE)+VLOOKUP($A166,A:AL,31,FALSE)-50))</f>
        <v>759</v>
      </c>
      <c r="AE166" s="3">
        <v>781</v>
      </c>
      <c r="AF166" s="3">
        <f>IF(ISERROR((VLOOKUP($A166,'SegEnds_NonXtal_BW#'!$A:$Z,22,FALSE)+VLOOKUP($A166,A:AL,31,FALSE)-50)),"-",(VLOOKUP($A166,'SegEnds_NonXtal_BW#'!$A:$Z,22,FALSE)+VLOOKUP($A166,A:AL,31,FALSE)-50))</f>
        <v>792</v>
      </c>
      <c r="AG166" s="3">
        <f>IF(ISERROR(VLOOKUP($A166,'SegEnds_NonXtal_BW#'!$A:$Z,23,FALSE)+VLOOKUP($A166,A:AL,34,FALSE)-50),"-",(VLOOKUP($A166,'SegEnds_NonXtal_BW#'!$A:$Z,23,FALSE)+VLOOKUP($A166,A:AL,34,FALSE)-50))</f>
        <v>798</v>
      </c>
      <c r="AH166" s="3">
        <v>817</v>
      </c>
      <c r="AI166" s="3">
        <f>IF(ISERROR((VLOOKUP($A166,'SegEnds_NonXtal_BW#'!$A:$Z,24,FALSE)+VLOOKUP($A166,A:AL,34,FALSE)-50)),"-",(VLOOKUP($A166,'SegEnds_NonXtal_BW#'!$A:$Z,24,FALSE)+VLOOKUP($A166,A:AL,34,FALSE)-50))</f>
        <v>823</v>
      </c>
      <c r="AJ166" s="3">
        <f>IF(ISERROR(VLOOKUP($A166,'SegEnds_NonXtal_BW#'!$A:$Z,25,FALSE)+VLOOKUP($A166,A:AL,37,FALSE)-50),"-",(VLOOKUP($A166,'SegEnds_NonXtal_BW#'!$A:$Z,25,FALSE)+VLOOKUP($A166,A:AL,37,FALSE)-50))</f>
        <v>824</v>
      </c>
      <c r="AK166" s="3">
        <v>827</v>
      </c>
      <c r="AL166" s="3">
        <f>IF(ISERROR((VLOOKUP($A166,'SegEnds_NonXtal_BW#'!$A:$Z,26,FALSE)+VLOOKUP($A166,A:AL,37,FALSE)-50)),"-",(VLOOKUP($A166,'SegEnds_NonXtal_BW#'!$A:$Z,26,FALSE)+VLOOKUP($A166,A:AL,37,FALSE)-50))</f>
        <v>846</v>
      </c>
      <c r="AM166" s="28" t="str">
        <f>VLOOKUP(A166,Classification!A:B,2,FALSE)</f>
        <v>A</v>
      </c>
      <c r="AN166" s="28" t="b">
        <f t="shared" si="121"/>
        <v>1</v>
      </c>
      <c r="AO166" s="3" t="str">
        <f>IF(ISERROR(MATCH(A166,'SegEnds_Xtal_Prot#'!B:B, 0)), "NoXtal", "Xtal")</f>
        <v>NoXtal</v>
      </c>
      <c r="AP166" s="3" t="str">
        <f t="shared" si="104"/>
        <v>-</v>
      </c>
      <c r="AQ166" s="3" t="str">
        <f t="shared" si="105"/>
        <v>-</v>
      </c>
      <c r="AR166" s="3" t="str">
        <f t="shared" si="106"/>
        <v>-</v>
      </c>
      <c r="AS166" s="3" t="str">
        <f t="shared" si="107"/>
        <v>-</v>
      </c>
      <c r="AT166" s="3">
        <f t="shared" si="108"/>
        <v>1</v>
      </c>
      <c r="AU166" s="3">
        <f t="shared" si="109"/>
        <v>1</v>
      </c>
      <c r="AV166" s="3">
        <f t="shared" si="110"/>
        <v>10</v>
      </c>
      <c r="AW166" s="3">
        <f t="shared" si="111"/>
        <v>6</v>
      </c>
      <c r="AX166" s="3">
        <f t="shared" si="112"/>
        <v>6</v>
      </c>
      <c r="AY166" s="3">
        <f t="shared" si="113"/>
        <v>6</v>
      </c>
      <c r="AZ166" s="3">
        <f t="shared" si="114"/>
        <v>1</v>
      </c>
      <c r="BA166" s="3">
        <f>IF(ISERROR(LEN(VLOOKUP(A166,Seqs!A:E,2,FALSE))-AL166),"-",LEN(VLOOKUP(A166,Seqs!A:E,2,FALSE))-AL166)</f>
        <v>61</v>
      </c>
      <c r="BB166" s="16">
        <f t="shared" si="115"/>
        <v>28</v>
      </c>
      <c r="BC166" s="9">
        <f t="shared" si="116"/>
        <v>20</v>
      </c>
      <c r="BD166" s="3">
        <f t="shared" si="117"/>
        <v>28</v>
      </c>
      <c r="BE166" s="3">
        <f t="shared" si="118"/>
        <v>45</v>
      </c>
    </row>
    <row r="167" spans="1:58" s="3" customFormat="1" x14ac:dyDescent="0.2">
      <c r="A167" s="3" t="s">
        <v>284</v>
      </c>
      <c r="B167" s="3" t="str">
        <f>LOWER(VLOOKUP(A167,Xtal_Templ!A:B,2,FALSE))</f>
        <v>mtr1a_human</v>
      </c>
      <c r="C167" s="3">
        <f>VLOOKUP($A167,'SegEnds_NonXtal_BW#'!$A:$Z,3,FALSE)+D167-50</f>
        <v>557</v>
      </c>
      <c r="D167" s="3">
        <v>579</v>
      </c>
      <c r="E167" s="3">
        <f>IF(ISERROR(VLOOKUP($A167,'SegEnds_NonXtal_BW#'!$A:$Z,4,FALSE)+VLOOKUP($A167,A:AL,4,FALSE)-50),"-",(VLOOKUP($A167,'SegEnds_NonXtal_BW#'!$A:$Z,4,FALSE)+VLOOKUP($A167,A:AL,4,FALSE)-50))</f>
        <v>589</v>
      </c>
      <c r="F167" s="3" t="str">
        <f>IF(ISERROR(VLOOKUP($A167,'SegEnds_NonXtal_BW#'!$A:$Z,5,FALSE)+VLOOKUP($A167,A:AL,7,FALSE)-50),"-",(VLOOKUP($A167,'SegEnds_NonXtal_BW#'!$A:$Z,5,FALSE)+VLOOKUP($A167,A:AL,7,FALSE)-50))</f>
        <v>-</v>
      </c>
      <c r="G167" s="3" t="s">
        <v>23</v>
      </c>
      <c r="H167" s="3" t="str">
        <f>IF(ISERROR(VLOOKUP($A167,'SegEnds_NonXtal_BW#'!$A:$Z,6,FALSE)+VLOOKUP($A167,A:AL,7,FALSE)-50),"-",(VLOOKUP($A167,'SegEnds_NonXtal_BW#'!$A:$Z,6,FALSE)+VLOOKUP($A167,A:AL,7,FALSE)-50))</f>
        <v>-</v>
      </c>
      <c r="I167" s="3">
        <f>VLOOKUP($A167,'SegEnds_NonXtal_BW#'!$A:$Z,7,FALSE)+J167-50</f>
        <v>595</v>
      </c>
      <c r="J167" s="3">
        <v>608</v>
      </c>
      <c r="K167" s="3">
        <f>VLOOKUP($A167,'SegEnds_NonXtal_BW#'!$A:$Z,8,FALSE)+VLOOKUP($A167,A:AL,10,FALSE)-50</f>
        <v>626</v>
      </c>
      <c r="L167" s="3" t="str">
        <f>IF(ISERROR(VLOOKUP($A167,'SegEnds_NonXtal_BW#'!$A:$Z,9,FALSE)+VLOOKUP($A167,A:AL,13,FALSE)-50),"-",(VLOOKUP($A167,'SegEnds_NonXtal_BW#'!$A:$Z,9,FALSE)+VLOOKUP($A167,A:AL,13,FALSE)-50))</f>
        <v>-</v>
      </c>
      <c r="M167" s="3" t="s">
        <v>23</v>
      </c>
      <c r="N167" s="3" t="str">
        <f>IF(ISERROR(VLOOKUP($A167,'SegEnds_NonXtal_BW#'!$A:$Z,10,FALSE)+VLOOKUP($A167,A:AL,13,FALSE)-50),"-",(VLOOKUP($A167,'SegEnds_NonXtal_BW#'!$A:$Z,10,FALSE)+VLOOKUP($A167,A:AL,13,FALSE)-50))</f>
        <v>-</v>
      </c>
      <c r="O167" s="3">
        <f>VLOOKUP($A167,'SegEnds_NonXtal_BW#'!$A:$Z,11,FALSE)+VLOOKUP($A167,A:AL,16,FALSE)-50</f>
        <v>635</v>
      </c>
      <c r="P167" s="3">
        <v>667</v>
      </c>
      <c r="Q167" s="3">
        <f>VLOOKUP($A167,'SegEnds_NonXtal_BW#'!$A:$Z,12,FALSE)+VLOOKUP($A167,A:AL,16,FALSE)-50</f>
        <v>673</v>
      </c>
      <c r="R167" s="3">
        <f>IF(ISERROR(VLOOKUP($A167,'SegEnds_NonXtal_BW#'!$A:$Z,13,FALSE)+VLOOKUP($A167,A:AL,19,FALSE)-50),"-",VLOOKUP($A167,'SegEnds_NonXtal_BW#'!$A:$Z,13,FALSE)+VLOOKUP($A167,A:AL,19,FALSE)-50)</f>
        <v>674</v>
      </c>
      <c r="S167" s="3">
        <v>674</v>
      </c>
      <c r="T167" s="100">
        <f>IF(ISERROR(VLOOKUP($A167,'SegEnds_NonXtal_BW#'!$A:$Z,14,FALSE)+VLOOKUP($A167,A:AL,19,FALSE)-50),"-",(VLOOKUP($A167,'SegEnds_NonXtal_BW#'!$A:$Z,14,FALSE)+VLOOKUP($A167,A:AL,19,FALSE)-50))</f>
        <v>681</v>
      </c>
      <c r="U167" s="9">
        <f>IF(ISERROR(VLOOKUP($A167,'SegEnds_NonXtal_BW#'!$A:$Z,15,FALSE)+VLOOKUP($A167,A:AL,22,FALSE)-50),"-",VLOOKUP($A167,'SegEnds_NonXtal_BW#'!$A:$Z,15,FALSE)+VLOOKUP($A167,A:AL,22,FALSE)-50)</f>
        <v>682</v>
      </c>
      <c r="V167" s="3">
        <v>694</v>
      </c>
      <c r="W167" s="3">
        <f>IF(ISERROR(VLOOKUP($A167,'SegEnds_NonXtal_BW#'!$A:$Z,16,FALSE)+VLOOKUP($A167,A:AL,22,FALSE)-50),"-",(VLOOKUP($A167,'SegEnds_NonXtal_BW#'!$A:$Z,16,FALSE)+VLOOKUP($A167,A:AL,22,FALSE)-50))</f>
        <v>708</v>
      </c>
      <c r="X167" s="3">
        <f>IF(ISERROR(VLOOKUP($A167,'SegEnds_NonXtal_BW#'!$A:$Z,17,FALSE)+VLOOKUP($A167,A:AL,25,FALSE)-50),"-",(VLOOKUP($A167,'SegEnds_NonXtal_BW#'!$A:$Z,17,FALSE)+VLOOKUP($A167,A:AL,25,FALSE)-50))</f>
        <v>717</v>
      </c>
      <c r="Y167" s="3">
        <v>717</v>
      </c>
      <c r="Z167" s="3">
        <f t="shared" si="126"/>
        <v>719</v>
      </c>
      <c r="AA167" s="3">
        <f>IF(ISERROR(VLOOKUP($A167,'SegEnds_NonXtal_BW#'!$A:$Z,19,FALSE)+VLOOKUP($A167,A:AL,28,FALSE)-50),"-",(VLOOKUP($A167,'SegEnds_NonXtal_BW#'!$A:$Z,19,FALSE)+VLOOKUP($A167,A:AL,28,FALSE)-50))</f>
        <v>728</v>
      </c>
      <c r="AB167" s="3">
        <v>743</v>
      </c>
      <c r="AC167" s="3">
        <f>IF(ISERROR((VLOOKUP($A167,'SegEnds_NonXtal_BW#'!$A:$Z,20,FALSE)+VLOOKUP($A167,A:AL,28,FALSE)-50)),"-",(VLOOKUP($A167,'SegEnds_NonXtal_BW#'!$A:$Z,20,FALSE)+VLOOKUP($A167,A:AL,28,FALSE)-50))</f>
        <v>760</v>
      </c>
      <c r="AD167" s="3">
        <f>IF(ISERROR(VLOOKUP($A167,'SegEnds_NonXtal_BW#'!$A:$Z,21,FALSE)+VLOOKUP($A167,A:AL,31,FALSE)-50),"-",(VLOOKUP($A167,'SegEnds_NonXtal_BW#'!$A:$Z,21,FALSE)+VLOOKUP($A167,A:AL,31,FALSE)-50))</f>
        <v>766</v>
      </c>
      <c r="AE167" s="3">
        <v>788</v>
      </c>
      <c r="AF167" s="3">
        <f>IF(ISERROR((VLOOKUP($A167,'SegEnds_NonXtal_BW#'!$A:$Z,22,FALSE)+VLOOKUP($A167,A:AL,31,FALSE)-50)),"-",(VLOOKUP($A167,'SegEnds_NonXtal_BW#'!$A:$Z,22,FALSE)+VLOOKUP($A167,A:AL,31,FALSE)-50))</f>
        <v>799</v>
      </c>
      <c r="AG167" s="3">
        <f>IF(ISERROR(VLOOKUP($A167,'SegEnds_NonXtal_BW#'!$A:$Z,23,FALSE)+VLOOKUP($A167,A:AL,34,FALSE)-50),"-",(VLOOKUP($A167,'SegEnds_NonXtal_BW#'!$A:$Z,23,FALSE)+VLOOKUP($A167,A:AL,34,FALSE)-50))</f>
        <v>805</v>
      </c>
      <c r="AH167" s="3">
        <v>824</v>
      </c>
      <c r="AI167" s="3">
        <f>IF(ISERROR((VLOOKUP($A167,'SegEnds_NonXtal_BW#'!$A:$Z,24,FALSE)+VLOOKUP($A167,A:AL,34,FALSE)-50)),"-",(VLOOKUP($A167,'SegEnds_NonXtal_BW#'!$A:$Z,24,FALSE)+VLOOKUP($A167,A:AL,34,FALSE)-50))</f>
        <v>830</v>
      </c>
      <c r="AJ167" s="3">
        <f>IF(ISERROR(VLOOKUP($A167,'SegEnds_NonXtal_BW#'!$A:$Z,25,FALSE)+VLOOKUP($A167,A:AL,37,FALSE)-50),"-",(VLOOKUP($A167,'SegEnds_NonXtal_BW#'!$A:$Z,25,FALSE)+VLOOKUP($A167,A:AL,37,FALSE)-50))</f>
        <v>831</v>
      </c>
      <c r="AK167" s="3">
        <v>834</v>
      </c>
      <c r="AL167" s="3">
        <f>IF(ISERROR((VLOOKUP($A167,'SegEnds_NonXtal_BW#'!$A:$Z,26,FALSE)+VLOOKUP($A167,A:AL,37,FALSE)-50)),"-",(VLOOKUP($A167,'SegEnds_NonXtal_BW#'!$A:$Z,26,FALSE)+VLOOKUP($A167,A:AL,37,FALSE)-50))</f>
        <v>847</v>
      </c>
      <c r="AM167" s="28" t="str">
        <f>VLOOKUP(A167,Classification!A:B,2,FALSE)</f>
        <v>A</v>
      </c>
      <c r="AN167" s="28" t="b">
        <f t="shared" si="121"/>
        <v>1</v>
      </c>
      <c r="AO167" s="3" t="str">
        <f>IF(ISERROR(MATCH(A167,'SegEnds_Xtal_Prot#'!B:B, 0)), "NoXtal", "Xtal")</f>
        <v>NoXtal</v>
      </c>
      <c r="AP167" s="3" t="str">
        <f t="shared" si="104"/>
        <v>-</v>
      </c>
      <c r="AQ167" s="3" t="str">
        <f t="shared" si="105"/>
        <v>-</v>
      </c>
      <c r="AR167" s="3" t="str">
        <f t="shared" si="106"/>
        <v>-</v>
      </c>
      <c r="AS167" s="3" t="str">
        <f t="shared" si="107"/>
        <v>-</v>
      </c>
      <c r="AT167" s="3">
        <f t="shared" si="108"/>
        <v>1</v>
      </c>
      <c r="AU167" s="3">
        <f t="shared" si="109"/>
        <v>1</v>
      </c>
      <c r="AV167" s="3">
        <f t="shared" si="110"/>
        <v>9</v>
      </c>
      <c r="AW167" s="3">
        <f t="shared" si="111"/>
        <v>9</v>
      </c>
      <c r="AX167" s="3">
        <f t="shared" si="112"/>
        <v>6</v>
      </c>
      <c r="AY167" s="3">
        <f t="shared" si="113"/>
        <v>6</v>
      </c>
      <c r="AZ167" s="3">
        <f t="shared" si="114"/>
        <v>1</v>
      </c>
      <c r="BA167" s="3">
        <f>IF(ISERROR(LEN(VLOOKUP(A167,Seqs!A:E,2,FALSE))-AL167),"-",LEN(VLOOKUP(A167,Seqs!A:E,2,FALSE))-AL167)</f>
        <v>120</v>
      </c>
      <c r="BB167" s="16">
        <f t="shared" si="115"/>
        <v>29</v>
      </c>
      <c r="BC167" s="9">
        <f t="shared" si="116"/>
        <v>20</v>
      </c>
      <c r="BD167" s="3">
        <f t="shared" si="117"/>
        <v>29</v>
      </c>
      <c r="BE167" s="3">
        <f t="shared" si="118"/>
        <v>45</v>
      </c>
    </row>
    <row r="168" spans="1:58" s="3" customFormat="1" x14ac:dyDescent="0.2">
      <c r="A168" s="3" t="s">
        <v>287</v>
      </c>
      <c r="B168" s="3" t="str">
        <f>LOWER(VLOOKUP(A168,Xtal_Templ!A:B,2,FALSE))</f>
        <v>oprk_human</v>
      </c>
      <c r="C168" s="3">
        <f>VLOOKUP($A168,'SegEnds_NonXtal_BW#'!$A:$Z,3,FALSE)+D168-50</f>
        <v>37</v>
      </c>
      <c r="D168" s="3">
        <v>57</v>
      </c>
      <c r="E168" s="3">
        <f>IF(ISERROR(VLOOKUP($A168,'SegEnds_NonXtal_BW#'!$A:$Z,4,FALSE)+VLOOKUP($A168,A:AL,4,FALSE)-50),"-",(VLOOKUP($A168,'SegEnds_NonXtal_BW#'!$A:$Z,4,FALSE)+VLOOKUP($A168,A:AL,4,FALSE)-50))</f>
        <v>67</v>
      </c>
      <c r="F168" s="3">
        <f t="shared" ref="F168:F173" si="128">G168-2</f>
        <v>68</v>
      </c>
      <c r="G168" s="3">
        <v>70</v>
      </c>
      <c r="H168" s="3">
        <f t="shared" ref="H168:I173" si="129">G168+1</f>
        <v>71</v>
      </c>
      <c r="I168" s="3">
        <f t="shared" si="129"/>
        <v>72</v>
      </c>
      <c r="J168" s="3">
        <v>85</v>
      </c>
      <c r="K168" s="3">
        <f>VLOOKUP($A168,'SegEnds_NonXtal_BW#'!$A:$Z,8,FALSE)+VLOOKUP($A168,A:AL,10,FALSE)-50</f>
        <v>101</v>
      </c>
      <c r="L168" s="3">
        <f t="shared" ref="L168:L173" si="130">M168-1</f>
        <v>103</v>
      </c>
      <c r="M168" s="3">
        <v>104</v>
      </c>
      <c r="N168" s="3">
        <f t="shared" ref="N168:N173" si="131">M168+2</f>
        <v>106</v>
      </c>
      <c r="O168" s="3">
        <f t="shared" ref="O168:O173" si="132">N168+1</f>
        <v>107</v>
      </c>
      <c r="P168" s="3">
        <v>136</v>
      </c>
      <c r="Q168" s="3">
        <f>VLOOKUP($A168,'SegEnds_NonXtal_BW#'!$A:$Z,12,FALSE)+VLOOKUP($A168,A:AL,16,FALSE)-50</f>
        <v>142</v>
      </c>
      <c r="R168" s="3">
        <f>IF(ISERROR(VLOOKUP($A168,'SegEnds_NonXtal_BW#'!$A:$Z,13,FALSE)+VLOOKUP($A168,A:AL,19,FALSE)-50),"-",VLOOKUP($A168,'SegEnds_NonXtal_BW#'!$A:$Z,13,FALSE)+VLOOKUP($A168,A:AL,19,FALSE)-50)</f>
        <v>143</v>
      </c>
      <c r="S168" s="3">
        <v>143</v>
      </c>
      <c r="T168" s="100">
        <f>IF(ISERROR(VLOOKUP($A168,'SegEnds_NonXtal_BW#'!$A:$Z,14,FALSE)+VLOOKUP($A168,A:AL,19,FALSE)-50),"-",(VLOOKUP($A168,'SegEnds_NonXtal_BW#'!$A:$Z,14,FALSE)+VLOOKUP($A168,A:AL,19,FALSE)-50))</f>
        <v>150</v>
      </c>
      <c r="U168" s="9">
        <f>IF(ISERROR(VLOOKUP($A168,'SegEnds_NonXtal_BW#'!$A:$Z,15,FALSE)+VLOOKUP($A168,A:AL,22,FALSE)-50),"-",VLOOKUP($A168,'SegEnds_NonXtal_BW#'!$A:$Z,15,FALSE)+VLOOKUP($A168,A:AL,22,FALSE)-50)</f>
        <v>151</v>
      </c>
      <c r="V168" s="3">
        <v>163</v>
      </c>
      <c r="W168" s="3">
        <f>IF(ISERROR(VLOOKUP($A168,'SegEnds_NonXtal_BW#'!$A:$Z,16,FALSE)+VLOOKUP($A168,A:AL,22,FALSE)-50),"-",(VLOOKUP($A168,'SegEnds_NonXtal_BW#'!$A:$Z,16,FALSE)+VLOOKUP($A168,A:AL,22,FALSE)-50))</f>
        <v>177</v>
      </c>
      <c r="X168" s="3">
        <f>IF(ISERROR(VLOOKUP($A168,'SegEnds_NonXtal_BW#'!$A:$Z,17,FALSE)+VLOOKUP($A168,A:AL,25,FALSE)-50),"-",(VLOOKUP($A168,'SegEnds_NonXtal_BW#'!$A:$Z,17,FALSE)+VLOOKUP($A168,A:AL,25,FALSE)-50))</f>
        <v>188</v>
      </c>
      <c r="Y168" s="3">
        <v>188</v>
      </c>
      <c r="Z168" s="3">
        <f t="shared" si="126"/>
        <v>190</v>
      </c>
      <c r="AA168" s="3">
        <f>IF(ISERROR(VLOOKUP($A168,'SegEnds_NonXtal_BW#'!$A:$Z,19,FALSE)+VLOOKUP($A168,A:AL,28,FALSE)-50),"-",(VLOOKUP($A168,'SegEnds_NonXtal_BW#'!$A:$Z,19,FALSE)+VLOOKUP($A168,A:AL,28,FALSE)-50))</f>
        <v>196</v>
      </c>
      <c r="AB168" s="3">
        <v>216</v>
      </c>
      <c r="AC168" s="3">
        <f>IF(ISERROR((VLOOKUP($A168,'SegEnds_NonXtal_BW#'!$A:$Z,20,FALSE)+VLOOKUP($A168,A:AL,28,FALSE)-50)),"-",(VLOOKUP($A168,'SegEnds_NonXtal_BW#'!$A:$Z,20,FALSE)+VLOOKUP($A168,A:AL,28,FALSE)-50))</f>
        <v>234</v>
      </c>
      <c r="AD168" s="3">
        <f>IF(ISERROR(VLOOKUP($A168,'SegEnds_NonXtal_BW#'!$A:$Z,21,FALSE)+VLOOKUP($A168,A:AL,31,FALSE)-50),"-",(VLOOKUP($A168,'SegEnds_NonXtal_BW#'!$A:$Z,21,FALSE)+VLOOKUP($A168,A:AL,31,FALSE)-50))</f>
        <v>238</v>
      </c>
      <c r="AE168" s="3">
        <v>264</v>
      </c>
      <c r="AF168" s="3">
        <f>IF(ISERROR((VLOOKUP($A168,'SegEnds_NonXtal_BW#'!$A:$Z,22,FALSE)+VLOOKUP($A168,A:AL,31,FALSE)-50)),"-",(VLOOKUP($A168,'SegEnds_NonXtal_BW#'!$A:$Z,22,FALSE)+VLOOKUP($A168,A:AL,31,FALSE)-50))</f>
        <v>278</v>
      </c>
      <c r="AG168" s="3">
        <f>IF(ISERROR(VLOOKUP($A168,'SegEnds_NonXtal_BW#'!$A:$Z,23,FALSE)+VLOOKUP($A168,A:AL,34,FALSE)-50),"-",(VLOOKUP($A168,'SegEnds_NonXtal_BW#'!$A:$Z,23,FALSE)+VLOOKUP($A168,A:AL,34,FALSE)-50))</f>
        <v>282</v>
      </c>
      <c r="AH168" s="3">
        <v>308</v>
      </c>
      <c r="AI168" s="3">
        <f>IF(ISERROR((VLOOKUP($A168,'SegEnds_NonXtal_BW#'!$A:$Z,24,FALSE)+VLOOKUP($A168,A:AL,34,FALSE)-50)),"-",(VLOOKUP($A168,'SegEnds_NonXtal_BW#'!$A:$Z,24,FALSE)+VLOOKUP($A168,A:AL,34,FALSE)-50))</f>
        <v>314</v>
      </c>
      <c r="AJ168" s="3">
        <f>IF(ISERROR(VLOOKUP($A168,'SegEnds_NonXtal_BW#'!$A:$Z,25,FALSE)+VLOOKUP($A168,A:AL,37,FALSE)-50),"-",(VLOOKUP($A168,'SegEnds_NonXtal_BW#'!$A:$Z,25,FALSE)+VLOOKUP($A168,A:AL,37,FALSE)-50))</f>
        <v>315</v>
      </c>
      <c r="AK168" s="3">
        <v>318</v>
      </c>
      <c r="AL168" s="3">
        <f>IF(ISERROR((VLOOKUP($A168,'SegEnds_NonXtal_BW#'!$A:$Z,26,FALSE)+VLOOKUP($A168,A:AL,37,FALSE)-50)),"-",(VLOOKUP($A168,'SegEnds_NonXtal_BW#'!$A:$Z,26,FALSE)+VLOOKUP($A168,A:AL,37,FALSE)-50))</f>
        <v>327</v>
      </c>
      <c r="AM168" s="28" t="str">
        <f>VLOOKUP(A168,Classification!A:B,2,FALSE)</f>
        <v>A</v>
      </c>
      <c r="AN168" s="28" t="b">
        <f t="shared" si="121"/>
        <v>1</v>
      </c>
      <c r="AO168" s="3" t="str">
        <f>IF(ISERROR(MATCH(A168,'SegEnds_Xtal_Prot#'!B:B, 0)), "NoXtal", "Xtal")</f>
        <v>NoXtal</v>
      </c>
      <c r="AP168" s="3">
        <f t="shared" si="104"/>
        <v>1</v>
      </c>
      <c r="AQ168" s="3">
        <f t="shared" si="105"/>
        <v>1</v>
      </c>
      <c r="AR168" s="3">
        <f t="shared" si="106"/>
        <v>2</v>
      </c>
      <c r="AS168" s="3">
        <f t="shared" si="107"/>
        <v>1</v>
      </c>
      <c r="AT168" s="3">
        <f t="shared" si="108"/>
        <v>1</v>
      </c>
      <c r="AU168" s="3">
        <f t="shared" si="109"/>
        <v>1</v>
      </c>
      <c r="AV168" s="3">
        <f t="shared" si="110"/>
        <v>11</v>
      </c>
      <c r="AW168" s="3">
        <f t="shared" si="111"/>
        <v>6</v>
      </c>
      <c r="AX168" s="3">
        <f t="shared" si="112"/>
        <v>4</v>
      </c>
      <c r="AY168" s="3">
        <f t="shared" si="113"/>
        <v>4</v>
      </c>
      <c r="AZ168" s="3">
        <f t="shared" si="114"/>
        <v>1</v>
      </c>
      <c r="BA168" s="3">
        <f>IF(ISERROR(LEN(VLOOKUP(A168,Seqs!A:E,2,FALSE))-AL168),"-",LEN(VLOOKUP(A168,Seqs!A:E,2,FALSE))-AL168)</f>
        <v>43</v>
      </c>
      <c r="BB168" s="16">
        <f t="shared" si="115"/>
        <v>28</v>
      </c>
      <c r="BC168" s="9">
        <f t="shared" si="116"/>
        <v>20</v>
      </c>
      <c r="BD168" s="3">
        <f t="shared" si="117"/>
        <v>28</v>
      </c>
      <c r="BE168" s="3">
        <f t="shared" si="118"/>
        <v>48</v>
      </c>
    </row>
    <row r="169" spans="1:58" s="3" customFormat="1" x14ac:dyDescent="0.2">
      <c r="A169" s="3" t="s">
        <v>288</v>
      </c>
      <c r="B169" s="3" t="str">
        <f>LOWER(VLOOKUP(A169,Xtal_Templ!A:B,2,FALSE))</f>
        <v>cltr2_human</v>
      </c>
      <c r="C169" s="3">
        <f>VLOOKUP($A169,'SegEnds_NonXtal_BW#'!$A:$Z,3,FALSE)+D169-50</f>
        <v>15</v>
      </c>
      <c r="D169" s="3">
        <v>40</v>
      </c>
      <c r="E169" s="3">
        <f>IF(ISERROR(VLOOKUP($A169,'SegEnds_NonXtal_BW#'!$A:$Z,4,FALSE)+VLOOKUP($A169,A:AL,4,FALSE)-50),"-",(VLOOKUP($A169,'SegEnds_NonXtal_BW#'!$A:$Z,4,FALSE)+VLOOKUP($A169,A:AL,4,FALSE)-50))</f>
        <v>50</v>
      </c>
      <c r="F169" s="3">
        <f t="shared" si="128"/>
        <v>51</v>
      </c>
      <c r="G169" s="3">
        <v>53</v>
      </c>
      <c r="H169" s="3">
        <f t="shared" si="129"/>
        <v>54</v>
      </c>
      <c r="I169" s="3">
        <f t="shared" si="129"/>
        <v>55</v>
      </c>
      <c r="J169" s="3">
        <v>68</v>
      </c>
      <c r="K169" s="3">
        <f>VLOOKUP($A169,'SegEnds_NonXtal_BW#'!$A:$Z,8,FALSE)+VLOOKUP($A169,A:AL,10,FALSE)-50</f>
        <v>84</v>
      </c>
      <c r="L169" s="3">
        <f t="shared" si="130"/>
        <v>86</v>
      </c>
      <c r="M169" s="3">
        <v>87</v>
      </c>
      <c r="N169" s="3">
        <f t="shared" si="131"/>
        <v>89</v>
      </c>
      <c r="O169" s="3">
        <f t="shared" si="132"/>
        <v>90</v>
      </c>
      <c r="P169" s="3">
        <v>119</v>
      </c>
      <c r="Q169" s="3">
        <f>VLOOKUP($A169,'SegEnds_NonXtal_BW#'!$A:$Z,12,FALSE)+VLOOKUP($A169,A:AL,16,FALSE)-50</f>
        <v>125</v>
      </c>
      <c r="R169" s="3">
        <f>IF(ISERROR(VLOOKUP($A169,'SegEnds_NonXtal_BW#'!$A:$Z,13,FALSE)+VLOOKUP($A169,A:AL,19,FALSE)-50),"-",VLOOKUP($A169,'SegEnds_NonXtal_BW#'!$A:$Z,13,FALSE)+VLOOKUP($A169,A:AL,19,FALSE)-50)</f>
        <v>126</v>
      </c>
      <c r="S169" s="3">
        <v>126</v>
      </c>
      <c r="T169" s="100">
        <f>IF(ISERROR(VLOOKUP($A169,'SegEnds_NonXtal_BW#'!$A:$Z,14,FALSE)+VLOOKUP($A169,A:AL,19,FALSE)-50),"-",(VLOOKUP($A169,'SegEnds_NonXtal_BW#'!$A:$Z,14,FALSE)+VLOOKUP($A169,A:AL,19,FALSE)-50))</f>
        <v>133</v>
      </c>
      <c r="U169" s="9">
        <f>IF(ISERROR(VLOOKUP($A169,'SegEnds_NonXtal_BW#'!$A:$Z,15,FALSE)+VLOOKUP($A169,A:AL,22,FALSE)-50),"-",VLOOKUP($A169,'SegEnds_NonXtal_BW#'!$A:$Z,15,FALSE)+VLOOKUP($A169,A:AL,22,FALSE)-50)</f>
        <v>134</v>
      </c>
      <c r="V169" s="3">
        <v>146</v>
      </c>
      <c r="W169" s="3">
        <f>IF(ISERROR(VLOOKUP($A169,'SegEnds_NonXtal_BW#'!$A:$Z,16,FALSE)+VLOOKUP($A169,A:AL,22,FALSE)-50),"-",(VLOOKUP($A169,'SegEnds_NonXtal_BW#'!$A:$Z,16,FALSE)+VLOOKUP($A169,A:AL,22,FALSE)-50))</f>
        <v>159</v>
      </c>
      <c r="X169" s="3">
        <f>IF(ISERROR(VLOOKUP($A169,'SegEnds_NonXtal_BW#'!$A:$Z,17,FALSE)+VLOOKUP($A169,A:AL,25,FALSE)-50),"-",(VLOOKUP($A169,'SegEnds_NonXtal_BW#'!$A:$Z,17,FALSE)+VLOOKUP($A169,A:AL,25,FALSE)-50))</f>
        <v>175</v>
      </c>
      <c r="Y169" s="3">
        <v>175</v>
      </c>
      <c r="Z169" s="3">
        <f t="shared" si="126"/>
        <v>177</v>
      </c>
      <c r="AA169" s="3">
        <f>IF(ISERROR(VLOOKUP($A169,'SegEnds_NonXtal_BW#'!$A:$Z,19,FALSE)+VLOOKUP($A169,A:AL,28,FALSE)-50),"-",(VLOOKUP($A169,'SegEnds_NonXtal_BW#'!$A:$Z,19,FALSE)+VLOOKUP($A169,A:AL,28,FALSE)-50))</f>
        <v>185</v>
      </c>
      <c r="AB169" s="3">
        <v>203</v>
      </c>
      <c r="AC169" s="3">
        <f>IF(ISERROR((VLOOKUP($A169,'SegEnds_NonXtal_BW#'!$A:$Z,20,FALSE)+VLOOKUP($A169,A:AL,28,FALSE)-50)),"-",(VLOOKUP($A169,'SegEnds_NonXtal_BW#'!$A:$Z,20,FALSE)+VLOOKUP($A169,A:AL,28,FALSE)-50))</f>
        <v>220</v>
      </c>
      <c r="AD169" s="3">
        <f>IF(ISERROR(VLOOKUP($A169,'SegEnds_NonXtal_BW#'!$A:$Z,21,FALSE)+VLOOKUP($A169,A:AL,31,FALSE)-50),"-",(VLOOKUP($A169,'SegEnds_NonXtal_BW#'!$A:$Z,21,FALSE)+VLOOKUP($A169,A:AL,31,FALSE)-50))</f>
        <v>225</v>
      </c>
      <c r="AE169" s="3">
        <v>249</v>
      </c>
      <c r="AF169" s="3">
        <f>IF(ISERROR((VLOOKUP($A169,'SegEnds_NonXtal_BW#'!$A:$Z,22,FALSE)+VLOOKUP($A169,A:AL,31,FALSE)-50)),"-",(VLOOKUP($A169,'SegEnds_NonXtal_BW#'!$A:$Z,22,FALSE)+VLOOKUP($A169,A:AL,31,FALSE)-50))</f>
        <v>263</v>
      </c>
      <c r="AG169" s="3">
        <f>IF(ISERROR(VLOOKUP($A169,'SegEnds_NonXtal_BW#'!$A:$Z,23,FALSE)+VLOOKUP($A169,A:AL,34,FALSE)-50),"-",(VLOOKUP($A169,'SegEnds_NonXtal_BW#'!$A:$Z,23,FALSE)+VLOOKUP($A169,A:AL,34,FALSE)-50))</f>
        <v>268</v>
      </c>
      <c r="AH169" s="3">
        <v>294</v>
      </c>
      <c r="AI169" s="3">
        <f>IF(ISERROR((VLOOKUP($A169,'SegEnds_NonXtal_BW#'!$A:$Z,24,FALSE)+VLOOKUP($A169,A:AL,34,FALSE)-50)),"-",(VLOOKUP($A169,'SegEnds_NonXtal_BW#'!$A:$Z,24,FALSE)+VLOOKUP($A169,A:AL,34,FALSE)-50))</f>
        <v>300</v>
      </c>
      <c r="AJ169" s="3">
        <f>IF(ISERROR(VLOOKUP($A169,'SegEnds_NonXtal_BW#'!$A:$Z,25,FALSE)+VLOOKUP($A169,A:AL,37,FALSE)-50),"-",(VLOOKUP($A169,'SegEnds_NonXtal_BW#'!$A:$Z,25,FALSE)+VLOOKUP($A169,A:AL,37,FALSE)-50))</f>
        <v>301</v>
      </c>
      <c r="AK169" s="3">
        <v>304</v>
      </c>
      <c r="AL169" s="3">
        <f>IF(ISERROR((VLOOKUP($A169,'SegEnds_NonXtal_BW#'!$A:$Z,26,FALSE)+VLOOKUP($A169,A:AL,37,FALSE)-50)),"-",(VLOOKUP($A169,'SegEnds_NonXtal_BW#'!$A:$Z,26,FALSE)+VLOOKUP($A169,A:AL,37,FALSE)-50))</f>
        <v>314</v>
      </c>
      <c r="AM169" s="28" t="str">
        <f>VLOOKUP(A169,Classification!A:B,2,FALSE)</f>
        <v>A</v>
      </c>
      <c r="AN169" s="28" t="b">
        <f t="shared" si="121"/>
        <v>1</v>
      </c>
      <c r="AO169" s="3" t="str">
        <f>IF(ISERROR(MATCH(A169,'SegEnds_Xtal_Prot#'!B:B, 0)), "NoXtal", "Xtal")</f>
        <v>NoXtal</v>
      </c>
      <c r="AP169" s="3">
        <f t="shared" si="104"/>
        <v>1</v>
      </c>
      <c r="AQ169" s="3">
        <f t="shared" si="105"/>
        <v>1</v>
      </c>
      <c r="AR169" s="3">
        <f t="shared" si="106"/>
        <v>2</v>
      </c>
      <c r="AS169" s="3">
        <f t="shared" si="107"/>
        <v>1</v>
      </c>
      <c r="AT169" s="3">
        <f t="shared" si="108"/>
        <v>1</v>
      </c>
      <c r="AU169" s="3">
        <f t="shared" si="109"/>
        <v>1</v>
      </c>
      <c r="AV169" s="3">
        <f t="shared" si="110"/>
        <v>16</v>
      </c>
      <c r="AW169" s="3">
        <f t="shared" si="111"/>
        <v>8</v>
      </c>
      <c r="AX169" s="3">
        <f t="shared" si="112"/>
        <v>5</v>
      </c>
      <c r="AY169" s="3">
        <f t="shared" si="113"/>
        <v>5</v>
      </c>
      <c r="AZ169" s="3">
        <f t="shared" si="114"/>
        <v>1</v>
      </c>
      <c r="BA169" s="3">
        <f>IF(ISERROR(LEN(VLOOKUP(A169,Seqs!A:E,2,FALSE))-AL169),"-",LEN(VLOOKUP(A169,Seqs!A:E,2,FALSE))-AL169)</f>
        <v>58</v>
      </c>
      <c r="BB169" s="16">
        <f t="shared" si="115"/>
        <v>28</v>
      </c>
      <c r="BC169" s="9">
        <f t="shared" si="116"/>
        <v>20</v>
      </c>
      <c r="BD169" s="3">
        <f t="shared" si="117"/>
        <v>28</v>
      </c>
      <c r="BE169" s="3">
        <f t="shared" si="118"/>
        <v>46</v>
      </c>
    </row>
    <row r="170" spans="1:58" s="3" customFormat="1" x14ac:dyDescent="0.2">
      <c r="A170" s="3" t="s">
        <v>289</v>
      </c>
      <c r="B170" s="3" t="str">
        <f>LOWER(VLOOKUP(A170,Xtal_Templ!A:B,2,FALSE))</f>
        <v>cltr1_human</v>
      </c>
      <c r="C170" s="3">
        <f>VLOOKUP($A170,'SegEnds_NonXtal_BW#'!$A:$Z,3,FALSE)+D170-50</f>
        <v>5</v>
      </c>
      <c r="D170" s="3">
        <v>35</v>
      </c>
      <c r="E170" s="3">
        <f>IF(ISERROR(VLOOKUP($A170,'SegEnds_NonXtal_BW#'!$A:$Z,4,FALSE)+VLOOKUP($A170,A:AL,4,FALSE)-50),"-",(VLOOKUP($A170,'SegEnds_NonXtal_BW#'!$A:$Z,4,FALSE)+VLOOKUP($A170,A:AL,4,FALSE)-50))</f>
        <v>45</v>
      </c>
      <c r="F170" s="3">
        <f t="shared" si="128"/>
        <v>46</v>
      </c>
      <c r="G170" s="3">
        <v>48</v>
      </c>
      <c r="H170" s="3">
        <f t="shared" si="129"/>
        <v>49</v>
      </c>
      <c r="I170" s="3">
        <f t="shared" si="129"/>
        <v>50</v>
      </c>
      <c r="J170" s="3">
        <v>63</v>
      </c>
      <c r="K170" s="3">
        <f>VLOOKUP($A170,'SegEnds_NonXtal_BW#'!$A:$Z,8,FALSE)+VLOOKUP($A170,A:AL,10,FALSE)-50</f>
        <v>79</v>
      </c>
      <c r="L170" s="3">
        <f t="shared" si="130"/>
        <v>81</v>
      </c>
      <c r="M170" s="3">
        <v>82</v>
      </c>
      <c r="N170" s="3">
        <f t="shared" si="131"/>
        <v>84</v>
      </c>
      <c r="O170" s="3">
        <f t="shared" si="132"/>
        <v>85</v>
      </c>
      <c r="P170" s="3">
        <v>114</v>
      </c>
      <c r="Q170" s="3">
        <f>VLOOKUP($A170,'SegEnds_NonXtal_BW#'!$A:$Z,12,FALSE)+VLOOKUP($A170,A:AL,16,FALSE)-50</f>
        <v>120</v>
      </c>
      <c r="R170" s="3">
        <f>IF(ISERROR(VLOOKUP($A170,'SegEnds_NonXtal_BW#'!$A:$Z,13,FALSE)+VLOOKUP($A170,A:AL,19,FALSE)-50),"-",VLOOKUP($A170,'SegEnds_NonXtal_BW#'!$A:$Z,13,FALSE)+VLOOKUP($A170,A:AL,19,FALSE)-50)</f>
        <v>121</v>
      </c>
      <c r="S170" s="3">
        <v>121</v>
      </c>
      <c r="T170" s="100">
        <f>IF(ISERROR(VLOOKUP($A170,'SegEnds_NonXtal_BW#'!$A:$Z,14,FALSE)+VLOOKUP($A170,A:AL,19,FALSE)-50),"-",(VLOOKUP($A170,'SegEnds_NonXtal_BW#'!$A:$Z,14,FALSE)+VLOOKUP($A170,A:AL,19,FALSE)-50))</f>
        <v>128</v>
      </c>
      <c r="U170" s="9">
        <f>IF(ISERROR(VLOOKUP($A170,'SegEnds_NonXtal_BW#'!$A:$Z,15,FALSE)+VLOOKUP($A170,A:AL,22,FALSE)-50),"-",VLOOKUP($A170,'SegEnds_NonXtal_BW#'!$A:$Z,15,FALSE)+VLOOKUP($A170,A:AL,22,FALSE)-50)</f>
        <v>129</v>
      </c>
      <c r="V170" s="3">
        <v>141</v>
      </c>
      <c r="W170" s="3">
        <f>IF(ISERROR(VLOOKUP($A170,'SegEnds_NonXtal_BW#'!$A:$Z,16,FALSE)+VLOOKUP($A170,A:AL,22,FALSE)-50),"-",(VLOOKUP($A170,'SegEnds_NonXtal_BW#'!$A:$Z,16,FALSE)+VLOOKUP($A170,A:AL,22,FALSE)-50))</f>
        <v>154</v>
      </c>
      <c r="X170" s="3">
        <f>IF(ISERROR(VLOOKUP($A170,'SegEnds_NonXtal_BW#'!$A:$Z,17,FALSE)+VLOOKUP($A170,A:AL,25,FALSE)-50),"-",(VLOOKUP($A170,'SegEnds_NonXtal_BW#'!$A:$Z,17,FALSE)+VLOOKUP($A170,A:AL,25,FALSE)-50))</f>
        <v>168</v>
      </c>
      <c r="Y170" s="3">
        <v>168</v>
      </c>
      <c r="Z170" s="3">
        <f t="shared" si="126"/>
        <v>170</v>
      </c>
      <c r="AA170" s="3">
        <f>IF(ISERROR(VLOOKUP($A170,'SegEnds_NonXtal_BW#'!$A:$Z,19,FALSE)+VLOOKUP($A170,A:AL,28,FALSE)-50),"-",(VLOOKUP($A170,'SegEnds_NonXtal_BW#'!$A:$Z,19,FALSE)+VLOOKUP($A170,A:AL,28,FALSE)-50))</f>
        <v>174</v>
      </c>
      <c r="AB170" s="3">
        <v>196</v>
      </c>
      <c r="AC170" s="3">
        <f>IF(ISERROR((VLOOKUP($A170,'SegEnds_NonXtal_BW#'!$A:$Z,20,FALSE)+VLOOKUP($A170,A:AL,28,FALSE)-50)),"-",(VLOOKUP($A170,'SegEnds_NonXtal_BW#'!$A:$Z,20,FALSE)+VLOOKUP($A170,A:AL,28,FALSE)-50))</f>
        <v>214</v>
      </c>
      <c r="AD170" s="3">
        <f>IF(ISERROR(VLOOKUP($A170,'SegEnds_NonXtal_BW#'!$A:$Z,21,FALSE)+VLOOKUP($A170,A:AL,31,FALSE)-50),"-",(VLOOKUP($A170,'SegEnds_NonXtal_BW#'!$A:$Z,21,FALSE)+VLOOKUP($A170,A:AL,31,FALSE)-50))</f>
        <v>218</v>
      </c>
      <c r="AE170" s="3">
        <v>244</v>
      </c>
      <c r="AF170" s="3">
        <f>IF(ISERROR((VLOOKUP($A170,'SegEnds_NonXtal_BW#'!$A:$Z,22,FALSE)+VLOOKUP($A170,A:AL,31,FALSE)-50)),"-",(VLOOKUP($A170,'SegEnds_NonXtal_BW#'!$A:$Z,22,FALSE)+VLOOKUP($A170,A:AL,31,FALSE)-50))</f>
        <v>258</v>
      </c>
      <c r="AG170" s="3">
        <f>IF(ISERROR(VLOOKUP($A170,'SegEnds_NonXtal_BW#'!$A:$Z,23,FALSE)+VLOOKUP($A170,A:AL,34,FALSE)-50),"-",(VLOOKUP($A170,'SegEnds_NonXtal_BW#'!$A:$Z,23,FALSE)+VLOOKUP($A170,A:AL,34,FALSE)-50))</f>
        <v>262</v>
      </c>
      <c r="AH170" s="3">
        <v>288</v>
      </c>
      <c r="AI170" s="3">
        <f>IF(ISERROR((VLOOKUP($A170,'SegEnds_NonXtal_BW#'!$A:$Z,24,FALSE)+VLOOKUP($A170,A:AL,34,FALSE)-50)),"-",(VLOOKUP($A170,'SegEnds_NonXtal_BW#'!$A:$Z,24,FALSE)+VLOOKUP($A170,A:AL,34,FALSE)-50))</f>
        <v>294</v>
      </c>
      <c r="AJ170" s="3">
        <f>IF(ISERROR(VLOOKUP($A170,'SegEnds_NonXtal_BW#'!$A:$Z,25,FALSE)+VLOOKUP($A170,A:AL,37,FALSE)-50),"-",(VLOOKUP($A170,'SegEnds_NonXtal_BW#'!$A:$Z,25,FALSE)+VLOOKUP($A170,A:AL,37,FALSE)-50))</f>
        <v>295</v>
      </c>
      <c r="AK170" s="3">
        <v>298</v>
      </c>
      <c r="AL170" s="3">
        <f>IF(ISERROR((VLOOKUP($A170,'SegEnds_NonXtal_BW#'!$A:$Z,26,FALSE)+VLOOKUP($A170,A:AL,37,FALSE)-50)),"-",(VLOOKUP($A170,'SegEnds_NonXtal_BW#'!$A:$Z,26,FALSE)+VLOOKUP($A170,A:AL,37,FALSE)-50))</f>
        <v>307</v>
      </c>
      <c r="AM170" s="28" t="str">
        <f>VLOOKUP(A170,Classification!A:B,2,FALSE)</f>
        <v>A</v>
      </c>
      <c r="AN170" s="28" t="b">
        <f t="shared" si="121"/>
        <v>1</v>
      </c>
      <c r="AO170" s="3" t="str">
        <f>IF(ISERROR(MATCH(A170,'SegEnds_Xtal_Prot#'!B:B, 0)), "NoXtal", "Xtal")</f>
        <v>NoXtal</v>
      </c>
      <c r="AP170" s="3">
        <f t="shared" si="104"/>
        <v>1</v>
      </c>
      <c r="AQ170" s="3">
        <f t="shared" si="105"/>
        <v>1</v>
      </c>
      <c r="AR170" s="3">
        <f t="shared" si="106"/>
        <v>2</v>
      </c>
      <c r="AS170" s="3">
        <f t="shared" si="107"/>
        <v>1</v>
      </c>
      <c r="AT170" s="3">
        <f t="shared" si="108"/>
        <v>1</v>
      </c>
      <c r="AU170" s="3">
        <f t="shared" si="109"/>
        <v>1</v>
      </c>
      <c r="AV170" s="3">
        <f t="shared" si="110"/>
        <v>14</v>
      </c>
      <c r="AW170" s="3">
        <f t="shared" si="111"/>
        <v>4</v>
      </c>
      <c r="AX170" s="3">
        <f t="shared" si="112"/>
        <v>4</v>
      </c>
      <c r="AY170" s="3">
        <f t="shared" si="113"/>
        <v>4</v>
      </c>
      <c r="AZ170" s="3">
        <f t="shared" si="114"/>
        <v>1</v>
      </c>
      <c r="BA170" s="3">
        <f>IF(ISERROR(LEN(VLOOKUP(A170,Seqs!A:E,2,FALSE))-AL170),"-",LEN(VLOOKUP(A170,Seqs!A:E,2,FALSE))-AL170)</f>
        <v>37</v>
      </c>
      <c r="BB170" s="16">
        <f t="shared" si="115"/>
        <v>28</v>
      </c>
      <c r="BC170" s="9">
        <f t="shared" si="116"/>
        <v>20</v>
      </c>
      <c r="BD170" s="3">
        <f t="shared" si="117"/>
        <v>28</v>
      </c>
      <c r="BE170" s="3">
        <f t="shared" si="118"/>
        <v>48</v>
      </c>
    </row>
    <row r="171" spans="1:58" s="3" customFormat="1" x14ac:dyDescent="0.2">
      <c r="A171" s="3" t="s">
        <v>290</v>
      </c>
      <c r="B171" s="3" t="str">
        <f>LOWER(VLOOKUP(A171,Xtal_Templ!A:B,2,FALSE))</f>
        <v>hrh1_human</v>
      </c>
      <c r="C171" s="3">
        <f>VLOOKUP($A171,'SegEnds_NonXtal_BW#'!$A:$Z,3,FALSE)+D171-50</f>
        <v>361</v>
      </c>
      <c r="D171" s="3">
        <v>377</v>
      </c>
      <c r="E171" s="3">
        <f>IF(ISERROR(VLOOKUP($A171,'SegEnds_NonXtal_BW#'!$A:$Z,4,FALSE)+VLOOKUP($A171,A:AL,4,FALSE)-50),"-",(VLOOKUP($A171,'SegEnds_NonXtal_BW#'!$A:$Z,4,FALSE)+VLOOKUP($A171,A:AL,4,FALSE)-50))</f>
        <v>387</v>
      </c>
      <c r="F171" s="3">
        <f t="shared" si="128"/>
        <v>389</v>
      </c>
      <c r="G171" s="3">
        <v>391</v>
      </c>
      <c r="H171" s="3">
        <f t="shared" si="129"/>
        <v>392</v>
      </c>
      <c r="I171" s="3">
        <f t="shared" si="129"/>
        <v>393</v>
      </c>
      <c r="J171" s="3">
        <v>405</v>
      </c>
      <c r="K171" s="3">
        <f>VLOOKUP($A171,'SegEnds_NonXtal_BW#'!$A:$Z,8,FALSE)+VLOOKUP($A171,A:AL,10,FALSE)-50</f>
        <v>422</v>
      </c>
      <c r="L171" s="3">
        <f t="shared" si="130"/>
        <v>432</v>
      </c>
      <c r="M171" s="3">
        <v>433</v>
      </c>
      <c r="N171" s="3">
        <f t="shared" si="131"/>
        <v>435</v>
      </c>
      <c r="O171" s="3">
        <f t="shared" si="132"/>
        <v>436</v>
      </c>
      <c r="P171" s="3">
        <v>464</v>
      </c>
      <c r="Q171" s="3">
        <f>VLOOKUP($A171,'SegEnds_NonXtal_BW#'!$A:$Z,12,FALSE)+VLOOKUP($A171,A:AL,16,FALSE)-50</f>
        <v>470</v>
      </c>
      <c r="R171" s="3">
        <f>IF(ISERROR(VLOOKUP($A171,'SegEnds_NonXtal_BW#'!$A:$Z,13,FALSE)+VLOOKUP($A171,A:AL,19,FALSE)-50),"-",VLOOKUP($A171,'SegEnds_NonXtal_BW#'!$A:$Z,13,FALSE)+VLOOKUP($A171,A:AL,19,FALSE)-50)</f>
        <v>471</v>
      </c>
      <c r="S171" s="3">
        <v>471</v>
      </c>
      <c r="T171" s="100">
        <f>IF(ISERROR(VLOOKUP($A171,'SegEnds_NonXtal_BW#'!$A:$Z,14,FALSE)+VLOOKUP($A171,A:AL,19,FALSE)-50),"-",(VLOOKUP($A171,'SegEnds_NonXtal_BW#'!$A:$Z,14,FALSE)+VLOOKUP($A171,A:AL,19,FALSE)-50))</f>
        <v>478</v>
      </c>
      <c r="U171" s="9">
        <f>IF(ISERROR(VLOOKUP($A171,'SegEnds_NonXtal_BW#'!$A:$Z,15,FALSE)+VLOOKUP($A171,A:AL,22,FALSE)-50),"-",VLOOKUP($A171,'SegEnds_NonXtal_BW#'!$A:$Z,15,FALSE)+VLOOKUP($A171,A:AL,22,FALSE)-50)</f>
        <v>479</v>
      </c>
      <c r="V171" s="3">
        <v>491</v>
      </c>
      <c r="W171" s="3">
        <f>IF(ISERROR(VLOOKUP($A171,'SegEnds_NonXtal_BW#'!$A:$Z,16,FALSE)+VLOOKUP($A171,A:AL,22,FALSE)-50),"-",(VLOOKUP($A171,'SegEnds_NonXtal_BW#'!$A:$Z,16,FALSE)+VLOOKUP($A171,A:AL,22,FALSE)-50))</f>
        <v>503</v>
      </c>
      <c r="X171" s="3">
        <f>IF(ISERROR(VLOOKUP($A171,'SegEnds_NonXtal_BW#'!$A:$Z,17,FALSE)+VLOOKUP($A171,A:AL,25,FALSE)-50),"-",(VLOOKUP($A171,'SegEnds_NonXtal_BW#'!$A:$Z,17,FALSE)+VLOOKUP($A171,A:AL,25,FALSE)-50))</f>
        <v>514</v>
      </c>
      <c r="Y171" s="3">
        <v>514</v>
      </c>
      <c r="Z171" s="3">
        <f t="shared" si="126"/>
        <v>516</v>
      </c>
      <c r="AA171" s="3">
        <f>IF(ISERROR(VLOOKUP($A171,'SegEnds_NonXtal_BW#'!$A:$Z,19,FALSE)+VLOOKUP($A171,A:AL,28,FALSE)-50),"-",(VLOOKUP($A171,'SegEnds_NonXtal_BW#'!$A:$Z,19,FALSE)+VLOOKUP($A171,A:AL,28,FALSE)-50))</f>
        <v>523</v>
      </c>
      <c r="AB171" s="3">
        <v>538</v>
      </c>
      <c r="AC171" s="3">
        <f>IF(ISERROR((VLOOKUP($A171,'SegEnds_NonXtal_BW#'!$A:$Z,20,FALSE)+VLOOKUP($A171,A:AL,28,FALSE)-50)),"-",(VLOOKUP($A171,'SegEnds_NonXtal_BW#'!$A:$Z,20,FALSE)+VLOOKUP($A171,A:AL,28,FALSE)-50))</f>
        <v>555</v>
      </c>
      <c r="AD171" s="3">
        <f>IF(ISERROR(VLOOKUP($A171,'SegEnds_NonXtal_BW#'!$A:$Z,21,FALSE)+VLOOKUP($A171,A:AL,31,FALSE)-50),"-",(VLOOKUP($A171,'SegEnds_NonXtal_BW#'!$A:$Z,21,FALSE)+VLOOKUP($A171,A:AL,31,FALSE)-50))</f>
        <v>560</v>
      </c>
      <c r="AE171" s="3">
        <v>584</v>
      </c>
      <c r="AF171" s="3">
        <f>IF(ISERROR((VLOOKUP($A171,'SegEnds_NonXtal_BW#'!$A:$Z,22,FALSE)+VLOOKUP($A171,A:AL,31,FALSE)-50)),"-",(VLOOKUP($A171,'SegEnds_NonXtal_BW#'!$A:$Z,22,FALSE)+VLOOKUP($A171,A:AL,31,FALSE)-50))</f>
        <v>595</v>
      </c>
      <c r="AG171" s="3">
        <f>IF(ISERROR(VLOOKUP($A171,'SegEnds_NonXtal_BW#'!$A:$Z,23,FALSE)+VLOOKUP($A171,A:AL,34,FALSE)-50),"-",(VLOOKUP($A171,'SegEnds_NonXtal_BW#'!$A:$Z,23,FALSE)+VLOOKUP($A171,A:AL,34,FALSE)-50))</f>
        <v>601</v>
      </c>
      <c r="AH171" s="3">
        <v>620</v>
      </c>
      <c r="AI171" s="3">
        <f>IF(ISERROR((VLOOKUP($A171,'SegEnds_NonXtal_BW#'!$A:$Z,24,FALSE)+VLOOKUP($A171,A:AL,34,FALSE)-50)),"-",(VLOOKUP($A171,'SegEnds_NonXtal_BW#'!$A:$Z,24,FALSE)+VLOOKUP($A171,A:AL,34,FALSE)-50))</f>
        <v>626</v>
      </c>
      <c r="AJ171" s="3">
        <f>IF(ISERROR(VLOOKUP($A171,'SegEnds_NonXtal_BW#'!$A:$Z,25,FALSE)+VLOOKUP($A171,A:AL,37,FALSE)-50),"-",(VLOOKUP($A171,'SegEnds_NonXtal_BW#'!$A:$Z,25,FALSE)+VLOOKUP($A171,A:AL,37,FALSE)-50))</f>
        <v>627</v>
      </c>
      <c r="AK171" s="3">
        <v>630</v>
      </c>
      <c r="AL171" s="3">
        <f>IF(ISERROR((VLOOKUP($A171,'SegEnds_NonXtal_BW#'!$A:$Z,26,FALSE)+VLOOKUP($A171,A:AL,37,FALSE)-50)),"-",(VLOOKUP($A171,'SegEnds_NonXtal_BW#'!$A:$Z,26,FALSE)+VLOOKUP($A171,A:AL,37,FALSE)-50))</f>
        <v>639</v>
      </c>
      <c r="AM171" s="28" t="str">
        <f>VLOOKUP(A171,Classification!A:B,2,FALSE)</f>
        <v>A</v>
      </c>
      <c r="AN171" s="28" t="b">
        <f t="shared" si="121"/>
        <v>1</v>
      </c>
      <c r="AO171" s="3" t="str">
        <f>IF(ISERROR(MATCH(A171,'SegEnds_Xtal_Prot#'!B:B, 0)), "NoXtal", "Xtal")</f>
        <v>NoXtal</v>
      </c>
      <c r="AP171" s="3">
        <f t="shared" si="104"/>
        <v>2</v>
      </c>
      <c r="AQ171" s="3">
        <f t="shared" si="105"/>
        <v>1</v>
      </c>
      <c r="AR171" s="3">
        <f t="shared" si="106"/>
        <v>10</v>
      </c>
      <c r="AS171" s="3">
        <f t="shared" si="107"/>
        <v>1</v>
      </c>
      <c r="AT171" s="3">
        <f t="shared" si="108"/>
        <v>1</v>
      </c>
      <c r="AU171" s="3">
        <f t="shared" si="109"/>
        <v>1</v>
      </c>
      <c r="AV171" s="3">
        <f t="shared" si="110"/>
        <v>11</v>
      </c>
      <c r="AW171" s="3">
        <f t="shared" si="111"/>
        <v>7</v>
      </c>
      <c r="AX171" s="3">
        <f t="shared" si="112"/>
        <v>5</v>
      </c>
      <c r="AY171" s="3">
        <f t="shared" si="113"/>
        <v>6</v>
      </c>
      <c r="AZ171" s="3">
        <f t="shared" si="114"/>
        <v>1</v>
      </c>
      <c r="BA171" s="3">
        <f>IF(ISERROR(LEN(VLOOKUP(A171,Seqs!A:E,2,FALSE))-AL171),"-",LEN(VLOOKUP(A171,Seqs!A:E,2,FALSE))-AL171)</f>
        <v>60</v>
      </c>
      <c r="BB171" s="16">
        <f t="shared" si="115"/>
        <v>28</v>
      </c>
      <c r="BC171" s="9">
        <f t="shared" si="116"/>
        <v>20</v>
      </c>
      <c r="BD171" s="3">
        <f t="shared" si="117"/>
        <v>28</v>
      </c>
      <c r="BE171" s="3">
        <f t="shared" si="118"/>
        <v>46</v>
      </c>
    </row>
    <row r="172" spans="1:58" s="3" customFormat="1" x14ac:dyDescent="0.2">
      <c r="A172" s="3" t="s">
        <v>291</v>
      </c>
      <c r="B172" s="3" t="str">
        <f>LOWER(VLOOKUP(A172,Xtal_Templ!A:B,2,FALSE))</f>
        <v>ccr7_human</v>
      </c>
      <c r="C172" s="3">
        <f>VLOOKUP($A172,'SegEnds_NonXtal_BW#'!$A:$Z,3,FALSE)+D172-50</f>
        <v>15</v>
      </c>
      <c r="D172" s="3">
        <v>36</v>
      </c>
      <c r="E172" s="3">
        <f>IF(ISERROR(VLOOKUP($A172,'SegEnds_NonXtal_BW#'!$A:$Z,4,FALSE)+VLOOKUP($A172,A:AL,4,FALSE)-50),"-",(VLOOKUP($A172,'SegEnds_NonXtal_BW#'!$A:$Z,4,FALSE)+VLOOKUP($A172,A:AL,4,FALSE)-50))</f>
        <v>46</v>
      </c>
      <c r="F172" s="3">
        <f t="shared" si="128"/>
        <v>47</v>
      </c>
      <c r="G172" s="3">
        <v>49</v>
      </c>
      <c r="H172" s="3">
        <f t="shared" si="129"/>
        <v>50</v>
      </c>
      <c r="I172" s="3">
        <f t="shared" si="129"/>
        <v>51</v>
      </c>
      <c r="J172" s="3">
        <v>64</v>
      </c>
      <c r="K172" s="3">
        <f>VLOOKUP($A172,'SegEnds_NonXtal_BW#'!$A:$Z,8,FALSE)+VLOOKUP($A172,A:AL,10,FALSE)-50</f>
        <v>80</v>
      </c>
      <c r="L172" s="3">
        <f t="shared" si="130"/>
        <v>82</v>
      </c>
      <c r="M172" s="3">
        <v>83</v>
      </c>
      <c r="N172" s="3">
        <f t="shared" si="131"/>
        <v>85</v>
      </c>
      <c r="O172" s="3">
        <f t="shared" si="132"/>
        <v>86</v>
      </c>
      <c r="P172" s="3">
        <v>115</v>
      </c>
      <c r="Q172" s="3">
        <f>VLOOKUP($A172,'SegEnds_NonXtal_BW#'!$A:$Z,12,FALSE)+VLOOKUP($A172,A:AL,16,FALSE)-50</f>
        <v>121</v>
      </c>
      <c r="R172" s="3">
        <f>IF(ISERROR(VLOOKUP($A172,'SegEnds_NonXtal_BW#'!$A:$Z,13,FALSE)+VLOOKUP($A172,A:AL,19,FALSE)-50),"-",VLOOKUP($A172,'SegEnds_NonXtal_BW#'!$A:$Z,13,FALSE)+VLOOKUP($A172,A:AL,19,FALSE)-50)</f>
        <v>122</v>
      </c>
      <c r="S172" s="3">
        <v>122</v>
      </c>
      <c r="T172" s="100">
        <f>IF(ISERROR(VLOOKUP($A172,'SegEnds_NonXtal_BW#'!$A:$Z,14,FALSE)+VLOOKUP($A172,A:AL,19,FALSE)-50),"-",(VLOOKUP($A172,'SegEnds_NonXtal_BW#'!$A:$Z,14,FALSE)+VLOOKUP($A172,A:AL,19,FALSE)-50))</f>
        <v>129</v>
      </c>
      <c r="U172" s="9">
        <f>IF(ISERROR(VLOOKUP($A172,'SegEnds_NonXtal_BW#'!$A:$Z,15,FALSE)+VLOOKUP($A172,A:AL,22,FALSE)-50),"-",VLOOKUP($A172,'SegEnds_NonXtal_BW#'!$A:$Z,15,FALSE)+VLOOKUP($A172,A:AL,22,FALSE)-50)</f>
        <v>130</v>
      </c>
      <c r="V172" s="3">
        <v>142</v>
      </c>
      <c r="W172" s="3">
        <f>IF(ISERROR(VLOOKUP($A172,'SegEnds_NonXtal_BW#'!$A:$Z,16,FALSE)+VLOOKUP($A172,A:AL,22,FALSE)-50),"-",(VLOOKUP($A172,'SegEnds_NonXtal_BW#'!$A:$Z,16,FALSE)+VLOOKUP($A172,A:AL,22,FALSE)-50))</f>
        <v>156</v>
      </c>
      <c r="X172" s="3">
        <f>IF(ISERROR(VLOOKUP($A172,'SegEnds_NonXtal_BW#'!$A:$Z,17,FALSE)+VLOOKUP($A172,A:AL,25,FALSE)-50),"-",(VLOOKUP($A172,'SegEnds_NonXtal_BW#'!$A:$Z,17,FALSE)+VLOOKUP($A172,A:AL,25,FALSE)-50))</f>
        <v>168</v>
      </c>
      <c r="Y172" s="3">
        <v>168</v>
      </c>
      <c r="Z172" s="3">
        <f t="shared" si="126"/>
        <v>170</v>
      </c>
      <c r="AA172" s="3">
        <f>IF(ISERROR(VLOOKUP($A172,'SegEnds_NonXtal_BW#'!$A:$Z,19,FALSE)+VLOOKUP($A172,A:AL,28,FALSE)-50),"-",(VLOOKUP($A172,'SegEnds_NonXtal_BW#'!$A:$Z,19,FALSE)+VLOOKUP($A172,A:AL,28,FALSE)-50))</f>
        <v>172</v>
      </c>
      <c r="AB172" s="3">
        <v>193</v>
      </c>
      <c r="AC172" s="3">
        <f>IF(ISERROR((VLOOKUP($A172,'SegEnds_NonXtal_BW#'!$A:$Z,20,FALSE)+VLOOKUP($A172,A:AL,28,FALSE)-50)),"-",(VLOOKUP($A172,'SegEnds_NonXtal_BW#'!$A:$Z,20,FALSE)+VLOOKUP($A172,A:AL,28,FALSE)-50))</f>
        <v>211</v>
      </c>
      <c r="AD172" s="3">
        <f>IF(ISERROR(VLOOKUP($A172,'SegEnds_NonXtal_BW#'!$A:$Z,21,FALSE)+VLOOKUP($A172,A:AL,31,FALSE)-50),"-",(VLOOKUP($A172,'SegEnds_NonXtal_BW#'!$A:$Z,21,FALSE)+VLOOKUP($A172,A:AL,31,FALSE)-50))</f>
        <v>216</v>
      </c>
      <c r="AE172" s="3">
        <v>236</v>
      </c>
      <c r="AF172" s="3">
        <f>IF(ISERROR((VLOOKUP($A172,'SegEnds_NonXtal_BW#'!$A:$Z,22,FALSE)+VLOOKUP($A172,A:AL,31,FALSE)-50)),"-",(VLOOKUP($A172,'SegEnds_NonXtal_BW#'!$A:$Z,22,FALSE)+VLOOKUP($A172,A:AL,31,FALSE)-50))</f>
        <v>250</v>
      </c>
      <c r="AG172" s="3">
        <f>IF(ISERROR(VLOOKUP($A172,'SegEnds_NonXtal_BW#'!$A:$Z,23,FALSE)+VLOOKUP($A172,A:AL,34,FALSE)-50),"-",(VLOOKUP($A172,'SegEnds_NonXtal_BW#'!$A:$Z,23,FALSE)+VLOOKUP($A172,A:AL,34,FALSE)-50))</f>
        <v>256</v>
      </c>
      <c r="AH172" s="3">
        <v>282</v>
      </c>
      <c r="AI172" s="3">
        <f>IF(ISERROR((VLOOKUP($A172,'SegEnds_NonXtal_BW#'!$A:$Z,24,FALSE)+VLOOKUP($A172,A:AL,34,FALSE)-50)),"-",(VLOOKUP($A172,'SegEnds_NonXtal_BW#'!$A:$Z,24,FALSE)+VLOOKUP($A172,A:AL,34,FALSE)-50))</f>
        <v>288</v>
      </c>
      <c r="AJ172" s="3">
        <f>IF(ISERROR(VLOOKUP($A172,'SegEnds_NonXtal_BW#'!$A:$Z,25,FALSE)+VLOOKUP($A172,A:AL,37,FALSE)-50),"-",(VLOOKUP($A172,'SegEnds_NonXtal_BW#'!$A:$Z,25,FALSE)+VLOOKUP($A172,A:AL,37,FALSE)-50))</f>
        <v>289</v>
      </c>
      <c r="AK172" s="3">
        <v>292</v>
      </c>
      <c r="AL172" s="3">
        <f>IF(ISERROR((VLOOKUP($A172,'SegEnds_NonXtal_BW#'!$A:$Z,26,FALSE)+VLOOKUP($A172,A:AL,37,FALSE)-50)),"-",(VLOOKUP($A172,'SegEnds_NonXtal_BW#'!$A:$Z,26,FALSE)+VLOOKUP($A172,A:AL,37,FALSE)-50))</f>
        <v>301</v>
      </c>
      <c r="AM172" s="28" t="str">
        <f>VLOOKUP(A172,Classification!A:B,2,FALSE)</f>
        <v>A</v>
      </c>
      <c r="AN172" s="28" t="b">
        <f>AND(IF(Y172="-",IF(AA172-W172&gt;3,TRUE,FALSE),TRUE),IF(M172="-",IF(O172-K172&gt;3,TRUE,FALSE),TRUE),IF(AG172-AF172&gt;1,TRUE,FALSE),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    <v>1</v>
      </c>
      <c r="AO172" s="3" t="str">
        <f>IF(ISERROR(MATCH(A172,'SegEnds_Xtal_Prot#'!B:B, 0)), "NoXtal", "Xtal")</f>
        <v>NoXtal</v>
      </c>
      <c r="AP172" s="3">
        <f t="shared" si="104"/>
        <v>1</v>
      </c>
      <c r="AQ172" s="3">
        <f t="shared" si="105"/>
        <v>1</v>
      </c>
      <c r="AR172" s="3">
        <f t="shared" si="106"/>
        <v>2</v>
      </c>
      <c r="AS172" s="3">
        <f t="shared" si="107"/>
        <v>1</v>
      </c>
      <c r="AT172" s="3">
        <f t="shared" si="108"/>
        <v>1</v>
      </c>
      <c r="AU172" s="3">
        <f t="shared" si="109"/>
        <v>1</v>
      </c>
      <c r="AV172" s="3">
        <f t="shared" si="110"/>
        <v>12</v>
      </c>
      <c r="AW172" s="3">
        <f t="shared" si="111"/>
        <v>2</v>
      </c>
      <c r="AX172" s="3">
        <f t="shared" si="112"/>
        <v>5</v>
      </c>
      <c r="AY172" s="3">
        <f t="shared" si="113"/>
        <v>6</v>
      </c>
      <c r="AZ172" s="3">
        <f t="shared" si="114"/>
        <v>1</v>
      </c>
      <c r="BA172" s="3">
        <f>IF(ISERROR(LEN(VLOOKUP(A172,Seqs!A:E,2,FALSE))-AL172),"-",LEN(VLOOKUP(A172,Seqs!A:E,2,FALSE))-AL172)</f>
        <v>51</v>
      </c>
      <c r="BB172" s="16">
        <f t="shared" si="115"/>
        <v>28</v>
      </c>
      <c r="BC172" s="9">
        <f t="shared" si="116"/>
        <v>20</v>
      </c>
      <c r="BD172" s="3">
        <f t="shared" si="117"/>
        <v>28</v>
      </c>
      <c r="BE172" s="3">
        <f t="shared" si="118"/>
        <v>43</v>
      </c>
    </row>
    <row r="173" spans="1:58" s="3" customFormat="1" x14ac:dyDescent="0.2">
      <c r="A173" s="3" t="s">
        <v>292</v>
      </c>
      <c r="B173" s="3" t="str">
        <f>LOWER(VLOOKUP(A173,Xtal_Templ!A:B,2,FALSE))</f>
        <v>pd2r2_human</v>
      </c>
      <c r="C173" s="3">
        <f>VLOOKUP($A173,'SegEnds_NonXtal_BW#'!$A:$Z,3,FALSE)+D173-50</f>
        <v>51</v>
      </c>
      <c r="D173" s="3">
        <v>69</v>
      </c>
      <c r="E173" s="3">
        <f>IF(ISERROR(VLOOKUP($A173,'SegEnds_NonXtal_BW#'!$A:$Z,4,FALSE)+VLOOKUP($A173,A:AL,4,FALSE)-50),"-",(VLOOKUP($A173,'SegEnds_NonXtal_BW#'!$A:$Z,4,FALSE)+VLOOKUP($A173,A:AL,4,FALSE)-50))</f>
        <v>79</v>
      </c>
      <c r="F173" s="3">
        <f t="shared" si="128"/>
        <v>80</v>
      </c>
      <c r="G173" s="3">
        <v>82</v>
      </c>
      <c r="H173" s="3">
        <f t="shared" si="129"/>
        <v>83</v>
      </c>
      <c r="I173" s="3">
        <f t="shared" si="129"/>
        <v>84</v>
      </c>
      <c r="J173" s="3">
        <v>99</v>
      </c>
      <c r="K173" s="3">
        <f>VLOOKUP($A173,'SegEnds_NonXtal_BW#'!$A:$Z,8,FALSE)+VLOOKUP($A173,A:AL,10,FALSE)-50</f>
        <v>115</v>
      </c>
      <c r="L173" s="3">
        <f t="shared" si="130"/>
        <v>117</v>
      </c>
      <c r="M173" s="3">
        <v>118</v>
      </c>
      <c r="N173" s="3">
        <f t="shared" si="131"/>
        <v>120</v>
      </c>
      <c r="O173" s="3">
        <f t="shared" si="132"/>
        <v>121</v>
      </c>
      <c r="P173" s="3">
        <v>150</v>
      </c>
      <c r="Q173" s="3">
        <f>VLOOKUP($A173,'SegEnds_NonXtal_BW#'!$A:$Z,12,FALSE)+VLOOKUP($A173,A:AL,16,FALSE)-50</f>
        <v>156</v>
      </c>
      <c r="R173" s="3">
        <f>IF(ISERROR(VLOOKUP($A173,'SegEnds_NonXtal_BW#'!$A:$Z,13,FALSE)+VLOOKUP($A173,A:AL,19,FALSE)-50),"-",VLOOKUP($A173,'SegEnds_NonXtal_BW#'!$A:$Z,13,FALSE)+VLOOKUP($A173,A:AL,19,FALSE)-50)</f>
        <v>157</v>
      </c>
      <c r="S173" s="3">
        <v>157</v>
      </c>
      <c r="T173" s="100">
        <f>IF(ISERROR(VLOOKUP($A173,'SegEnds_NonXtal_BW#'!$A:$Z,14,FALSE)+VLOOKUP($A173,A:AL,19,FALSE)-50),"-",(VLOOKUP($A173,'SegEnds_NonXtal_BW#'!$A:$Z,14,FALSE)+VLOOKUP($A173,A:AL,19,FALSE)-50))</f>
        <v>164</v>
      </c>
      <c r="U173" s="9">
        <f>IF(ISERROR(VLOOKUP($A173,'SegEnds_NonXtal_BW#'!$A:$Z,15,FALSE)+VLOOKUP($A173,A:AL,22,FALSE)-50),"-",VLOOKUP($A173,'SegEnds_NonXtal_BW#'!$A:$Z,15,FALSE)+VLOOKUP($A173,A:AL,22,FALSE)-50)</f>
        <v>165</v>
      </c>
      <c r="V173" s="3">
        <v>177</v>
      </c>
      <c r="W173" s="3">
        <f>IF(ISERROR(VLOOKUP($A173,'SegEnds_NonXtal_BW#'!$A:$Z,16,FALSE)+VLOOKUP($A173,A:AL,22,FALSE)-50),"-",(VLOOKUP($A173,'SegEnds_NonXtal_BW#'!$A:$Z,16,FALSE)+VLOOKUP($A173,A:AL,22,FALSE)-50))</f>
        <v>191</v>
      </c>
      <c r="X173" s="3">
        <f>IF(ISERROR(VLOOKUP($A173,'SegEnds_NonXtal_BW#'!$A:$Z,17,FALSE)+VLOOKUP($A173,A:AL,25,FALSE)-50),"-",(VLOOKUP($A173,'SegEnds_NonXtal_BW#'!$A:$Z,17,FALSE)+VLOOKUP($A173,A:AL,25,FALSE)-50))</f>
        <v>202</v>
      </c>
      <c r="Y173" s="3">
        <v>202</v>
      </c>
      <c r="Z173" s="3">
        <f t="shared" si="126"/>
        <v>204</v>
      </c>
      <c r="AA173" s="3">
        <f>IF(ISERROR(VLOOKUP($A173,'SegEnds_NonXtal_BW#'!$A:$Z,19,FALSE)+VLOOKUP($A173,A:AL,28,FALSE)-50),"-",(VLOOKUP($A173,'SegEnds_NonXtal_BW#'!$A:$Z,19,FALSE)+VLOOKUP($A173,A:AL,28,FALSE)-50))</f>
        <v>209</v>
      </c>
      <c r="AB173" s="3">
        <v>224</v>
      </c>
      <c r="AC173" s="3">
        <f>IF(ISERROR((VLOOKUP($A173,'SegEnds_NonXtal_BW#'!$A:$Z,20,FALSE)+VLOOKUP($A173,A:AL,28,FALSE)-50)),"-",(VLOOKUP($A173,'SegEnds_NonXtal_BW#'!$A:$Z,20,FALSE)+VLOOKUP($A173,A:AL,28,FALSE)-50))</f>
        <v>241</v>
      </c>
      <c r="AD173" s="3">
        <f>IF(ISERROR(VLOOKUP($A173,'SegEnds_NonXtal_BW#'!$A:$Z,21,FALSE)+VLOOKUP($A173,A:AL,31,FALSE)-50),"-",(VLOOKUP($A173,'SegEnds_NonXtal_BW#'!$A:$Z,21,FALSE)+VLOOKUP($A173,A:AL,31,FALSE)-50))</f>
        <v>246</v>
      </c>
      <c r="AE173" s="3">
        <v>270</v>
      </c>
      <c r="AF173" s="3">
        <f>IF(ISERROR((VLOOKUP($A173,'SegEnds_NonXtal_BW#'!$A:$Z,22,FALSE)+VLOOKUP($A173,A:AL,31,FALSE)-50)),"-",(VLOOKUP($A173,'SegEnds_NonXtal_BW#'!$A:$Z,22,FALSE)+VLOOKUP($A173,A:AL,31,FALSE)-50))</f>
        <v>284</v>
      </c>
      <c r="AG173" s="3">
        <f>IF(ISERROR(VLOOKUP($A173,'SegEnds_NonXtal_BW#'!$A:$Z,23,FALSE)+VLOOKUP($A173,A:AL,34,FALSE)-50),"-",(VLOOKUP($A173,'SegEnds_NonXtal_BW#'!$A:$Z,23,FALSE)+VLOOKUP($A173,A:AL,34,FALSE)-50))</f>
        <v>290</v>
      </c>
      <c r="AH173" s="3">
        <v>316</v>
      </c>
      <c r="AI173" s="3">
        <f>IF(ISERROR((VLOOKUP($A173,'SegEnds_NonXtal_BW#'!$A:$Z,24,FALSE)+VLOOKUP($A173,A:AL,34,FALSE)-50)),"-",(VLOOKUP($A173,'SegEnds_NonXtal_BW#'!$A:$Z,24,FALSE)+VLOOKUP($A173,A:AL,34,FALSE)-50))</f>
        <v>322</v>
      </c>
      <c r="AJ173" s="3">
        <f>IF(ISERROR(VLOOKUP($A173,'SegEnds_NonXtal_BW#'!$A:$Z,25,FALSE)+VLOOKUP($A173,A:AL,37,FALSE)-50),"-",(VLOOKUP($A173,'SegEnds_NonXtal_BW#'!$A:$Z,25,FALSE)+VLOOKUP($A173,A:AL,37,FALSE)-50))</f>
        <v>323</v>
      </c>
      <c r="AK173" s="3">
        <v>326</v>
      </c>
      <c r="AL173" s="3">
        <f>IF(ISERROR((VLOOKUP($A173,'SegEnds_NonXtal_BW#'!$A:$Z,26,FALSE)+VLOOKUP($A173,A:AL,37,FALSE)-50)),"-",(VLOOKUP($A173,'SegEnds_NonXtal_BW#'!$A:$Z,26,FALSE)+VLOOKUP($A173,A:AL,37,FALSE)-50))</f>
        <v>340</v>
      </c>
      <c r="AM173" s="28" t="str">
        <f>VLOOKUP(A173,Classification!A:B,2,FALSE)</f>
        <v>A</v>
      </c>
      <c r="AN173" s="28" t="b">
        <f t="shared" si="121"/>
        <v>1</v>
      </c>
      <c r="AO173" s="3" t="str">
        <f>IF(ISERROR(MATCH(A173,'SegEnds_Xtal_Prot#'!B:B, 0)), "NoXtal", "Xtal")</f>
        <v>NoXtal</v>
      </c>
      <c r="AP173" s="3">
        <f t="shared" si="104"/>
        <v>1</v>
      </c>
      <c r="AQ173" s="3">
        <f t="shared" si="105"/>
        <v>1</v>
      </c>
      <c r="AR173" s="3">
        <f t="shared" si="106"/>
        <v>2</v>
      </c>
      <c r="AS173" s="3">
        <f t="shared" si="107"/>
        <v>1</v>
      </c>
      <c r="AT173" s="3">
        <f t="shared" si="108"/>
        <v>1</v>
      </c>
      <c r="AU173" s="3">
        <f t="shared" si="109"/>
        <v>1</v>
      </c>
      <c r="AV173" s="3">
        <f t="shared" si="110"/>
        <v>11</v>
      </c>
      <c r="AW173" s="3">
        <f t="shared" si="111"/>
        <v>5</v>
      </c>
      <c r="AX173" s="3">
        <f t="shared" si="112"/>
        <v>5</v>
      </c>
      <c r="AY173" s="3">
        <f t="shared" si="113"/>
        <v>6</v>
      </c>
      <c r="AZ173" s="3">
        <f t="shared" si="114"/>
        <v>1</v>
      </c>
      <c r="BA173" s="3">
        <f>IF(ISERROR(LEN(VLOOKUP(A173,Seqs!A:E,2,FALSE))-AL173),"-",LEN(VLOOKUP(A173,Seqs!A:E,2,FALSE))-AL173)</f>
        <v>49</v>
      </c>
      <c r="BB173" s="16">
        <f t="shared" si="115"/>
        <v>30</v>
      </c>
      <c r="BC173" s="9">
        <f t="shared" si="116"/>
        <v>20</v>
      </c>
      <c r="BD173" s="3">
        <f t="shared" si="117"/>
        <v>30</v>
      </c>
      <c r="BE173" s="3">
        <f t="shared" si="118"/>
        <v>46</v>
      </c>
    </row>
    <row r="174" spans="1:58" s="3" customFormat="1" x14ac:dyDescent="0.2">
      <c r="A174" s="3" t="s">
        <v>293</v>
      </c>
      <c r="B174" s="3" t="str">
        <f>LOWER(VLOOKUP(A174,Xtal_Templ!A:B,2,FALSE))</f>
        <v>agtr1_human</v>
      </c>
      <c r="C174" s="3">
        <f>VLOOKUP($A174,'SegEnds_NonXtal_BW#'!$A:$Z,3,FALSE)+D174-50</f>
        <v>28</v>
      </c>
      <c r="D174" s="3">
        <v>50</v>
      </c>
      <c r="E174" s="3">
        <f>IF(ISERROR(VLOOKUP($A174,'SegEnds_NonXtal_BW#'!$A:$Z,4,FALSE)+VLOOKUP($A174,A:AL,4,FALSE)-50),"-",(VLOOKUP($A174,'SegEnds_NonXtal_BW#'!$A:$Z,4,FALSE)+VLOOKUP($A174,A:AL,4,FALSE)-50))</f>
        <v>60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64</v>
      </c>
      <c r="J174" s="3">
        <v>77</v>
      </c>
      <c r="K174" s="3">
        <f>VLOOKUP($A174,'SegEnds_NonXtal_BW#'!$A:$Z,8,FALSE)+VLOOKUP($A174,A:AL,10,FALSE)-50</f>
        <v>94</v>
      </c>
      <c r="L174" s="3" t="s">
        <v>23</v>
      </c>
      <c r="M174" s="3" t="s">
        <v>23</v>
      </c>
      <c r="N174" s="3" t="s">
        <v>23</v>
      </c>
      <c r="O174" s="3">
        <f>VLOOKUP($A174,'SegEnds_NonXtal_BW#'!$A:$Z,11,FALSE)+VLOOKUP($A174,A:AL,16,FALSE)-50</f>
        <v>98</v>
      </c>
      <c r="P174" s="3">
        <v>130</v>
      </c>
      <c r="Q174" s="3">
        <f>VLOOKUP($A174,'SegEnds_NonXtal_BW#'!$A:$Z,12,FALSE)+VLOOKUP($A174,A:AL,16,FALSE)-50</f>
        <v>136</v>
      </c>
      <c r="R174" s="3">
        <f>IF(ISERROR(VLOOKUP($A174,'SegEnds_NonXtal_BW#'!$A:$Z,13,FALSE)+VLOOKUP($A174,A:AL,19,FALSE)-50),"-",VLOOKUP($A174,'SegEnds_NonXtal_BW#'!$A:$Z,13,FALSE)+VLOOKUP($A174,A:AL,19,FALSE)-50)</f>
        <v>137</v>
      </c>
      <c r="S174" s="3">
        <v>137</v>
      </c>
      <c r="T174" s="100">
        <f>IF(ISERROR(VLOOKUP($A174,'SegEnds_NonXtal_BW#'!$A:$Z,14,FALSE)+VLOOKUP($A174,A:AL,19,FALSE)-50),"-",(VLOOKUP($A174,'SegEnds_NonXtal_BW#'!$A:$Z,14,FALSE)+VLOOKUP($A174,A:AL,19,FALSE)-50))</f>
        <v>144</v>
      </c>
      <c r="U174" s="9">
        <f>IF(ISERROR(VLOOKUP($A174,'SegEnds_NonXtal_BW#'!$A:$Z,15,FALSE)+VLOOKUP($A174,A:AL,22,FALSE)-50),"-",VLOOKUP($A174,'SegEnds_NonXtal_BW#'!$A:$Z,15,FALSE)+VLOOKUP($A174,A:AL,22,FALSE)-50)</f>
        <v>145</v>
      </c>
      <c r="V174" s="3">
        <v>157</v>
      </c>
      <c r="W174" s="3">
        <f>IF(ISERROR(VLOOKUP($A174,'SegEnds_NonXtal_BW#'!$A:$Z,16,FALSE)+VLOOKUP($A174,A:AL,22,FALSE)-50),"-",(VLOOKUP($A174,'SegEnds_NonXtal_BW#'!$A:$Z,16,FALSE)+VLOOKUP($A174,A:AL,22,FALSE)-50))</f>
        <v>171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185</v>
      </c>
      <c r="AB174" s="3">
        <v>201</v>
      </c>
      <c r="AC174" s="3">
        <f>IF(ISERROR((VLOOKUP($A174,'SegEnds_NonXtal_BW#'!$A:$Z,20,FALSE)+VLOOKUP($A174,A:AL,28,FALSE)-50)),"-",(VLOOKUP($A174,'SegEnds_NonXtal_BW#'!$A:$Z,20,FALSE)+VLOOKUP($A174,A:AL,28,FALSE)-50))</f>
        <v>219</v>
      </c>
      <c r="AD174" s="3">
        <f>IF(ISERROR(VLOOKUP($A174,'SegEnds_NonXtal_BW#'!$A:$Z,21,FALSE)+VLOOKUP($A174,A:AL,31,FALSE)-50),"-",(VLOOKUP($A174,'SegEnds_NonXtal_BW#'!$A:$Z,21,FALSE)+VLOOKUP($A174,A:AL,31,FALSE)-50))</f>
        <v>223</v>
      </c>
      <c r="AE174" s="3">
        <v>243</v>
      </c>
      <c r="AF174" s="3">
        <f>IF(ISERROR((VLOOKUP($A174,'SegEnds_NonXtal_BW#'!$A:$Z,22,FALSE)+VLOOKUP($A174,A:AL,31,FALSE)-50)),"-",(VLOOKUP($A174,'SegEnds_NonXtal_BW#'!$A:$Z,22,FALSE)+VLOOKUP($A174,A:AL,31,FALSE)-50))</f>
        <v>254</v>
      </c>
      <c r="AG174" s="3">
        <f>IF(ISERROR(VLOOKUP($A174,'SegEnds_NonXtal_BW#'!$A:$Z,23,FALSE)+VLOOKUP($A174,A:AL,34,FALSE)-50),"-",(VLOOKUP($A174,'SegEnds_NonXtal_BW#'!$A:$Z,23,FALSE)+VLOOKUP($A174,A:AL,34,FALSE)-50))</f>
        <v>259</v>
      </c>
      <c r="AH174" s="3">
        <v>277</v>
      </c>
      <c r="AI174" s="3">
        <f>IF(ISERROR((VLOOKUP($A174,'SegEnds_NonXtal_BW#'!$A:$Z,24,FALSE)+VLOOKUP($A174,A:AL,34,FALSE)-50)),"-",(VLOOKUP($A174,'SegEnds_NonXtal_BW#'!$A:$Z,24,FALSE)+VLOOKUP($A174,A:AL,34,FALSE)-50))</f>
        <v>283</v>
      </c>
      <c r="AJ174" s="3">
        <f>IF(ISERROR(VLOOKUP($A174,'SegEnds_NonXtal_BW#'!$A:$Z,25,FALSE)+VLOOKUP($A174,A:AL,37,FALSE)-50),"-",(VLOOKUP($A174,'SegEnds_NonXtal_BW#'!$A:$Z,25,FALSE)+VLOOKUP($A174,A:AL,37,FALSE)-50))</f>
        <v>284</v>
      </c>
      <c r="AK174" s="3">
        <v>287</v>
      </c>
      <c r="AL174" s="3">
        <f>IF(ISERROR((VLOOKUP($A174,'SegEnds_NonXtal_BW#'!$A:$Z,26,FALSE)+VLOOKUP($A174,A:AL,37,FALSE)-50)),"-",(VLOOKUP($A174,'SegEnds_NonXtal_BW#'!$A:$Z,26,FALSE)+VLOOKUP($A174,A:AL,37,FALSE)-50))</f>
        <v>298</v>
      </c>
      <c r="AM174" s="28" t="str">
        <f>VLOOKUP(A174,Classification!A:B,2,FALSE)</f>
        <v>A</v>
      </c>
      <c r="AN174" s="28" t="b">
        <f t="shared" si="121"/>
        <v>1</v>
      </c>
      <c r="AO174" s="3" t="str">
        <f>IF(ISERROR(MATCH(A174,'SegEnds_Xtal_Prot#'!B:B, 0)), "NoXtal", "Xtal")</f>
        <v>NoXtal</v>
      </c>
      <c r="AP174" s="3" t="str">
        <f t="shared" si="104"/>
        <v>-</v>
      </c>
      <c r="AQ174" s="3" t="str">
        <f t="shared" si="105"/>
        <v>-</v>
      </c>
      <c r="AR174" s="3" t="str">
        <f t="shared" si="106"/>
        <v>-</v>
      </c>
      <c r="AS174" s="3" t="str">
        <f t="shared" si="107"/>
        <v>-</v>
      </c>
      <c r="AT174" s="3">
        <f t="shared" si="108"/>
        <v>1</v>
      </c>
      <c r="AU174" s="3">
        <f t="shared" si="109"/>
        <v>1</v>
      </c>
      <c r="AV174" s="3" t="str">
        <f t="shared" si="110"/>
        <v>-</v>
      </c>
      <c r="AW174" s="3" t="str">
        <f t="shared" si="111"/>
        <v>-</v>
      </c>
      <c r="AX174" s="3">
        <f t="shared" si="112"/>
        <v>4</v>
      </c>
      <c r="AY174" s="3">
        <f t="shared" si="113"/>
        <v>5</v>
      </c>
      <c r="AZ174" s="3">
        <f t="shared" si="114"/>
        <v>1</v>
      </c>
      <c r="BA174" s="3">
        <f>IF(ISERROR(LEN(VLOOKUP(A174,Seqs!A:E,2,FALSE))-AL174),"-",LEN(VLOOKUP(A174,Seqs!A:E,2,FALSE))-AL174)</f>
        <v>27</v>
      </c>
      <c r="BB174" s="16">
        <f t="shared" si="115"/>
        <v>27</v>
      </c>
      <c r="BC174" s="9">
        <f t="shared" si="116"/>
        <v>20</v>
      </c>
      <c r="BD174" s="3">
        <f t="shared" si="117"/>
        <v>27</v>
      </c>
      <c r="BE174" s="3">
        <f t="shared" si="118"/>
        <v>42</v>
      </c>
      <c r="BF174" s="3">
        <f>AH174-AE174</f>
        <v>34</v>
      </c>
    </row>
    <row r="175" spans="1:58" s="3" customFormat="1" x14ac:dyDescent="0.2">
      <c r="A175" s="3" t="s">
        <v>294</v>
      </c>
      <c r="B175" s="3" t="str">
        <f>LOWER(VLOOKUP(A175,Xtal_Templ!A:B,2,FALSE))</f>
        <v>ccr9_human</v>
      </c>
      <c r="C175" s="3">
        <f>VLOOKUP($A175,'SegEnds_NonXtal_BW#'!$A:$Z,3,FALSE)+D175-50</f>
        <v>70</v>
      </c>
      <c r="D175" s="3">
        <v>93</v>
      </c>
      <c r="E175" s="3">
        <f>IF(ISERROR(VLOOKUP($A175,'SegEnds_NonXtal_BW#'!$A:$Z,4,FALSE)+VLOOKUP($A175,A:AL,4,FALSE)-50),"-",(VLOOKUP($A175,'SegEnds_NonXtal_BW#'!$A:$Z,4,FALSE)+VLOOKUP($A175,A:AL,4,FALSE)-50))</f>
        <v>103</v>
      </c>
      <c r="F175" s="3" t="str">
        <f>IF(ISERROR(VLOOKUP($A175,'SegEnds_NonXtal_BW#'!$A:$Z,5,FALSE)+VLOOKUP($A175,A:AL,7,FALSE)-50),"-",(VLOOKUP($A175,'SegEnds_NonXtal_BW#'!$A:$Z,5,FALSE)+VLOOKUP($A175,A:AL,7,FALSE)-50))</f>
        <v>-</v>
      </c>
      <c r="G175" s="3" t="s">
        <v>23</v>
      </c>
      <c r="H175" s="3" t="str">
        <f>IF(ISERROR(VLOOKUP($A175,'SegEnds_NonXtal_BW#'!$A:$Z,6,FALSE)+VLOOKUP($A175,A:AL,7,FALSE)-50),"-",(VLOOKUP($A175,'SegEnds_NonXtal_BW#'!$A:$Z,6,FALSE)+VLOOKUP($A175,A:AL,7,FALSE)-50))</f>
        <v>-</v>
      </c>
      <c r="I175" s="3">
        <f>VLOOKUP($A175,'SegEnds_NonXtal_BW#'!$A:$Z,7,FALSE)+J175-50</f>
        <v>106</v>
      </c>
      <c r="J175" s="3">
        <v>119</v>
      </c>
      <c r="K175" s="3">
        <f>VLOOKUP($A175,'SegEnds_NonXtal_BW#'!$A:$Z,8,FALSE)+VLOOKUP($A175,A:AL,10,FALSE)-50</f>
        <v>135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139</v>
      </c>
      <c r="P175" s="3">
        <v>171</v>
      </c>
      <c r="Q175" s="3">
        <f>VLOOKUP($A175,'SegEnds_NonXtal_BW#'!$A:$Z,12,FALSE)+VLOOKUP($A175,A:AL,16,FALSE)-50</f>
        <v>177</v>
      </c>
      <c r="R175" s="3">
        <f>IF(ISERROR(VLOOKUP($A175,'SegEnds_NonXtal_BW#'!$A:$Z,13,FALSE)+VLOOKUP($A175,A:AL,19,FALSE)-50),"-",VLOOKUP($A175,'SegEnds_NonXtal_BW#'!$A:$Z,13,FALSE)+VLOOKUP($A175,A:AL,19,FALSE)-50)</f>
        <v>178</v>
      </c>
      <c r="S175" s="3">
        <v>178</v>
      </c>
      <c r="T175" s="100">
        <f>IF(ISERROR(VLOOKUP($A175,'SegEnds_NonXtal_BW#'!$A:$Z,14,FALSE)+VLOOKUP($A175,A:AL,19,FALSE)-50),"-",(VLOOKUP($A175,'SegEnds_NonXtal_BW#'!$A:$Z,14,FALSE)+VLOOKUP($A175,A:AL,19,FALSE)-50))</f>
        <v>185</v>
      </c>
      <c r="U175" s="9">
        <f>IF(ISERROR(VLOOKUP($A175,'SegEnds_NonXtal_BW#'!$A:$Z,15,FALSE)+VLOOKUP($A175,A:AL,22,FALSE)-50),"-",VLOOKUP($A175,'SegEnds_NonXtal_BW#'!$A:$Z,15,FALSE)+VLOOKUP($A175,A:AL,22,FALSE)-50)</f>
        <v>186</v>
      </c>
      <c r="V175" s="3">
        <v>198</v>
      </c>
      <c r="W175" s="3">
        <f>IF(ISERROR(VLOOKUP($A175,'SegEnds_NonXtal_BW#'!$A:$Z,16,FALSE)+VLOOKUP($A175,A:AL,22,FALSE)-50),"-",(VLOOKUP($A175,'SegEnds_NonXtal_BW#'!$A:$Z,16,FALSE)+VLOOKUP($A175,A:AL,22,FALSE)-50))</f>
        <v>212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220</v>
      </c>
      <c r="AB175" s="3">
        <v>237</v>
      </c>
      <c r="AC175" s="3">
        <f>IF(ISERROR((VLOOKUP($A175,'SegEnds_NonXtal_BW#'!$A:$Z,20,FALSE)+VLOOKUP($A175,A:AL,28,FALSE)-50)),"-",(VLOOKUP($A175,'SegEnds_NonXtal_BW#'!$A:$Z,20,FALSE)+VLOOKUP($A175,A:AL,28,FALSE)-50))</f>
        <v>255</v>
      </c>
      <c r="AD175" s="3">
        <f>IF(ISERROR(VLOOKUP($A175,'SegEnds_NonXtal_BW#'!$A:$Z,21,FALSE)+VLOOKUP($A175,A:AL,31,FALSE)-50),"-",(VLOOKUP($A175,'SegEnds_NonXtal_BW#'!$A:$Z,21,FALSE)+VLOOKUP($A175,A:AL,31,FALSE)-50))</f>
        <v>259</v>
      </c>
      <c r="AE175" s="3">
        <v>279</v>
      </c>
      <c r="AF175" s="3">
        <f>IF(ISERROR((VLOOKUP($A175,'SegEnds_NonXtal_BW#'!$A:$Z,22,FALSE)+VLOOKUP($A175,A:AL,31,FALSE)-50)),"-",(VLOOKUP($A175,'SegEnds_NonXtal_BW#'!$A:$Z,22,FALSE)+VLOOKUP($A175,A:AL,31,FALSE)-50))</f>
        <v>290</v>
      </c>
      <c r="AG175" s="3">
        <f>IF(ISERROR(VLOOKUP($A175,'SegEnds_NonXtal_BW#'!$A:$Z,23,FALSE)+VLOOKUP($A175,A:AL,34,FALSE)-50),"-",(VLOOKUP($A175,'SegEnds_NonXtal_BW#'!$A:$Z,23,FALSE)+VLOOKUP($A175,A:AL,34,FALSE)-50))</f>
        <v>295</v>
      </c>
      <c r="AH175" s="3">
        <v>311</v>
      </c>
      <c r="AI175" s="3">
        <f>IF(ISERROR((VLOOKUP($A175,'SegEnds_NonXtal_BW#'!$A:$Z,24,FALSE)+VLOOKUP($A175,A:AL,34,FALSE)-50)),"-",(VLOOKUP($A175,'SegEnds_NonXtal_BW#'!$A:$Z,24,FALSE)+VLOOKUP($A175,A:AL,34,FALSE)-50))</f>
        <v>317</v>
      </c>
      <c r="AJ175" s="3">
        <f>IF(ISERROR(VLOOKUP($A175,'SegEnds_NonXtal_BW#'!$A:$Z,25,FALSE)+VLOOKUP($A175,A:AL,37,FALSE)-50),"-",(VLOOKUP($A175,'SegEnds_NonXtal_BW#'!$A:$Z,25,FALSE)+VLOOKUP($A175,A:AL,37,FALSE)-50))</f>
        <v>318</v>
      </c>
      <c r="AK175" s="3">
        <v>321</v>
      </c>
      <c r="AL175" s="3">
        <f>IF(ISERROR((VLOOKUP($A175,'SegEnds_NonXtal_BW#'!$A:$Z,26,FALSE)+VLOOKUP($A175,A:AL,37,FALSE)-50)),"-",(VLOOKUP($A175,'SegEnds_NonXtal_BW#'!$A:$Z,26,FALSE)+VLOOKUP($A175,A:AL,37,FALSE)-50))</f>
        <v>338</v>
      </c>
      <c r="AM175" s="28" t="str">
        <f>VLOOKUP(A175,Classification!A:B,2,FALSE)</f>
        <v>A</v>
      </c>
      <c r="AN175" s="28" t="b">
        <f t="shared" si="121"/>
        <v>1</v>
      </c>
      <c r="AO175" s="3" t="str">
        <f>IF(ISERROR(MATCH(A175,'SegEnds_Xtal_Prot#'!B:B, 0)), "NoXtal", "Xtal")</f>
        <v>NoXtal</v>
      </c>
      <c r="AP175" s="3" t="str">
        <f t="shared" si="104"/>
        <v>-</v>
      </c>
      <c r="AQ175" s="3" t="str">
        <f t="shared" si="105"/>
        <v>-</v>
      </c>
      <c r="AR175" s="3" t="str">
        <f t="shared" si="106"/>
        <v>-</v>
      </c>
      <c r="AS175" s="3" t="str">
        <f t="shared" si="107"/>
        <v>-</v>
      </c>
      <c r="AT175" s="3">
        <f t="shared" si="108"/>
        <v>1</v>
      </c>
      <c r="AU175" s="3">
        <f t="shared" si="109"/>
        <v>1</v>
      </c>
      <c r="AV175" s="3" t="str">
        <f t="shared" si="110"/>
        <v>-</v>
      </c>
      <c r="AW175" s="3" t="str">
        <f t="shared" si="111"/>
        <v>-</v>
      </c>
      <c r="AX175" s="3">
        <f t="shared" si="112"/>
        <v>4</v>
      </c>
      <c r="AY175" s="3">
        <f t="shared" si="113"/>
        <v>5</v>
      </c>
      <c r="AZ175" s="3">
        <f t="shared" si="114"/>
        <v>1</v>
      </c>
      <c r="BA175" s="3">
        <f>IF(ISERROR(LEN(VLOOKUP(A175,Seqs!A:E,2,FALSE))-AL175),"-",LEN(VLOOKUP(A175,Seqs!A:E,2,FALSE))-AL175)</f>
        <v>40</v>
      </c>
      <c r="BB175" s="16">
        <f t="shared" si="115"/>
        <v>26</v>
      </c>
      <c r="BC175" s="9">
        <f t="shared" si="116"/>
        <v>20</v>
      </c>
      <c r="BD175" s="3">
        <f t="shared" si="117"/>
        <v>26</v>
      </c>
      <c r="BE175" s="3">
        <f t="shared" si="118"/>
        <v>42</v>
      </c>
    </row>
    <row r="176" spans="1:58" s="3" customFormat="1" x14ac:dyDescent="0.2">
      <c r="A176" s="3" t="s">
        <v>295</v>
      </c>
      <c r="B176" s="3" t="str">
        <f>LOWER(VLOOKUP(A176,Xtal_Templ!A:B,2,FALSE))</f>
        <v>mc4r_human</v>
      </c>
      <c r="C176" s="3">
        <f>VLOOKUP($A176,'SegEnds_NonXtal_BW#'!$A:$Z,3,FALSE)+D176-50</f>
        <v>41</v>
      </c>
      <c r="D176" s="3">
        <v>56</v>
      </c>
      <c r="E176" s="3">
        <f>IF(ISERROR(VLOOKUP($A176,'SegEnds_NonXtal_BW#'!$A:$Z,4,FALSE)+VLOOKUP($A176,A:AL,4,FALSE)-50),"-",(VLOOKUP($A176,'SegEnds_NonXtal_BW#'!$A:$Z,4,FALSE)+VLOOKUP($A176,A:AL,4,FALSE)-50))</f>
        <v>66</v>
      </c>
      <c r="F176" s="3">
        <f>G176-2</f>
        <v>67</v>
      </c>
      <c r="G176" s="3">
        <v>69</v>
      </c>
      <c r="H176" s="3">
        <f t="shared" ref="H176:I179" si="133">G176+1</f>
        <v>70</v>
      </c>
      <c r="I176" s="3">
        <f t="shared" si="133"/>
        <v>71</v>
      </c>
      <c r="J176" s="3">
        <v>84</v>
      </c>
      <c r="K176" s="3">
        <f>VLOOKUP($A176,'SegEnds_NonXtal_BW#'!$A:$Z,8,FALSE)+VLOOKUP($A176,A:AL,10,FALSE)-50</f>
        <v>101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110</v>
      </c>
      <c r="P176" s="3">
        <v>142</v>
      </c>
      <c r="Q176" s="3">
        <f>VLOOKUP($A176,'SegEnds_NonXtal_BW#'!$A:$Z,12,FALSE)+VLOOKUP($A176,A:AL,16,FALSE)-50</f>
        <v>148</v>
      </c>
      <c r="R176" s="3">
        <f>S176</f>
        <v>149</v>
      </c>
      <c r="S176" s="3">
        <v>149</v>
      </c>
      <c r="T176" s="100">
        <f>S176+7</f>
        <v>156</v>
      </c>
      <c r="U176" s="9">
        <f>IF(ISERROR(VLOOKUP($A176,'SegEnds_NonXtal_BW#'!$A:$Z,15,FALSE)+VLOOKUP($A176,A:AL,22,FALSE)-50),"-",VLOOKUP($A176,'SegEnds_NonXtal_BW#'!$A:$Z,15,FALSE)+VLOOKUP($A176,A:AL,22,FALSE)-50)</f>
        <v>157</v>
      </c>
      <c r="V176" s="3">
        <v>169</v>
      </c>
      <c r="W176" s="3">
        <f>IF(ISERROR(VLOOKUP($A176,'SegEnds_NonXtal_BW#'!$A:$Z,16,FALSE)+VLOOKUP($A176,A:AL,22,FALSE)-50),"-",(VLOOKUP($A176,'SegEnds_NonXtal_BW#'!$A:$Z,16,FALSE)+VLOOKUP($A176,A:AL,22,FALSE)-50))</f>
        <v>183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185</v>
      </c>
      <c r="AB176" s="9">
        <v>199</v>
      </c>
      <c r="AC176" s="3">
        <f>IF(ISERROR((VLOOKUP($A176,'SegEnds_NonXtal_BW#'!$A:$Z,20,FALSE)+VLOOKUP($A176,A:AL,28,FALSE)-50)),"-",(VLOOKUP($A176,'SegEnds_NonXtal_BW#'!$A:$Z,20,FALSE)+VLOOKUP($A176,A:AL,28,FALSE)-50))</f>
        <v>222</v>
      </c>
      <c r="AD176" s="3">
        <f>IF(ISERROR(VLOOKUP($A176,'SegEnds_NonXtal_BW#'!$A:$Z,21,FALSE)+VLOOKUP($A176,A:AL,31,FALSE)-50),"-",(VLOOKUP($A176,'SegEnds_NonXtal_BW#'!$A:$Z,21,FALSE)+VLOOKUP($A176,A:AL,31,FALSE)-50))</f>
        <v>234</v>
      </c>
      <c r="AE176" s="3">
        <v>257</v>
      </c>
      <c r="AF176" s="3">
        <f>IF(ISERROR((VLOOKUP($A176,'SegEnds_NonXtal_BW#'!$A:$Z,22,FALSE)+VLOOKUP($A176,A:AL,31,FALSE)-50)),"-",(VLOOKUP($A176,'SegEnds_NonXtal_BW#'!$A:$Z,22,FALSE)+VLOOKUP($A176,A:AL,31,FALSE)-50))</f>
        <v>268</v>
      </c>
      <c r="AG176" s="3">
        <f>IF(ISERROR(VLOOKUP($A176,'SegEnds_NonXtal_BW#'!$A:$Z,23,FALSE)+VLOOKUP($A176,A:AL,34,FALSE)-50),"-",(VLOOKUP($A176,'SegEnds_NonXtal_BW#'!$A:$Z,23,FALSE)+VLOOKUP($A176,A:AL,34,FALSE)-50))</f>
        <v>280</v>
      </c>
      <c r="AH176" s="3">
        <v>296</v>
      </c>
      <c r="AI176" s="3">
        <f>IF(ISERROR((VLOOKUP($A176,'SegEnds_NonXtal_BW#'!$A:$Z,24,FALSE)+VLOOKUP($A176,A:AL,34,FALSE)-50)),"-",(VLOOKUP($A176,'SegEnds_NonXtal_BW#'!$A:$Z,24,FALSE)+VLOOKUP($A176,A:AL,34,FALSE)-50))</f>
        <v>302</v>
      </c>
      <c r="AJ176" s="3">
        <f>IF(ISERROR(VLOOKUP($A176,'SegEnds_NonXtal_BW#'!$A:$Z,25,FALSE)+VLOOKUP($A176,A:AL,37,FALSE)-50),"-",(VLOOKUP($A176,'SegEnds_NonXtal_BW#'!$A:$Z,25,FALSE)+VLOOKUP($A176,A:AL,37,FALSE)-50))</f>
        <v>303</v>
      </c>
      <c r="AK176" s="3">
        <v>306</v>
      </c>
      <c r="AL176" s="3">
        <f>IF(ISERROR((VLOOKUP($A176,'SegEnds_NonXtal_BW#'!$A:$Z,26,FALSE)+VLOOKUP($A176,A:AL,37,FALSE)-50)),"-",(VLOOKUP($A176,'SegEnds_NonXtal_BW#'!$A:$Z,26,FALSE)+VLOOKUP($A176,A:AL,37,FALSE)-50))</f>
        <v>317</v>
      </c>
      <c r="AM176" s="28" t="str">
        <f>VLOOKUP(A176,Classification!A:B,2,FALSE)</f>
        <v>A</v>
      </c>
      <c r="AN176" s="28" t="b">
        <f>AND(IF(Y176="-",IF(AA176-W176&gt;1,TRUE,FALSE),TRUE),IF(M176="-",IF(O176-K176&gt;3,TRUE,FALSE),TRUE),IF(AG176-AF176&gt;1,TRUE,FALSE),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    <v>1</v>
      </c>
      <c r="AO176" s="3" t="str">
        <f>IF(ISERROR(MATCH(A176,'SegEnds_Xtal_Prot#'!B:B, 0)), "NoXtal", "Xtal")</f>
        <v>NoXtal</v>
      </c>
      <c r="AP176" s="3">
        <f t="shared" si="104"/>
        <v>1</v>
      </c>
      <c r="AQ176" s="3">
        <f t="shared" si="105"/>
        <v>1</v>
      </c>
      <c r="AR176" s="3" t="str">
        <f t="shared" si="106"/>
        <v>-</v>
      </c>
      <c r="AS176" s="3" t="str">
        <f t="shared" si="107"/>
        <v>-</v>
      </c>
      <c r="AT176" s="3">
        <f t="shared" si="108"/>
        <v>1</v>
      </c>
      <c r="AU176" s="3">
        <f t="shared" si="109"/>
        <v>1</v>
      </c>
      <c r="AV176" s="3" t="str">
        <f t="shared" si="110"/>
        <v>-</v>
      </c>
      <c r="AW176" s="3" t="str">
        <f t="shared" si="111"/>
        <v>-</v>
      </c>
      <c r="AX176" s="3">
        <f t="shared" si="112"/>
        <v>12</v>
      </c>
      <c r="AY176" s="3">
        <f t="shared" si="113"/>
        <v>12</v>
      </c>
      <c r="AZ176" s="3">
        <f t="shared" si="114"/>
        <v>1</v>
      </c>
      <c r="BA176" s="3">
        <f>IF(ISERROR(LEN(VLOOKUP(A176,Seqs!A:E,2,FALSE))-AL176),"-",LEN(VLOOKUP(A176,Seqs!A:E,2,FALSE))-AL176)</f>
        <v>6</v>
      </c>
      <c r="BB176" s="16">
        <f t="shared" si="115"/>
        <v>28</v>
      </c>
      <c r="BC176" s="9">
        <f t="shared" si="116"/>
        <v>20</v>
      </c>
      <c r="BD176" s="3">
        <f t="shared" si="117"/>
        <v>28</v>
      </c>
      <c r="BE176" s="3">
        <f t="shared" si="118"/>
        <v>58</v>
      </c>
      <c r="BF176" s="3">
        <f t="shared" ref="BF176:BF182" si="134">AH176-AE176</f>
        <v>39</v>
      </c>
    </row>
    <row r="177" spans="1:58" s="3" customFormat="1" x14ac:dyDescent="0.2">
      <c r="A177" s="3" t="s">
        <v>296</v>
      </c>
      <c r="B177" s="3" t="str">
        <f>LOWER(VLOOKUP(A177,Xtal_Templ!A:B,2,FALSE))</f>
        <v>mc4r_human</v>
      </c>
      <c r="C177" s="3">
        <f>VLOOKUP($A177,'SegEnds_NonXtal_BW#'!$A:$Z,3,FALSE)+D177-50</f>
        <v>47</v>
      </c>
      <c r="D177" s="3">
        <v>62</v>
      </c>
      <c r="E177" s="3">
        <f>IF(ISERROR(VLOOKUP($A177,'SegEnds_NonXtal_BW#'!$A:$Z,4,FALSE)+VLOOKUP($A177,A:AL,4,FALSE)-50),"-",(VLOOKUP($A177,'SegEnds_NonXtal_BW#'!$A:$Z,4,FALSE)+VLOOKUP($A177,A:AL,4,FALSE)-50))</f>
        <v>72</v>
      </c>
      <c r="F177" s="3">
        <f>G177-2</f>
        <v>73</v>
      </c>
      <c r="G177" s="3">
        <v>75</v>
      </c>
      <c r="H177" s="3">
        <f t="shared" si="133"/>
        <v>76</v>
      </c>
      <c r="I177" s="3">
        <f t="shared" si="133"/>
        <v>77</v>
      </c>
      <c r="J177" s="3">
        <v>90</v>
      </c>
      <c r="K177" s="3">
        <f>VLOOKUP($A177,'SegEnds_NonXtal_BW#'!$A:$Z,8,FALSE)+VLOOKUP($A177,A:AL,10,FALSE)-50</f>
        <v>107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115</v>
      </c>
      <c r="P177" s="3">
        <v>147</v>
      </c>
      <c r="Q177" s="3">
        <f>VLOOKUP($A177,'SegEnds_NonXtal_BW#'!$A:$Z,12,FALSE)+VLOOKUP($A177,A:AL,16,FALSE)-50</f>
        <v>153</v>
      </c>
      <c r="R177" s="3">
        <f>S177</f>
        <v>154</v>
      </c>
      <c r="S177" s="3">
        <v>154</v>
      </c>
      <c r="T177" s="100">
        <f>S177+7</f>
        <v>161</v>
      </c>
      <c r="U177" s="9">
        <f>IF(ISERROR(VLOOKUP($A177,'SegEnds_NonXtal_BW#'!$A:$Z,15,FALSE)+VLOOKUP($A177,A:AL,22,FALSE)-50),"-",VLOOKUP($A177,'SegEnds_NonXtal_BW#'!$A:$Z,15,FALSE)+VLOOKUP($A177,A:AL,22,FALSE)-50)</f>
        <v>162</v>
      </c>
      <c r="V177" s="3">
        <v>174</v>
      </c>
      <c r="W177" s="3">
        <f>IF(ISERROR(VLOOKUP($A177,'SegEnds_NonXtal_BW#'!$A:$Z,16,FALSE)+VLOOKUP($A177,A:AL,22,FALSE)-50),"-",(VLOOKUP($A177,'SegEnds_NonXtal_BW#'!$A:$Z,16,FALSE)+VLOOKUP($A177,A:AL,22,FALSE)-50))</f>
        <v>188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204</v>
      </c>
      <c r="AC177" s="3">
        <f>IF(ISERROR((VLOOKUP($A177,'SegEnds_NonXtal_BW#'!$A:$Z,20,FALSE)+VLOOKUP($A177,A:AL,28,FALSE)-50)),"-",(VLOOKUP($A177,'SegEnds_NonXtal_BW#'!$A:$Z,20,FALSE)+VLOOKUP($A177,A:AL,28,FALSE)-50))</f>
        <v>227</v>
      </c>
      <c r="AD177" s="3">
        <f>IF(ISERROR(VLOOKUP($A177,'SegEnds_NonXtal_BW#'!$A:$Z,21,FALSE)+VLOOKUP($A177,A:AL,31,FALSE)-50),"-",(VLOOKUP($A177,'SegEnds_NonXtal_BW#'!$A:$Z,21,FALSE)+VLOOKUP($A177,A:AL,31,FALSE)-50))</f>
        <v>237</v>
      </c>
      <c r="AE177" s="3">
        <v>260</v>
      </c>
      <c r="AF177" s="3">
        <f>IF(ISERROR((VLOOKUP($A177,'SegEnds_NonXtal_BW#'!$A:$Z,22,FALSE)+VLOOKUP($A177,A:AL,31,FALSE)-50)),"-",(VLOOKUP($A177,'SegEnds_NonXtal_BW#'!$A:$Z,22,FALSE)+VLOOKUP($A177,A:AL,31,FALSE)-50))</f>
        <v>271</v>
      </c>
      <c r="AG177" s="3">
        <f>IF(ISERROR(VLOOKUP($A177,'SegEnds_NonXtal_BW#'!$A:$Z,23,FALSE)+VLOOKUP($A177,A:AL,34,FALSE)-50),"-",(VLOOKUP($A177,'SegEnds_NonXtal_BW#'!$A:$Z,23,FALSE)+VLOOKUP($A177,A:AL,34,FALSE)-50))</f>
        <v>283</v>
      </c>
      <c r="AH177" s="3">
        <v>299</v>
      </c>
      <c r="AI177" s="3">
        <f>IF(ISERROR((VLOOKUP($A177,'SegEnds_NonXtal_BW#'!$A:$Z,24,FALSE)+VLOOKUP($A177,A:AL,34,FALSE)-50)),"-",(VLOOKUP($A177,'SegEnds_NonXtal_BW#'!$A:$Z,24,FALSE)+VLOOKUP($A177,A:AL,34,FALSE)-50))</f>
        <v>305</v>
      </c>
      <c r="AJ177" s="3">
        <f>IF(ISERROR(VLOOKUP($A177,'SegEnds_NonXtal_BW#'!$A:$Z,25,FALSE)+VLOOKUP($A177,A:AL,37,FALSE)-50),"-",(VLOOKUP($A177,'SegEnds_NonXtal_BW#'!$A:$Z,25,FALSE)+VLOOKUP($A177,A:AL,37,FALSE)-50))</f>
        <v>306</v>
      </c>
      <c r="AK177" s="3">
        <v>309</v>
      </c>
      <c r="AL177" s="3">
        <f>IF(ISERROR((VLOOKUP($A177,'SegEnds_NonXtal_BW#'!$A:$Z,26,FALSE)+VLOOKUP($A177,A:AL,37,FALSE)-50)),"-",(VLOOKUP($A177,'SegEnds_NonXtal_BW#'!$A:$Z,26,FALSE)+VLOOKUP($A177,A:AL,37,FALSE)-50))</f>
        <v>320</v>
      </c>
      <c r="AM177" s="28" t="str">
        <f>VLOOKUP(A177,Classification!A:B,2,FALSE)</f>
        <v>A</v>
      </c>
      <c r="AN177" s="28" t="b">
        <f>AND(IF(Y177="-",IF(AA177-W177&gt;1,TRUE,FALSE),TRUE),IF(M177="-",IF(O177-K177&gt;3,TRUE,FALSE),TRUE),IF(AG177-AF177&gt;1,TRUE,FALSE),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    <v>1</v>
      </c>
      <c r="AO177" s="3" t="str">
        <f>IF(ISERROR(MATCH(A177,'SegEnds_Xtal_Prot#'!B:B, 0)), "NoXtal", "Xtal")</f>
        <v>Xtal</v>
      </c>
      <c r="AP177" s="3">
        <f t="shared" si="104"/>
        <v>1</v>
      </c>
      <c r="AQ177" s="3">
        <f t="shared" si="105"/>
        <v>1</v>
      </c>
      <c r="AR177" s="3" t="str">
        <f t="shared" si="106"/>
        <v>-</v>
      </c>
      <c r="AS177" s="3" t="str">
        <f t="shared" si="107"/>
        <v>-</v>
      </c>
      <c r="AT177" s="3">
        <f t="shared" si="108"/>
        <v>1</v>
      </c>
      <c r="AU177" s="3">
        <f t="shared" si="109"/>
        <v>1</v>
      </c>
      <c r="AV177" s="3" t="str">
        <f t="shared" si="110"/>
        <v>-</v>
      </c>
      <c r="AW177" s="3" t="str">
        <f t="shared" si="111"/>
        <v>-</v>
      </c>
      <c r="AX177" s="3">
        <f t="shared" si="112"/>
        <v>10</v>
      </c>
      <c r="AY177" s="3">
        <f t="shared" si="113"/>
        <v>12</v>
      </c>
      <c r="AZ177" s="3">
        <f t="shared" si="114"/>
        <v>1</v>
      </c>
      <c r="BA177" s="3">
        <f>IF(ISERROR(LEN(VLOOKUP(A177,Seqs!A:E,2,FALSE))-AL177),"-",LEN(VLOOKUP(A177,Seqs!A:E,2,FALSE))-AL177)</f>
        <v>12</v>
      </c>
      <c r="BB177" s="16">
        <f t="shared" si="115"/>
        <v>28</v>
      </c>
      <c r="BC177" s="9">
        <f t="shared" si="116"/>
        <v>20</v>
      </c>
      <c r="BD177" s="3">
        <f t="shared" si="117"/>
        <v>28</v>
      </c>
      <c r="BE177" s="3">
        <f t="shared" si="118"/>
        <v>56</v>
      </c>
      <c r="BF177" s="3">
        <f t="shared" si="134"/>
        <v>39</v>
      </c>
    </row>
    <row r="178" spans="1:58" s="3" customFormat="1" x14ac:dyDescent="0.2">
      <c r="A178" s="3" t="s">
        <v>297</v>
      </c>
      <c r="B178" s="3" t="str">
        <f>LOWER(VLOOKUP(A178,Xtal_Templ!A:B,2,FALSE))</f>
        <v>mc4r_human</v>
      </c>
      <c r="C178" s="3">
        <f>VLOOKUP($A178,'SegEnds_NonXtal_BW#'!$A:$Z,3,FALSE)+D178-50</f>
        <v>39</v>
      </c>
      <c r="D178" s="3">
        <v>54</v>
      </c>
      <c r="E178" s="3">
        <f>IF(ISERROR(VLOOKUP($A178,'SegEnds_NonXtal_BW#'!$A:$Z,4,FALSE)+VLOOKUP($A178,A:AL,4,FALSE)-50),"-",(VLOOKUP($A178,'SegEnds_NonXtal_BW#'!$A:$Z,4,FALSE)+VLOOKUP($A178,A:AL,4,FALSE)-50))</f>
        <v>64</v>
      </c>
      <c r="F178" s="3">
        <f>G178-2</f>
        <v>65</v>
      </c>
      <c r="G178" s="3">
        <v>67</v>
      </c>
      <c r="H178" s="3">
        <f t="shared" si="133"/>
        <v>68</v>
      </c>
      <c r="I178" s="3">
        <f t="shared" si="133"/>
        <v>69</v>
      </c>
      <c r="J178" s="3">
        <v>82</v>
      </c>
      <c r="K178" s="3">
        <f>VLOOKUP($A178,'SegEnds_NonXtal_BW#'!$A:$Z,8,FALSE)+VLOOKUP($A178,A:AL,10,FALSE)-50</f>
        <v>99</v>
      </c>
      <c r="L178" s="3" t="str">
        <f>IF(ISERROR(VLOOKUP($A178,'SegEnds_NonXtal_BW#'!$A:$Z,9,FALSE)+VLOOKUP($A178,A:AL,13,FALSE)-50),"-",(VLOOKUP($A178,'SegEnds_NonXtal_BW#'!$A:$Z,9,FALSE)+VLOOKUP($A178,A:AL,13,FALSE)-50))</f>
        <v>-</v>
      </c>
      <c r="M178" s="3" t="s">
        <v>23</v>
      </c>
      <c r="N178" s="3" t="str">
        <f>IF(ISERROR(VLOOKUP($A178,'SegEnds_NonXtal_BW#'!$A:$Z,10,FALSE)+VLOOKUP($A178,A:AL,13,FALSE)-50),"-",(VLOOKUP($A178,'SegEnds_NonXtal_BW#'!$A:$Z,10,FALSE)+VLOOKUP($A178,A:AL,13,FALSE)-50))</f>
        <v>-</v>
      </c>
      <c r="O178" s="3">
        <f>VLOOKUP($A178,'SegEnds_NonXtal_BW#'!$A:$Z,11,FALSE)+VLOOKUP($A178,A:AL,16,FALSE)-50</f>
        <v>108</v>
      </c>
      <c r="P178" s="3">
        <v>140</v>
      </c>
      <c r="Q178" s="3">
        <f>VLOOKUP($A178,'SegEnds_NonXtal_BW#'!$A:$Z,12,FALSE)+VLOOKUP($A178,A:AL,16,FALSE)-50</f>
        <v>146</v>
      </c>
      <c r="R178" s="3">
        <f>IF(ISERROR(VLOOKUP($A178,'SegEnds_NonXtal_BW#'!$A:$Z,13,FALSE)+VLOOKUP($A178,A:AL,19,FALSE)-50),"-",VLOOKUP($A178,'SegEnds_NonXtal_BW#'!$A:$Z,13,FALSE)+VLOOKUP($A178,A:AL,19,FALSE)-50)</f>
        <v>147</v>
      </c>
      <c r="S178" s="3">
        <v>147</v>
      </c>
      <c r="T178" s="100">
        <f>IF(ISERROR(VLOOKUP($A178,'SegEnds_NonXtal_BW#'!$A:$Z,14,FALSE)+VLOOKUP($A178,A:AL,19,FALSE)-50),"-",(VLOOKUP($A178,'SegEnds_NonXtal_BW#'!$A:$Z,14,FALSE)+VLOOKUP($A178,A:AL,19,FALSE)-50))</f>
        <v>154</v>
      </c>
      <c r="U178" s="9">
        <f>IF(ISERROR(VLOOKUP($A178,'SegEnds_NonXtal_BW#'!$A:$Z,15,FALSE)+VLOOKUP($A178,A:AL,22,FALSE)-50),"-",VLOOKUP($A178,'SegEnds_NonXtal_BW#'!$A:$Z,15,FALSE)+VLOOKUP($A178,A:AL,22,FALSE)-50)</f>
        <v>155</v>
      </c>
      <c r="V178" s="3">
        <v>167</v>
      </c>
      <c r="W178" s="3">
        <f>IF(ISERROR(VLOOKUP($A178,'SegEnds_NonXtal_BW#'!$A:$Z,16,FALSE)+VLOOKUP($A178,A:AL,22,FALSE)-50),"-",(VLOOKUP($A178,'SegEnds_NonXtal_BW#'!$A:$Z,16,FALSE)+VLOOKUP($A178,A:AL,22,FALSE)-50))</f>
        <v>181</v>
      </c>
      <c r="X178" s="3" t="str">
        <f>IF(ISERROR(VLOOKUP($A178,'SegEnds_NonXtal_BW#'!$A:$Z,17,FALSE)+VLOOKUP($A178,A:AL,25,FALSE)-50),"-",(VLOOKUP($A178,'SegEnds_NonXtal_BW#'!$A:$Z,17,FALSE)+VLOOKUP($A178,A:AL,25,FALSE)-50))</f>
        <v>-</v>
      </c>
      <c r="Y178" s="3" t="s">
        <v>23</v>
      </c>
      <c r="Z178" s="3" t="str">
        <f>IF(ISERROR(VLOOKUP($A178,'SegEnds_NonXtal_BW#'!$A:$Z,18,FALSE)+VLOOKUP($A178,A:AL,25,FALSE)-50),"-",(VLOOKUP($A178,'SegEnds_NonXtal_BW#'!$A:$Z,18,FALSE)+VLOOKUP($A178,A:AL,25,FALSE)-50))</f>
        <v>-</v>
      </c>
      <c r="AA178" s="3">
        <f>IF(ISERROR(VLOOKUP($A178,'SegEnds_NonXtal_BW#'!$A:$Z,19,FALSE)+VLOOKUP($A178,A:AL,28,FALSE)-50),"-",(VLOOKUP($A178,'SegEnds_NonXtal_BW#'!$A:$Z,19,FALSE)+VLOOKUP($A178,A:AL,28,FALSE)-50))</f>
        <v>183</v>
      </c>
      <c r="AB178" s="9">
        <v>197</v>
      </c>
      <c r="AC178" s="3">
        <f>IF(ISERROR((VLOOKUP($A178,'SegEnds_NonXtal_BW#'!$A:$Z,20,FALSE)+VLOOKUP($A178,A:AL,28,FALSE)-50)),"-",(VLOOKUP($A178,'SegEnds_NonXtal_BW#'!$A:$Z,20,FALSE)+VLOOKUP($A178,A:AL,28,FALSE)-50))</f>
        <v>220</v>
      </c>
      <c r="AD178" s="3">
        <f>IF(ISERROR(VLOOKUP($A178,'SegEnds_NonXtal_BW#'!$A:$Z,21,FALSE)+VLOOKUP($A178,A:AL,31,FALSE)-50),"-",(VLOOKUP($A178,'SegEnds_NonXtal_BW#'!$A:$Z,21,FALSE)+VLOOKUP($A178,A:AL,31,FALSE)-50))</f>
        <v>230</v>
      </c>
      <c r="AE178" s="3">
        <v>253</v>
      </c>
      <c r="AF178" s="3">
        <f>IF(ISERROR((VLOOKUP($A178,'SegEnds_NonXtal_BW#'!$A:$Z,22,FALSE)+VLOOKUP($A178,A:AL,31,FALSE)-50)),"-",(VLOOKUP($A178,'SegEnds_NonXtal_BW#'!$A:$Z,22,FALSE)+VLOOKUP($A178,A:AL,31,FALSE)-50))</f>
        <v>264</v>
      </c>
      <c r="AG178" s="3">
        <f>IF(ISERROR(VLOOKUP($A178,'SegEnds_NonXtal_BW#'!$A:$Z,23,FALSE)+VLOOKUP($A178,A:AL,34,FALSE)-50),"-",(VLOOKUP($A178,'SegEnds_NonXtal_BW#'!$A:$Z,23,FALSE)+VLOOKUP($A178,A:AL,34,FALSE)-50))</f>
        <v>276</v>
      </c>
      <c r="AH178" s="3">
        <v>292</v>
      </c>
      <c r="AI178" s="3">
        <f>IF(ISERROR((VLOOKUP($A178,'SegEnds_NonXtal_BW#'!$A:$Z,24,FALSE)+VLOOKUP($A178,A:AL,34,FALSE)-50)),"-",(VLOOKUP($A178,'SegEnds_NonXtal_BW#'!$A:$Z,24,FALSE)+VLOOKUP($A178,A:AL,34,FALSE)-50))</f>
        <v>298</v>
      </c>
      <c r="AJ178" s="3">
        <f>IF(ISERROR(VLOOKUP($A178,'SegEnds_NonXtal_BW#'!$A:$Z,25,FALSE)+VLOOKUP($A178,A:AL,37,FALSE)-50),"-",(VLOOKUP($A178,'SegEnds_NonXtal_BW#'!$A:$Z,25,FALSE)+VLOOKUP($A178,A:AL,37,FALSE)-50))</f>
        <v>299</v>
      </c>
      <c r="AK178" s="3">
        <v>302</v>
      </c>
      <c r="AL178" s="3">
        <f>IF(ISERROR((VLOOKUP($A178,'SegEnds_NonXtal_BW#'!$A:$Z,26,FALSE)+VLOOKUP($A178,A:AL,37,FALSE)-50)),"-",(VLOOKUP($A178,'SegEnds_NonXtal_BW#'!$A:$Z,26,FALSE)+VLOOKUP($A178,A:AL,37,FALSE)-50))</f>
        <v>313</v>
      </c>
      <c r="AM178" s="28" t="str">
        <f>VLOOKUP(A178,Classification!A:B,2,FALSE)</f>
        <v>A</v>
      </c>
      <c r="AN178" s="28" t="b">
        <f>AND(IF(Y178="-",IF(AA178-W178&gt;1,TRUE,FALSE),TRUE),IF(M178="-",IF(O178-K178&gt;3,TRUE,FALSE),TRUE),IF(AG178-AF178&gt;1,TRUE,FALSE),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    <v>1</v>
      </c>
      <c r="AO178" s="3" t="str">
        <f>IF(ISERROR(MATCH(A178,'SegEnds_Xtal_Prot#'!B:B, 0)), "NoXtal", "Xtal")</f>
        <v>NoXtal</v>
      </c>
      <c r="AP178" s="3">
        <f t="shared" si="104"/>
        <v>1</v>
      </c>
      <c r="AQ178" s="3">
        <f t="shared" si="105"/>
        <v>1</v>
      </c>
      <c r="AR178" s="3" t="str">
        <f t="shared" si="106"/>
        <v>-</v>
      </c>
      <c r="AS178" s="3" t="str">
        <f t="shared" si="107"/>
        <v>-</v>
      </c>
      <c r="AT178" s="3">
        <f t="shared" si="108"/>
        <v>1</v>
      </c>
      <c r="AU178" s="3">
        <f t="shared" si="109"/>
        <v>1</v>
      </c>
      <c r="AV178" s="3" t="str">
        <f t="shared" si="110"/>
        <v>-</v>
      </c>
      <c r="AW178" s="3" t="str">
        <f t="shared" si="111"/>
        <v>-</v>
      </c>
      <c r="AX178" s="3">
        <f t="shared" si="112"/>
        <v>10</v>
      </c>
      <c r="AY178" s="3">
        <f t="shared" si="113"/>
        <v>12</v>
      </c>
      <c r="AZ178" s="3">
        <f t="shared" si="114"/>
        <v>1</v>
      </c>
      <c r="BA178" s="3">
        <f>IF(ISERROR(LEN(VLOOKUP(A178,Seqs!A:E,2,FALSE))-AL178),"-",LEN(VLOOKUP(A178,Seqs!A:E,2,FALSE))-AL178)</f>
        <v>12</v>
      </c>
      <c r="BB178" s="16">
        <f t="shared" si="115"/>
        <v>28</v>
      </c>
      <c r="BC178" s="9">
        <f t="shared" si="116"/>
        <v>20</v>
      </c>
      <c r="BD178" s="3">
        <f t="shared" si="117"/>
        <v>28</v>
      </c>
      <c r="BE178" s="3">
        <f t="shared" si="118"/>
        <v>56</v>
      </c>
      <c r="BF178" s="3">
        <f t="shared" si="134"/>
        <v>39</v>
      </c>
    </row>
    <row r="179" spans="1:58" s="3" customFormat="1" x14ac:dyDescent="0.2">
      <c r="A179" s="3" t="s">
        <v>298</v>
      </c>
      <c r="B179" s="3" t="str">
        <f>LOWER(VLOOKUP(A179,Xtal_Templ!A:B,2,FALSE))</f>
        <v>oprk_human</v>
      </c>
      <c r="C179" s="3">
        <f>VLOOKUP($A179,'SegEnds_NonXtal_BW#'!$A:$Z,3,FALSE)+D179-50</f>
        <v>107</v>
      </c>
      <c r="D179" s="3">
        <v>127</v>
      </c>
      <c r="E179" s="3">
        <f>IF(ISERROR(VLOOKUP($A179,'SegEnds_NonXtal_BW#'!$A:$Z,4,FALSE)+VLOOKUP($A179,A:AL,4,FALSE)-50),"-",(VLOOKUP($A179,'SegEnds_NonXtal_BW#'!$A:$Z,4,FALSE)+VLOOKUP($A179,A:AL,4,FALSE)-50))</f>
        <v>137</v>
      </c>
      <c r="F179" s="3">
        <f>G179-2</f>
        <v>138</v>
      </c>
      <c r="G179" s="3">
        <v>140</v>
      </c>
      <c r="H179" s="3">
        <f t="shared" si="133"/>
        <v>141</v>
      </c>
      <c r="I179" s="3">
        <f t="shared" si="133"/>
        <v>142</v>
      </c>
      <c r="J179" s="3">
        <v>158</v>
      </c>
      <c r="K179" s="3">
        <f>VLOOKUP($A179,'SegEnds_NonXtal_BW#'!$A:$Z,8,FALSE)+VLOOKUP($A179,A:AL,10,FALSE)-50</f>
        <v>175</v>
      </c>
      <c r="L179" s="3">
        <f>M179-1</f>
        <v>177</v>
      </c>
      <c r="M179" s="3">
        <v>178</v>
      </c>
      <c r="N179" s="3">
        <f>M179+2</f>
        <v>180</v>
      </c>
      <c r="O179" s="3">
        <f>N179+1</f>
        <v>181</v>
      </c>
      <c r="P179" s="3">
        <v>210</v>
      </c>
      <c r="Q179" s="3">
        <f>VLOOKUP($A179,'SegEnds_NonXtal_BW#'!$A:$Z,12,FALSE)+VLOOKUP($A179,A:AL,16,FALSE)-50</f>
        <v>216</v>
      </c>
      <c r="R179" s="3">
        <f>IF(ISERROR(VLOOKUP($A179,'SegEnds_NonXtal_BW#'!$A:$Z,13,FALSE)+VLOOKUP($A179,A:AL,19,FALSE)-50),"-",VLOOKUP($A179,'SegEnds_NonXtal_BW#'!$A:$Z,13,FALSE)+VLOOKUP($A179,A:AL,19,FALSE)-50)</f>
        <v>217</v>
      </c>
      <c r="S179" s="3">
        <v>217</v>
      </c>
      <c r="T179" s="100">
        <f>IF(ISERROR(VLOOKUP($A179,'SegEnds_NonXtal_BW#'!$A:$Z,14,FALSE)+VLOOKUP($A179,A:AL,19,FALSE)-50),"-",(VLOOKUP($A179,'SegEnds_NonXtal_BW#'!$A:$Z,14,FALSE)+VLOOKUP($A179,A:AL,19,FALSE)-50))</f>
        <v>224</v>
      </c>
      <c r="U179" s="9">
        <f>IF(ISERROR(VLOOKUP($A179,'SegEnds_NonXtal_BW#'!$A:$Z,15,FALSE)+VLOOKUP($A179,A:AL,22,FALSE)-50),"-",VLOOKUP($A179,'SegEnds_NonXtal_BW#'!$A:$Z,15,FALSE)+VLOOKUP($A179,A:AL,22,FALSE)-50)</f>
        <v>225</v>
      </c>
      <c r="V179" s="3">
        <v>237</v>
      </c>
      <c r="W179" s="3">
        <f>IF(ISERROR(VLOOKUP($A179,'SegEnds_NonXtal_BW#'!$A:$Z,16,FALSE)+VLOOKUP($A179,A:AL,22,FALSE)-50),"-",(VLOOKUP($A179,'SegEnds_NonXtal_BW#'!$A:$Z,16,FALSE)+VLOOKUP($A179,A:AL,22,FALSE)-50))</f>
        <v>251</v>
      </c>
      <c r="X179" s="3">
        <f>IF(ISERROR(VLOOKUP($A179,'SegEnds_NonXtal_BW#'!$A:$Z,17,FALSE)+VLOOKUP($A179,A:AL,25,FALSE)-50),"-",(VLOOKUP($A179,'SegEnds_NonXtal_BW#'!$A:$Z,17,FALSE)+VLOOKUP($A179,A:AL,25,FALSE)-50))</f>
        <v>263</v>
      </c>
      <c r="Y179" s="3">
        <v>263</v>
      </c>
      <c r="Z179" s="3">
        <f>Y179+2</f>
        <v>265</v>
      </c>
      <c r="AA179" s="3">
        <f>IF(ISERROR(VLOOKUP($A179,'SegEnds_NonXtal_BW#'!$A:$Z,19,FALSE)+VLOOKUP($A179,A:AL,28,FALSE)-50),"-",(VLOOKUP($A179,'SegEnds_NonXtal_BW#'!$A:$Z,19,FALSE)+VLOOKUP($A179,A:AL,28,FALSE)-50))</f>
        <v>269</v>
      </c>
      <c r="AB179" s="3">
        <v>289</v>
      </c>
      <c r="AC179" s="3">
        <f>IF(ISERROR((VLOOKUP($A179,'SegEnds_NonXtal_BW#'!$A:$Z,20,FALSE)+VLOOKUP($A179,A:AL,28,FALSE)-50)),"-",(VLOOKUP($A179,'SegEnds_NonXtal_BW#'!$A:$Z,20,FALSE)+VLOOKUP($A179,A:AL,28,FALSE)-50))</f>
        <v>307</v>
      </c>
      <c r="AD179" s="3">
        <f>IF(ISERROR(VLOOKUP($A179,'SegEnds_NonXtal_BW#'!$A:$Z,21,FALSE)+VLOOKUP($A179,A:AL,31,FALSE)-50),"-",(VLOOKUP($A179,'SegEnds_NonXtal_BW#'!$A:$Z,21,FALSE)+VLOOKUP($A179,A:AL,31,FALSE)-50))</f>
        <v>313</v>
      </c>
      <c r="AE179" s="3">
        <v>340</v>
      </c>
      <c r="AF179" s="3">
        <f>IF(ISERROR((VLOOKUP($A179,'SegEnds_NonXtal_BW#'!$A:$Z,22,FALSE)+VLOOKUP($A179,A:AL,31,FALSE)-50)),"-",(VLOOKUP($A179,'SegEnds_NonXtal_BW#'!$A:$Z,22,FALSE)+VLOOKUP($A179,A:AL,31,FALSE)-50))</f>
        <v>351</v>
      </c>
      <c r="AG179" s="3">
        <f>IF(ISERROR(VLOOKUP($A179,'SegEnds_NonXtal_BW#'!$A:$Z,23,FALSE)+VLOOKUP($A179,A:AL,34,FALSE)-50),"-",(VLOOKUP($A179,'SegEnds_NonXtal_BW#'!$A:$Z,23,FALSE)+VLOOKUP($A179,A:AL,34,FALSE)-50))</f>
        <v>358</v>
      </c>
      <c r="AH179" s="3">
        <v>377</v>
      </c>
      <c r="AI179" s="3">
        <f>IF(ISERROR((VLOOKUP($A179,'SegEnds_NonXtal_BW#'!$A:$Z,24,FALSE)+VLOOKUP($A179,A:AL,34,FALSE)-50)),"-",(VLOOKUP($A179,'SegEnds_NonXtal_BW#'!$A:$Z,24,FALSE)+VLOOKUP($A179,A:AL,34,FALSE)-50))</f>
        <v>383</v>
      </c>
      <c r="AJ179" s="3">
        <f>IF(ISERROR(VLOOKUP($A179,'SegEnds_NonXtal_BW#'!$A:$Z,25,FALSE)+VLOOKUP($A179,A:AL,37,FALSE)-50),"-",(VLOOKUP($A179,'SegEnds_NonXtal_BW#'!$A:$Z,25,FALSE)+VLOOKUP($A179,A:AL,37,FALSE)-50))</f>
        <v>384</v>
      </c>
      <c r="AK179" s="3">
        <v>387</v>
      </c>
      <c r="AL179" s="3">
        <f>IF(ISERROR((VLOOKUP($A179,'SegEnds_NonXtal_BW#'!$A:$Z,26,FALSE)+VLOOKUP($A179,A:AL,37,FALSE)-50)),"-",(VLOOKUP($A179,'SegEnds_NonXtal_BW#'!$A:$Z,26,FALSE)+VLOOKUP($A179,A:AL,37,FALSE)-50))</f>
        <v>396</v>
      </c>
      <c r="AM179" s="28" t="str">
        <f>VLOOKUP(A179,Classification!A:B,2,FALSE)</f>
        <v>A</v>
      </c>
      <c r="AN179" s="28" t="b">
        <f t="shared" si="121"/>
        <v>1</v>
      </c>
      <c r="AO179" s="3" t="str">
        <f>IF(ISERROR(MATCH(A179,'SegEnds_Xtal_Prot#'!B:B, 0)), "NoXtal", "Xtal")</f>
        <v>NoXtal</v>
      </c>
      <c r="AP179" s="3">
        <f t="shared" si="104"/>
        <v>1</v>
      </c>
      <c r="AQ179" s="3">
        <f t="shared" si="105"/>
        <v>1</v>
      </c>
      <c r="AR179" s="3">
        <f t="shared" si="106"/>
        <v>2</v>
      </c>
      <c r="AS179" s="3">
        <f t="shared" si="107"/>
        <v>1</v>
      </c>
      <c r="AT179" s="3">
        <f t="shared" si="108"/>
        <v>1</v>
      </c>
      <c r="AU179" s="3">
        <f t="shared" si="109"/>
        <v>1</v>
      </c>
      <c r="AV179" s="3">
        <f t="shared" si="110"/>
        <v>12</v>
      </c>
      <c r="AW179" s="3">
        <f t="shared" si="111"/>
        <v>4</v>
      </c>
      <c r="AX179" s="3">
        <f t="shared" si="112"/>
        <v>6</v>
      </c>
      <c r="AY179" s="3">
        <f t="shared" si="113"/>
        <v>7</v>
      </c>
      <c r="AZ179" s="3">
        <f t="shared" si="114"/>
        <v>1</v>
      </c>
      <c r="BA179" s="3">
        <f>IF(ISERROR(LEN(VLOOKUP(A179,Seqs!A:E,2,FALSE))-AL179),"-",LEN(VLOOKUP(A179,Seqs!A:E,2,FALSE))-AL179)</f>
        <v>26</v>
      </c>
      <c r="BB179" s="16">
        <f t="shared" si="115"/>
        <v>31</v>
      </c>
      <c r="BC179" s="9">
        <f t="shared" si="116"/>
        <v>20</v>
      </c>
      <c r="BD179" s="3">
        <f t="shared" si="117"/>
        <v>31</v>
      </c>
      <c r="BE179" s="3">
        <f t="shared" si="118"/>
        <v>51</v>
      </c>
      <c r="BF179" s="3">
        <f t="shared" si="134"/>
        <v>37</v>
      </c>
    </row>
    <row r="180" spans="1:58" s="3" customFormat="1" x14ac:dyDescent="0.2">
      <c r="A180" s="3" t="s">
        <v>299</v>
      </c>
      <c r="B180" s="3" t="str">
        <f>LOWER(VLOOKUP(A180,Xtal_Templ!A:B,2,FALSE))</f>
        <v>oprd_human</v>
      </c>
      <c r="C180" s="3">
        <f>VLOOKUP($A180,'SegEnds_NonXtal_BW#'!$A:$Z,3,FALSE)+D180-50</f>
        <v>24</v>
      </c>
      <c r="D180" s="3">
        <v>52</v>
      </c>
      <c r="E180" s="3">
        <f>IF(ISERROR(VLOOKUP($A180,'SegEnds_NonXtal_BW#'!$A:$Z,4,FALSE)+VLOOKUP($A180,A:AL,4,FALSE)-50),"-",(VLOOKUP($A180,'SegEnds_NonXtal_BW#'!$A:$Z,4,FALSE)+VLOOKUP($A180,A:AL,4,FALSE)-50))</f>
        <v>62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66</v>
      </c>
      <c r="J180" s="3">
        <v>79</v>
      </c>
      <c r="K180" s="3">
        <f>VLOOKUP($A180,'SegEnds_NonXtal_BW#'!$A:$Z,8,FALSE)+VLOOKUP($A180,A:AL,10,FALSE)-50</f>
        <v>96</v>
      </c>
      <c r="L180" s="3">
        <f>M180-1</f>
        <v>98</v>
      </c>
      <c r="M180" s="3">
        <v>99</v>
      </c>
      <c r="N180" s="3">
        <f>M180+2</f>
        <v>101</v>
      </c>
      <c r="O180" s="3">
        <f>N180+1</f>
        <v>102</v>
      </c>
      <c r="P180" s="3">
        <v>131</v>
      </c>
      <c r="Q180" s="3">
        <f>VLOOKUP($A180,'SegEnds_NonXtal_BW#'!$A:$Z,12,FALSE)+VLOOKUP($A180,A:AL,16,FALSE)-50</f>
        <v>137</v>
      </c>
      <c r="R180" s="3">
        <f>IF(ISERROR(VLOOKUP($A180,'SegEnds_NonXtal_BW#'!$A:$Z,13,FALSE)+VLOOKUP($A180,A:AL,19,FALSE)-50),"-",VLOOKUP($A180,'SegEnds_NonXtal_BW#'!$A:$Z,13,FALSE)+VLOOKUP($A180,A:AL,19,FALSE)-50)</f>
        <v>138</v>
      </c>
      <c r="S180" s="3">
        <v>138</v>
      </c>
      <c r="T180" s="100">
        <f>IF(ISERROR(VLOOKUP($A180,'SegEnds_NonXtal_BW#'!$A:$Z,14,FALSE)+VLOOKUP($A180,A:AL,19,FALSE)-50),"-",(VLOOKUP($A180,'SegEnds_NonXtal_BW#'!$A:$Z,14,FALSE)+VLOOKUP($A180,A:AL,19,FALSE)-50))</f>
        <v>145</v>
      </c>
      <c r="U180" s="9">
        <f>IF(ISERROR(VLOOKUP($A180,'SegEnds_NonXtal_BW#'!$A:$Z,15,FALSE)+VLOOKUP($A180,A:AL,22,FALSE)-50),"-",VLOOKUP($A180,'SegEnds_NonXtal_BW#'!$A:$Z,15,FALSE)+VLOOKUP($A180,A:AL,22,FALSE)-50)</f>
        <v>146</v>
      </c>
      <c r="V180" s="3">
        <v>158</v>
      </c>
      <c r="W180" s="3">
        <f>IF(ISERROR(VLOOKUP($A180,'SegEnds_NonXtal_BW#'!$A:$Z,16,FALSE)+VLOOKUP($A180,A:AL,22,FALSE)-50),"-",(VLOOKUP($A180,'SegEnds_NonXtal_BW#'!$A:$Z,16,FALSE)+VLOOKUP($A180,A:AL,22,FALSE)-50))</f>
        <v>172</v>
      </c>
      <c r="X180" s="3">
        <f>IF(ISERROR(VLOOKUP($A180,'SegEnds_NonXtal_BW#'!$A:$Z,17,FALSE)+VLOOKUP($A180,A:AL,25,FALSE)-50),"-",(VLOOKUP($A180,'SegEnds_NonXtal_BW#'!$A:$Z,17,FALSE)+VLOOKUP($A180,A:AL,25,FALSE)-50))</f>
        <v>184</v>
      </c>
      <c r="Y180" s="3">
        <v>184</v>
      </c>
      <c r="Z180" s="3">
        <f>Y180+2</f>
        <v>186</v>
      </c>
      <c r="AA180" s="3">
        <f>IF(ISERROR(VLOOKUP($A180,'SegEnds_NonXtal_BW#'!$A:$Z,19,FALSE)+VLOOKUP($A180,A:AL,28,FALSE)-50),"-",(VLOOKUP($A180,'SegEnds_NonXtal_BW#'!$A:$Z,19,FALSE)+VLOOKUP($A180,A:AL,28,FALSE)-50))</f>
        <v>189</v>
      </c>
      <c r="AB180" s="3">
        <v>209</v>
      </c>
      <c r="AC180" s="3">
        <f>IF(ISERROR((VLOOKUP($A180,'SegEnds_NonXtal_BW#'!$A:$Z,20,FALSE)+VLOOKUP($A180,A:AL,28,FALSE)-50)),"-",(VLOOKUP($A180,'SegEnds_NonXtal_BW#'!$A:$Z,20,FALSE)+VLOOKUP($A180,A:AL,28,FALSE)-50))</f>
        <v>232</v>
      </c>
      <c r="AD180" s="3">
        <f>IF(ISERROR(VLOOKUP($A180,'SegEnds_NonXtal_BW#'!$A:$Z,21,FALSE)+VLOOKUP($A180,A:AL,31,FALSE)-50),"-",(VLOOKUP($A180,'SegEnds_NonXtal_BW#'!$A:$Z,21,FALSE)+VLOOKUP($A180,A:AL,31,FALSE)-50))</f>
        <v>238</v>
      </c>
      <c r="AE180" s="3">
        <v>266</v>
      </c>
      <c r="AF180" s="3">
        <f>IF(ISERROR((VLOOKUP($A180,'SegEnds_NonXtal_BW#'!$A:$Z,22,FALSE)+VLOOKUP($A180,A:AL,31,FALSE)-50)),"-",(VLOOKUP($A180,'SegEnds_NonXtal_BW#'!$A:$Z,22,FALSE)+VLOOKUP($A180,A:AL,31,FALSE)-50))</f>
        <v>277</v>
      </c>
      <c r="AG180" s="3">
        <f>IF(ISERROR(VLOOKUP($A180,'SegEnds_NonXtal_BW#'!$A:$Z,23,FALSE)+VLOOKUP($A180,A:AL,34,FALSE)-50),"-",(VLOOKUP($A180,'SegEnds_NonXtal_BW#'!$A:$Z,23,FALSE)+VLOOKUP($A180,A:AL,34,FALSE)-50))</f>
        <v>284</v>
      </c>
      <c r="AH180" s="3">
        <v>303</v>
      </c>
      <c r="AI180" s="3">
        <f>IF(ISERROR((VLOOKUP($A180,'SegEnds_NonXtal_BW#'!$A:$Z,24,FALSE)+VLOOKUP($A180,A:AL,34,FALSE)-50)),"-",(VLOOKUP($A180,'SegEnds_NonXtal_BW#'!$A:$Z,24,FALSE)+VLOOKUP($A180,A:AL,34,FALSE)-50))</f>
        <v>309</v>
      </c>
      <c r="AJ180" s="3">
        <f>IF(ISERROR(VLOOKUP($A180,'SegEnds_NonXtal_BW#'!$A:$Z,25,FALSE)+VLOOKUP($A180,A:AL,37,FALSE)-50),"-",(VLOOKUP($A180,'SegEnds_NonXtal_BW#'!$A:$Z,25,FALSE)+VLOOKUP($A180,A:AL,37,FALSE)-50))</f>
        <v>310</v>
      </c>
      <c r="AK180" s="3">
        <v>313</v>
      </c>
      <c r="AL180" s="3">
        <f>IF(ISERROR((VLOOKUP($A180,'SegEnds_NonXtal_BW#'!$A:$Z,26,FALSE)+VLOOKUP($A180,A:AL,37,FALSE)-50)),"-",(VLOOKUP($A180,'SegEnds_NonXtal_BW#'!$A:$Z,26,FALSE)+VLOOKUP($A180,A:AL,37,FALSE)-50))</f>
        <v>323</v>
      </c>
      <c r="AM180" s="28" t="str">
        <f>VLOOKUP(A180,Classification!A:B,2,FALSE)</f>
        <v>A</v>
      </c>
      <c r="AN180" s="28" t="b">
        <f t="shared" si="121"/>
        <v>1</v>
      </c>
      <c r="AO180" s="3" t="str">
        <f>IF(ISERROR(MATCH(A180,'SegEnds_Xtal_Prot#'!B:B, 0)), "NoXtal", "Xtal")</f>
        <v>NoXtal</v>
      </c>
      <c r="AP180" s="3" t="str">
        <f t="shared" si="104"/>
        <v>-</v>
      </c>
      <c r="AQ180" s="3" t="str">
        <f t="shared" si="105"/>
        <v>-</v>
      </c>
      <c r="AR180" s="3">
        <f t="shared" si="106"/>
        <v>2</v>
      </c>
      <c r="AS180" s="3">
        <f t="shared" si="107"/>
        <v>1</v>
      </c>
      <c r="AT180" s="3">
        <f t="shared" si="108"/>
        <v>1</v>
      </c>
      <c r="AU180" s="3">
        <f t="shared" si="109"/>
        <v>1</v>
      </c>
      <c r="AV180" s="3">
        <f t="shared" si="110"/>
        <v>12</v>
      </c>
      <c r="AW180" s="3">
        <f t="shared" si="111"/>
        <v>3</v>
      </c>
      <c r="AX180" s="3">
        <f t="shared" si="112"/>
        <v>6</v>
      </c>
      <c r="AY180" s="3">
        <f t="shared" si="113"/>
        <v>7</v>
      </c>
      <c r="AZ180" s="3">
        <f t="shared" si="114"/>
        <v>1</v>
      </c>
      <c r="BA180" s="3">
        <f>IF(ISERROR(LEN(VLOOKUP(A180,Seqs!A:E,2,FALSE))-AL180),"-",LEN(VLOOKUP(A180,Seqs!A:E,2,FALSE))-AL180)</f>
        <v>17</v>
      </c>
      <c r="BB180" s="16">
        <f t="shared" si="115"/>
        <v>27</v>
      </c>
      <c r="BC180" s="9">
        <f t="shared" si="116"/>
        <v>20</v>
      </c>
      <c r="BD180" s="3">
        <f t="shared" si="117"/>
        <v>27</v>
      </c>
      <c r="BE180" s="3">
        <f t="shared" si="118"/>
        <v>57</v>
      </c>
      <c r="BF180" s="3">
        <f t="shared" si="134"/>
        <v>37</v>
      </c>
    </row>
    <row r="181" spans="1:58" s="3" customFormat="1" x14ac:dyDescent="0.2">
      <c r="A181" s="3" t="s">
        <v>300</v>
      </c>
      <c r="B181" s="3" t="str">
        <f>LOWER(VLOOKUP(A181,Xtal_Templ!A:B,2,FALSE))</f>
        <v>c5ar1_human</v>
      </c>
      <c r="C181" s="3">
        <f>VLOOKUP($A181,'SegEnds_NonXtal_BW#'!$A:$Z,3,FALSE)+D181-50</f>
        <v>24</v>
      </c>
      <c r="D181" s="3">
        <v>45</v>
      </c>
      <c r="E181" s="3">
        <f>IF(ISERROR(VLOOKUP($A181,'SegEnds_NonXtal_BW#'!$A:$Z,4,FALSE)+VLOOKUP($A181,A:AL,4,FALSE)-50),"-",(VLOOKUP($A181,'SegEnds_NonXtal_BW#'!$A:$Z,4,FALSE)+VLOOKUP($A181,A:AL,4,FALSE)-50))</f>
        <v>55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59</v>
      </c>
      <c r="J181" s="3">
        <v>72</v>
      </c>
      <c r="K181" s="3">
        <f>VLOOKUP($A181,'SegEnds_NonXtal_BW#'!$A:$Z,8,FALSE)+VLOOKUP($A181,A:AL,10,FALSE)-50</f>
        <v>88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94</v>
      </c>
      <c r="P181" s="3">
        <v>123</v>
      </c>
      <c r="Q181" s="3">
        <f>VLOOKUP($A181,'SegEnds_NonXtal_BW#'!$A:$Z,12,FALSE)+VLOOKUP($A181,A:AL,16,FALSE)-50</f>
        <v>129</v>
      </c>
      <c r="R181" s="3">
        <f>IF(ISERROR(VLOOKUP($A181,'SegEnds_NonXtal_BW#'!$A:$Z,13,FALSE)+VLOOKUP($A181,A:AL,19,FALSE)-50),"-",VLOOKUP($A181,'SegEnds_NonXtal_BW#'!$A:$Z,13,FALSE)+VLOOKUP($A181,A:AL,19,FALSE)-50)</f>
        <v>130</v>
      </c>
      <c r="S181" s="3">
        <v>130</v>
      </c>
      <c r="T181" s="100">
        <f>IF(ISERROR(VLOOKUP($A181,'SegEnds_NonXtal_BW#'!$A:$Z,14,FALSE)+VLOOKUP($A181,A:AL,19,FALSE)-50),"-",(VLOOKUP($A181,'SegEnds_NonXtal_BW#'!$A:$Z,14,FALSE)+VLOOKUP($A181,A:AL,19,FALSE)-50))</f>
        <v>137</v>
      </c>
      <c r="U181" s="9">
        <f>IF(ISERROR(VLOOKUP($A181,'SegEnds_NonXtal_BW#'!$A:$Z,15,FALSE)+VLOOKUP($A181,A:AL,22,FALSE)-50),"-",VLOOKUP($A181,'SegEnds_NonXtal_BW#'!$A:$Z,15,FALSE)+VLOOKUP($A181,A:AL,22,FALSE)-50)</f>
        <v>138</v>
      </c>
      <c r="V181" s="3">
        <v>150</v>
      </c>
      <c r="W181" s="3">
        <f>IF(ISERROR(VLOOKUP($A181,'SegEnds_NonXtal_BW#'!$A:$Z,16,FALSE)+VLOOKUP($A181,A:AL,22,FALSE)-50),"-",(VLOOKUP($A181,'SegEnds_NonXtal_BW#'!$A:$Z,16,FALSE)+VLOOKUP($A181,A:AL,22,FALSE)-50))</f>
        <v>164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173</v>
      </c>
      <c r="AB181" s="3">
        <v>192</v>
      </c>
      <c r="AC181" s="3">
        <f>IF(ISERROR((VLOOKUP($A181,'SegEnds_NonXtal_BW#'!$A:$Z,20,FALSE)+VLOOKUP($A181,A:AL,28,FALSE)-50)),"-",(VLOOKUP($A181,'SegEnds_NonXtal_BW#'!$A:$Z,20,FALSE)+VLOOKUP($A181,A:AL,28,FALSE)-50))</f>
        <v>210</v>
      </c>
      <c r="AD181" s="3">
        <f>IF(ISERROR(VLOOKUP($A181,'SegEnds_NonXtal_BW#'!$A:$Z,21,FALSE)+VLOOKUP($A181,A:AL,31,FALSE)-50),"-",(VLOOKUP($A181,'SegEnds_NonXtal_BW#'!$A:$Z,21,FALSE)+VLOOKUP($A181,A:AL,31,FALSE)-50))</f>
        <v>214</v>
      </c>
      <c r="AE181" s="3">
        <v>236</v>
      </c>
      <c r="AF181" s="3">
        <f>IF(ISERROR((VLOOKUP($A181,'SegEnds_NonXtal_BW#'!$A:$Z,22,FALSE)+VLOOKUP($A181,A:AL,31,FALSE)-50)),"-",(VLOOKUP($A181,'SegEnds_NonXtal_BW#'!$A:$Z,22,FALSE)+VLOOKUP($A181,A:AL,31,FALSE)-50))</f>
        <v>247</v>
      </c>
      <c r="AG181" s="3">
        <f>IF(ISERROR(VLOOKUP($A181,'SegEnds_NonXtal_BW#'!$A:$Z,23,FALSE)+VLOOKUP($A181,A:AL,34,FALSE)-50),"-",(VLOOKUP($A181,'SegEnds_NonXtal_BW#'!$A:$Z,23,FALSE)+VLOOKUP($A181,A:AL,34,FALSE)-50))</f>
        <v>254</v>
      </c>
      <c r="AH181" s="3">
        <v>273</v>
      </c>
      <c r="AI181" s="3">
        <f>IF(ISERROR((VLOOKUP($A181,'SegEnds_NonXtal_BW#'!$A:$Z,24,FALSE)+VLOOKUP($A181,A:AL,34,FALSE)-50)),"-",(VLOOKUP($A181,'SegEnds_NonXtal_BW#'!$A:$Z,24,FALSE)+VLOOKUP($A181,A:AL,34,FALSE)-50))</f>
        <v>279</v>
      </c>
      <c r="AJ181" s="3">
        <f>IF(ISERROR(VLOOKUP($A181,'SegEnds_NonXtal_BW#'!$A:$Z,25,FALSE)+VLOOKUP($A181,A:AL,37,FALSE)-50),"-",(VLOOKUP($A181,'SegEnds_NonXtal_BW#'!$A:$Z,25,FALSE)+VLOOKUP($A181,A:AL,37,FALSE)-50))</f>
        <v>280</v>
      </c>
      <c r="AK181" s="3">
        <v>283</v>
      </c>
      <c r="AL181" s="3">
        <f>IF(ISERROR((VLOOKUP($A181,'SegEnds_NonXtal_BW#'!$A:$Z,26,FALSE)+VLOOKUP($A181,A:AL,37,FALSE)-50)),"-",(VLOOKUP($A181,'SegEnds_NonXtal_BW#'!$A:$Z,26,FALSE)+VLOOKUP($A181,A:AL,37,FALSE)-50))</f>
        <v>289</v>
      </c>
      <c r="AM181" s="28" t="str">
        <f>VLOOKUP(A181,Classification!A:B,2,FALSE)</f>
        <v>A</v>
      </c>
      <c r="AN181" s="28" t="b">
        <f t="shared" si="121"/>
        <v>1</v>
      </c>
      <c r="AO181" s="3" t="str">
        <f>IF(ISERROR(MATCH(A181,'SegEnds_Xtal_Prot#'!B:B, 0)), "NoXtal", "Xtal")</f>
        <v>NoXtal</v>
      </c>
      <c r="AP181" s="3" t="str">
        <f t="shared" si="104"/>
        <v>-</v>
      </c>
      <c r="AQ181" s="3" t="str">
        <f t="shared" si="105"/>
        <v>-</v>
      </c>
      <c r="AR181" s="3" t="str">
        <f t="shared" si="106"/>
        <v>-</v>
      </c>
      <c r="AS181" s="3" t="str">
        <f t="shared" si="107"/>
        <v>-</v>
      </c>
      <c r="AT181" s="3">
        <f t="shared" si="108"/>
        <v>1</v>
      </c>
      <c r="AU181" s="3">
        <f t="shared" si="109"/>
        <v>1</v>
      </c>
      <c r="AV181" s="3" t="str">
        <f t="shared" si="110"/>
        <v>-</v>
      </c>
      <c r="AW181" s="3" t="str">
        <f t="shared" si="111"/>
        <v>-</v>
      </c>
      <c r="AX181" s="3">
        <f t="shared" si="112"/>
        <v>4</v>
      </c>
      <c r="AY181" s="3">
        <f t="shared" si="113"/>
        <v>7</v>
      </c>
      <c r="AZ181" s="3">
        <f t="shared" si="114"/>
        <v>1</v>
      </c>
      <c r="BA181" s="3">
        <f>IF(ISERROR(LEN(VLOOKUP(A181,Seqs!A:E,2,FALSE))-AL181),"-",LEN(VLOOKUP(A181,Seqs!A:E,2,FALSE))-AL181)</f>
        <v>32</v>
      </c>
      <c r="BB181" s="16">
        <f t="shared" si="115"/>
        <v>27</v>
      </c>
      <c r="BC181" s="9">
        <f t="shared" si="116"/>
        <v>20</v>
      </c>
      <c r="BD181" s="3">
        <f t="shared" si="117"/>
        <v>27</v>
      </c>
      <c r="BE181" s="3">
        <f t="shared" si="118"/>
        <v>44</v>
      </c>
      <c r="BF181" s="3">
        <f t="shared" si="134"/>
        <v>37</v>
      </c>
    </row>
    <row r="182" spans="1:58" s="3" customFormat="1" x14ac:dyDescent="0.2">
      <c r="A182" s="3" t="s">
        <v>301</v>
      </c>
      <c r="B182" s="3" t="str">
        <f>LOWER(VLOOKUP(A182,Xtal_Templ!A:B,2,FALSE))</f>
        <v>cxcr4_human</v>
      </c>
      <c r="C182" s="3">
        <f>VLOOKUP($A182,'SegEnds_NonXtal_BW#'!$A:$Z,3,FALSE)+D182-50</f>
        <v>16</v>
      </c>
      <c r="D182" s="3">
        <v>42</v>
      </c>
      <c r="E182" s="3">
        <f>IF(ISERROR(VLOOKUP($A182,'SegEnds_NonXtal_BW#'!$A:$Z,4,FALSE)+VLOOKUP($A182,A:AL,4,FALSE)-50),"-",(VLOOKUP($A182,'SegEnds_NonXtal_BW#'!$A:$Z,4,FALSE)+VLOOKUP($A182,A:AL,4,FALSE)-50))</f>
        <v>52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56</v>
      </c>
      <c r="J182" s="3">
        <v>69</v>
      </c>
      <c r="K182" s="3">
        <f>VLOOKUP($A182,'SegEnds_NonXtal_BW#'!$A:$Z,8,FALSE)+VLOOKUP($A182,A:AL,10,FALSE)-50</f>
        <v>85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92</v>
      </c>
      <c r="P182" s="3">
        <v>121</v>
      </c>
      <c r="Q182" s="3">
        <f>VLOOKUP($A182,'SegEnds_NonXtal_BW#'!$A:$Z,12,FALSE)+VLOOKUP($A182,A:AL,16,FALSE)-50</f>
        <v>127</v>
      </c>
      <c r="R182" s="3">
        <f>IF(ISERROR(VLOOKUP($A182,'SegEnds_NonXtal_BW#'!$A:$Z,13,FALSE)+VLOOKUP($A182,A:AL,19,FALSE)-50),"-",VLOOKUP($A182,'SegEnds_NonXtal_BW#'!$A:$Z,13,FALSE)+VLOOKUP($A182,A:AL,19,FALSE)-50)</f>
        <v>128</v>
      </c>
      <c r="S182" s="3">
        <v>128</v>
      </c>
      <c r="T182" s="100">
        <f>IF(ISERROR(VLOOKUP($A182,'SegEnds_NonXtal_BW#'!$A:$Z,14,FALSE)+VLOOKUP($A182,A:AL,19,FALSE)-50),"-",(VLOOKUP($A182,'SegEnds_NonXtal_BW#'!$A:$Z,14,FALSE)+VLOOKUP($A182,A:AL,19,FALSE)-50))</f>
        <v>135</v>
      </c>
      <c r="U182" s="9">
        <f>IF(ISERROR(VLOOKUP($A182,'SegEnds_NonXtal_BW#'!$A:$Z,15,FALSE)+VLOOKUP($A182,A:AL,22,FALSE)-50),"-",VLOOKUP($A182,'SegEnds_NonXtal_BW#'!$A:$Z,15,FALSE)+VLOOKUP($A182,A:AL,22,FALSE)-50)</f>
        <v>136</v>
      </c>
      <c r="V182" s="3">
        <v>148</v>
      </c>
      <c r="W182" s="3">
        <f>IF(ISERROR(VLOOKUP($A182,'SegEnds_NonXtal_BW#'!$A:$Z,16,FALSE)+VLOOKUP($A182,A:AL,22,FALSE)-50),"-",(VLOOKUP($A182,'SegEnds_NonXtal_BW#'!$A:$Z,16,FALSE)+VLOOKUP($A182,A:AL,22,FALSE)-50))</f>
        <v>162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172</v>
      </c>
      <c r="AB182" s="3">
        <v>190</v>
      </c>
      <c r="AC182" s="3">
        <f>IF(ISERROR((VLOOKUP($A182,'SegEnds_NonXtal_BW#'!$A:$Z,20,FALSE)+VLOOKUP($A182,A:AL,28,FALSE)-50)),"-",(VLOOKUP($A182,'SegEnds_NonXtal_BW#'!$A:$Z,20,FALSE)+VLOOKUP($A182,A:AL,28,FALSE)-50))</f>
        <v>208</v>
      </c>
      <c r="AD182" s="3">
        <f>IF(ISERROR(VLOOKUP($A182,'SegEnds_NonXtal_BW#'!$A:$Z,21,FALSE)+VLOOKUP($A182,A:AL,31,FALSE)-50),"-",(VLOOKUP($A182,'SegEnds_NonXtal_BW#'!$A:$Z,21,FALSE)+VLOOKUP($A182,A:AL,31,FALSE)-50))</f>
        <v>212</v>
      </c>
      <c r="AE182" s="3">
        <v>232</v>
      </c>
      <c r="AF182" s="3">
        <f>IF(ISERROR((VLOOKUP($A182,'SegEnds_NonXtal_BW#'!$A:$Z,22,FALSE)+VLOOKUP($A182,A:AL,31,FALSE)-50)),"-",(VLOOKUP($A182,'SegEnds_NonXtal_BW#'!$A:$Z,22,FALSE)+VLOOKUP($A182,A:AL,31,FALSE)-50))</f>
        <v>243</v>
      </c>
      <c r="AG182" s="3">
        <f>IF(ISERROR(VLOOKUP($A182,'SegEnds_NonXtal_BW#'!$A:$Z,23,FALSE)+VLOOKUP($A182,A:AL,34,FALSE)-50),"-",(VLOOKUP($A182,'SegEnds_NonXtal_BW#'!$A:$Z,23,FALSE)+VLOOKUP($A182,A:AL,34,FALSE)-50))</f>
        <v>248</v>
      </c>
      <c r="AH182" s="3">
        <v>266</v>
      </c>
      <c r="AI182" s="3">
        <f>IF(ISERROR((VLOOKUP($A182,'SegEnds_NonXtal_BW#'!$A:$Z,24,FALSE)+VLOOKUP($A182,A:AL,34,FALSE)-50)),"-",(VLOOKUP($A182,'SegEnds_NonXtal_BW#'!$A:$Z,24,FALSE)+VLOOKUP($A182,A:AL,34,FALSE)-50))</f>
        <v>272</v>
      </c>
      <c r="AJ182" s="3">
        <f>IF(ISERROR(VLOOKUP($A182,'SegEnds_NonXtal_BW#'!$A:$Z,25,FALSE)+VLOOKUP($A182,A:AL,37,FALSE)-50),"-",(VLOOKUP($A182,'SegEnds_NonXtal_BW#'!$A:$Z,25,FALSE)+VLOOKUP($A182,A:AL,37,FALSE)-50))</f>
        <v>273</v>
      </c>
      <c r="AK182" s="3">
        <v>276</v>
      </c>
      <c r="AL182" s="3">
        <f>IF(ISERROR((VLOOKUP($A182,'SegEnds_NonXtal_BW#'!$A:$Z,26,FALSE)+VLOOKUP($A182,A:AL,37,FALSE)-50)),"-",(VLOOKUP($A182,'SegEnds_NonXtal_BW#'!$A:$Z,26,FALSE)+VLOOKUP($A182,A:AL,37,FALSE)-50))</f>
        <v>285</v>
      </c>
      <c r="AM182" s="28" t="str">
        <f>VLOOKUP(A182,Classification!A:B,2,FALSE)</f>
        <v>A</v>
      </c>
      <c r="AN182" s="28" t="b">
        <f t="shared" si="121"/>
        <v>1</v>
      </c>
      <c r="AO182" s="3" t="str">
        <f>IF(ISERROR(MATCH(A182,'SegEnds_Xtal_Prot#'!B:B, 0)), "NoXtal", "Xtal")</f>
        <v>NoXtal</v>
      </c>
      <c r="AP182" s="3" t="str">
        <f t="shared" si="104"/>
        <v>-</v>
      </c>
      <c r="AQ182" s="3" t="str">
        <f t="shared" si="105"/>
        <v>-</v>
      </c>
      <c r="AR182" s="3" t="str">
        <f t="shared" si="106"/>
        <v>-</v>
      </c>
      <c r="AS182" s="3" t="str">
        <f t="shared" si="107"/>
        <v>-</v>
      </c>
      <c r="AT182" s="3">
        <f t="shared" si="108"/>
        <v>1</v>
      </c>
      <c r="AU182" s="3">
        <f t="shared" si="109"/>
        <v>1</v>
      </c>
      <c r="AV182" s="3" t="str">
        <f t="shared" si="110"/>
        <v>-</v>
      </c>
      <c r="AW182" s="3" t="str">
        <f t="shared" si="111"/>
        <v>-</v>
      </c>
      <c r="AX182" s="3">
        <f t="shared" si="112"/>
        <v>4</v>
      </c>
      <c r="AY182" s="3">
        <f t="shared" si="113"/>
        <v>5</v>
      </c>
      <c r="AZ182" s="3">
        <f t="shared" si="114"/>
        <v>1</v>
      </c>
      <c r="BA182" s="3">
        <f>IF(ISERROR(LEN(VLOOKUP(A182,Seqs!A:E,2,FALSE))-AL182),"-",LEN(VLOOKUP(A182,Seqs!A:E,2,FALSE))-AL182)</f>
        <v>27</v>
      </c>
      <c r="BB182" s="16">
        <f t="shared" si="115"/>
        <v>27</v>
      </c>
      <c r="BC182" s="9">
        <f t="shared" si="116"/>
        <v>20</v>
      </c>
      <c r="BD182" s="3">
        <f t="shared" si="117"/>
        <v>27</v>
      </c>
      <c r="BE182" s="3">
        <f t="shared" si="118"/>
        <v>42</v>
      </c>
      <c r="BF182" s="3">
        <f t="shared" si="134"/>
        <v>34</v>
      </c>
    </row>
    <row r="183" spans="1:58" s="3" customFormat="1" x14ac:dyDescent="0.2">
      <c r="A183" s="3" t="s">
        <v>302</v>
      </c>
      <c r="B183" s="3" t="str">
        <f>LOWER(VLOOKUP(A183,Xtal_Templ!A:B,2,FALSE))</f>
        <v>ccr6_human</v>
      </c>
      <c r="C183" s="3">
        <f>VLOOKUP($A183,'SegEnds_NonXtal_BW#'!$A:$Z,3,FALSE)+D183-50</f>
        <v>37</v>
      </c>
      <c r="D183" s="3">
        <v>62</v>
      </c>
      <c r="E183" s="3">
        <f>IF(ISERROR(VLOOKUP($A183,'SegEnds_NonXtal_BW#'!$A:$Z,4,FALSE)+VLOOKUP($A183,A:AL,4,FALSE)-50),"-",(VLOOKUP($A183,'SegEnds_NonXtal_BW#'!$A:$Z,4,FALSE)+VLOOKUP($A183,A:AL,4,FALSE)-50))</f>
        <v>72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76</v>
      </c>
      <c r="J183" s="3">
        <v>89</v>
      </c>
      <c r="K183" s="3">
        <f>VLOOKUP($A183,'SegEnds_NonXtal_BW#'!$A:$Z,8,FALSE)+VLOOKUP($A183,A:AL,10,FALSE)-50</f>
        <v>106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112</v>
      </c>
      <c r="P183" s="3">
        <v>141</v>
      </c>
      <c r="Q183" s="3">
        <f>VLOOKUP($A183,'SegEnds_NonXtal_BW#'!$A:$Z,12,FALSE)+VLOOKUP($A183,A:AL,16,FALSE)-50</f>
        <v>147</v>
      </c>
      <c r="R183" s="3">
        <f>IF(ISERROR(VLOOKUP($A183,'SegEnds_NonXtal_BW#'!$A:$Z,13,FALSE)+VLOOKUP($A183,A:AL,19,FALSE)-50),"-",VLOOKUP($A183,'SegEnds_NonXtal_BW#'!$A:$Z,13,FALSE)+VLOOKUP($A183,A:AL,19,FALSE)-50)</f>
        <v>148</v>
      </c>
      <c r="S183" s="3">
        <v>148</v>
      </c>
      <c r="T183" s="100">
        <f>IF(ISERROR(VLOOKUP($A183,'SegEnds_NonXtal_BW#'!$A:$Z,14,FALSE)+VLOOKUP($A183,A:AL,19,FALSE)-50),"-",(VLOOKUP($A183,'SegEnds_NonXtal_BW#'!$A:$Z,14,FALSE)+VLOOKUP($A183,A:AL,19,FALSE)-50))</f>
        <v>155</v>
      </c>
      <c r="U183" s="9">
        <f>IF(ISERROR(VLOOKUP($A183,'SegEnds_NonXtal_BW#'!$A:$Z,15,FALSE)+VLOOKUP($A183,A:AL,22,FALSE)-50),"-",VLOOKUP($A183,'SegEnds_NonXtal_BW#'!$A:$Z,15,FALSE)+VLOOKUP($A183,A:AL,22,FALSE)-50)</f>
        <v>156</v>
      </c>
      <c r="V183" s="3">
        <v>168</v>
      </c>
      <c r="W183" s="3">
        <f>IF(ISERROR(VLOOKUP($A183,'SegEnds_NonXtal_BW#'!$A:$Z,16,FALSE)+VLOOKUP($A183,A:AL,22,FALSE)-50),"-",(VLOOKUP($A183,'SegEnds_NonXtal_BW#'!$A:$Z,16,FALSE)+VLOOKUP($A183,A:AL,22,FALSE)-50))</f>
        <v>182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192</v>
      </c>
      <c r="AB183" s="3">
        <v>211</v>
      </c>
      <c r="AC183" s="3">
        <f>IF(ISERROR((VLOOKUP($A183,'SegEnds_NonXtal_BW#'!$A:$Z,20,FALSE)+VLOOKUP($A183,A:AL,28,FALSE)-50)),"-",(VLOOKUP($A183,'SegEnds_NonXtal_BW#'!$A:$Z,20,FALSE)+VLOOKUP($A183,A:AL,28,FALSE)-50))</f>
        <v>229</v>
      </c>
      <c r="AD183" s="3">
        <f>IF(ISERROR(VLOOKUP($A183,'SegEnds_NonXtal_BW#'!$A:$Z,21,FALSE)+VLOOKUP($A183,A:AL,31,FALSE)-50),"-",(VLOOKUP($A183,'SegEnds_NonXtal_BW#'!$A:$Z,21,FALSE)+VLOOKUP($A183,A:AL,31,FALSE)-50))</f>
        <v>234</v>
      </c>
      <c r="AE183" s="3">
        <v>254</v>
      </c>
      <c r="AF183" s="3">
        <f>IF(ISERROR((VLOOKUP($A183,'SegEnds_NonXtal_BW#'!$A:$Z,22,FALSE)+VLOOKUP($A183,A:AL,31,FALSE)-50)),"-",(VLOOKUP($A183,'SegEnds_NonXtal_BW#'!$A:$Z,22,FALSE)+VLOOKUP($A183,A:AL,31,FALSE)-50))</f>
        <v>265</v>
      </c>
      <c r="AG183" s="3">
        <f>IF(ISERROR(VLOOKUP($A183,'SegEnds_NonXtal_BW#'!$A:$Z,23,FALSE)+VLOOKUP($A183,A:AL,34,FALSE)-50),"-",(VLOOKUP($A183,'SegEnds_NonXtal_BW#'!$A:$Z,23,FALSE)+VLOOKUP($A183,A:AL,34,FALSE)-50))</f>
        <v>270</v>
      </c>
      <c r="AH183" s="3">
        <v>288</v>
      </c>
      <c r="AI183" s="3">
        <f>IF(ISERROR((VLOOKUP($A183,'SegEnds_NonXtal_BW#'!$A:$Z,24,FALSE)+VLOOKUP($A183,A:AL,34,FALSE)-50)),"-",(VLOOKUP($A183,'SegEnds_NonXtal_BW#'!$A:$Z,24,FALSE)+VLOOKUP($A183,A:AL,34,FALSE)-50))</f>
        <v>294</v>
      </c>
      <c r="AJ183" s="3">
        <f>IF(ISERROR(VLOOKUP($A183,'SegEnds_NonXtal_BW#'!$A:$Z,25,FALSE)+VLOOKUP($A183,A:AL,37,FALSE)-50),"-",(VLOOKUP($A183,'SegEnds_NonXtal_BW#'!$A:$Z,25,FALSE)+VLOOKUP($A183,A:AL,37,FALSE)-50))</f>
        <v>295</v>
      </c>
      <c r="AK183" s="3">
        <v>298</v>
      </c>
      <c r="AL183" s="3">
        <f>IF(ISERROR((VLOOKUP($A183,'SegEnds_NonXtal_BW#'!$A:$Z,26,FALSE)+VLOOKUP($A183,A:AL,37,FALSE)-50)),"-",(VLOOKUP($A183,'SegEnds_NonXtal_BW#'!$A:$Z,26,FALSE)+VLOOKUP($A183,A:AL,37,FALSE)-50))</f>
        <v>310</v>
      </c>
      <c r="AM183" s="28" t="str">
        <f>VLOOKUP(A183,Classification!A:B,2,FALSE)</f>
        <v>A</v>
      </c>
      <c r="AN183" s="28" t="b">
        <f t="shared" si="121"/>
        <v>1</v>
      </c>
      <c r="AO183" s="3" t="str">
        <f>IF(ISERROR(MATCH(A183,'SegEnds_Xtal_Prot#'!B:B, 0)), "NoXtal", "Xtal")</f>
        <v>NoXtal</v>
      </c>
      <c r="AP183" s="3" t="str">
        <f t="shared" si="104"/>
        <v>-</v>
      </c>
      <c r="AQ183" s="3" t="str">
        <f t="shared" si="105"/>
        <v>-</v>
      </c>
      <c r="AR183" s="3" t="str">
        <f t="shared" si="106"/>
        <v>-</v>
      </c>
      <c r="AS183" s="3" t="str">
        <f t="shared" si="107"/>
        <v>-</v>
      </c>
      <c r="AT183" s="3">
        <f t="shared" si="108"/>
        <v>1</v>
      </c>
      <c r="AU183" s="3">
        <f t="shared" si="109"/>
        <v>1</v>
      </c>
      <c r="AV183" s="3" t="str">
        <f t="shared" si="110"/>
        <v>-</v>
      </c>
      <c r="AW183" s="3" t="str">
        <f t="shared" si="111"/>
        <v>-</v>
      </c>
      <c r="AX183" s="3">
        <f t="shared" si="112"/>
        <v>5</v>
      </c>
      <c r="AY183" s="3">
        <f t="shared" si="113"/>
        <v>5</v>
      </c>
      <c r="AZ183" s="3">
        <f t="shared" si="114"/>
        <v>1</v>
      </c>
      <c r="BA183" s="3">
        <f>IF(ISERROR(LEN(VLOOKUP(A183,Seqs!A:E,2,FALSE))-AL183),"-",LEN(VLOOKUP(A183,Seqs!A:E,2,FALSE))-AL183)</f>
        <v>33</v>
      </c>
      <c r="BB183" s="16">
        <f t="shared" si="115"/>
        <v>27</v>
      </c>
      <c r="BC183" s="9">
        <f t="shared" si="116"/>
        <v>20</v>
      </c>
      <c r="BD183" s="3">
        <f t="shared" si="117"/>
        <v>27</v>
      </c>
      <c r="BE183" s="3">
        <f t="shared" si="118"/>
        <v>43</v>
      </c>
    </row>
    <row r="184" spans="1:58" s="3" customFormat="1" x14ac:dyDescent="0.2">
      <c r="A184" s="3" t="s">
        <v>303</v>
      </c>
      <c r="B184" s="3" t="str">
        <f>LOWER(VLOOKUP(A184,Xtal_Templ!A:B,2,FALSE))</f>
        <v>agtr1_human</v>
      </c>
      <c r="C184" s="3">
        <f>VLOOKUP($A184,'SegEnds_NonXtal_BW#'!$A:$Z,3,FALSE)+D184-50</f>
        <v>8</v>
      </c>
      <c r="D184" s="3">
        <v>30</v>
      </c>
      <c r="E184" s="3">
        <f>IF(ISERROR(VLOOKUP($A184,'SegEnds_NonXtal_BW#'!$A:$Z,4,FALSE)+VLOOKUP($A184,A:AL,4,FALSE)-50),"-",(VLOOKUP($A184,'SegEnds_NonXtal_BW#'!$A:$Z,4,FALSE)+VLOOKUP($A184,A:AL,4,FALSE)-50))</f>
        <v>40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44</v>
      </c>
      <c r="J184" s="3">
        <v>57</v>
      </c>
      <c r="K184" s="3">
        <f>VLOOKUP($A184,'SegEnds_NonXtal_BW#'!$A:$Z,8,FALSE)+VLOOKUP($A184,A:AL,10,FALSE)-50</f>
        <v>70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77</v>
      </c>
      <c r="P184" s="3">
        <v>103</v>
      </c>
      <c r="Q184" s="3">
        <f>VLOOKUP($A184,'SegEnds_NonXtal_BW#'!$A:$Z,12,FALSE)+VLOOKUP($A184,A:AL,16,FALSE)-50</f>
        <v>109</v>
      </c>
      <c r="R184" s="3">
        <f>IF(ISERROR(VLOOKUP($A184,'SegEnds_NonXtal_BW#'!$A:$Z,13,FALSE)+VLOOKUP($A184,A:AL,19,FALSE)-50),"-",VLOOKUP($A184,'SegEnds_NonXtal_BW#'!$A:$Z,13,FALSE)+VLOOKUP($A184,A:AL,19,FALSE)-50)</f>
        <v>110</v>
      </c>
      <c r="S184" s="3">
        <v>110</v>
      </c>
      <c r="T184" s="100">
        <f>IF(ISERROR(VLOOKUP($A184,'SegEnds_NonXtal_BW#'!$A:$Z,14,FALSE)+VLOOKUP($A184,A:AL,19,FALSE)-50),"-",(VLOOKUP($A184,'SegEnds_NonXtal_BW#'!$A:$Z,14,FALSE)+VLOOKUP($A184,A:AL,19,FALSE)-50))</f>
        <v>117</v>
      </c>
      <c r="U184" s="9">
        <f>IF(ISERROR(VLOOKUP($A184,'SegEnds_NonXtal_BW#'!$A:$Z,15,FALSE)+VLOOKUP($A184,A:AL,22,FALSE)-50),"-",VLOOKUP($A184,'SegEnds_NonXtal_BW#'!$A:$Z,15,FALSE)+VLOOKUP($A184,A:AL,22,FALSE)-50)</f>
        <v>118</v>
      </c>
      <c r="V184" s="3">
        <v>130</v>
      </c>
      <c r="W184" s="3">
        <f>IF(ISERROR(VLOOKUP($A184,'SegEnds_NonXtal_BW#'!$A:$Z,16,FALSE)+VLOOKUP($A184,A:AL,22,FALSE)-50),"-",(VLOOKUP($A184,'SegEnds_NonXtal_BW#'!$A:$Z,16,FALSE)+VLOOKUP($A184,A:AL,22,FALSE)-50))</f>
        <v>144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156</v>
      </c>
      <c r="AB184" s="3">
        <v>172</v>
      </c>
      <c r="AC184" s="3">
        <f>IF(ISERROR((VLOOKUP($A184,'SegEnds_NonXtal_BW#'!$A:$Z,20,FALSE)+VLOOKUP($A184,A:AL,28,FALSE)-50)),"-",(VLOOKUP($A184,'SegEnds_NonXtal_BW#'!$A:$Z,20,FALSE)+VLOOKUP($A184,A:AL,28,FALSE)-50))</f>
        <v>189</v>
      </c>
      <c r="AD184" s="3">
        <f>IF(ISERROR(VLOOKUP($A184,'SegEnds_NonXtal_BW#'!$A:$Z,21,FALSE)+VLOOKUP($A184,A:AL,31,FALSE)-50),"-",(VLOOKUP($A184,'SegEnds_NonXtal_BW#'!$A:$Z,21,FALSE)+VLOOKUP($A184,A:AL,31,FALSE)-50))</f>
        <v>193</v>
      </c>
      <c r="AE184" s="3">
        <v>213</v>
      </c>
      <c r="AF184" s="3">
        <f>IF(ISERROR((VLOOKUP($A184,'SegEnds_NonXtal_BW#'!$A:$Z,22,FALSE)+VLOOKUP($A184,A:AL,31,FALSE)-50)),"-",(VLOOKUP($A184,'SegEnds_NonXtal_BW#'!$A:$Z,22,FALSE)+VLOOKUP($A184,A:AL,31,FALSE)-50))</f>
        <v>224</v>
      </c>
      <c r="AG184" s="3">
        <f>IF(ISERROR(VLOOKUP($A184,'SegEnds_NonXtal_BW#'!$A:$Z,23,FALSE)+VLOOKUP($A184,A:AL,34,FALSE)-50),"-",(VLOOKUP($A184,'SegEnds_NonXtal_BW#'!$A:$Z,23,FALSE)+VLOOKUP($A184,A:AL,34,FALSE)-50))</f>
        <v>229</v>
      </c>
      <c r="AH184" s="3">
        <v>247</v>
      </c>
      <c r="AI184" s="3">
        <f>IF(ISERROR((VLOOKUP($A184,'SegEnds_NonXtal_BW#'!$A:$Z,24,FALSE)+VLOOKUP($A184,A:AL,34,FALSE)-50)),"-",(VLOOKUP($A184,'SegEnds_NonXtal_BW#'!$A:$Z,24,FALSE)+VLOOKUP($A184,A:AL,34,FALSE)-50))</f>
        <v>253</v>
      </c>
      <c r="AJ184" s="3">
        <f>IF(ISERROR(VLOOKUP($A184,'SegEnds_NonXtal_BW#'!$A:$Z,25,FALSE)+VLOOKUP($A184,A:AL,37,FALSE)-50),"-",(VLOOKUP($A184,'SegEnds_NonXtal_BW#'!$A:$Z,25,FALSE)+VLOOKUP($A184,A:AL,37,FALSE)-50))</f>
        <v>254</v>
      </c>
      <c r="AK184" s="3">
        <v>257</v>
      </c>
      <c r="AL184" s="3">
        <f>IF(ISERROR((VLOOKUP($A184,'SegEnds_NonXtal_BW#'!$A:$Z,26,FALSE)+VLOOKUP($A184,A:AL,37,FALSE)-50)),"-",(VLOOKUP($A184,'SegEnds_NonXtal_BW#'!$A:$Z,26,FALSE)+VLOOKUP($A184,A:AL,37,FALSE)-50))</f>
        <v>268</v>
      </c>
      <c r="AM184" s="28" t="str">
        <f>VLOOKUP(A184,Classification!A:B,2,FALSE)</f>
        <v>A</v>
      </c>
      <c r="AN184" s="28" t="b">
        <f t="shared" si="121"/>
        <v>1</v>
      </c>
      <c r="AO184" s="3" t="str">
        <f>IF(ISERROR(MATCH(A184,'SegEnds_Xtal_Prot#'!B:B, 0)), "NoXtal", "Xtal")</f>
        <v>NoXtal</v>
      </c>
      <c r="AP184" s="3" t="str">
        <f t="shared" si="104"/>
        <v>-</v>
      </c>
      <c r="AQ184" s="3" t="str">
        <f t="shared" si="105"/>
        <v>-</v>
      </c>
      <c r="AR184" s="3" t="str">
        <f t="shared" si="106"/>
        <v>-</v>
      </c>
      <c r="AS184" s="3" t="str">
        <f t="shared" si="107"/>
        <v>-</v>
      </c>
      <c r="AT184" s="3">
        <f t="shared" si="108"/>
        <v>1</v>
      </c>
      <c r="AU184" s="3">
        <f t="shared" si="109"/>
        <v>1</v>
      </c>
      <c r="AV184" s="3" t="str">
        <f t="shared" si="110"/>
        <v>-</v>
      </c>
      <c r="AW184" s="3" t="str">
        <f t="shared" si="111"/>
        <v>-</v>
      </c>
      <c r="AX184" s="3">
        <f t="shared" si="112"/>
        <v>4</v>
      </c>
      <c r="AY184" s="3">
        <f t="shared" si="113"/>
        <v>5</v>
      </c>
      <c r="AZ184" s="3">
        <f t="shared" si="114"/>
        <v>1</v>
      </c>
      <c r="BA184" s="3">
        <f>IF(ISERROR(LEN(VLOOKUP(A184,Seqs!A:E,2,FALSE))-AL184),"-",LEN(VLOOKUP(A184,Seqs!A:E,2,FALSE))-AL184)</f>
        <v>21</v>
      </c>
      <c r="BB184" s="16">
        <f t="shared" si="115"/>
        <v>27</v>
      </c>
      <c r="BC184" s="9">
        <f t="shared" si="116"/>
        <v>20</v>
      </c>
      <c r="BD184" s="3">
        <f t="shared" si="117"/>
        <v>27</v>
      </c>
      <c r="BE184" s="3">
        <f t="shared" si="118"/>
        <v>41</v>
      </c>
      <c r="BF184" s="3">
        <f>AH184-AE184</f>
        <v>34</v>
      </c>
    </row>
    <row r="185" spans="1:58" s="3" customFormat="1" x14ac:dyDescent="0.2">
      <c r="A185" s="3" t="s">
        <v>304</v>
      </c>
      <c r="B185" s="3" t="str">
        <f>LOWER(VLOOKUP(A185,Xtal_Templ!A:B,2,FALSE))</f>
        <v>agtr1_human</v>
      </c>
      <c r="C185" s="3">
        <f>VLOOKUP($A185,'SegEnds_NonXtal_BW#'!$A:$Z,3,FALSE)+D185-50</f>
        <v>23</v>
      </c>
      <c r="D185" s="3">
        <v>45</v>
      </c>
      <c r="E185" s="3">
        <f>IF(ISERROR(VLOOKUP($A185,'SegEnds_NonXtal_BW#'!$A:$Z,4,FALSE)+VLOOKUP($A185,A:AL,4,FALSE)-50),"-",(VLOOKUP($A185,'SegEnds_NonXtal_BW#'!$A:$Z,4,FALSE)+VLOOKUP($A185,A:AL,4,FALSE)-50))</f>
        <v>55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59</v>
      </c>
      <c r="J185" s="3">
        <v>72</v>
      </c>
      <c r="K185" s="3">
        <f>VLOOKUP($A185,'SegEnds_NonXtal_BW#'!$A:$Z,8,FALSE)+VLOOKUP($A185,A:AL,10,FALSE)-50</f>
        <v>88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94</v>
      </c>
      <c r="P185" s="3">
        <v>120</v>
      </c>
      <c r="Q185" s="3">
        <f>VLOOKUP($A185,'SegEnds_NonXtal_BW#'!$A:$Z,12,FALSE)+VLOOKUP($A185,A:AL,16,FALSE)-50</f>
        <v>126</v>
      </c>
      <c r="R185" s="3">
        <f>IF(ISERROR(VLOOKUP($A185,'SegEnds_NonXtal_BW#'!$A:$Z,13,FALSE)+VLOOKUP($A185,A:AL,19,FALSE)-50),"-",VLOOKUP($A185,'SegEnds_NonXtal_BW#'!$A:$Z,13,FALSE)+VLOOKUP($A185,A:AL,19,FALSE)-50)</f>
        <v>127</v>
      </c>
      <c r="S185" s="3">
        <v>127</v>
      </c>
      <c r="T185" s="100">
        <f>IF(ISERROR(VLOOKUP($A185,'SegEnds_NonXtal_BW#'!$A:$Z,14,FALSE)+VLOOKUP($A185,A:AL,19,FALSE)-50),"-",(VLOOKUP($A185,'SegEnds_NonXtal_BW#'!$A:$Z,14,FALSE)+VLOOKUP($A185,A:AL,19,FALSE)-50))</f>
        <v>134</v>
      </c>
      <c r="U185" s="9">
        <f>IF(ISERROR(VLOOKUP($A185,'SegEnds_NonXtal_BW#'!$A:$Z,15,FALSE)+VLOOKUP($A185,A:AL,22,FALSE)-50),"-",VLOOKUP($A185,'SegEnds_NonXtal_BW#'!$A:$Z,15,FALSE)+VLOOKUP($A185,A:AL,22,FALSE)-50)</f>
        <v>135</v>
      </c>
      <c r="V185" s="3">
        <v>147</v>
      </c>
      <c r="W185" s="3">
        <f>IF(ISERROR(VLOOKUP($A185,'SegEnds_NonXtal_BW#'!$A:$Z,16,FALSE)+VLOOKUP($A185,A:AL,22,FALSE)-50),"-",(VLOOKUP($A185,'SegEnds_NonXtal_BW#'!$A:$Z,16,FALSE)+VLOOKUP($A185,A:AL,22,FALSE)-50))</f>
        <v>161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173</v>
      </c>
      <c r="AB185" s="3">
        <v>189</v>
      </c>
      <c r="AC185" s="3">
        <f>IF(ISERROR((VLOOKUP($A185,'SegEnds_NonXtal_BW#'!$A:$Z,20,FALSE)+VLOOKUP($A185,A:AL,28,FALSE)-50)),"-",(VLOOKUP($A185,'SegEnds_NonXtal_BW#'!$A:$Z,20,FALSE)+VLOOKUP($A185,A:AL,28,FALSE)-50))</f>
        <v>207</v>
      </c>
      <c r="AD185" s="3">
        <f>IF(ISERROR(VLOOKUP($A185,'SegEnds_NonXtal_BW#'!$A:$Z,21,FALSE)+VLOOKUP($A185,A:AL,31,FALSE)-50),"-",(VLOOKUP($A185,'SegEnds_NonXtal_BW#'!$A:$Z,21,FALSE)+VLOOKUP($A185,A:AL,31,FALSE)-50))</f>
        <v>211</v>
      </c>
      <c r="AE185" s="3">
        <v>231</v>
      </c>
      <c r="AF185" s="3">
        <f>IF(ISERROR((VLOOKUP($A185,'SegEnds_NonXtal_BW#'!$A:$Z,22,FALSE)+VLOOKUP($A185,A:AL,31,FALSE)-50)),"-",(VLOOKUP($A185,'SegEnds_NonXtal_BW#'!$A:$Z,22,FALSE)+VLOOKUP($A185,A:AL,31,FALSE)-50))</f>
        <v>242</v>
      </c>
      <c r="AG185" s="3">
        <f>IF(ISERROR(VLOOKUP($A185,'SegEnds_NonXtal_BW#'!$A:$Z,23,FALSE)+VLOOKUP($A185,A:AL,34,FALSE)-50),"-",(VLOOKUP($A185,'SegEnds_NonXtal_BW#'!$A:$Z,23,FALSE)+VLOOKUP($A185,A:AL,34,FALSE)-50))</f>
        <v>244</v>
      </c>
      <c r="AH185" s="3">
        <v>269</v>
      </c>
      <c r="AI185" s="3">
        <f>IF(ISERROR((VLOOKUP($A185,'SegEnds_NonXtal_BW#'!$A:$Z,24,FALSE)+VLOOKUP($A185,A:AL,34,FALSE)-50)),"-",(VLOOKUP($A185,'SegEnds_NonXtal_BW#'!$A:$Z,24,FALSE)+VLOOKUP($A185,A:AL,34,FALSE)-50))</f>
        <v>275</v>
      </c>
      <c r="AJ185" s="3">
        <f>IF(ISERROR(VLOOKUP($A185,'SegEnds_NonXtal_BW#'!$A:$Z,25,FALSE)+VLOOKUP($A185,A:AL,37,FALSE)-50),"-",(VLOOKUP($A185,'SegEnds_NonXtal_BW#'!$A:$Z,25,FALSE)+VLOOKUP($A185,A:AL,37,FALSE)-50))</f>
        <v>276</v>
      </c>
      <c r="AK185" s="3">
        <v>279</v>
      </c>
      <c r="AL185" s="3">
        <f>IF(ISERROR((VLOOKUP($A185,'SegEnds_NonXtal_BW#'!$A:$Z,26,FALSE)+VLOOKUP($A185,A:AL,37,FALSE)-50)),"-",(VLOOKUP($A185,'SegEnds_NonXtal_BW#'!$A:$Z,26,FALSE)+VLOOKUP($A185,A:AL,37,FALSE)-50))</f>
        <v>290</v>
      </c>
      <c r="AM185" s="28" t="str">
        <f>VLOOKUP(A185,Classification!A:B,2,FALSE)</f>
        <v>A</v>
      </c>
      <c r="AN185" s="28" t="b">
        <f t="shared" si="121"/>
        <v>1</v>
      </c>
      <c r="AO185" s="3" t="str">
        <f>IF(ISERROR(MATCH(A185,'SegEnds_Xtal_Prot#'!B:B, 0)), "NoXtal", "Xtal")</f>
        <v>NoXtal</v>
      </c>
      <c r="AP185" s="3" t="str">
        <f t="shared" si="104"/>
        <v>-</v>
      </c>
      <c r="AQ185" s="3" t="str">
        <f t="shared" si="105"/>
        <v>-</v>
      </c>
      <c r="AR185" s="3" t="str">
        <f t="shared" si="106"/>
        <v>-</v>
      </c>
      <c r="AS185" s="3" t="str">
        <f t="shared" si="107"/>
        <v>-</v>
      </c>
      <c r="AT185" s="3">
        <f t="shared" si="108"/>
        <v>1</v>
      </c>
      <c r="AU185" s="3">
        <f t="shared" si="109"/>
        <v>1</v>
      </c>
      <c r="AV185" s="3" t="str">
        <f t="shared" si="110"/>
        <v>-</v>
      </c>
      <c r="AW185" s="3" t="str">
        <f t="shared" si="111"/>
        <v>-</v>
      </c>
      <c r="AX185" s="3">
        <f t="shared" si="112"/>
        <v>4</v>
      </c>
      <c r="AY185" s="3">
        <f t="shared" si="113"/>
        <v>2</v>
      </c>
      <c r="AZ185" s="3">
        <f t="shared" si="114"/>
        <v>1</v>
      </c>
      <c r="BA185" s="3">
        <f>IF(ISERROR(LEN(VLOOKUP(A185,Seqs!A:E,2,FALSE))-AL185),"-",LEN(VLOOKUP(A185,Seqs!A:E,2,FALSE))-AL185)</f>
        <v>32</v>
      </c>
      <c r="BB185" s="16">
        <f t="shared" si="115"/>
        <v>27</v>
      </c>
      <c r="BC185" s="9">
        <f t="shared" si="116"/>
        <v>20</v>
      </c>
      <c r="BD185" s="3">
        <f t="shared" si="117"/>
        <v>27</v>
      </c>
      <c r="BE185" s="3">
        <f t="shared" si="118"/>
        <v>42</v>
      </c>
    </row>
    <row r="186" spans="1:58" s="3" customFormat="1" x14ac:dyDescent="0.2">
      <c r="A186" s="3" t="s">
        <v>305</v>
      </c>
      <c r="B186" s="3" t="str">
        <f>LOWER(VLOOKUP(A186,Xtal_Templ!A:B,2,FALSE))</f>
        <v>c5ar1_human</v>
      </c>
      <c r="C186" s="3">
        <f>VLOOKUP($A186,'SegEnds_NonXtal_BW#'!$A:$Z,3,FALSE)+D186-50</f>
        <v>27</v>
      </c>
      <c r="D186" s="3">
        <v>48</v>
      </c>
      <c r="E186" s="3">
        <f>IF(ISERROR(VLOOKUP($A186,'SegEnds_NonXtal_BW#'!$A:$Z,4,FALSE)+VLOOKUP($A186,A:AL,4,FALSE)-50),"-",(VLOOKUP($A186,'SegEnds_NonXtal_BW#'!$A:$Z,4,FALSE)+VLOOKUP($A186,A:AL,4,FALSE)-50))</f>
        <v>58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62</v>
      </c>
      <c r="J186" s="3">
        <v>75</v>
      </c>
      <c r="K186" s="3">
        <f>VLOOKUP($A186,'SegEnds_NonXtal_BW#'!$A:$Z,8,FALSE)+VLOOKUP($A186,A:AL,10,FALSE)-50</f>
        <v>92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98</v>
      </c>
      <c r="P186" s="3">
        <v>127</v>
      </c>
      <c r="Q186" s="3">
        <f>VLOOKUP($A186,'SegEnds_NonXtal_BW#'!$A:$Z,12,FALSE)+VLOOKUP($A186,A:AL,16,FALSE)-50</f>
        <v>133</v>
      </c>
      <c r="R186" s="3">
        <f>IF(ISERROR(VLOOKUP($A186,'SegEnds_NonXtal_BW#'!$A:$Z,13,FALSE)+VLOOKUP($A186,A:AL,19,FALSE)-50),"-",VLOOKUP($A186,'SegEnds_NonXtal_BW#'!$A:$Z,13,FALSE)+VLOOKUP($A186,A:AL,19,FALSE)-50)</f>
        <v>134</v>
      </c>
      <c r="S186" s="3">
        <v>134</v>
      </c>
      <c r="T186" s="100">
        <f>IF(ISERROR(VLOOKUP($A186,'SegEnds_NonXtal_BW#'!$A:$Z,14,FALSE)+VLOOKUP($A186,A:AL,19,FALSE)-50),"-",(VLOOKUP($A186,'SegEnds_NonXtal_BW#'!$A:$Z,14,FALSE)+VLOOKUP($A186,A:AL,19,FALSE)-50))</f>
        <v>141</v>
      </c>
      <c r="U186" s="9">
        <f>IF(ISERROR(VLOOKUP($A186,'SegEnds_NonXtal_BW#'!$A:$Z,15,FALSE)+VLOOKUP($A186,A:AL,22,FALSE)-50),"-",VLOOKUP($A186,'SegEnds_NonXtal_BW#'!$A:$Z,15,FALSE)+VLOOKUP($A186,A:AL,22,FALSE)-50)</f>
        <v>142</v>
      </c>
      <c r="V186" s="3">
        <v>154</v>
      </c>
      <c r="W186" s="3">
        <f>IF(ISERROR(VLOOKUP($A186,'SegEnds_NonXtal_BW#'!$A:$Z,16,FALSE)+VLOOKUP($A186,A:AL,22,FALSE)-50),"-",(VLOOKUP($A186,'SegEnds_NonXtal_BW#'!$A:$Z,16,FALSE)+VLOOKUP($A186,A:AL,22,FALSE)-50))</f>
        <v>168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177</v>
      </c>
      <c r="AB186" s="3">
        <v>196</v>
      </c>
      <c r="AC186" s="3">
        <f>IF(ISERROR((VLOOKUP($A186,'SegEnds_NonXtal_BW#'!$A:$Z,20,FALSE)+VLOOKUP($A186,A:AL,28,FALSE)-50)),"-",(VLOOKUP($A186,'SegEnds_NonXtal_BW#'!$A:$Z,20,FALSE)+VLOOKUP($A186,A:AL,28,FALSE)-50))</f>
        <v>214</v>
      </c>
      <c r="AD186" s="3">
        <f>IF(ISERROR(VLOOKUP($A186,'SegEnds_NonXtal_BW#'!$A:$Z,21,FALSE)+VLOOKUP($A186,A:AL,31,FALSE)-50),"-",(VLOOKUP($A186,'SegEnds_NonXtal_BW#'!$A:$Z,21,FALSE)+VLOOKUP($A186,A:AL,31,FALSE)-50))</f>
        <v>218</v>
      </c>
      <c r="AE186" s="3">
        <v>238</v>
      </c>
      <c r="AF186" s="3">
        <f>IF(ISERROR((VLOOKUP($A186,'SegEnds_NonXtal_BW#'!$A:$Z,22,FALSE)+VLOOKUP($A186,A:AL,31,FALSE)-50)),"-",(VLOOKUP($A186,'SegEnds_NonXtal_BW#'!$A:$Z,22,FALSE)+VLOOKUP($A186,A:AL,31,FALSE)-50))</f>
        <v>249</v>
      </c>
      <c r="AG186" s="3">
        <f>IF(ISERROR(VLOOKUP($A186,'SegEnds_NonXtal_BW#'!$A:$Z,23,FALSE)+VLOOKUP($A186,A:AL,34,FALSE)-50),"-",(VLOOKUP($A186,'SegEnds_NonXtal_BW#'!$A:$Z,23,FALSE)+VLOOKUP($A186,A:AL,34,FALSE)-50))</f>
        <v>251</v>
      </c>
      <c r="AH186" s="3">
        <v>276</v>
      </c>
      <c r="AI186" s="3">
        <f>IF(ISERROR((VLOOKUP($A186,'SegEnds_NonXtal_BW#'!$A:$Z,24,FALSE)+VLOOKUP($A186,A:AL,34,FALSE)-50)),"-",(VLOOKUP($A186,'SegEnds_NonXtal_BW#'!$A:$Z,24,FALSE)+VLOOKUP($A186,A:AL,34,FALSE)-50))</f>
        <v>282</v>
      </c>
      <c r="AJ186" s="3">
        <f>IF(ISERROR(VLOOKUP($A186,'SegEnds_NonXtal_BW#'!$A:$Z,25,FALSE)+VLOOKUP($A186,A:AL,37,FALSE)-50),"-",(VLOOKUP($A186,'SegEnds_NonXtal_BW#'!$A:$Z,25,FALSE)+VLOOKUP($A186,A:AL,37,FALSE)-50))</f>
        <v>283</v>
      </c>
      <c r="AK186" s="3">
        <v>286</v>
      </c>
      <c r="AL186" s="3">
        <f>IF(ISERROR((VLOOKUP($A186,'SegEnds_NonXtal_BW#'!$A:$Z,26,FALSE)+VLOOKUP($A186,A:AL,37,FALSE)-50)),"-",(VLOOKUP($A186,'SegEnds_NonXtal_BW#'!$A:$Z,26,FALSE)+VLOOKUP($A186,A:AL,37,FALSE)-50))</f>
        <v>292</v>
      </c>
      <c r="AM186" s="28" t="str">
        <f>VLOOKUP(A186,Classification!A:B,2,FALSE)</f>
        <v>A</v>
      </c>
      <c r="AN186" s="28" t="b">
        <f t="shared" si="121"/>
        <v>1</v>
      </c>
      <c r="AO186" s="3" t="str">
        <f>IF(ISERROR(MATCH(A186,'SegEnds_Xtal_Prot#'!B:B, 0)), "NoXtal", "Xtal")</f>
        <v>NoXtal</v>
      </c>
      <c r="AP186" s="3" t="str">
        <f t="shared" si="104"/>
        <v>-</v>
      </c>
      <c r="AQ186" s="3" t="str">
        <f t="shared" si="105"/>
        <v>-</v>
      </c>
      <c r="AR186" s="3" t="str">
        <f t="shared" si="106"/>
        <v>-</v>
      </c>
      <c r="AS186" s="3" t="str">
        <f t="shared" si="107"/>
        <v>-</v>
      </c>
      <c r="AT186" s="3">
        <f t="shared" si="108"/>
        <v>1</v>
      </c>
      <c r="AU186" s="3">
        <f t="shared" si="109"/>
        <v>1</v>
      </c>
      <c r="AV186" s="3" t="str">
        <f t="shared" si="110"/>
        <v>-</v>
      </c>
      <c r="AW186" s="3" t="str">
        <f t="shared" si="111"/>
        <v>-</v>
      </c>
      <c r="AX186" s="3">
        <f t="shared" si="112"/>
        <v>4</v>
      </c>
      <c r="AY186" s="3">
        <f t="shared" si="113"/>
        <v>2</v>
      </c>
      <c r="AZ186" s="3">
        <f t="shared" si="114"/>
        <v>1</v>
      </c>
      <c r="BA186" s="3">
        <f>IF(ISERROR(LEN(VLOOKUP(A186,Seqs!A:E,2,FALSE))-AL186),"-",LEN(VLOOKUP(A186,Seqs!A:E,2,FALSE))-AL186)</f>
        <v>38</v>
      </c>
      <c r="BB186" s="16">
        <f t="shared" si="115"/>
        <v>27</v>
      </c>
      <c r="BC186" s="9">
        <f t="shared" si="116"/>
        <v>20</v>
      </c>
      <c r="BD186" s="3">
        <f t="shared" si="117"/>
        <v>27</v>
      </c>
      <c r="BE186" s="3">
        <f t="shared" si="118"/>
        <v>42</v>
      </c>
    </row>
    <row r="187" spans="1:58" s="3" customFormat="1" x14ac:dyDescent="0.2">
      <c r="A187" s="3" t="s">
        <v>306</v>
      </c>
      <c r="B187" s="3" t="str">
        <f>LOWER(VLOOKUP(A187,Xtal_Templ!A:B,2,FALSE))</f>
        <v>pd2r2_human</v>
      </c>
      <c r="C187" s="3">
        <f>VLOOKUP($A187,'SegEnds_NonXtal_BW#'!$A:$Z,3,FALSE)+D187-50</f>
        <v>27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165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246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293</v>
      </c>
      <c r="AM187" s="28" t="str">
        <f>VLOOKUP(A187,Classification!A:B,2,FALSE)</f>
        <v>A</v>
      </c>
      <c r="AN187" s="28" t="b">
        <f t="shared" si="121"/>
        <v>1</v>
      </c>
      <c r="AO187" s="3" t="str">
        <f>IF(ISERROR(MATCH(A187,'SegEnds_Xtal_Prot#'!B:B, 0)), "NoXtal", "Xtal")</f>
        <v>NoXtal</v>
      </c>
      <c r="AP187" s="3" t="str">
        <f t="shared" si="104"/>
        <v>-</v>
      </c>
      <c r="AQ187" s="3" t="str">
        <f t="shared" si="105"/>
        <v>-</v>
      </c>
      <c r="AR187" s="3" t="str">
        <f t="shared" si="106"/>
        <v>-</v>
      </c>
      <c r="AS187" s="3" t="str">
        <f t="shared" si="107"/>
        <v>-</v>
      </c>
      <c r="AT187" s="3">
        <f t="shared" si="108"/>
        <v>1</v>
      </c>
      <c r="AU187" s="3">
        <f t="shared" si="109"/>
        <v>1</v>
      </c>
      <c r="AV187" s="3" t="str">
        <f t="shared" si="110"/>
        <v>-</v>
      </c>
      <c r="AW187" s="3" t="str">
        <f t="shared" si="111"/>
        <v>-</v>
      </c>
      <c r="AX187" s="3">
        <f t="shared" si="112"/>
        <v>4</v>
      </c>
      <c r="AY187" s="3">
        <f t="shared" si="113"/>
        <v>4</v>
      </c>
      <c r="AZ187" s="3">
        <f t="shared" si="114"/>
        <v>1</v>
      </c>
      <c r="BA187" s="3">
        <f>IF(ISERROR(LEN(VLOOKUP(A187,Seqs!A:E,2,FALSE))-AL187),"-",LEN(VLOOKUP(A187,Seqs!A:E,2,FALSE))-AL187)</f>
        <v>29</v>
      </c>
      <c r="BB187" s="16">
        <f t="shared" si="115"/>
        <v>27</v>
      </c>
      <c r="BC187" s="9">
        <f t="shared" si="116"/>
        <v>20</v>
      </c>
      <c r="BD187" s="3">
        <f t="shared" si="117"/>
        <v>27</v>
      </c>
      <c r="BE187" s="3">
        <f t="shared" si="118"/>
        <v>42</v>
      </c>
    </row>
    <row r="188" spans="1:58" s="3" customFormat="1" x14ac:dyDescent="0.2">
      <c r="A188" s="3" t="s">
        <v>307</v>
      </c>
      <c r="B188" s="3" t="str">
        <f>LOWER(VLOOKUP(A188,Xtal_Templ!A:B,2,FALSE))</f>
        <v>par2_human</v>
      </c>
      <c r="C188" s="3">
        <f>VLOOKUP($A188,'SegEnds_NonXtal_BW#'!$A:$Z,3,FALSE)+D188-50</f>
        <v>23</v>
      </c>
      <c r="D188" s="3">
        <v>45</v>
      </c>
      <c r="E188" s="3">
        <f>IF(ISERROR(VLOOKUP($A188,'SegEnds_NonXtal_BW#'!$A:$Z,4,FALSE)+VLOOKUP($A188,A:AL,4,FALSE)-50),"-",(VLOOKUP($A188,'SegEnds_NonXtal_BW#'!$A:$Z,4,FALSE)+VLOOKUP($A188,A:AL,4,FALSE)-50))</f>
        <v>55</v>
      </c>
      <c r="F188" s="3" t="str">
        <f>IF(ISERROR(VLOOKUP($A188,'SegEnds_NonXtal_BW#'!$A:$Z,5,FALSE)+VLOOKUP($A188,A:AL,7,FALSE)-50),"-",(VLOOKUP($A188,'SegEnds_NonXtal_BW#'!$A:$Z,5,FALSE)+VLOOKUP($A188,A:AL,7,FALSE)-50))</f>
        <v>-</v>
      </c>
      <c r="G188" s="3" t="s">
        <v>23</v>
      </c>
      <c r="H188" s="3" t="str">
        <f>IF(ISERROR(VLOOKUP($A188,'SegEnds_NonXtal_BW#'!$A:$Z,6,FALSE)+VLOOKUP($A188,A:AL,7,FALSE)-50),"-",(VLOOKUP($A188,'SegEnds_NonXtal_BW#'!$A:$Z,6,FALSE)+VLOOKUP($A188,A:AL,7,FALSE)-50))</f>
        <v>-</v>
      </c>
      <c r="I188" s="3">
        <f>VLOOKUP($A188,'SegEnds_NonXtal_BW#'!$A:$Z,7,FALSE)+J188-50</f>
        <v>59</v>
      </c>
      <c r="J188" s="3">
        <v>72</v>
      </c>
      <c r="K188" s="3">
        <f>VLOOKUP($A188,'SegEnds_NonXtal_BW#'!$A:$Z,8,FALSE)+VLOOKUP($A188,A:AL,10,FALSE)-50</f>
        <v>88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94</v>
      </c>
      <c r="P188" s="3">
        <v>120</v>
      </c>
      <c r="Q188" s="3">
        <f>VLOOKUP($A188,'SegEnds_NonXtal_BW#'!$A:$Z,12,FALSE)+VLOOKUP($A188,A:AL,16,FALSE)-50</f>
        <v>126</v>
      </c>
      <c r="R188" s="3">
        <f>IF(ISERROR(VLOOKUP($A188,'SegEnds_NonXtal_BW#'!$A:$Z,13,FALSE)+VLOOKUP($A188,A:AL,19,FALSE)-50),"-",VLOOKUP($A188,'SegEnds_NonXtal_BW#'!$A:$Z,13,FALSE)+VLOOKUP($A188,A:AL,19,FALSE)-50)</f>
        <v>127</v>
      </c>
      <c r="S188" s="3">
        <v>127</v>
      </c>
      <c r="T188" s="100">
        <f>IF(ISERROR(VLOOKUP($A188,'SegEnds_NonXtal_BW#'!$A:$Z,14,FALSE)+VLOOKUP($A188,A:AL,19,FALSE)-50),"-",(VLOOKUP($A188,'SegEnds_NonXtal_BW#'!$A:$Z,14,FALSE)+VLOOKUP($A188,A:AL,19,FALSE)-50))</f>
        <v>134</v>
      </c>
      <c r="U188" s="9">
        <f>IF(ISERROR(VLOOKUP($A188,'SegEnds_NonXtal_BW#'!$A:$Z,15,FALSE)+VLOOKUP($A188,A:AL,22,FALSE)-50),"-",VLOOKUP($A188,'SegEnds_NonXtal_BW#'!$A:$Z,15,FALSE)+VLOOKUP($A188,A:AL,22,FALSE)-50)</f>
        <v>135</v>
      </c>
      <c r="V188" s="3">
        <v>147</v>
      </c>
      <c r="W188" s="3">
        <f>IF(ISERROR(VLOOKUP($A188,'SegEnds_NonXtal_BW#'!$A:$Z,16,FALSE)+VLOOKUP($A188,A:AL,22,FALSE)-50),"-",(VLOOKUP($A188,'SegEnds_NonXtal_BW#'!$A:$Z,16,FALSE)+VLOOKUP($A188,A:AL,22,FALSE)-50))</f>
        <v>159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170</v>
      </c>
      <c r="AB188" s="3">
        <v>189</v>
      </c>
      <c r="AC188" s="3">
        <f>IF(ISERROR((VLOOKUP($A188,'SegEnds_NonXtal_BW#'!$A:$Z,20,FALSE)+VLOOKUP($A188,A:AL,28,FALSE)-50)),"-",(VLOOKUP($A188,'SegEnds_NonXtal_BW#'!$A:$Z,20,FALSE)+VLOOKUP($A188,A:AL,28,FALSE)-50))</f>
        <v>207</v>
      </c>
      <c r="AD188" s="3">
        <f>IF(ISERROR(VLOOKUP($A188,'SegEnds_NonXtal_BW#'!$A:$Z,21,FALSE)+VLOOKUP($A188,A:AL,31,FALSE)-50),"-",(VLOOKUP($A188,'SegEnds_NonXtal_BW#'!$A:$Z,21,FALSE)+VLOOKUP($A188,A:AL,31,FALSE)-50))</f>
        <v>211</v>
      </c>
      <c r="AE188" s="3">
        <v>231</v>
      </c>
      <c r="AF188" s="3">
        <f>IF(ISERROR((VLOOKUP($A188,'SegEnds_NonXtal_BW#'!$A:$Z,22,FALSE)+VLOOKUP($A188,A:AL,31,FALSE)-50)),"-",(VLOOKUP($A188,'SegEnds_NonXtal_BW#'!$A:$Z,22,FALSE)+VLOOKUP($A188,A:AL,31,FALSE)-50))</f>
        <v>242</v>
      </c>
      <c r="AG188" s="3">
        <f>IF(ISERROR(VLOOKUP($A188,'SegEnds_NonXtal_BW#'!$A:$Z,23,FALSE)+VLOOKUP($A188,A:AL,34,FALSE)-50),"-",(VLOOKUP($A188,'SegEnds_NonXtal_BW#'!$A:$Z,23,FALSE)+VLOOKUP($A188,A:AL,34,FALSE)-50))</f>
        <v>250</v>
      </c>
      <c r="AH188" s="3">
        <v>269</v>
      </c>
      <c r="AI188" s="3">
        <f>IF(ISERROR((VLOOKUP($A188,'SegEnds_NonXtal_BW#'!$A:$Z,24,FALSE)+VLOOKUP($A188,A:AL,34,FALSE)-50)),"-",(VLOOKUP($A188,'SegEnds_NonXtal_BW#'!$A:$Z,24,FALSE)+VLOOKUP($A188,A:AL,34,FALSE)-50))</f>
        <v>275</v>
      </c>
      <c r="AJ188" s="3">
        <f>IF(ISERROR(VLOOKUP($A188,'SegEnds_NonXtal_BW#'!$A:$Z,25,FALSE)+VLOOKUP($A188,A:AL,37,FALSE)-50),"-",(VLOOKUP($A188,'SegEnds_NonXtal_BW#'!$A:$Z,25,FALSE)+VLOOKUP($A188,A:AL,37,FALSE)-50))</f>
        <v>276</v>
      </c>
      <c r="AK188" s="3">
        <v>279</v>
      </c>
      <c r="AL188" s="3">
        <f>IF(ISERROR((VLOOKUP($A188,'SegEnds_NonXtal_BW#'!$A:$Z,26,FALSE)+VLOOKUP($A188,A:AL,37,FALSE)-50)),"-",(VLOOKUP($A188,'SegEnds_NonXtal_BW#'!$A:$Z,26,FALSE)+VLOOKUP($A188,A:AL,37,FALSE)-50))</f>
        <v>290</v>
      </c>
      <c r="AM188" s="28" t="str">
        <f>VLOOKUP(A188,Classification!A:B,2,FALSE)</f>
        <v>A</v>
      </c>
      <c r="AN188" s="28" t="b">
        <f t="shared" si="121"/>
        <v>1</v>
      </c>
      <c r="AO188" s="3" t="str">
        <f>IF(ISERROR(MATCH(A188,'SegEnds_Xtal_Prot#'!B:B, 0)), "NoXtal", "Xtal")</f>
        <v>NoXtal</v>
      </c>
      <c r="AP188" s="3" t="str">
        <f t="shared" si="104"/>
        <v>-</v>
      </c>
      <c r="AQ188" s="3" t="str">
        <f t="shared" si="105"/>
        <v>-</v>
      </c>
      <c r="AR188" s="3" t="str">
        <f t="shared" si="106"/>
        <v>-</v>
      </c>
      <c r="AS188" s="3" t="str">
        <f t="shared" si="107"/>
        <v>-</v>
      </c>
      <c r="AT188" s="3">
        <f t="shared" si="108"/>
        <v>1</v>
      </c>
      <c r="AU188" s="3">
        <f t="shared" si="109"/>
        <v>1</v>
      </c>
      <c r="AV188" s="3" t="str">
        <f t="shared" si="110"/>
        <v>-</v>
      </c>
      <c r="AW188" s="3" t="str">
        <f t="shared" si="111"/>
        <v>-</v>
      </c>
      <c r="AX188" s="3">
        <f t="shared" si="112"/>
        <v>4</v>
      </c>
      <c r="AY188" s="3">
        <f t="shared" si="113"/>
        <v>8</v>
      </c>
      <c r="AZ188" s="3">
        <f t="shared" si="114"/>
        <v>1</v>
      </c>
      <c r="BA188" s="3">
        <f>IF(ISERROR(LEN(VLOOKUP(A188,Seqs!A:E,2,FALSE))-AL188),"-",LEN(VLOOKUP(A188,Seqs!A:E,2,FALSE))-AL188)</f>
        <v>32</v>
      </c>
      <c r="BB188" s="16">
        <f t="shared" si="115"/>
        <v>27</v>
      </c>
      <c r="BC188" s="9">
        <f t="shared" si="116"/>
        <v>20</v>
      </c>
      <c r="BD188" s="3">
        <f t="shared" si="117"/>
        <v>27</v>
      </c>
      <c r="BE188" s="3">
        <f t="shared" si="118"/>
        <v>42</v>
      </c>
    </row>
    <row r="189" spans="1:58" s="3" customFormat="1" x14ac:dyDescent="0.2">
      <c r="A189" s="3" t="s">
        <v>308</v>
      </c>
      <c r="B189" s="3" t="str">
        <f>LOWER(VLOOKUP(A189,Xtal_Templ!A:B,2,FALSE))</f>
        <v>mc4r_human</v>
      </c>
      <c r="C189" s="3">
        <f>VLOOKUP($A189,'SegEnds_NonXtal_BW#'!$A:$Z,3,FALSE)+D189-50</f>
        <v>41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ref="F189:F196" si="135">G189-2</f>
        <v>67</v>
      </c>
      <c r="G189" s="3">
        <v>69</v>
      </c>
      <c r="H189" s="3">
        <f t="shared" ref="H189:I196" si="136">G189+1</f>
        <v>70</v>
      </c>
      <c r="I189" s="3">
        <f t="shared" si="136"/>
        <v>71</v>
      </c>
      <c r="J189" s="3">
        <v>84</v>
      </c>
      <c r="K189" s="3">
        <f>VLOOKUP($A189,'SegEnds_NonXtal_BW#'!$A:$Z,8,FALSE)+VLOOKUP($A189,A:AL,10,FALSE)-50</f>
        <v>101</v>
      </c>
      <c r="L189" s="3" t="str">
        <f>IF(ISERROR(VLOOKUP($A189,'SegEnds_NonXtal_BW#'!$A:$Z,9,FALSE)+VLOOKUP($A189,A:AL,13,FALSE)-50),"-",(VLOOKUP($A189,'SegEnds_NonXtal_BW#'!$A:$Z,9,FALSE)+VLOOKUP($A189,A:AL,13,FALSE)-50))</f>
        <v>-</v>
      </c>
      <c r="M189" s="3" t="s">
        <v>23</v>
      </c>
      <c r="N189" s="3" t="str">
        <f>IF(ISERROR(VLOOKUP($A189,'SegEnds_NonXtal_BW#'!$A:$Z,10,FALSE)+VLOOKUP($A189,A:AL,13,FALSE)-50),"-",(VLOOKUP($A189,'SegEnds_NonXtal_BW#'!$A:$Z,10,FALSE)+VLOOKUP($A189,A:AL,13,FALSE)-50))</f>
        <v>-</v>
      </c>
      <c r="O189" s="3">
        <f>VLOOKUP($A189,'SegEnds_NonXtal_BW#'!$A:$Z,11,FALSE)+VLOOKUP($A189,A:AL,16,FALSE)-50</f>
        <v>110</v>
      </c>
      <c r="P189" s="3">
        <v>142</v>
      </c>
      <c r="Q189" s="3">
        <f>VLOOKUP($A189,'SegEnds_NonXtal_BW#'!$A:$Z,12,FALSE)+VLOOKUP($A189,A:AL,16,FALSE)-50</f>
        <v>148</v>
      </c>
      <c r="R189" s="3">
        <f>S189</f>
        <v>149</v>
      </c>
      <c r="S189" s="3">
        <v>149</v>
      </c>
      <c r="T189" s="100">
        <f>S189+7</f>
        <v>156</v>
      </c>
      <c r="U189" s="9">
        <f>IF(ISERROR(VLOOKUP($A189,'SegEnds_NonXtal_BW#'!$A:$Z,15,FALSE)+VLOOKUP($A189,A:AL,22,FALSE)-50),"-",VLOOKUP($A189,'SegEnds_NonXtal_BW#'!$A:$Z,15,FALSE)+VLOOKUP($A189,A:AL,22,FALSE)-50)</f>
        <v>157</v>
      </c>
      <c r="V189" s="3">
        <v>169</v>
      </c>
      <c r="W189" s="3">
        <f>IF(ISERROR(VLOOKUP($A189,'SegEnds_NonXtal_BW#'!$A:$Z,16,FALSE)+VLOOKUP($A189,A:AL,22,FALSE)-50),"-",(VLOOKUP($A189,'SegEnds_NonXtal_BW#'!$A:$Z,16,FALSE)+VLOOKUP($A189,A:AL,22,FALSE)-50))</f>
        <v>183</v>
      </c>
      <c r="X189" s="3" t="str">
        <f>IF(ISERROR(VLOOKUP($A189,'SegEnds_NonXtal_BW#'!$A:$Z,17,FALSE)+VLOOKUP($A189,A:AL,25,FALSE)-50),"-",(VLOOKUP($A189,'SegEnds_NonXtal_BW#'!$A:$Z,17,FALSE)+VLOOKUP($A189,A:AL,25,FALSE)-50))</f>
        <v>-</v>
      </c>
      <c r="Y189" s="3" t="s">
        <v>23</v>
      </c>
      <c r="Z189" s="3" t="str">
        <f>IF(ISERROR(VLOOKUP($A189,'SegEnds_NonXtal_BW#'!$A:$Z,18,FALSE)+VLOOKUP($A189,A:AL,25,FALSE)-50),"-",(VLOOKUP($A189,'SegEnds_NonXtal_BW#'!$A:$Z,18,FALSE)+VLOOKUP($A189,A:AL,25,FALSE)-50))</f>
        <v>-</v>
      </c>
      <c r="AA189" s="3">
        <f>IF(ISERROR(VLOOKUP($A189,'SegEnds_NonXtal_BW#'!$A:$Z,19,FALSE)+VLOOKUP($A189,A:AL,28,FALSE)-50),"-",(VLOOKUP($A189,'SegEnds_NonXtal_BW#'!$A:$Z,19,FALSE)+VLOOKUP($A189,A:AL,28,FALSE)-50))</f>
        <v>185</v>
      </c>
      <c r="AB189" s="9">
        <v>199</v>
      </c>
      <c r="AC189" s="3">
        <f>IF(ISERROR((VLOOKUP($A189,'SegEnds_NonXtal_BW#'!$A:$Z,20,FALSE)+VLOOKUP($A189,A:AL,28,FALSE)-50)),"-",(VLOOKUP($A189,'SegEnds_NonXtal_BW#'!$A:$Z,20,FALSE)+VLOOKUP($A189,A:AL,28,FALSE)-50))</f>
        <v>222</v>
      </c>
      <c r="AD189" s="3">
        <f>IF(ISERROR(VLOOKUP($A189,'SegEnds_NonXtal_BW#'!$A:$Z,21,FALSE)+VLOOKUP($A189,A:AL,31,FALSE)-50),"-",(VLOOKUP($A189,'SegEnds_NonXtal_BW#'!$A:$Z,21,FALSE)+VLOOKUP($A189,A:AL,31,FALSE)-50))</f>
        <v>233</v>
      </c>
      <c r="AE189" s="3">
        <v>256</v>
      </c>
      <c r="AF189" s="3">
        <f>IF(ISERROR((VLOOKUP($A189,'SegEnds_NonXtal_BW#'!$A:$Z,22,FALSE)+VLOOKUP($A189,A:AL,31,FALSE)-50)),"-",(VLOOKUP($A189,'SegEnds_NonXtal_BW#'!$A:$Z,22,FALSE)+VLOOKUP($A189,A:AL,31,FALSE)-50))</f>
        <v>267</v>
      </c>
      <c r="AG189" s="3">
        <f>IF(ISERROR(VLOOKUP($A189,'SegEnds_NonXtal_BW#'!$A:$Z,23,FALSE)+VLOOKUP($A189,A:AL,34,FALSE)-50),"-",(VLOOKUP($A189,'SegEnds_NonXtal_BW#'!$A:$Z,23,FALSE)+VLOOKUP($A189,A:AL,34,FALSE)-50))</f>
        <v>279</v>
      </c>
      <c r="AH189" s="3">
        <v>295</v>
      </c>
      <c r="AI189" s="3">
        <f>IF(ISERROR((VLOOKUP($A189,'SegEnds_NonXtal_BW#'!$A:$Z,24,FALSE)+VLOOKUP($A189,A:AL,34,FALSE)-50)),"-",(VLOOKUP($A189,'SegEnds_NonXtal_BW#'!$A:$Z,24,FALSE)+VLOOKUP($A189,A:AL,34,FALSE)-50))</f>
        <v>301</v>
      </c>
      <c r="AJ189" s="3">
        <f>IF(ISERROR(VLOOKUP($A189,'SegEnds_NonXtal_BW#'!$A:$Z,25,FALSE)+VLOOKUP($A189,A:AL,37,FALSE)-50),"-",(VLOOKUP($A189,'SegEnds_NonXtal_BW#'!$A:$Z,25,FALSE)+VLOOKUP($A189,A:AL,37,FALSE)-50))</f>
        <v>302</v>
      </c>
      <c r="AK189" s="3">
        <v>305</v>
      </c>
      <c r="AL189" s="3">
        <f>IF(ISERROR((VLOOKUP($A189,'SegEnds_NonXtal_BW#'!$A:$Z,26,FALSE)+VLOOKUP($A189,A:AL,37,FALSE)-50)),"-",(VLOOKUP($A189,'SegEnds_NonXtal_BW#'!$A:$Z,26,FALSE)+VLOOKUP($A189,A:AL,37,FALSE)-50))</f>
        <v>316</v>
      </c>
      <c r="AM189" s="28" t="str">
        <f>VLOOKUP(A189,Classification!A:B,2,FALSE)</f>
        <v>A</v>
      </c>
      <c r="AN189" s="28" t="b">
        <f>AND(IF(Y189="-",IF(AA189-W189&gt;1,TRUE,FALSE),TRUE),IF(M189="-",IF(O189-K189&gt;3,TRUE,FALSE),TRUE),IF(AG189-AF189&gt;1,TRUE,FALSE),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    <v>1</v>
      </c>
      <c r="AO189" s="3" t="str">
        <f>IF(ISERROR(MATCH(A189,'SegEnds_Xtal_Prot#'!B:B, 0)), "NoXtal", "Xtal")</f>
        <v>NoXtal</v>
      </c>
      <c r="AP189" s="3">
        <f t="shared" si="104"/>
        <v>1</v>
      </c>
      <c r="AQ189" s="3">
        <f t="shared" si="105"/>
        <v>1</v>
      </c>
      <c r="AR189" s="3" t="str">
        <f t="shared" si="106"/>
        <v>-</v>
      </c>
      <c r="AS189" s="3" t="str">
        <f t="shared" si="107"/>
        <v>-</v>
      </c>
      <c r="AT189" s="3">
        <f t="shared" si="108"/>
        <v>1</v>
      </c>
      <c r="AU189" s="3">
        <f t="shared" si="109"/>
        <v>1</v>
      </c>
      <c r="AV189" s="3" t="str">
        <f t="shared" si="110"/>
        <v>-</v>
      </c>
      <c r="AW189" s="3" t="str">
        <f t="shared" si="111"/>
        <v>-</v>
      </c>
      <c r="AX189" s="3">
        <f t="shared" si="112"/>
        <v>11</v>
      </c>
      <c r="AY189" s="3">
        <f t="shared" si="113"/>
        <v>12</v>
      </c>
      <c r="AZ189" s="3">
        <f t="shared" si="114"/>
        <v>1</v>
      </c>
      <c r="BA189" s="3">
        <f>IF(ISERROR(LEN(VLOOKUP(A189,Seqs!A:E,2,FALSE))-AL189),"-",LEN(VLOOKUP(A189,Seqs!A:E,2,FALSE))-AL189)</f>
        <v>1</v>
      </c>
      <c r="BB189" s="16">
        <f t="shared" si="115"/>
        <v>28</v>
      </c>
      <c r="BC189" s="9">
        <f t="shared" si="116"/>
        <v>20</v>
      </c>
      <c r="BD189" s="3">
        <f t="shared" si="117"/>
        <v>28</v>
      </c>
      <c r="BE189" s="3">
        <f t="shared" si="118"/>
        <v>57</v>
      </c>
      <c r="BF189" s="3">
        <f>AH189-AE189</f>
        <v>39</v>
      </c>
    </row>
    <row r="190" spans="1:58" s="3" customFormat="1" x14ac:dyDescent="0.2">
      <c r="A190" s="3" t="s">
        <v>309</v>
      </c>
      <c r="B190" s="3" t="str">
        <f>LOWER(VLOOKUP(A190,Xtal_Templ!A:B,2,FALSE))</f>
        <v>ghsr_human</v>
      </c>
      <c r="C190" s="3">
        <f>VLOOKUP($A190,'SegEnds_NonXtal_BW#'!$A:$Z,3,FALSE)+D190-50</f>
        <v>34</v>
      </c>
      <c r="D190" s="3">
        <v>56</v>
      </c>
      <c r="E190" s="3">
        <f>IF(ISERROR(VLOOKUP($A190,'SegEnds_NonXtal_BW#'!$A:$Z,4,FALSE)+VLOOKUP($A190,A:AL,4,FALSE)-50),"-",(VLOOKUP($A190,'SegEnds_NonXtal_BW#'!$A:$Z,4,FALSE)+VLOOKUP($A190,A:AL,4,FALSE)-50))</f>
        <v>66</v>
      </c>
      <c r="F190" s="3">
        <f t="shared" si="135"/>
        <v>67</v>
      </c>
      <c r="G190" s="3">
        <v>69</v>
      </c>
      <c r="H190" s="3">
        <f t="shared" si="136"/>
        <v>70</v>
      </c>
      <c r="I190" s="3">
        <f t="shared" si="136"/>
        <v>71</v>
      </c>
      <c r="J190" s="3">
        <v>84</v>
      </c>
      <c r="K190" s="3">
        <f>VLOOKUP($A190,'SegEnds_NonXtal_BW#'!$A:$Z,8,FALSE)+VLOOKUP($A190,A:AL,10,FALSE)-50</f>
        <v>101</v>
      </c>
      <c r="L190" s="3">
        <f t="shared" ref="L190:L197" si="137">M190-1</f>
        <v>103</v>
      </c>
      <c r="M190" s="3">
        <v>104</v>
      </c>
      <c r="N190" s="3">
        <f t="shared" ref="N190:N197" si="138">M190+2</f>
        <v>106</v>
      </c>
      <c r="O190" s="3">
        <f t="shared" ref="O190:O215" si="139">N190+1</f>
        <v>107</v>
      </c>
      <c r="P190" s="3">
        <v>136</v>
      </c>
      <c r="Q190" s="3">
        <f>VLOOKUP($A190,'SegEnds_NonXtal_BW#'!$A:$Z,12,FALSE)+VLOOKUP($A190,A:AL,16,FALSE)-50</f>
        <v>142</v>
      </c>
      <c r="R190" s="3">
        <f>IF(ISERROR(VLOOKUP($A190,'SegEnds_NonXtal_BW#'!$A:$Z,13,FALSE)+VLOOKUP($A190,A:AL,19,FALSE)-50),"-",VLOOKUP($A190,'SegEnds_NonXtal_BW#'!$A:$Z,13,FALSE)+VLOOKUP($A190,A:AL,19,FALSE)-50)</f>
        <v>143</v>
      </c>
      <c r="S190" s="3">
        <v>143</v>
      </c>
      <c r="T190" s="100">
        <f>IF(ISERROR(VLOOKUP($A190,'SegEnds_NonXtal_BW#'!$A:$Z,14,FALSE)+VLOOKUP($A190,A:AL,19,FALSE)-50),"-",(VLOOKUP($A190,'SegEnds_NonXtal_BW#'!$A:$Z,14,FALSE)+VLOOKUP($A190,A:AL,19,FALSE)-50))</f>
        <v>150</v>
      </c>
      <c r="U190" s="9">
        <f>IF(ISERROR(VLOOKUP($A190,'SegEnds_NonXtal_BW#'!$A:$Z,15,FALSE)+VLOOKUP($A190,A:AL,22,FALSE)-50),"-",VLOOKUP($A190,'SegEnds_NonXtal_BW#'!$A:$Z,15,FALSE)+VLOOKUP($A190,A:AL,22,FALSE)-50)</f>
        <v>151</v>
      </c>
      <c r="V190" s="3">
        <v>163</v>
      </c>
      <c r="W190" s="3">
        <f>IF(ISERROR(VLOOKUP($A190,'SegEnds_NonXtal_BW#'!$A:$Z,16,FALSE)+VLOOKUP($A190,A:AL,22,FALSE)-50),"-",(VLOOKUP($A190,'SegEnds_NonXtal_BW#'!$A:$Z,16,FALSE)+VLOOKUP($A190,A:AL,22,FALSE)-50))</f>
        <v>177</v>
      </c>
      <c r="X190" s="3">
        <f>IF(ISERROR(VLOOKUP($A190,'SegEnds_NonXtal_BW#'!$A:$Z,17,FALSE)+VLOOKUP($A190,A:AL,25,FALSE)-50),"-",(VLOOKUP($A190,'SegEnds_NonXtal_BW#'!$A:$Z,17,FALSE)+VLOOKUP($A190,A:AL,25,FALSE)-50))</f>
        <v>235</v>
      </c>
      <c r="Y190" s="3">
        <v>235</v>
      </c>
      <c r="Z190" s="3">
        <f t="shared" ref="Z190:Z226" si="140">Y190+2</f>
        <v>237</v>
      </c>
      <c r="AA190" s="3">
        <f>IF(ISERROR(VLOOKUP($A190,'SegEnds_NonXtal_BW#'!$A:$Z,19,FALSE)+VLOOKUP($A190,A:AL,28,FALSE)-50),"-",(VLOOKUP($A190,'SegEnds_NonXtal_BW#'!$A:$Z,19,FALSE)+VLOOKUP($A190,A:AL,28,FALSE)-50))</f>
        <v>243</v>
      </c>
      <c r="AB190" s="3">
        <v>259</v>
      </c>
      <c r="AC190" s="3">
        <f>IF(ISERROR((VLOOKUP($A190,'SegEnds_NonXtal_BW#'!$A:$Z,20,FALSE)+VLOOKUP($A190,A:AL,28,FALSE)-50)),"-",(VLOOKUP($A190,'SegEnds_NonXtal_BW#'!$A:$Z,20,FALSE)+VLOOKUP($A190,A:AL,28,FALSE)-50))</f>
        <v>281</v>
      </c>
      <c r="AD190" s="3">
        <f>IF(ISERROR(VLOOKUP($A190,'SegEnds_NonXtal_BW#'!$A:$Z,21,FALSE)+VLOOKUP($A190,A:AL,31,FALSE)-50),"-",(VLOOKUP($A190,'SegEnds_NonXtal_BW#'!$A:$Z,21,FALSE)+VLOOKUP($A190,A:AL,31,FALSE)-50))</f>
        <v>287</v>
      </c>
      <c r="AE190" s="3">
        <v>313</v>
      </c>
      <c r="AF190" s="3">
        <f>IF(ISERROR((VLOOKUP($A190,'SegEnds_NonXtal_BW#'!$A:$Z,22,FALSE)+VLOOKUP($A190,A:AL,31,FALSE)-50)),"-",(VLOOKUP($A190,'SegEnds_NonXtal_BW#'!$A:$Z,22,FALSE)+VLOOKUP($A190,A:AL,31,FALSE)-50))</f>
        <v>324</v>
      </c>
      <c r="AG190" s="3">
        <f>IF(ISERROR(VLOOKUP($A190,'SegEnds_NonXtal_BW#'!$A:$Z,23,FALSE)+VLOOKUP($A190,A:AL,34,FALSE)-50),"-",(VLOOKUP($A190,'SegEnds_NonXtal_BW#'!$A:$Z,23,FALSE)+VLOOKUP($A190,A:AL,34,FALSE)-50))</f>
        <v>330</v>
      </c>
      <c r="AH190" s="3">
        <v>352</v>
      </c>
      <c r="AI190" s="3">
        <f>IF(ISERROR((VLOOKUP($A190,'SegEnds_NonXtal_BW#'!$A:$Z,24,FALSE)+VLOOKUP($A190,A:AL,34,FALSE)-50)),"-",(VLOOKUP($A190,'SegEnds_NonXtal_BW#'!$A:$Z,24,FALSE)+VLOOKUP($A190,A:AL,34,FALSE)-50))</f>
        <v>358</v>
      </c>
      <c r="AJ190" s="3">
        <f>IF(ISERROR(VLOOKUP($A190,'SegEnds_NonXtal_BW#'!$A:$Z,25,FALSE)+VLOOKUP($A190,A:AL,37,FALSE)-50),"-",(VLOOKUP($A190,'SegEnds_NonXtal_BW#'!$A:$Z,25,FALSE)+VLOOKUP($A190,A:AL,37,FALSE)-50))</f>
        <v>359</v>
      </c>
      <c r="AK190" s="3">
        <v>362</v>
      </c>
      <c r="AL190" s="3">
        <f>IF(ISERROR((VLOOKUP($A190,'SegEnds_NonXtal_BW#'!$A:$Z,26,FALSE)+VLOOKUP($A190,A:AL,37,FALSE)-50)),"-",(VLOOKUP($A190,'SegEnds_NonXtal_BW#'!$A:$Z,26,FALSE)+VLOOKUP($A190,A:AL,37,FALSE)-50))</f>
        <v>374</v>
      </c>
      <c r="AM190" s="28" t="str">
        <f>VLOOKUP(A190,Classification!A:B,2,FALSE)</f>
        <v>A</v>
      </c>
      <c r="AN190" s="28" t="b">
        <f t="shared" si="121"/>
        <v>1</v>
      </c>
      <c r="AO190" s="3" t="str">
        <f>IF(ISERROR(MATCH(A190,'SegEnds_Xtal_Prot#'!B:B, 0)), "NoXtal", "Xtal")</f>
        <v>NoXtal</v>
      </c>
      <c r="AP190" s="3">
        <f t="shared" si="104"/>
        <v>1</v>
      </c>
      <c r="AQ190" s="3">
        <f t="shared" si="105"/>
        <v>1</v>
      </c>
      <c r="AR190" s="3">
        <f t="shared" si="106"/>
        <v>2</v>
      </c>
      <c r="AS190" s="3">
        <f t="shared" si="107"/>
        <v>1</v>
      </c>
      <c r="AT190" s="3">
        <f t="shared" si="108"/>
        <v>1</v>
      </c>
      <c r="AU190" s="3">
        <f t="shared" si="109"/>
        <v>1</v>
      </c>
      <c r="AV190" s="3">
        <f t="shared" si="110"/>
        <v>58</v>
      </c>
      <c r="AW190" s="3">
        <f t="shared" si="111"/>
        <v>6</v>
      </c>
      <c r="AX190" s="3">
        <f t="shared" si="112"/>
        <v>6</v>
      </c>
      <c r="AY190" s="3">
        <f t="shared" si="113"/>
        <v>6</v>
      </c>
      <c r="AZ190" s="3">
        <f t="shared" si="114"/>
        <v>1</v>
      </c>
      <c r="BA190" s="3">
        <f>IF(ISERROR(LEN(VLOOKUP(A190,Seqs!A:E,2,FALSE))-AL190),"-",LEN(VLOOKUP(A190,Seqs!A:E,2,FALSE))-AL190)</f>
        <v>38</v>
      </c>
      <c r="BB190" s="16">
        <f t="shared" si="115"/>
        <v>28</v>
      </c>
      <c r="BC190" s="9">
        <f t="shared" si="116"/>
        <v>20</v>
      </c>
      <c r="BD190" s="3">
        <f t="shared" si="117"/>
        <v>28</v>
      </c>
      <c r="BE190" s="3">
        <f t="shared" si="118"/>
        <v>54</v>
      </c>
    </row>
    <row r="191" spans="1:58" s="3" customFormat="1" x14ac:dyDescent="0.2">
      <c r="A191" s="3" t="s">
        <v>310</v>
      </c>
      <c r="B191" s="3" t="str">
        <f>LOWER(VLOOKUP(A191,Xtal_Templ!A:B,2,FALSE))</f>
        <v>mtr1a_human</v>
      </c>
      <c r="C191" s="3">
        <f>VLOOKUP($A191,'SegEnds_NonXtal_BW#'!$A:$Z,3,FALSE)+D191-50</f>
        <v>23</v>
      </c>
      <c r="D191" s="3">
        <v>45</v>
      </c>
      <c r="E191" s="3">
        <f>IF(ISERROR(VLOOKUP($A191,'SegEnds_NonXtal_BW#'!$A:$Z,4,FALSE)+VLOOKUP($A191,A:AL,4,FALSE)-50),"-",(VLOOKUP($A191,'SegEnds_NonXtal_BW#'!$A:$Z,4,FALSE)+VLOOKUP($A191,A:AL,4,FALSE)-50))</f>
        <v>55</v>
      </c>
      <c r="F191" s="3">
        <f t="shared" si="135"/>
        <v>56</v>
      </c>
      <c r="G191" s="3">
        <v>58</v>
      </c>
      <c r="H191" s="3">
        <f t="shared" si="136"/>
        <v>59</v>
      </c>
      <c r="I191" s="3">
        <f t="shared" si="136"/>
        <v>60</v>
      </c>
      <c r="J191" s="3">
        <v>73</v>
      </c>
      <c r="K191" s="3">
        <f>VLOOKUP($A191,'SegEnds_NonXtal_BW#'!$A:$Z,8,FALSE)+VLOOKUP($A191,A:AL,10,FALSE)-50</f>
        <v>91</v>
      </c>
      <c r="L191" s="3">
        <f t="shared" si="137"/>
        <v>92</v>
      </c>
      <c r="M191" s="3">
        <v>93</v>
      </c>
      <c r="N191" s="3">
        <f t="shared" si="138"/>
        <v>95</v>
      </c>
      <c r="O191" s="3">
        <f t="shared" si="139"/>
        <v>96</v>
      </c>
      <c r="P191" s="3">
        <v>125</v>
      </c>
      <c r="Q191" s="3">
        <f>VLOOKUP($A191,'SegEnds_NonXtal_BW#'!$A:$Z,12,FALSE)+VLOOKUP($A191,A:AL,16,FALSE)-50</f>
        <v>131</v>
      </c>
      <c r="R191" s="3">
        <f>IF(ISERROR(VLOOKUP($A191,'SegEnds_NonXtal_BW#'!$A:$Z,13,FALSE)+VLOOKUP($A191,A:AL,19,FALSE)-50),"-",VLOOKUP($A191,'SegEnds_NonXtal_BW#'!$A:$Z,13,FALSE)+VLOOKUP($A191,A:AL,19,FALSE)-50)</f>
        <v>132</v>
      </c>
      <c r="S191" s="3">
        <v>132</v>
      </c>
      <c r="T191" s="100">
        <f>IF(ISERROR(VLOOKUP($A191,'SegEnds_NonXtal_BW#'!$A:$Z,14,FALSE)+VLOOKUP($A191,A:AL,19,FALSE)-50),"-",(VLOOKUP($A191,'SegEnds_NonXtal_BW#'!$A:$Z,14,FALSE)+VLOOKUP($A191,A:AL,19,FALSE)-50))</f>
        <v>139</v>
      </c>
      <c r="U191" s="9">
        <f>IF(ISERROR(VLOOKUP($A191,'SegEnds_NonXtal_BW#'!$A:$Z,15,FALSE)+VLOOKUP($A191,A:AL,22,FALSE)-50),"-",VLOOKUP($A191,'SegEnds_NonXtal_BW#'!$A:$Z,15,FALSE)+VLOOKUP($A191,A:AL,22,FALSE)-50)</f>
        <v>140</v>
      </c>
      <c r="V191" s="3">
        <v>152</v>
      </c>
      <c r="W191" s="3">
        <f>IF(ISERROR(VLOOKUP($A191,'SegEnds_NonXtal_BW#'!$A:$Z,16,FALSE)+VLOOKUP($A191,A:AL,22,FALSE)-50),"-",(VLOOKUP($A191,'SegEnds_NonXtal_BW#'!$A:$Z,16,FALSE)+VLOOKUP($A191,A:AL,22,FALSE)-50))</f>
        <v>166</v>
      </c>
      <c r="X191" s="3">
        <f>IF(ISERROR(VLOOKUP($A191,'SegEnds_NonXtal_BW#'!$A:$Z,17,FALSE)+VLOOKUP($A191,A:AL,25,FALSE)-50),"-",(VLOOKUP($A191,'SegEnds_NonXtal_BW#'!$A:$Z,17,FALSE)+VLOOKUP($A191,A:AL,25,FALSE)-50))</f>
        <v>177</v>
      </c>
      <c r="Y191" s="3">
        <v>177</v>
      </c>
      <c r="Z191" s="3">
        <f t="shared" si="140"/>
        <v>179</v>
      </c>
      <c r="AA191" s="3">
        <f>IF(ISERROR(VLOOKUP($A191,'SegEnds_NonXtal_BW#'!$A:$Z,19,FALSE)+VLOOKUP($A191,A:AL,28,FALSE)-50),"-",(VLOOKUP($A191,'SegEnds_NonXtal_BW#'!$A:$Z,19,FALSE)+VLOOKUP($A191,A:AL,28,FALSE)-50))</f>
        <v>184</v>
      </c>
      <c r="AB191" s="3">
        <v>199</v>
      </c>
      <c r="AC191" s="3">
        <f>IF(ISERROR((VLOOKUP($A191,'SegEnds_NonXtal_BW#'!$A:$Z,20,FALSE)+VLOOKUP($A191,A:AL,28,FALSE)-50)),"-",(VLOOKUP($A191,'SegEnds_NonXtal_BW#'!$A:$Z,20,FALSE)+VLOOKUP($A191,A:AL,28,FALSE)-50))</f>
        <v>221</v>
      </c>
      <c r="AD191" s="3">
        <f>IF(ISERROR(VLOOKUP($A191,'SegEnds_NonXtal_BW#'!$A:$Z,21,FALSE)+VLOOKUP($A191,A:AL,31,FALSE)-50),"-",(VLOOKUP($A191,'SegEnds_NonXtal_BW#'!$A:$Z,21,FALSE)+VLOOKUP($A191,A:AL,31,FALSE)-50))</f>
        <v>227</v>
      </c>
      <c r="AE191" s="3">
        <v>253</v>
      </c>
      <c r="AF191" s="3">
        <f>IF(ISERROR((VLOOKUP($A191,'SegEnds_NonXtal_BW#'!$A:$Z,22,FALSE)+VLOOKUP($A191,A:AL,31,FALSE)-50)),"-",(VLOOKUP($A191,'SegEnds_NonXtal_BW#'!$A:$Z,22,FALSE)+VLOOKUP($A191,A:AL,31,FALSE)-50))</f>
        <v>264</v>
      </c>
      <c r="AG191" s="3">
        <f>IF(ISERROR(VLOOKUP($A191,'SegEnds_NonXtal_BW#'!$A:$Z,23,FALSE)+VLOOKUP($A191,A:AL,34,FALSE)-50),"-",(VLOOKUP($A191,'SegEnds_NonXtal_BW#'!$A:$Z,23,FALSE)+VLOOKUP($A191,A:AL,34,FALSE)-50))</f>
        <v>273</v>
      </c>
      <c r="AH191" s="3">
        <v>292</v>
      </c>
      <c r="AI191" s="3">
        <f>IF(ISERROR((VLOOKUP($A191,'SegEnds_NonXtal_BW#'!$A:$Z,24,FALSE)+VLOOKUP($A191,A:AL,34,FALSE)-50)),"-",(VLOOKUP($A191,'SegEnds_NonXtal_BW#'!$A:$Z,24,FALSE)+VLOOKUP($A191,A:AL,34,FALSE)-50))</f>
        <v>298</v>
      </c>
      <c r="AJ191" s="3">
        <f>IF(ISERROR(VLOOKUP($A191,'SegEnds_NonXtal_BW#'!$A:$Z,25,FALSE)+VLOOKUP($A191,A:AL,37,FALSE)-50),"-",(VLOOKUP($A191,'SegEnds_NonXtal_BW#'!$A:$Z,25,FALSE)+VLOOKUP($A191,A:AL,37,FALSE)-50))</f>
        <v>299</v>
      </c>
      <c r="AK191" s="3">
        <v>302</v>
      </c>
      <c r="AL191" s="3">
        <f>IF(ISERROR((VLOOKUP($A191,'SegEnds_NonXtal_BW#'!$A:$Z,26,FALSE)+VLOOKUP($A191,A:AL,37,FALSE)-50)),"-",(VLOOKUP($A191,'SegEnds_NonXtal_BW#'!$A:$Z,26,FALSE)+VLOOKUP($A191,A:AL,37,FALSE)-50))</f>
        <v>315</v>
      </c>
      <c r="AM191" s="28" t="str">
        <f>VLOOKUP(A191,Classification!A:B,2,FALSE)</f>
        <v>A</v>
      </c>
      <c r="AN191" s="28" t="b">
        <f t="shared" si="121"/>
        <v>1</v>
      </c>
      <c r="AO191" s="3" t="str">
        <f>IF(ISERROR(MATCH(A191,'SegEnds_Xtal_Prot#'!B:B, 0)), "NoXtal", "Xtal")</f>
        <v>Xtal</v>
      </c>
      <c r="AP191" s="3">
        <f t="shared" si="104"/>
        <v>1</v>
      </c>
      <c r="AQ191" s="3">
        <f t="shared" si="105"/>
        <v>1</v>
      </c>
      <c r="AR191" s="3">
        <f t="shared" si="106"/>
        <v>1</v>
      </c>
      <c r="AS191" s="3">
        <f t="shared" si="107"/>
        <v>1</v>
      </c>
      <c r="AT191" s="3">
        <f t="shared" si="108"/>
        <v>1</v>
      </c>
      <c r="AU191" s="3">
        <f t="shared" si="109"/>
        <v>1</v>
      </c>
      <c r="AV191" s="3">
        <f t="shared" si="110"/>
        <v>11</v>
      </c>
      <c r="AW191" s="3">
        <f t="shared" si="111"/>
        <v>5</v>
      </c>
      <c r="AX191" s="3">
        <f t="shared" si="112"/>
        <v>6</v>
      </c>
      <c r="AY191" s="3">
        <f t="shared" si="113"/>
        <v>9</v>
      </c>
      <c r="AZ191" s="3">
        <f t="shared" si="114"/>
        <v>1</v>
      </c>
      <c r="BA191" s="3">
        <f>IF(ISERROR(LEN(VLOOKUP(A191,Seqs!A:E,2,FALSE))-AL191),"-",LEN(VLOOKUP(A191,Seqs!A:E,2,FALSE))-AL191)</f>
        <v>35</v>
      </c>
      <c r="BB191" s="16">
        <f t="shared" si="115"/>
        <v>28</v>
      </c>
      <c r="BC191" s="9">
        <f t="shared" si="116"/>
        <v>20</v>
      </c>
      <c r="BD191" s="3">
        <f t="shared" si="117"/>
        <v>28</v>
      </c>
      <c r="BE191" s="3">
        <f t="shared" si="118"/>
        <v>54</v>
      </c>
    </row>
    <row r="192" spans="1:58" s="3" customFormat="1" x14ac:dyDescent="0.2">
      <c r="A192" s="3" t="s">
        <v>311</v>
      </c>
      <c r="B192" s="3" t="str">
        <f>LOWER(VLOOKUP(A192,Xtal_Templ!A:B,2,FALSE))</f>
        <v>mtr1b_human</v>
      </c>
      <c r="C192" s="3">
        <f>VLOOKUP($A192,'SegEnds_NonXtal_BW#'!$A:$Z,3,FALSE)+D192-50</f>
        <v>38</v>
      </c>
      <c r="D192" s="3">
        <v>58</v>
      </c>
      <c r="E192" s="3">
        <f>IF(ISERROR(VLOOKUP($A192,'SegEnds_NonXtal_BW#'!$A:$Z,4,FALSE)+VLOOKUP($A192,A:AL,4,FALSE)-50),"-",(VLOOKUP($A192,'SegEnds_NonXtal_BW#'!$A:$Z,4,FALSE)+VLOOKUP($A192,A:AL,4,FALSE)-50))</f>
        <v>68</v>
      </c>
      <c r="F192" s="3">
        <f t="shared" si="135"/>
        <v>69</v>
      </c>
      <c r="G192" s="3">
        <v>71</v>
      </c>
      <c r="H192" s="3">
        <f t="shared" si="136"/>
        <v>72</v>
      </c>
      <c r="I192" s="3">
        <f t="shared" si="136"/>
        <v>73</v>
      </c>
      <c r="J192" s="3">
        <v>86</v>
      </c>
      <c r="K192" s="3">
        <f>VLOOKUP($A192,'SegEnds_NonXtal_BW#'!$A:$Z,8,FALSE)+VLOOKUP($A192,A:AL,10,FALSE)-50</f>
        <v>104</v>
      </c>
      <c r="L192" s="3">
        <f t="shared" si="137"/>
        <v>105</v>
      </c>
      <c r="M192" s="3">
        <v>106</v>
      </c>
      <c r="N192" s="3">
        <f t="shared" si="138"/>
        <v>108</v>
      </c>
      <c r="O192" s="3">
        <f t="shared" si="139"/>
        <v>109</v>
      </c>
      <c r="P192" s="3">
        <v>138</v>
      </c>
      <c r="Q192" s="3">
        <f>VLOOKUP($A192,'SegEnds_NonXtal_BW#'!$A:$Z,12,FALSE)+VLOOKUP($A192,A:AL,16,FALSE)-50</f>
        <v>144</v>
      </c>
      <c r="R192" s="3">
        <f>IF(ISERROR(VLOOKUP($A192,'SegEnds_NonXtal_BW#'!$A:$Z,13,FALSE)+VLOOKUP($A192,A:AL,19,FALSE)-50),"-",VLOOKUP($A192,'SegEnds_NonXtal_BW#'!$A:$Z,13,FALSE)+VLOOKUP($A192,A:AL,19,FALSE)-50)</f>
        <v>145</v>
      </c>
      <c r="S192" s="3">
        <v>145</v>
      </c>
      <c r="T192" s="100">
        <f>IF(ISERROR(VLOOKUP($A192,'SegEnds_NonXtal_BW#'!$A:$Z,14,FALSE)+VLOOKUP($A192,A:AL,19,FALSE)-50),"-",(VLOOKUP($A192,'SegEnds_NonXtal_BW#'!$A:$Z,14,FALSE)+VLOOKUP($A192,A:AL,19,FALSE)-50))</f>
        <v>152</v>
      </c>
      <c r="U192" s="9">
        <f>IF(ISERROR(VLOOKUP($A192,'SegEnds_NonXtal_BW#'!$A:$Z,15,FALSE)+VLOOKUP($A192,A:AL,22,FALSE)-50),"-",VLOOKUP($A192,'SegEnds_NonXtal_BW#'!$A:$Z,15,FALSE)+VLOOKUP($A192,A:AL,22,FALSE)-50)</f>
        <v>153</v>
      </c>
      <c r="V192" s="3">
        <v>165</v>
      </c>
      <c r="W192" s="3">
        <f>IF(ISERROR(VLOOKUP($A192,'SegEnds_NonXtal_BW#'!$A:$Z,16,FALSE)+VLOOKUP($A192,A:AL,22,FALSE)-50),"-",(VLOOKUP($A192,'SegEnds_NonXtal_BW#'!$A:$Z,16,FALSE)+VLOOKUP($A192,A:AL,22,FALSE)-50))</f>
        <v>179</v>
      </c>
      <c r="X192" s="3">
        <f>IF(ISERROR(VLOOKUP($A192,'SegEnds_NonXtal_BW#'!$A:$Z,17,FALSE)+VLOOKUP($A192,A:AL,25,FALSE)-50),"-",(VLOOKUP($A192,'SegEnds_NonXtal_BW#'!$A:$Z,17,FALSE)+VLOOKUP($A192,A:AL,25,FALSE)-50))</f>
        <v>190</v>
      </c>
      <c r="Y192" s="3">
        <v>190</v>
      </c>
      <c r="Z192" s="3">
        <f t="shared" si="140"/>
        <v>192</v>
      </c>
      <c r="AA192" s="3">
        <f>IF(ISERROR(VLOOKUP($A192,'SegEnds_NonXtal_BW#'!$A:$Z,19,FALSE)+VLOOKUP($A192,A:AL,28,FALSE)-50),"-",(VLOOKUP($A192,'SegEnds_NonXtal_BW#'!$A:$Z,19,FALSE)+VLOOKUP($A192,A:AL,28,FALSE)-50))</f>
        <v>197</v>
      </c>
      <c r="AB192" s="3">
        <v>212</v>
      </c>
      <c r="AC192" s="3">
        <f>IF(ISERROR((VLOOKUP($A192,'SegEnds_NonXtal_BW#'!$A:$Z,20,FALSE)+VLOOKUP($A192,A:AL,28,FALSE)-50)),"-",(VLOOKUP($A192,'SegEnds_NonXtal_BW#'!$A:$Z,20,FALSE)+VLOOKUP($A192,A:AL,28,FALSE)-50))</f>
        <v>234</v>
      </c>
      <c r="AD192" s="3">
        <f>IF(ISERROR(VLOOKUP($A192,'SegEnds_NonXtal_BW#'!$A:$Z,21,FALSE)+VLOOKUP($A192,A:AL,31,FALSE)-50),"-",(VLOOKUP($A192,'SegEnds_NonXtal_BW#'!$A:$Z,21,FALSE)+VLOOKUP($A192,A:AL,31,FALSE)-50))</f>
        <v>240</v>
      </c>
      <c r="AE192" s="3">
        <v>266</v>
      </c>
      <c r="AF192" s="3">
        <f>IF(ISERROR((VLOOKUP($A192,'SegEnds_NonXtal_BW#'!$A:$Z,22,FALSE)+VLOOKUP($A192,A:AL,31,FALSE)-50)),"-",(VLOOKUP($A192,'SegEnds_NonXtal_BW#'!$A:$Z,22,FALSE)+VLOOKUP($A192,A:AL,31,FALSE)-50))</f>
        <v>277</v>
      </c>
      <c r="AG192" s="3">
        <f>IF(ISERROR(VLOOKUP($A192,'SegEnds_NonXtal_BW#'!$A:$Z,23,FALSE)+VLOOKUP($A192,A:AL,34,FALSE)-50),"-",(VLOOKUP($A192,'SegEnds_NonXtal_BW#'!$A:$Z,23,FALSE)+VLOOKUP($A192,A:AL,34,FALSE)-50))</f>
        <v>286</v>
      </c>
      <c r="AH192" s="3">
        <v>305</v>
      </c>
      <c r="AI192" s="3">
        <f>IF(ISERROR((VLOOKUP($A192,'SegEnds_NonXtal_BW#'!$A:$Z,24,FALSE)+VLOOKUP($A192,A:AL,34,FALSE)-50)),"-",(VLOOKUP($A192,'SegEnds_NonXtal_BW#'!$A:$Z,24,FALSE)+VLOOKUP($A192,A:AL,34,FALSE)-50))</f>
        <v>311</v>
      </c>
      <c r="AJ192" s="3">
        <f>IF(ISERROR(VLOOKUP($A192,'SegEnds_NonXtal_BW#'!$A:$Z,25,FALSE)+VLOOKUP($A192,A:AL,37,FALSE)-50),"-",(VLOOKUP($A192,'SegEnds_NonXtal_BW#'!$A:$Z,25,FALSE)+VLOOKUP($A192,A:AL,37,FALSE)-50))</f>
        <v>312</v>
      </c>
      <c r="AK192" s="3">
        <v>315</v>
      </c>
      <c r="AL192" s="3">
        <f>IF(ISERROR((VLOOKUP($A192,'SegEnds_NonXtal_BW#'!$A:$Z,26,FALSE)+VLOOKUP($A192,A:AL,37,FALSE)-50)),"-",(VLOOKUP($A192,'SegEnds_NonXtal_BW#'!$A:$Z,26,FALSE)+VLOOKUP($A192,A:AL,37,FALSE)-50))</f>
        <v>328</v>
      </c>
      <c r="AM192" s="28" t="str">
        <f>VLOOKUP(A192,Classification!A:B,2,FALSE)</f>
        <v>A</v>
      </c>
      <c r="AN192" s="28" t="b">
        <f t="shared" si="121"/>
        <v>1</v>
      </c>
      <c r="AO192" s="3" t="str">
        <f>IF(ISERROR(MATCH(A192,'SegEnds_Xtal_Prot#'!B:B, 0)), "NoXtal", "Xtal")</f>
        <v>Xtal</v>
      </c>
      <c r="AP192" s="3">
        <f t="shared" si="104"/>
        <v>1</v>
      </c>
      <c r="AQ192" s="3">
        <f t="shared" si="105"/>
        <v>1</v>
      </c>
      <c r="AR192" s="3">
        <f t="shared" si="106"/>
        <v>1</v>
      </c>
      <c r="AS192" s="3">
        <f t="shared" si="107"/>
        <v>1</v>
      </c>
      <c r="AT192" s="3">
        <f t="shared" si="108"/>
        <v>1</v>
      </c>
      <c r="AU192" s="3">
        <f t="shared" si="109"/>
        <v>1</v>
      </c>
      <c r="AV192" s="3">
        <f t="shared" si="110"/>
        <v>11</v>
      </c>
      <c r="AW192" s="3">
        <f t="shared" si="111"/>
        <v>5</v>
      </c>
      <c r="AX192" s="3">
        <f t="shared" si="112"/>
        <v>6</v>
      </c>
      <c r="AY192" s="3">
        <f t="shared" si="113"/>
        <v>9</v>
      </c>
      <c r="AZ192" s="3">
        <f t="shared" si="114"/>
        <v>1</v>
      </c>
      <c r="BA192" s="3">
        <f>IF(ISERROR(LEN(VLOOKUP(A192,Seqs!A:E,2,FALSE))-AL192),"-",LEN(VLOOKUP(A192,Seqs!A:E,2,FALSE))-AL192)</f>
        <v>34</v>
      </c>
      <c r="BB192" s="16">
        <f t="shared" si="115"/>
        <v>28</v>
      </c>
      <c r="BC192" s="9">
        <f t="shared" si="116"/>
        <v>20</v>
      </c>
      <c r="BD192" s="3">
        <f t="shared" si="117"/>
        <v>28</v>
      </c>
      <c r="BE192" s="3">
        <f t="shared" si="118"/>
        <v>54</v>
      </c>
    </row>
    <row r="193" spans="1:57" s="3" customFormat="1" x14ac:dyDescent="0.2">
      <c r="A193" s="3" t="s">
        <v>312</v>
      </c>
      <c r="B193" s="3" t="str">
        <f>LOWER(VLOOKUP(A193,Xtal_Templ!A:B,2,FALSE))</f>
        <v>mtr1a_human</v>
      </c>
      <c r="C193" s="3">
        <f>VLOOKUP($A193,'SegEnds_NonXtal_BW#'!$A:$Z,3,FALSE)+D193-50</f>
        <v>24</v>
      </c>
      <c r="D193" s="3">
        <v>46</v>
      </c>
      <c r="E193" s="3">
        <f>IF(ISERROR(VLOOKUP($A193,'SegEnds_NonXtal_BW#'!$A:$Z,4,FALSE)+VLOOKUP($A193,A:AL,4,FALSE)-50),"-",(VLOOKUP($A193,'SegEnds_NonXtal_BW#'!$A:$Z,4,FALSE)+VLOOKUP($A193,A:AL,4,FALSE)-50))</f>
        <v>56</v>
      </c>
      <c r="F193" s="3">
        <f t="shared" si="135"/>
        <v>57</v>
      </c>
      <c r="G193" s="3">
        <v>59</v>
      </c>
      <c r="H193" s="3">
        <f t="shared" si="136"/>
        <v>60</v>
      </c>
      <c r="I193" s="3">
        <f t="shared" si="136"/>
        <v>61</v>
      </c>
      <c r="J193" s="3">
        <v>74</v>
      </c>
      <c r="K193" s="3">
        <f>VLOOKUP($A193,'SegEnds_NonXtal_BW#'!$A:$Z,8,FALSE)+VLOOKUP($A193,A:AL,10,FALSE)-50</f>
        <v>92</v>
      </c>
      <c r="L193" s="3">
        <f t="shared" si="137"/>
        <v>93</v>
      </c>
      <c r="M193" s="3">
        <v>94</v>
      </c>
      <c r="N193" s="3">
        <f t="shared" si="138"/>
        <v>96</v>
      </c>
      <c r="O193" s="3">
        <f t="shared" si="139"/>
        <v>97</v>
      </c>
      <c r="P193" s="3">
        <v>126</v>
      </c>
      <c r="Q193" s="3">
        <f>VLOOKUP($A193,'SegEnds_NonXtal_BW#'!$A:$Z,12,FALSE)+VLOOKUP($A193,A:AL,16,FALSE)-50</f>
        <v>132</v>
      </c>
      <c r="R193" s="3">
        <f>IF(ISERROR(VLOOKUP($A193,'SegEnds_NonXtal_BW#'!$A:$Z,13,FALSE)+VLOOKUP($A193,A:AL,19,FALSE)-50),"-",VLOOKUP($A193,'SegEnds_NonXtal_BW#'!$A:$Z,13,FALSE)+VLOOKUP($A193,A:AL,19,FALSE)-50)</f>
        <v>133</v>
      </c>
      <c r="S193" s="3">
        <v>133</v>
      </c>
      <c r="T193" s="100">
        <f>IF(ISERROR(VLOOKUP($A193,'SegEnds_NonXtal_BW#'!$A:$Z,14,FALSE)+VLOOKUP($A193,A:AL,19,FALSE)-50),"-",(VLOOKUP($A193,'SegEnds_NonXtal_BW#'!$A:$Z,14,FALSE)+VLOOKUP($A193,A:AL,19,FALSE)-50))</f>
        <v>140</v>
      </c>
      <c r="U193" s="9">
        <f>IF(ISERROR(VLOOKUP($A193,'SegEnds_NonXtal_BW#'!$A:$Z,15,FALSE)+VLOOKUP($A193,A:AL,22,FALSE)-50),"-",VLOOKUP($A193,'SegEnds_NonXtal_BW#'!$A:$Z,15,FALSE)+VLOOKUP($A193,A:AL,22,FALSE)-50)</f>
        <v>141</v>
      </c>
      <c r="V193" s="3">
        <v>153</v>
      </c>
      <c r="W193" s="3">
        <f>IF(ISERROR(VLOOKUP($A193,'SegEnds_NonXtal_BW#'!$A:$Z,16,FALSE)+VLOOKUP($A193,A:AL,22,FALSE)-50),"-",(VLOOKUP($A193,'SegEnds_NonXtal_BW#'!$A:$Z,16,FALSE)+VLOOKUP($A193,A:AL,22,FALSE)-50))</f>
        <v>167</v>
      </c>
      <c r="X193" s="3">
        <f>IF(ISERROR(VLOOKUP($A193,'SegEnds_NonXtal_BW#'!$A:$Z,17,FALSE)+VLOOKUP($A193,A:AL,25,FALSE)-50),"-",(VLOOKUP($A193,'SegEnds_NonXtal_BW#'!$A:$Z,17,FALSE)+VLOOKUP($A193,A:AL,25,FALSE)-50))</f>
        <v>178</v>
      </c>
      <c r="Y193" s="3">
        <v>178</v>
      </c>
      <c r="Z193" s="3">
        <f t="shared" si="140"/>
        <v>180</v>
      </c>
      <c r="AA193" s="3">
        <f>IF(ISERROR(VLOOKUP($A193,'SegEnds_NonXtal_BW#'!$A:$Z,19,FALSE)+VLOOKUP($A193,A:AL,28,FALSE)-50),"-",(VLOOKUP($A193,'SegEnds_NonXtal_BW#'!$A:$Z,19,FALSE)+VLOOKUP($A193,A:AL,28,FALSE)-50))</f>
        <v>185</v>
      </c>
      <c r="AB193" s="3">
        <v>200</v>
      </c>
      <c r="AC193" s="3">
        <f>IF(ISERROR((VLOOKUP($A193,'SegEnds_NonXtal_BW#'!$A:$Z,20,FALSE)+VLOOKUP($A193,A:AL,28,FALSE)-50)),"-",(VLOOKUP($A193,'SegEnds_NonXtal_BW#'!$A:$Z,20,FALSE)+VLOOKUP($A193,A:AL,28,FALSE)-50))</f>
        <v>222</v>
      </c>
      <c r="AD193" s="3">
        <f>IF(ISERROR(VLOOKUP($A193,'SegEnds_NonXtal_BW#'!$A:$Z,21,FALSE)+VLOOKUP($A193,A:AL,31,FALSE)-50),"-",(VLOOKUP($A193,'SegEnds_NonXtal_BW#'!$A:$Z,21,FALSE)+VLOOKUP($A193,A:AL,31,FALSE)-50))</f>
        <v>225</v>
      </c>
      <c r="AE193" s="3">
        <v>252</v>
      </c>
      <c r="AF193" s="3">
        <f>IF(ISERROR((VLOOKUP($A193,'SegEnds_NonXtal_BW#'!$A:$Z,22,FALSE)+VLOOKUP($A193,A:AL,31,FALSE)-50)),"-",(VLOOKUP($A193,'SegEnds_NonXtal_BW#'!$A:$Z,22,FALSE)+VLOOKUP($A193,A:AL,31,FALSE)-50))</f>
        <v>263</v>
      </c>
      <c r="AG193" s="3">
        <f>IF(ISERROR(VLOOKUP($A193,'SegEnds_NonXtal_BW#'!$A:$Z,23,FALSE)+VLOOKUP($A193,A:AL,34,FALSE)-50),"-",(VLOOKUP($A193,'SegEnds_NonXtal_BW#'!$A:$Z,23,FALSE)+VLOOKUP($A193,A:AL,34,FALSE)-50))</f>
        <v>272</v>
      </c>
      <c r="AH193" s="3">
        <v>291</v>
      </c>
      <c r="AI193" s="3">
        <f>IF(ISERROR((VLOOKUP($A193,'SegEnds_NonXtal_BW#'!$A:$Z,24,FALSE)+VLOOKUP($A193,A:AL,34,FALSE)-50)),"-",(VLOOKUP($A193,'SegEnds_NonXtal_BW#'!$A:$Z,24,FALSE)+VLOOKUP($A193,A:AL,34,FALSE)-50))</f>
        <v>297</v>
      </c>
      <c r="AJ193" s="3">
        <f>IF(ISERROR(VLOOKUP($A193,'SegEnds_NonXtal_BW#'!$A:$Z,25,FALSE)+VLOOKUP($A193,A:AL,37,FALSE)-50),"-",(VLOOKUP($A193,'SegEnds_NonXtal_BW#'!$A:$Z,25,FALSE)+VLOOKUP($A193,A:AL,37,FALSE)-50))</f>
        <v>298</v>
      </c>
      <c r="AK193" s="3">
        <v>301</v>
      </c>
      <c r="AL193" s="3">
        <f>IF(ISERROR((VLOOKUP($A193,'SegEnds_NonXtal_BW#'!$A:$Z,26,FALSE)+VLOOKUP($A193,A:AL,37,FALSE)-50)),"-",(VLOOKUP($A193,'SegEnds_NonXtal_BW#'!$A:$Z,26,FALSE)+VLOOKUP($A193,A:AL,37,FALSE)-50))</f>
        <v>314</v>
      </c>
      <c r="AM193" s="28" t="str">
        <f>VLOOKUP(A193,Classification!A:B,2,FALSE)</f>
        <v>A</v>
      </c>
      <c r="AN193" s="28" t="b">
        <f t="shared" si="121"/>
        <v>1</v>
      </c>
      <c r="AO193" s="3" t="str">
        <f>IF(ISERROR(MATCH(A193,'SegEnds_Xtal_Prot#'!B:B, 0)), "NoXtal", "Xtal")</f>
        <v>NoXtal</v>
      </c>
      <c r="AP193" s="3">
        <f t="shared" si="104"/>
        <v>1</v>
      </c>
      <c r="AQ193" s="3">
        <f t="shared" si="105"/>
        <v>1</v>
      </c>
      <c r="AR193" s="3">
        <f t="shared" si="106"/>
        <v>1</v>
      </c>
      <c r="AS193" s="3">
        <f t="shared" si="107"/>
        <v>1</v>
      </c>
      <c r="AT193" s="3">
        <f t="shared" si="108"/>
        <v>1</v>
      </c>
      <c r="AU193" s="3">
        <f t="shared" si="109"/>
        <v>1</v>
      </c>
      <c r="AV193" s="3">
        <f t="shared" si="110"/>
        <v>11</v>
      </c>
      <c r="AW193" s="3">
        <f t="shared" si="111"/>
        <v>5</v>
      </c>
      <c r="AX193" s="3">
        <f t="shared" si="112"/>
        <v>3</v>
      </c>
      <c r="AY193" s="3">
        <f t="shared" si="113"/>
        <v>9</v>
      </c>
      <c r="AZ193" s="3">
        <f t="shared" si="114"/>
        <v>1</v>
      </c>
      <c r="BA193" s="3">
        <f>IF(ISERROR(LEN(VLOOKUP(A193,Seqs!A:E,2,FALSE))-AL193),"-",LEN(VLOOKUP(A193,Seqs!A:E,2,FALSE))-AL193)</f>
        <v>303</v>
      </c>
      <c r="BB193" s="16">
        <f t="shared" si="115"/>
        <v>28</v>
      </c>
      <c r="BC193" s="9">
        <f t="shared" si="116"/>
        <v>20</v>
      </c>
      <c r="BD193" s="3">
        <f t="shared" si="117"/>
        <v>28</v>
      </c>
      <c r="BE193" s="3">
        <f t="shared" si="118"/>
        <v>52</v>
      </c>
    </row>
    <row r="194" spans="1:57" s="3" customFormat="1" x14ac:dyDescent="0.2">
      <c r="A194" s="3" t="s">
        <v>316</v>
      </c>
      <c r="B194" s="3" t="str">
        <f>LOWER(VLOOKUP(A194,Xtal_Templ!A:B,2,FALSE))</f>
        <v>ednrb_human</v>
      </c>
      <c r="C194" s="3">
        <f>VLOOKUP($A194,'SegEnds_NonXtal_BW#'!$A:$Z,3,FALSE)+D194-50</f>
        <v>33</v>
      </c>
      <c r="D194" s="3">
        <v>61</v>
      </c>
      <c r="E194" s="3">
        <f>IF(ISERROR(VLOOKUP($A194,'SegEnds_NonXtal_BW#'!$A:$Z,4,FALSE)+VLOOKUP($A194,A:AL,4,FALSE)-50),"-",(VLOOKUP($A194,'SegEnds_NonXtal_BW#'!$A:$Z,4,FALSE)+VLOOKUP($A194,A:AL,4,FALSE)-50))</f>
        <v>71</v>
      </c>
      <c r="F194" s="3">
        <f t="shared" si="135"/>
        <v>72</v>
      </c>
      <c r="G194" s="3">
        <v>74</v>
      </c>
      <c r="H194" s="3">
        <f t="shared" si="136"/>
        <v>75</v>
      </c>
      <c r="I194" s="3">
        <f t="shared" si="136"/>
        <v>76</v>
      </c>
      <c r="J194" s="3">
        <v>89</v>
      </c>
      <c r="K194" s="3">
        <f>VLOOKUP($A194,'SegEnds_NonXtal_BW#'!$A:$Z,8,FALSE)+VLOOKUP($A194,A:AL,10,FALSE)-50</f>
        <v>106</v>
      </c>
      <c r="L194" s="3">
        <f t="shared" si="137"/>
        <v>108</v>
      </c>
      <c r="M194" s="3">
        <v>109</v>
      </c>
      <c r="N194" s="3">
        <f t="shared" si="138"/>
        <v>111</v>
      </c>
      <c r="O194" s="3">
        <f t="shared" si="139"/>
        <v>112</v>
      </c>
      <c r="P194" s="3">
        <v>141</v>
      </c>
      <c r="Q194" s="3">
        <f>VLOOKUP($A194,'SegEnds_NonXtal_BW#'!$A:$Z,12,FALSE)+VLOOKUP($A194,A:AL,16,FALSE)-50</f>
        <v>147</v>
      </c>
      <c r="R194" s="3">
        <f>IF(ISERROR(VLOOKUP($A194,'SegEnds_NonXtal_BW#'!$A:$Z,13,FALSE)+VLOOKUP($A194,A:AL,19,FALSE)-50),"-",VLOOKUP($A194,'SegEnds_NonXtal_BW#'!$A:$Z,13,FALSE)+VLOOKUP($A194,A:AL,19,FALSE)-50)</f>
        <v>148</v>
      </c>
      <c r="S194" s="3">
        <v>148</v>
      </c>
      <c r="T194" s="100">
        <f>IF(ISERROR(VLOOKUP($A194,'SegEnds_NonXtal_BW#'!$A:$Z,14,FALSE)+VLOOKUP($A194,A:AL,19,FALSE)-50),"-",(VLOOKUP($A194,'SegEnds_NonXtal_BW#'!$A:$Z,14,FALSE)+VLOOKUP($A194,A:AL,19,FALSE)-50))</f>
        <v>155</v>
      </c>
      <c r="U194" s="9">
        <f>IF(ISERROR(VLOOKUP($A194,'SegEnds_NonXtal_BW#'!$A:$Z,15,FALSE)+VLOOKUP($A194,A:AL,22,FALSE)-50),"-",VLOOKUP($A194,'SegEnds_NonXtal_BW#'!$A:$Z,15,FALSE)+VLOOKUP($A194,A:AL,22,FALSE)-50)</f>
        <v>156</v>
      </c>
      <c r="V194" s="3">
        <v>168</v>
      </c>
      <c r="W194" s="3">
        <f>IF(ISERROR(VLOOKUP($A194,'SegEnds_NonXtal_BW#'!$A:$Z,16,FALSE)+VLOOKUP($A194,A:AL,22,FALSE)-50),"-",(VLOOKUP($A194,'SegEnds_NonXtal_BW#'!$A:$Z,16,FALSE)+VLOOKUP($A194,A:AL,22,FALSE)-50))</f>
        <v>182</v>
      </c>
      <c r="X194" s="3">
        <f>IF(ISERROR(VLOOKUP($A194,'SegEnds_NonXtal_BW#'!$A:$Z,17,FALSE)+VLOOKUP($A194,A:AL,25,FALSE)-50),"-",(VLOOKUP($A194,'SegEnds_NonXtal_BW#'!$A:$Z,17,FALSE)+VLOOKUP($A194,A:AL,25,FALSE)-50))</f>
        <v>198</v>
      </c>
      <c r="Y194" s="3">
        <v>198</v>
      </c>
      <c r="Z194" s="3">
        <f t="shared" si="140"/>
        <v>200</v>
      </c>
      <c r="AA194" s="3">
        <f>IF(ISERROR(VLOOKUP($A194,'SegEnds_NonXtal_BW#'!$A:$Z,19,FALSE)+VLOOKUP($A194,A:AL,28,FALSE)-50),"-",(VLOOKUP($A194,'SegEnds_NonXtal_BW#'!$A:$Z,19,FALSE)+VLOOKUP($A194,A:AL,28,FALSE)-50))</f>
        <v>202</v>
      </c>
      <c r="AB194" s="3">
        <v>224</v>
      </c>
      <c r="AC194" s="3">
        <f>IF(ISERROR((VLOOKUP($A194,'SegEnds_NonXtal_BW#'!$A:$Z,20,FALSE)+VLOOKUP($A194,A:AL,28,FALSE)-50)),"-",(VLOOKUP($A194,'SegEnds_NonXtal_BW#'!$A:$Z,20,FALSE)+VLOOKUP($A194,A:AL,28,FALSE)-50))</f>
        <v>247</v>
      </c>
      <c r="AD194" s="3">
        <f>IF(ISERROR(VLOOKUP($A194,'SegEnds_NonXtal_BW#'!$A:$Z,21,FALSE)+VLOOKUP($A194,A:AL,31,FALSE)-50),"-",(VLOOKUP($A194,'SegEnds_NonXtal_BW#'!$A:$Z,21,FALSE)+VLOOKUP($A194,A:AL,31,FALSE)-50))</f>
        <v>253</v>
      </c>
      <c r="AE194" s="3">
        <v>281</v>
      </c>
      <c r="AF194" s="3">
        <f>IF(ISERROR((VLOOKUP($A194,'SegEnds_NonXtal_BW#'!$A:$Z,22,FALSE)+VLOOKUP($A194,A:AL,31,FALSE)-50)),"-",(VLOOKUP($A194,'SegEnds_NonXtal_BW#'!$A:$Z,22,FALSE)+VLOOKUP($A194,A:AL,31,FALSE)-50))</f>
        <v>292</v>
      </c>
      <c r="AG194" s="3">
        <f>IF(ISERROR(VLOOKUP($A194,'SegEnds_NonXtal_BW#'!$A:$Z,23,FALSE)+VLOOKUP($A194,A:AL,34,FALSE)-50),"-",(VLOOKUP($A194,'SegEnds_NonXtal_BW#'!$A:$Z,23,FALSE)+VLOOKUP($A194,A:AL,34,FALSE)-50))</f>
        <v>299</v>
      </c>
      <c r="AH194" s="3">
        <v>321</v>
      </c>
      <c r="AI194" s="3">
        <f>IF(ISERROR((VLOOKUP($A194,'SegEnds_NonXtal_BW#'!$A:$Z,24,FALSE)+VLOOKUP($A194,A:AL,34,FALSE)-50)),"-",(VLOOKUP($A194,'SegEnds_NonXtal_BW#'!$A:$Z,24,FALSE)+VLOOKUP($A194,A:AL,34,FALSE)-50))</f>
        <v>327</v>
      </c>
      <c r="AJ194" s="3">
        <f>IF(ISERROR(VLOOKUP($A194,'SegEnds_NonXtal_BW#'!$A:$Z,25,FALSE)+VLOOKUP($A194,A:AL,37,FALSE)-50),"-",(VLOOKUP($A194,'SegEnds_NonXtal_BW#'!$A:$Z,25,FALSE)+VLOOKUP($A194,A:AL,37,FALSE)-50))</f>
        <v>328</v>
      </c>
      <c r="AK194" s="3">
        <v>331</v>
      </c>
      <c r="AL194" s="3">
        <f>IF(ISERROR((VLOOKUP($A194,'SegEnds_NonXtal_BW#'!$A:$Z,26,FALSE)+VLOOKUP($A194,A:AL,37,FALSE)-50)),"-",(VLOOKUP($A194,'SegEnds_NonXtal_BW#'!$A:$Z,26,FALSE)+VLOOKUP($A194,A:AL,37,FALSE)-50))</f>
        <v>341</v>
      </c>
      <c r="AM194" s="28" t="str">
        <f>VLOOKUP(A194,Classification!A:B,2,FALSE)</f>
        <v>A</v>
      </c>
      <c r="AN194" s="28" t="b">
        <f t="shared" si="121"/>
        <v>1</v>
      </c>
      <c r="AO194" s="3" t="str">
        <f>IF(ISERROR(MATCH(A194,'SegEnds_Xtal_Prot#'!B:B, 0)), "NoXtal", "Xtal")</f>
        <v>NoXtal</v>
      </c>
      <c r="AP194" s="3">
        <f t="shared" si="104"/>
        <v>1</v>
      </c>
      <c r="AQ194" s="3">
        <f t="shared" si="105"/>
        <v>1</v>
      </c>
      <c r="AR194" s="3">
        <f t="shared" si="106"/>
        <v>2</v>
      </c>
      <c r="AS194" s="3">
        <f t="shared" si="107"/>
        <v>1</v>
      </c>
      <c r="AT194" s="3">
        <f t="shared" si="108"/>
        <v>1</v>
      </c>
      <c r="AU194" s="3">
        <f t="shared" si="109"/>
        <v>1</v>
      </c>
      <c r="AV194" s="3">
        <f t="shared" si="110"/>
        <v>16</v>
      </c>
      <c r="AW194" s="3">
        <f t="shared" si="111"/>
        <v>2</v>
      </c>
      <c r="AX194" s="3">
        <f t="shared" si="112"/>
        <v>6</v>
      </c>
      <c r="AY194" s="3">
        <f t="shared" si="113"/>
        <v>7</v>
      </c>
      <c r="AZ194" s="3">
        <f t="shared" si="114"/>
        <v>1</v>
      </c>
      <c r="BA194" s="3">
        <f>IF(ISERROR(LEN(VLOOKUP(A194,Seqs!A:E,2,FALSE))-AL194),"-",LEN(VLOOKUP(A194,Seqs!A:E,2,FALSE))-AL194)</f>
        <v>49</v>
      </c>
      <c r="BB194" s="16">
        <f t="shared" si="115"/>
        <v>28</v>
      </c>
      <c r="BC194" s="9">
        <f t="shared" si="116"/>
        <v>20</v>
      </c>
      <c r="BD194" s="3">
        <f t="shared" si="117"/>
        <v>28</v>
      </c>
      <c r="BE194" s="3">
        <f t="shared" si="118"/>
        <v>57</v>
      </c>
    </row>
    <row r="195" spans="1:57" s="3" customFormat="1" x14ac:dyDescent="0.2">
      <c r="A195" s="3" t="s">
        <v>317</v>
      </c>
      <c r="B195" s="3" t="str">
        <f>LOWER(VLOOKUP(A195,Xtal_Templ!A:B,2,FALSE))</f>
        <v>ghsr_human</v>
      </c>
      <c r="C195" s="3">
        <f>VLOOKUP($A195,'SegEnds_NonXtal_BW#'!$A:$Z,3,FALSE)+D195-50</f>
        <v>56</v>
      </c>
      <c r="D195" s="3">
        <v>78</v>
      </c>
      <c r="E195" s="3">
        <f>IF(ISERROR(VLOOKUP($A195,'SegEnds_NonXtal_BW#'!$A:$Z,4,FALSE)+VLOOKUP($A195,A:AL,4,FALSE)-50),"-",(VLOOKUP($A195,'SegEnds_NonXtal_BW#'!$A:$Z,4,FALSE)+VLOOKUP($A195,A:AL,4,FALSE)-50))</f>
        <v>88</v>
      </c>
      <c r="F195" s="3">
        <f t="shared" si="135"/>
        <v>89</v>
      </c>
      <c r="G195" s="3">
        <v>91</v>
      </c>
      <c r="H195" s="3">
        <f t="shared" si="136"/>
        <v>92</v>
      </c>
      <c r="I195" s="3">
        <f t="shared" si="136"/>
        <v>93</v>
      </c>
      <c r="J195" s="3">
        <v>106</v>
      </c>
      <c r="K195" s="3">
        <f>VLOOKUP($A195,'SegEnds_NonXtal_BW#'!$A:$Z,8,FALSE)+VLOOKUP($A195,A:AL,10,FALSE)-50</f>
        <v>122</v>
      </c>
      <c r="L195" s="3">
        <f t="shared" si="137"/>
        <v>124</v>
      </c>
      <c r="M195" s="3">
        <v>125</v>
      </c>
      <c r="N195" s="3">
        <f t="shared" si="138"/>
        <v>127</v>
      </c>
      <c r="O195" s="3">
        <f t="shared" si="139"/>
        <v>128</v>
      </c>
      <c r="P195" s="3">
        <v>159</v>
      </c>
      <c r="Q195" s="3">
        <f>VLOOKUP($A195,'SegEnds_NonXtal_BW#'!$A:$Z,12,FALSE)+VLOOKUP($A195,A:AL,16,FALSE)-50</f>
        <v>165</v>
      </c>
      <c r="R195" s="3">
        <f>IF(ISERROR(VLOOKUP($A195,'SegEnds_NonXtal_BW#'!$A:$Z,13,FALSE)+VLOOKUP($A195,A:AL,19,FALSE)-50),"-",VLOOKUP($A195,'SegEnds_NonXtal_BW#'!$A:$Z,13,FALSE)+VLOOKUP($A195,A:AL,19,FALSE)-50)</f>
        <v>166</v>
      </c>
      <c r="S195" s="3">
        <v>166</v>
      </c>
      <c r="T195" s="100">
        <f>IF(ISERROR(VLOOKUP($A195,'SegEnds_NonXtal_BW#'!$A:$Z,14,FALSE)+VLOOKUP($A195,A:AL,19,FALSE)-50),"-",(VLOOKUP($A195,'SegEnds_NonXtal_BW#'!$A:$Z,14,FALSE)+VLOOKUP($A195,A:AL,19,FALSE)-50))</f>
        <v>173</v>
      </c>
      <c r="U195" s="9">
        <f>IF(ISERROR(VLOOKUP($A195,'SegEnds_NonXtal_BW#'!$A:$Z,15,FALSE)+VLOOKUP($A195,A:AL,22,FALSE)-50),"-",VLOOKUP($A195,'SegEnds_NonXtal_BW#'!$A:$Z,15,FALSE)+VLOOKUP($A195,A:AL,22,FALSE)-50)</f>
        <v>174</v>
      </c>
      <c r="V195" s="3">
        <v>186</v>
      </c>
      <c r="W195" s="3">
        <f>IF(ISERROR(VLOOKUP($A195,'SegEnds_NonXtal_BW#'!$A:$Z,16,FALSE)+VLOOKUP($A195,A:AL,22,FALSE)-50),"-",(VLOOKUP($A195,'SegEnds_NonXtal_BW#'!$A:$Z,16,FALSE)+VLOOKUP($A195,A:AL,22,FALSE)-50))</f>
        <v>200</v>
      </c>
      <c r="X195" s="3">
        <f>IF(ISERROR(VLOOKUP($A195,'SegEnds_NonXtal_BW#'!$A:$Z,17,FALSE)+VLOOKUP($A195,A:AL,25,FALSE)-50),"-",(VLOOKUP($A195,'SegEnds_NonXtal_BW#'!$A:$Z,17,FALSE)+VLOOKUP($A195,A:AL,25,FALSE)-50))</f>
        <v>219</v>
      </c>
      <c r="Y195" s="3">
        <v>219</v>
      </c>
      <c r="Z195" s="3">
        <f t="shared" si="140"/>
        <v>221</v>
      </c>
      <c r="AA195" s="3">
        <f>IF(ISERROR(VLOOKUP($A195,'SegEnds_NonXtal_BW#'!$A:$Z,19,FALSE)+VLOOKUP($A195,A:AL,28,FALSE)-50),"-",(VLOOKUP($A195,'SegEnds_NonXtal_BW#'!$A:$Z,19,FALSE)+VLOOKUP($A195,A:AL,28,FALSE)-50))</f>
        <v>227</v>
      </c>
      <c r="AB195" s="3">
        <v>243</v>
      </c>
      <c r="AC195" s="3">
        <f>IF(ISERROR((VLOOKUP($A195,'SegEnds_NonXtal_BW#'!$A:$Z,20,FALSE)+VLOOKUP($A195,A:AL,28,FALSE)-50)),"-",(VLOOKUP($A195,'SegEnds_NonXtal_BW#'!$A:$Z,20,FALSE)+VLOOKUP($A195,A:AL,28,FALSE)-50))</f>
        <v>269</v>
      </c>
      <c r="AD195" s="3">
        <f>IF(ISERROR(VLOOKUP($A195,'SegEnds_NonXtal_BW#'!$A:$Z,21,FALSE)+VLOOKUP($A195,A:AL,31,FALSE)-50),"-",(VLOOKUP($A195,'SegEnds_NonXtal_BW#'!$A:$Z,21,FALSE)+VLOOKUP($A195,A:AL,31,FALSE)-50))</f>
        <v>286</v>
      </c>
      <c r="AE195" s="3">
        <v>312</v>
      </c>
      <c r="AF195" s="3">
        <f>IF(ISERROR((VLOOKUP($A195,'SegEnds_NonXtal_BW#'!$A:$Z,22,FALSE)+VLOOKUP($A195,A:AL,31,FALSE)-50)),"-",(VLOOKUP($A195,'SegEnds_NonXtal_BW#'!$A:$Z,22,FALSE)+VLOOKUP($A195,A:AL,31,FALSE)-50))</f>
        <v>323</v>
      </c>
      <c r="AG195" s="3">
        <f>IF(ISERROR(VLOOKUP($A195,'SegEnds_NonXtal_BW#'!$A:$Z,23,FALSE)+VLOOKUP($A195,A:AL,34,FALSE)-50),"-",(VLOOKUP($A195,'SegEnds_NonXtal_BW#'!$A:$Z,23,FALSE)+VLOOKUP($A195,A:AL,34,FALSE)-50))</f>
        <v>331</v>
      </c>
      <c r="AH195" s="3">
        <v>353</v>
      </c>
      <c r="AI195" s="3">
        <f>IF(ISERROR((VLOOKUP($A195,'SegEnds_NonXtal_BW#'!$A:$Z,24,FALSE)+VLOOKUP($A195,A:AL,34,FALSE)-50)),"-",(VLOOKUP($A195,'SegEnds_NonXtal_BW#'!$A:$Z,24,FALSE)+VLOOKUP($A195,A:AL,34,FALSE)-50))</f>
        <v>359</v>
      </c>
      <c r="AJ195" s="3">
        <f>IF(ISERROR(VLOOKUP($A195,'SegEnds_NonXtal_BW#'!$A:$Z,25,FALSE)+VLOOKUP($A195,A:AL,37,FALSE)-50),"-",(VLOOKUP($A195,'SegEnds_NonXtal_BW#'!$A:$Z,25,FALSE)+VLOOKUP($A195,A:AL,37,FALSE)-50))</f>
        <v>360</v>
      </c>
      <c r="AK195" s="3">
        <v>363</v>
      </c>
      <c r="AL195" s="3">
        <f>IF(ISERROR((VLOOKUP($A195,'SegEnds_NonXtal_BW#'!$A:$Z,26,FALSE)+VLOOKUP($A195,A:AL,37,FALSE)-50)),"-",(VLOOKUP($A195,'SegEnds_NonXtal_BW#'!$A:$Z,26,FALSE)+VLOOKUP($A195,A:AL,37,FALSE)-50))</f>
        <v>375</v>
      </c>
      <c r="AM195" s="28" t="str">
        <f>VLOOKUP(A195,Classification!A:B,2,FALSE)</f>
        <v>A</v>
      </c>
      <c r="AN195" s="28" t="b">
        <f t="shared" si="121"/>
        <v>1</v>
      </c>
      <c r="AO195" s="3" t="str">
        <f>IF(ISERROR(MATCH(A195,'SegEnds_Xtal_Prot#'!B:B, 0)), "NoXtal", "Xtal")</f>
        <v>NoXtal</v>
      </c>
      <c r="AP195" s="3">
        <f t="shared" si="104"/>
        <v>1</v>
      </c>
      <c r="AQ195" s="3">
        <f t="shared" si="105"/>
        <v>1</v>
      </c>
      <c r="AR195" s="3">
        <f t="shared" si="106"/>
        <v>2</v>
      </c>
      <c r="AS195" s="3">
        <f t="shared" si="107"/>
        <v>1</v>
      </c>
      <c r="AT195" s="3">
        <f t="shared" si="108"/>
        <v>1</v>
      </c>
      <c r="AU195" s="3">
        <f t="shared" si="109"/>
        <v>1</v>
      </c>
      <c r="AV195" s="3">
        <f t="shared" si="110"/>
        <v>19</v>
      </c>
      <c r="AW195" s="3">
        <f t="shared" si="111"/>
        <v>6</v>
      </c>
      <c r="AX195" s="3">
        <f t="shared" si="112"/>
        <v>17</v>
      </c>
      <c r="AY195" s="3">
        <f t="shared" si="113"/>
        <v>8</v>
      </c>
      <c r="AZ195" s="3">
        <f t="shared" si="114"/>
        <v>1</v>
      </c>
      <c r="BA195" s="3">
        <f>IF(ISERROR(LEN(VLOOKUP(A195,Seqs!A:E,2,FALSE))-AL195),"-",LEN(VLOOKUP(A195,Seqs!A:E,2,FALSE))-AL195)</f>
        <v>51</v>
      </c>
      <c r="BB195" s="16">
        <f t="shared" si="115"/>
        <v>28</v>
      </c>
      <c r="BC195" s="9">
        <f t="shared" si="116"/>
        <v>20</v>
      </c>
      <c r="BD195" s="3">
        <f t="shared" si="117"/>
        <v>28</v>
      </c>
      <c r="BE195" s="3">
        <f t="shared" si="118"/>
        <v>69</v>
      </c>
    </row>
    <row r="196" spans="1:57" s="3" customFormat="1" x14ac:dyDescent="0.2">
      <c r="A196" s="3" t="s">
        <v>318</v>
      </c>
      <c r="B196" s="3" t="str">
        <f>LOWER(VLOOKUP(A196,Xtal_Templ!A:B,2,FALSE))</f>
        <v>ghsr_human</v>
      </c>
      <c r="C196" s="3">
        <f>VLOOKUP($A196,'SegEnds_NonXtal_BW#'!$A:$Z,3,FALSE)+D196-50</f>
        <v>41</v>
      </c>
      <c r="D196" s="3">
        <v>63</v>
      </c>
      <c r="E196" s="3">
        <f>IF(ISERROR(VLOOKUP($A196,'SegEnds_NonXtal_BW#'!$A:$Z,4,FALSE)+VLOOKUP($A196,A:AL,4,FALSE)-50),"-",(VLOOKUP($A196,'SegEnds_NonXtal_BW#'!$A:$Z,4,FALSE)+VLOOKUP($A196,A:AL,4,FALSE)-50))</f>
        <v>73</v>
      </c>
      <c r="F196" s="3">
        <f t="shared" si="135"/>
        <v>74</v>
      </c>
      <c r="G196" s="3">
        <v>76</v>
      </c>
      <c r="H196" s="3">
        <f t="shared" si="136"/>
        <v>77</v>
      </c>
      <c r="I196" s="3">
        <f t="shared" si="136"/>
        <v>78</v>
      </c>
      <c r="J196" s="3">
        <v>91</v>
      </c>
      <c r="K196" s="3">
        <f>VLOOKUP($A196,'SegEnds_NonXtal_BW#'!$A:$Z,8,FALSE)+VLOOKUP($A196,A:AL,10,FALSE)-50</f>
        <v>107</v>
      </c>
      <c r="L196" s="3">
        <f t="shared" si="137"/>
        <v>109</v>
      </c>
      <c r="M196" s="3">
        <v>110</v>
      </c>
      <c r="N196" s="3">
        <f t="shared" si="138"/>
        <v>112</v>
      </c>
      <c r="O196" s="3">
        <f t="shared" si="139"/>
        <v>113</v>
      </c>
      <c r="P196" s="3">
        <v>144</v>
      </c>
      <c r="Q196" s="3">
        <f>VLOOKUP($A196,'SegEnds_NonXtal_BW#'!$A:$Z,12,FALSE)+VLOOKUP($A196,A:AL,16,FALSE)-50</f>
        <v>150</v>
      </c>
      <c r="R196" s="3">
        <f>IF(ISERROR(VLOOKUP($A196,'SegEnds_NonXtal_BW#'!$A:$Z,13,FALSE)+VLOOKUP($A196,A:AL,19,FALSE)-50),"-",VLOOKUP($A196,'SegEnds_NonXtal_BW#'!$A:$Z,13,FALSE)+VLOOKUP($A196,A:AL,19,FALSE)-50)</f>
        <v>151</v>
      </c>
      <c r="S196" s="3">
        <v>151</v>
      </c>
      <c r="T196" s="100">
        <f>IF(ISERROR(VLOOKUP($A196,'SegEnds_NonXtal_BW#'!$A:$Z,14,FALSE)+VLOOKUP($A196,A:AL,19,FALSE)-50),"-",(VLOOKUP($A196,'SegEnds_NonXtal_BW#'!$A:$Z,14,FALSE)+VLOOKUP($A196,A:AL,19,FALSE)-50))</f>
        <v>158</v>
      </c>
      <c r="U196" s="9">
        <f>IF(ISERROR(VLOOKUP($A196,'SegEnds_NonXtal_BW#'!$A:$Z,15,FALSE)+VLOOKUP($A196,A:AL,22,FALSE)-50),"-",VLOOKUP($A196,'SegEnds_NonXtal_BW#'!$A:$Z,15,FALSE)+VLOOKUP($A196,A:AL,22,FALSE)-50)</f>
        <v>159</v>
      </c>
      <c r="V196" s="3">
        <v>171</v>
      </c>
      <c r="W196" s="3">
        <f>IF(ISERROR(VLOOKUP($A196,'SegEnds_NonXtal_BW#'!$A:$Z,16,FALSE)+VLOOKUP($A196,A:AL,22,FALSE)-50),"-",(VLOOKUP($A196,'SegEnds_NonXtal_BW#'!$A:$Z,16,FALSE)+VLOOKUP($A196,A:AL,22,FALSE)-50))</f>
        <v>185</v>
      </c>
      <c r="X196" s="3">
        <f>IF(ISERROR(VLOOKUP($A196,'SegEnds_NonXtal_BW#'!$A:$Z,17,FALSE)+VLOOKUP($A196,A:AL,25,FALSE)-50),"-",(VLOOKUP($A196,'SegEnds_NonXtal_BW#'!$A:$Z,17,FALSE)+VLOOKUP($A196,A:AL,25,FALSE)-50))</f>
        <v>204</v>
      </c>
      <c r="Y196" s="3">
        <v>204</v>
      </c>
      <c r="Z196" s="3">
        <f t="shared" si="140"/>
        <v>206</v>
      </c>
      <c r="AA196" s="3">
        <f>IF(ISERROR(VLOOKUP($A196,'SegEnds_NonXtal_BW#'!$A:$Z,19,FALSE)+VLOOKUP($A196,A:AL,28,FALSE)-50),"-",(VLOOKUP($A196,'SegEnds_NonXtal_BW#'!$A:$Z,19,FALSE)+VLOOKUP($A196,A:AL,28,FALSE)-50))</f>
        <v>212</v>
      </c>
      <c r="AB196" s="3">
        <v>228</v>
      </c>
      <c r="AC196" s="3">
        <f>IF(ISERROR((VLOOKUP($A196,'SegEnds_NonXtal_BW#'!$A:$Z,20,FALSE)+VLOOKUP($A196,A:AL,28,FALSE)-50)),"-",(VLOOKUP($A196,'SegEnds_NonXtal_BW#'!$A:$Z,20,FALSE)+VLOOKUP($A196,A:AL,28,FALSE)-50))</f>
        <v>251</v>
      </c>
      <c r="AD196" s="3">
        <f>IF(ISERROR(VLOOKUP($A196,'SegEnds_NonXtal_BW#'!$A:$Z,21,FALSE)+VLOOKUP($A196,A:AL,31,FALSE)-50),"-",(VLOOKUP($A196,'SegEnds_NonXtal_BW#'!$A:$Z,21,FALSE)+VLOOKUP($A196,A:AL,31,FALSE)-50))</f>
        <v>255</v>
      </c>
      <c r="AE196" s="3">
        <v>283</v>
      </c>
      <c r="AF196" s="3">
        <f>IF(ISERROR((VLOOKUP($A196,'SegEnds_NonXtal_BW#'!$A:$Z,22,FALSE)+VLOOKUP($A196,A:AL,31,FALSE)-50)),"-",(VLOOKUP($A196,'SegEnds_NonXtal_BW#'!$A:$Z,22,FALSE)+VLOOKUP($A196,A:AL,31,FALSE)-50))</f>
        <v>294</v>
      </c>
      <c r="AG196" s="3">
        <f>IF(ISERROR(VLOOKUP($A196,'SegEnds_NonXtal_BW#'!$A:$Z,23,FALSE)+VLOOKUP($A196,A:AL,34,FALSE)-50),"-",(VLOOKUP($A196,'SegEnds_NonXtal_BW#'!$A:$Z,23,FALSE)+VLOOKUP($A196,A:AL,34,FALSE)-50))</f>
        <v>302</v>
      </c>
      <c r="AH196" s="3">
        <v>324</v>
      </c>
      <c r="AI196" s="3">
        <f>IF(ISERROR((VLOOKUP($A196,'SegEnds_NonXtal_BW#'!$A:$Z,24,FALSE)+VLOOKUP($A196,A:AL,34,FALSE)-50)),"-",(VLOOKUP($A196,'SegEnds_NonXtal_BW#'!$A:$Z,24,FALSE)+VLOOKUP($A196,A:AL,34,FALSE)-50))</f>
        <v>330</v>
      </c>
      <c r="AJ196" s="3">
        <f>IF(ISERROR(VLOOKUP($A196,'SegEnds_NonXtal_BW#'!$A:$Z,25,FALSE)+VLOOKUP($A196,A:AL,37,FALSE)-50),"-",(VLOOKUP($A196,'SegEnds_NonXtal_BW#'!$A:$Z,25,FALSE)+VLOOKUP($A196,A:AL,37,FALSE)-50))</f>
        <v>331</v>
      </c>
      <c r="AK196" s="3">
        <v>334</v>
      </c>
      <c r="AL196" s="3">
        <f>IF(ISERROR((VLOOKUP($A196,'SegEnds_NonXtal_BW#'!$A:$Z,26,FALSE)+VLOOKUP($A196,A:AL,37,FALSE)-50)),"-",(VLOOKUP($A196,'SegEnds_NonXtal_BW#'!$A:$Z,26,FALSE)+VLOOKUP($A196,A:AL,37,FALSE)-50))</f>
        <v>346</v>
      </c>
      <c r="AM196" s="28" t="str">
        <f>VLOOKUP(A196,Classification!A:B,2,FALSE)</f>
        <v>A</v>
      </c>
      <c r="AN196" s="28" t="b">
        <f t="shared" si="121"/>
        <v>1</v>
      </c>
      <c r="AO196" s="3" t="str">
        <f>IF(ISERROR(MATCH(A196,'SegEnds_Xtal_Prot#'!B:B, 0)), "NoXtal", "Xtal")</f>
        <v>NoXtal</v>
      </c>
      <c r="AP196" s="3">
        <f t="shared" si="104"/>
        <v>1</v>
      </c>
      <c r="AQ196" s="3">
        <f t="shared" si="105"/>
        <v>1</v>
      </c>
      <c r="AR196" s="3">
        <f t="shared" si="106"/>
        <v>2</v>
      </c>
      <c r="AS196" s="3">
        <f t="shared" si="107"/>
        <v>1</v>
      </c>
      <c r="AT196" s="3">
        <f t="shared" si="108"/>
        <v>1</v>
      </c>
      <c r="AU196" s="3">
        <f t="shared" si="109"/>
        <v>1</v>
      </c>
      <c r="AV196" s="3">
        <f t="shared" si="110"/>
        <v>19</v>
      </c>
      <c r="AW196" s="3">
        <f t="shared" si="111"/>
        <v>6</v>
      </c>
      <c r="AX196" s="3">
        <f t="shared" si="112"/>
        <v>4</v>
      </c>
      <c r="AY196" s="3">
        <f t="shared" si="113"/>
        <v>8</v>
      </c>
      <c r="AZ196" s="3">
        <f t="shared" si="114"/>
        <v>1</v>
      </c>
      <c r="BA196" s="3">
        <f>IF(ISERROR(LEN(VLOOKUP(A196,Seqs!A:E,2,FALSE))-AL196),"-",LEN(VLOOKUP(A196,Seqs!A:E,2,FALSE))-AL196)</f>
        <v>69</v>
      </c>
      <c r="BB196" s="16">
        <f t="shared" si="115"/>
        <v>28</v>
      </c>
      <c r="BC196" s="9">
        <f t="shared" si="116"/>
        <v>20</v>
      </c>
      <c r="BD196" s="3">
        <f t="shared" si="117"/>
        <v>28</v>
      </c>
      <c r="BE196" s="3">
        <f t="shared" si="118"/>
        <v>55</v>
      </c>
    </row>
    <row r="197" spans="1:57" s="3" customFormat="1" x14ac:dyDescent="0.2">
      <c r="A197" s="3" t="s">
        <v>127</v>
      </c>
      <c r="B197" s="3" t="str">
        <f>LOWER(VLOOKUP(A197,Xtal_Templ!A:B,2,FALSE))</f>
        <v>ntr1_human</v>
      </c>
      <c r="C197" s="3">
        <f>VLOOKUP($A197,'SegEnds_NonXtal_BW#'!$A:$Z,3,FALSE)+D197-50</f>
        <v>59</v>
      </c>
      <c r="D197" s="3">
        <v>81</v>
      </c>
      <c r="E197" s="3">
        <f>IF(ISERROR(VLOOKUP($A197,'SegEnds_NonXtal_BW#'!$A:$Z,4,FALSE)+VLOOKUP($A197,A:AL,4,FALSE)-50),"-",(VLOOKUP($A197,'SegEnds_NonXtal_BW#'!$A:$Z,4,FALSE)+VLOOKUP($A197,A:AL,4,FALSE)-50))</f>
        <v>91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99</v>
      </c>
      <c r="J197" s="3">
        <v>112</v>
      </c>
      <c r="K197" s="3">
        <f>VLOOKUP($A197,'SegEnds_NonXtal_BW#'!$A:$Z,8,FALSE)+VLOOKUP($A197,A:AL,10,FALSE)-50</f>
        <v>130</v>
      </c>
      <c r="L197" s="3">
        <f t="shared" si="137"/>
        <v>133</v>
      </c>
      <c r="M197" s="3">
        <v>134</v>
      </c>
      <c r="N197" s="3">
        <f t="shared" si="138"/>
        <v>136</v>
      </c>
      <c r="O197" s="3">
        <f t="shared" si="139"/>
        <v>137</v>
      </c>
      <c r="P197" s="3">
        <v>166</v>
      </c>
      <c r="Q197" s="3">
        <f>VLOOKUP($A197,'SegEnds_NonXtal_BW#'!$A:$Z,12,FALSE)+VLOOKUP($A197,A:AL,16,FALSE)-50</f>
        <v>172</v>
      </c>
      <c r="R197" s="3">
        <f>IF(ISERROR(VLOOKUP($A197,'SegEnds_NonXtal_BW#'!$A:$Z,13,FALSE)+VLOOKUP($A197,A:AL,19,FALSE)-50),"-",VLOOKUP($A197,'SegEnds_NonXtal_BW#'!$A:$Z,13,FALSE)+VLOOKUP($A197,A:AL,19,FALSE)-50)</f>
        <v>173</v>
      </c>
      <c r="S197" s="3">
        <v>173</v>
      </c>
      <c r="T197" s="100">
        <f>IF(ISERROR(VLOOKUP($A197,'SegEnds_NonXtal_BW#'!$A:$Z,14,FALSE)+VLOOKUP($A197,A:AL,19,FALSE)-50),"-",(VLOOKUP($A197,'SegEnds_NonXtal_BW#'!$A:$Z,14,FALSE)+VLOOKUP($A197,A:AL,19,FALSE)-50))</f>
        <v>180</v>
      </c>
      <c r="U197" s="9">
        <f>IF(ISERROR(VLOOKUP($A197,'SegEnds_NonXtal_BW#'!$A:$Z,15,FALSE)+VLOOKUP($A197,A:AL,22,FALSE)-50),"-",VLOOKUP($A197,'SegEnds_NonXtal_BW#'!$A:$Z,15,FALSE)+VLOOKUP($A197,A:AL,22,FALSE)-50)</f>
        <v>181</v>
      </c>
      <c r="V197" s="3">
        <v>193</v>
      </c>
      <c r="W197" s="3">
        <f>IF(ISERROR(VLOOKUP($A197,'SegEnds_NonXtal_BW#'!$A:$Z,16,FALSE)+VLOOKUP($A197,A:AL,22,FALSE)-50),"-",(VLOOKUP($A197,'SegEnds_NonXtal_BW#'!$A:$Z,16,FALSE)+VLOOKUP($A197,A:AL,22,FALSE)-50))</f>
        <v>207</v>
      </c>
      <c r="X197" s="3">
        <f>IF(ISERROR(VLOOKUP($A197,'SegEnds_NonXtal_BW#'!$A:$Z,17,FALSE)+VLOOKUP($A197,A:AL,25,FALSE)-50),"-",(VLOOKUP($A197,'SegEnds_NonXtal_BW#'!$A:$Z,17,FALSE)+VLOOKUP($A197,A:AL,25,FALSE)-50))</f>
        <v>224</v>
      </c>
      <c r="Y197" s="3">
        <v>224</v>
      </c>
      <c r="Z197" s="3">
        <f t="shared" si="140"/>
        <v>226</v>
      </c>
      <c r="AA197" s="3">
        <f>IF(ISERROR(VLOOKUP($A197,'SegEnds_NonXtal_BW#'!$A:$Z,19,FALSE)+VLOOKUP($A197,A:AL,28,FALSE)-50),"-",(VLOOKUP($A197,'SegEnds_NonXtal_BW#'!$A:$Z,19,FALSE)+VLOOKUP($A197,A:AL,28,FALSE)-50))</f>
        <v>229</v>
      </c>
      <c r="AB197" s="3">
        <v>248</v>
      </c>
      <c r="AC197" s="3">
        <f>IF(ISERROR((VLOOKUP($A197,'SegEnds_NonXtal_BW#'!$A:$Z,20,FALSE)+VLOOKUP($A197,A:AL,28,FALSE)-50)),"-",(VLOOKUP($A197,'SegEnds_NonXtal_BW#'!$A:$Z,20,FALSE)+VLOOKUP($A197,A:AL,28,FALSE)-50))</f>
        <v>274</v>
      </c>
      <c r="AD197" s="3">
        <f>IF(ISERROR(VLOOKUP($A197,'SegEnds_NonXtal_BW#'!$A:$Z,21,FALSE)+VLOOKUP($A197,A:AL,31,FALSE)-50),"-",(VLOOKUP($A197,'SegEnds_NonXtal_BW#'!$A:$Z,21,FALSE)+VLOOKUP($A197,A:AL,31,FALSE)-50))</f>
        <v>292</v>
      </c>
      <c r="AE197" s="3">
        <v>318</v>
      </c>
      <c r="AF197" s="3">
        <f>IF(ISERROR((VLOOKUP($A197,'SegEnds_NonXtal_BW#'!$A:$Z,22,FALSE)+VLOOKUP($A197,A:AL,31,FALSE)-50)),"-",(VLOOKUP($A197,'SegEnds_NonXtal_BW#'!$A:$Z,22,FALSE)+VLOOKUP($A197,A:AL,31,FALSE)-50))</f>
        <v>329</v>
      </c>
      <c r="AG197" s="3">
        <f>IF(ISERROR(VLOOKUP($A197,'SegEnds_NonXtal_BW#'!$A:$Z,23,FALSE)+VLOOKUP($A197,A:AL,34,FALSE)-50),"-",(VLOOKUP($A197,'SegEnds_NonXtal_BW#'!$A:$Z,23,FALSE)+VLOOKUP($A197,A:AL,34,FALSE)-50))</f>
        <v>335</v>
      </c>
      <c r="AH197" s="3">
        <v>361</v>
      </c>
      <c r="AI197" s="3">
        <f>IF(ISERROR((VLOOKUP($A197,'SegEnds_NonXtal_BW#'!$A:$Z,24,FALSE)+VLOOKUP($A197,A:AL,34,FALSE)-50)),"-",(VLOOKUP($A197,'SegEnds_NonXtal_BW#'!$A:$Z,24,FALSE)+VLOOKUP($A197,A:AL,34,FALSE)-50))</f>
        <v>367</v>
      </c>
      <c r="AJ197" s="3">
        <f>IF(ISERROR(VLOOKUP($A197,'SegEnds_NonXtal_BW#'!$A:$Z,25,FALSE)+VLOOKUP($A197,A:AL,37,FALSE)-50),"-",(VLOOKUP($A197,'SegEnds_NonXtal_BW#'!$A:$Z,25,FALSE)+VLOOKUP($A197,A:AL,37,FALSE)-50))</f>
        <v>368</v>
      </c>
      <c r="AK197" s="3">
        <v>371</v>
      </c>
      <c r="AL197" s="3">
        <f>IF(ISERROR((VLOOKUP($A197,'SegEnds_NonXtal_BW#'!$A:$Z,26,FALSE)+VLOOKUP($A197,A:AL,37,FALSE)-50)),"-",(VLOOKUP($A197,'SegEnds_NonXtal_BW#'!$A:$Z,26,FALSE)+VLOOKUP($A197,A:AL,37,FALSE)-50))</f>
        <v>383</v>
      </c>
      <c r="AM197" s="28" t="str">
        <f>VLOOKUP(A197,Classification!A:B,2,FALSE)</f>
        <v>A</v>
      </c>
      <c r="AN197" s="28" t="b">
        <f t="shared" si="121"/>
        <v>1</v>
      </c>
      <c r="AO197" s="3" t="str">
        <f>IF(ISERROR(MATCH(A197,'SegEnds_Xtal_Prot#'!B:B, 0)), "NoXtal", "Xtal")</f>
        <v>Xtal</v>
      </c>
      <c r="AP197" s="3" t="str">
        <f t="shared" ref="AP197:AP261" si="141">IF(ISERROR(F197-E197),"-",F197-E197)</f>
        <v>-</v>
      </c>
      <c r="AQ197" s="3" t="str">
        <f t="shared" ref="AQ197:AQ261" si="142">IF(ISERROR(I197-H197),"-",I197-H197)</f>
        <v>-</v>
      </c>
      <c r="AR197" s="3">
        <f t="shared" ref="AR197:AR261" si="143">IF(ISERROR(L197-K197),"-",L197-K197)</f>
        <v>3</v>
      </c>
      <c r="AS197" s="3">
        <f t="shared" ref="AS197:AS261" si="144">IF(ISERROR(O197-N197),"-",O197-N197)</f>
        <v>1</v>
      </c>
      <c r="AT197" s="3">
        <f t="shared" ref="AT197:AT261" si="145">IF(ISERROR(R197-Q197),"-",R197-Q197)</f>
        <v>1</v>
      </c>
      <c r="AU197" s="3">
        <f t="shared" ref="AU197:AU261" si="146">IF(ISERROR(U197-T197),"-",U197-T197)</f>
        <v>1</v>
      </c>
      <c r="AV197" s="3">
        <f t="shared" ref="AV197:AV261" si="147">IF(ISERROR(X197-W197),"-",X197-W197)</f>
        <v>17</v>
      </c>
      <c r="AW197" s="3">
        <f t="shared" ref="AW197:AW261" si="148">IF(ISERROR(AA197-Z197),"-",AA197-Z197)</f>
        <v>3</v>
      </c>
      <c r="AX197" s="3">
        <f t="shared" ref="AX197:AX261" si="149">IF(ISERROR(AD197-AC197),"-",AD197-AC197)</f>
        <v>18</v>
      </c>
      <c r="AY197" s="3">
        <f t="shared" ref="AY197:AY261" si="150">IF(ISERROR(AG197-AF197),"-",AG197-AF197)</f>
        <v>6</v>
      </c>
      <c r="AZ197" s="3">
        <f t="shared" ref="AZ197:AZ261" si="151">IF(ISERROR(AJ197-AI197),"-",AJ197-AI197)</f>
        <v>1</v>
      </c>
      <c r="BA197" s="3">
        <f>IF(ISERROR(LEN(VLOOKUP(A197,Seqs!A:E,2,FALSE))-AL197),"-",LEN(VLOOKUP(A197,Seqs!A:E,2,FALSE))-AL197)</f>
        <v>35</v>
      </c>
      <c r="BB197" s="16">
        <f t="shared" ref="BB197:BB261" si="152">J197-D197</f>
        <v>31</v>
      </c>
      <c r="BC197" s="9">
        <f t="shared" ref="BC197:BC261" si="153">IF(ISERROR(V197-S197),"-",V197-S197)</f>
        <v>20</v>
      </c>
      <c r="BD197" s="3">
        <f t="shared" ref="BD197:BD261" si="154">J197-D197</f>
        <v>31</v>
      </c>
      <c r="BE197" s="3">
        <f t="shared" ref="BE197:BE261" si="155">AE197-AB197</f>
        <v>70</v>
      </c>
    </row>
    <row r="198" spans="1:57" s="3" customFormat="1" x14ac:dyDescent="0.2">
      <c r="A198" s="3" t="s">
        <v>907</v>
      </c>
      <c r="B198" s="3" t="str">
        <f>LOWER(VLOOKUP(A198,Xtal_Templ!A:B,2,FALSE))</f>
        <v>ntr1_rat</v>
      </c>
      <c r="C198" s="3">
        <f>VLOOKUP($A198,'SegEnds_NonXtal_BW#'!$A:$Z,3,FALSE)+D198-50</f>
        <v>61</v>
      </c>
      <c r="D198" s="3">
        <v>82</v>
      </c>
      <c r="E198" s="3">
        <f>IF(ISERROR(VLOOKUP($A198,'SegEnds_NonXtal_BW#'!$A:$Z,4,FALSE)+VLOOKUP($A198,A:AL,4,FALSE)-50),"-",(VLOOKUP($A198,'SegEnds_NonXtal_BW#'!$A:$Z,4,FALSE)+VLOOKUP($A198,A:AL,4,FALSE)-50))</f>
        <v>92</v>
      </c>
      <c r="F198" s="3" t="s">
        <v>23</v>
      </c>
      <c r="G198" s="3" t="s">
        <v>23</v>
      </c>
      <c r="H198" s="3" t="s">
        <v>23</v>
      </c>
      <c r="I198" s="3">
        <f>VLOOKUP($A198,'SegEnds_NonXtal_BW#'!$A:$Z,7,FALSE)+J198-50</f>
        <v>100</v>
      </c>
      <c r="J198" s="3">
        <v>113</v>
      </c>
      <c r="K198" s="3">
        <f>VLOOKUP($A198,'SegEnds_NonXtal_BW#'!$A:$Z,8,FALSE)+VLOOKUP($A198,A:AL,10,FALSE)-50</f>
        <v>131</v>
      </c>
      <c r="L198" s="3">
        <f>IF(ISERROR(VLOOKUP($A198,'SegEnds_NonXtal_BW#'!$A:$Z,9,FALSE)+VLOOKUP($A198,A:AL,13,FALSE)-50),"-",(VLOOKUP($A198,'SegEnds_NonXtal_BW#'!$A:$Z,9,FALSE)+VLOOKUP($A198,A:AL,13,FALSE)-50))</f>
        <v>134</v>
      </c>
      <c r="M198" s="3">
        <v>135</v>
      </c>
      <c r="N198" s="3">
        <f>IF(ISERROR(VLOOKUP($A198,'SegEnds_NonXtal_BW#'!$A:$Z,10,FALSE)+VLOOKUP($A198,A:AL,13,FALSE)-50),"-",(VLOOKUP($A198,'SegEnds_NonXtal_BW#'!$A:$Z,10,FALSE)+VLOOKUP($A198,A:AL,13,FALSE)-50))</f>
        <v>137</v>
      </c>
      <c r="O198" s="3">
        <f t="shared" si="139"/>
        <v>138</v>
      </c>
      <c r="P198" s="3">
        <v>167</v>
      </c>
      <c r="Q198" s="3">
        <f>VLOOKUP($A198,'SegEnds_NonXtal_BW#'!$A:$Z,12,FALSE)+VLOOKUP($A198,A:AL,16,FALSE)-50</f>
        <v>173</v>
      </c>
      <c r="R198" s="3">
        <f>IF(ISERROR(VLOOKUP($A198,'SegEnds_NonXtal_BW#'!$A:$Z,13,FALSE)+VLOOKUP($A198,A:AL,19,FALSE)-50),"-",VLOOKUP($A198,'SegEnds_NonXtal_BW#'!$A:$Z,13,FALSE)+VLOOKUP($A198,A:AL,19,FALSE)-50)</f>
        <v>174</v>
      </c>
      <c r="S198" s="3">
        <v>174</v>
      </c>
      <c r="T198" s="100">
        <f>IF(ISERROR(VLOOKUP($A198,'SegEnds_NonXtal_BW#'!$A:$Z,14,FALSE)+VLOOKUP($A198,A:AL,19,FALSE)-50),"-",(VLOOKUP($A198,'SegEnds_NonXtal_BW#'!$A:$Z,14,FALSE)+VLOOKUP($A198,A:AL,19,FALSE)-50))</f>
        <v>181</v>
      </c>
      <c r="U198" s="9">
        <f>IF(ISERROR(VLOOKUP($A198,'SegEnds_NonXtal_BW#'!$A:$Z,15,FALSE)+VLOOKUP($A198,A:AL,22,FALSE)-50),"-",VLOOKUP($A198,'SegEnds_NonXtal_BW#'!$A:$Z,15,FALSE)+VLOOKUP($A198,A:AL,22,FALSE)-50)</f>
        <v>182</v>
      </c>
      <c r="V198" s="3">
        <v>194</v>
      </c>
      <c r="W198" s="3">
        <f>IF(ISERROR(VLOOKUP($A198,'SegEnds_NonXtal_BW#'!$A:$Z,16,FALSE)+VLOOKUP($A198,A:AL,22,FALSE)-50),"-",(VLOOKUP($A198,'SegEnds_NonXtal_BW#'!$A:$Z,16,FALSE)+VLOOKUP($A198,A:AL,22,FALSE)-50))</f>
        <v>208</v>
      </c>
      <c r="X198" s="3">
        <f>IF(ISERROR(VLOOKUP($A198,'SegEnds_NonXtal_BW#'!$A:$Z,17,FALSE)+VLOOKUP($A198,A:AL,25,FALSE)-50),"-",(VLOOKUP($A198,'SegEnds_NonXtal_BW#'!$A:$Z,17,FALSE)+VLOOKUP($A198,A:AL,25,FALSE)-50))</f>
        <v>225</v>
      </c>
      <c r="Y198" s="3">
        <v>225</v>
      </c>
      <c r="Z198" s="3">
        <f t="shared" si="140"/>
        <v>227</v>
      </c>
      <c r="AA198" s="3">
        <f>IF(ISERROR(VLOOKUP($A198,'SegEnds_NonXtal_BW#'!$A:$Z,19,FALSE)+VLOOKUP($A198,A:AL,28,FALSE)-50),"-",(VLOOKUP($A198,'SegEnds_NonXtal_BW#'!$A:$Z,19,FALSE)+VLOOKUP($A198,A:AL,28,FALSE)-50))</f>
        <v>231</v>
      </c>
      <c r="AB198" s="3">
        <v>249</v>
      </c>
      <c r="AC198" s="3">
        <f>IF(ISERROR((VLOOKUP($A198,'SegEnds_NonXtal_BW#'!$A:$Z,20,FALSE)+VLOOKUP($A198,A:AL,28,FALSE)-50)),"-",(VLOOKUP($A198,'SegEnds_NonXtal_BW#'!$A:$Z,20,FALSE)+VLOOKUP($A198,A:AL,28,FALSE)-50))</f>
        <v>275</v>
      </c>
      <c r="AD198" s="3">
        <f>IF(ISERROR(VLOOKUP($A198,'SegEnds_NonXtal_BW#'!$A:$Z,21,FALSE)+VLOOKUP($A198,A:AL,31,FALSE)-50),"-",(VLOOKUP($A198,'SegEnds_NonXtal_BW#'!$A:$Z,21,FALSE)+VLOOKUP($A198,A:AL,31,FALSE)-50))</f>
        <v>297</v>
      </c>
      <c r="AE198" s="3">
        <v>323</v>
      </c>
      <c r="AF198" s="3">
        <f>IF(ISERROR((VLOOKUP($A198,'SegEnds_NonXtal_BW#'!$A:$Z,22,FALSE)+VLOOKUP($A198,A:AL,31,FALSE)-50)),"-",(VLOOKUP($A198,'SegEnds_NonXtal_BW#'!$A:$Z,22,FALSE)+VLOOKUP($A198,A:AL,31,FALSE)-50))</f>
        <v>334</v>
      </c>
      <c r="AG198" s="3">
        <f>IF(ISERROR(VLOOKUP($A198,'SegEnds_NonXtal_BW#'!$A:$Z,23,FALSE)+VLOOKUP($A198,A:AL,34,FALSE)-50),"-",(VLOOKUP($A198,'SegEnds_NonXtal_BW#'!$A:$Z,23,FALSE)+VLOOKUP($A198,A:AL,34,FALSE)-50))</f>
        <v>340</v>
      </c>
      <c r="AH198" s="3">
        <v>366</v>
      </c>
      <c r="AI198" s="3">
        <f>IF(ISERROR((VLOOKUP($A198,'SegEnds_NonXtal_BW#'!$A:$Z,24,FALSE)+VLOOKUP($A198,A:AL,34,FALSE)-50)),"-",(VLOOKUP($A198,'SegEnds_NonXtal_BW#'!$A:$Z,24,FALSE)+VLOOKUP($A198,A:AL,34,FALSE)-50))</f>
        <v>372</v>
      </c>
      <c r="AJ198" s="3">
        <f>IF(ISERROR(VLOOKUP($A198,'SegEnds_NonXtal_BW#'!$A:$Z,25,FALSE)+VLOOKUP($A198,A:AL,37,FALSE)-50),"-",(VLOOKUP($A198,'SegEnds_NonXtal_BW#'!$A:$Z,25,FALSE)+VLOOKUP($A198,A:AL,37,FALSE)-50))</f>
        <v>373</v>
      </c>
      <c r="AK198" s="3">
        <v>376</v>
      </c>
      <c r="AL198" s="3">
        <f>IF(ISERROR((VLOOKUP($A198,'SegEnds_NonXtal_BW#'!$A:$Z,26,FALSE)+VLOOKUP($A198,A:AL,37,FALSE)-50)),"-",(VLOOKUP($A198,'SegEnds_NonXtal_BW#'!$A:$Z,26,FALSE)+VLOOKUP($A198,A:AL,37,FALSE)-50))</f>
        <v>388</v>
      </c>
      <c r="AM198" s="28" t="str">
        <f>VLOOKUP(A198,Classification!A:B,2,FALSE)</f>
        <v>A</v>
      </c>
      <c r="AN198" s="28" t="b">
        <f t="shared" ref="AN198:AN262" si="156">AND(IF(Y198="-",IF(AA198-W198&gt;3,TRUE,FALSE),TRUE),IF(M198="-",IF(O198-K198&gt;3,TRUE,FALSE),TRUE),IF(AG198-AF198&gt;1,TRUE,FALS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Xtal</v>
      </c>
      <c r="AP198" s="3" t="str">
        <f t="shared" si="141"/>
        <v>-</v>
      </c>
      <c r="AQ198" s="3" t="str">
        <f t="shared" si="142"/>
        <v>-</v>
      </c>
      <c r="AR198" s="3">
        <f t="shared" si="143"/>
        <v>3</v>
      </c>
      <c r="AS198" s="3">
        <f t="shared" si="144"/>
        <v>1</v>
      </c>
      <c r="AT198" s="3">
        <f t="shared" si="145"/>
        <v>1</v>
      </c>
      <c r="AU198" s="3">
        <f t="shared" si="146"/>
        <v>1</v>
      </c>
      <c r="AV198" s="3">
        <f t="shared" si="147"/>
        <v>17</v>
      </c>
      <c r="AW198" s="3">
        <f t="shared" si="148"/>
        <v>4</v>
      </c>
      <c r="AX198" s="3">
        <f t="shared" si="149"/>
        <v>22</v>
      </c>
      <c r="AY198" s="3">
        <f t="shared" si="150"/>
        <v>6</v>
      </c>
      <c r="AZ198" s="3">
        <f t="shared" si="151"/>
        <v>1</v>
      </c>
      <c r="BA198" s="3">
        <f>IF(ISERROR(LEN(VLOOKUP(A198,Seqs!A:E,2,FALSE))-AL198),"-",LEN(VLOOKUP(A198,Seqs!A:E,2,FALSE))-AL198)</f>
        <v>36</v>
      </c>
      <c r="BB198" s="16">
        <f t="shared" si="152"/>
        <v>31</v>
      </c>
      <c r="BC198" s="9">
        <f t="shared" si="153"/>
        <v>20</v>
      </c>
      <c r="BD198" s="3">
        <f t="shared" si="154"/>
        <v>31</v>
      </c>
      <c r="BE198" s="3">
        <f t="shared" si="155"/>
        <v>74</v>
      </c>
    </row>
    <row r="199" spans="1:57" s="3" customFormat="1" x14ac:dyDescent="0.2">
      <c r="A199" s="3" t="s">
        <v>329</v>
      </c>
      <c r="B199" s="3" t="str">
        <f>LOWER(VLOOKUP(A199,Xtal_Templ!A:B,2,FALSE))</f>
        <v>ntr1_rat</v>
      </c>
      <c r="C199" s="3">
        <f>VLOOKUP($A199,'SegEnds_NonXtal_BW#'!$A:$Z,3,FALSE)+D199-50</f>
        <v>29</v>
      </c>
      <c r="D199" s="3">
        <v>50</v>
      </c>
      <c r="E199" s="3">
        <f>IF(ISERROR(VLOOKUP($A199,'SegEnds_NonXtal_BW#'!$A:$Z,4,FALSE)+VLOOKUP($A199,A:AL,4,FALSE)-50),"-",(VLOOKUP($A199,'SegEnds_NonXtal_BW#'!$A:$Z,4,FALSE)+VLOOKUP($A199,A:AL,4,FALSE)-50))</f>
        <v>60</v>
      </c>
      <c r="F199" s="3" t="str">
        <f>IF(ISERROR(VLOOKUP($A199,'SegEnds_NonXtal_BW#'!$A:$Z,5,FALSE)+VLOOKUP($A199,A:AL,7,FALSE)-50),"-",(VLOOKUP($A199,'SegEnds_NonXtal_BW#'!$A:$Z,5,FALSE)+VLOOKUP($A199,A:AL,7,FALSE)-50))</f>
        <v>-</v>
      </c>
      <c r="G199" s="3" t="s">
        <v>23</v>
      </c>
      <c r="H199" s="3" t="str">
        <f>IF(ISERROR(VLOOKUP($A199,'SegEnds_NonXtal_BW#'!$A:$Z,6,FALSE)+VLOOKUP($A199,A:AL,7,FALSE)-50),"-",(VLOOKUP($A199,'SegEnds_NonXtal_BW#'!$A:$Z,6,FALSE)+VLOOKUP($A199,A:AL,7,FALSE)-50))</f>
        <v>-</v>
      </c>
      <c r="I199" s="3">
        <f>VLOOKUP($A199,'SegEnds_NonXtal_BW#'!$A:$Z,7,FALSE)+J199-50</f>
        <v>66</v>
      </c>
      <c r="J199" s="3">
        <v>79</v>
      </c>
      <c r="K199" s="3">
        <f>VLOOKUP($A199,'SegEnds_NonXtal_BW#'!$A:$Z,8,FALSE)+VLOOKUP($A199,A:AL,10,FALSE)-50</f>
        <v>97</v>
      </c>
      <c r="L199" s="3">
        <f>M199-1</f>
        <v>100</v>
      </c>
      <c r="M199" s="3">
        <v>101</v>
      </c>
      <c r="N199" s="3">
        <f>M199+2</f>
        <v>103</v>
      </c>
      <c r="O199" s="3">
        <f t="shared" si="139"/>
        <v>104</v>
      </c>
      <c r="P199" s="3">
        <v>133</v>
      </c>
      <c r="Q199" s="3">
        <f>VLOOKUP($A199,'SegEnds_NonXtal_BW#'!$A:$Z,12,FALSE)+VLOOKUP($A199,A:AL,16,FALSE)-50</f>
        <v>139</v>
      </c>
      <c r="R199" s="3">
        <f>IF(ISERROR(VLOOKUP($A199,'SegEnds_NonXtal_BW#'!$A:$Z,13,FALSE)+VLOOKUP($A199,A:AL,19,FALSE)-50),"-",VLOOKUP($A199,'SegEnds_NonXtal_BW#'!$A:$Z,13,FALSE)+VLOOKUP($A199,A:AL,19,FALSE)-50)</f>
        <v>140</v>
      </c>
      <c r="S199" s="3">
        <v>140</v>
      </c>
      <c r="T199" s="100">
        <f>IF(ISERROR(VLOOKUP($A199,'SegEnds_NonXtal_BW#'!$A:$Z,14,FALSE)+VLOOKUP($A199,A:AL,19,FALSE)-50),"-",(VLOOKUP($A199,'SegEnds_NonXtal_BW#'!$A:$Z,14,FALSE)+VLOOKUP($A199,A:AL,19,FALSE)-50))</f>
        <v>147</v>
      </c>
      <c r="U199" s="9">
        <f>IF(ISERROR(VLOOKUP($A199,'SegEnds_NonXtal_BW#'!$A:$Z,15,FALSE)+VLOOKUP($A199,A:AL,22,FALSE)-50),"-",VLOOKUP($A199,'SegEnds_NonXtal_BW#'!$A:$Z,15,FALSE)+VLOOKUP($A199,A:AL,22,FALSE)-50)</f>
        <v>148</v>
      </c>
      <c r="V199" s="3">
        <v>160</v>
      </c>
      <c r="W199" s="3">
        <f>IF(ISERROR(VLOOKUP($A199,'SegEnds_NonXtal_BW#'!$A:$Z,16,FALSE)+VLOOKUP($A199,A:AL,22,FALSE)-50),"-",(VLOOKUP($A199,'SegEnds_NonXtal_BW#'!$A:$Z,16,FALSE)+VLOOKUP($A199,A:AL,22,FALSE)-50))</f>
        <v>174</v>
      </c>
      <c r="X199" s="3">
        <f>IF(ISERROR(VLOOKUP($A199,'SegEnds_NonXtal_BW#'!$A:$Z,17,FALSE)+VLOOKUP($A199,A:AL,25,FALSE)-50),"-",(VLOOKUP($A199,'SegEnds_NonXtal_BW#'!$A:$Z,17,FALSE)+VLOOKUP($A199,A:AL,25,FALSE)-50))</f>
        <v>194</v>
      </c>
      <c r="Y199" s="3">
        <v>194</v>
      </c>
      <c r="Z199" s="3">
        <f t="shared" si="140"/>
        <v>196</v>
      </c>
      <c r="AA199" s="3">
        <f>IF(ISERROR(VLOOKUP($A199,'SegEnds_NonXtal_BW#'!$A:$Z,19,FALSE)+VLOOKUP($A199,A:AL,28,FALSE)-50),"-",(VLOOKUP($A199,'SegEnds_NonXtal_BW#'!$A:$Z,19,FALSE)+VLOOKUP($A199,A:AL,28,FALSE)-50))</f>
        <v>200</v>
      </c>
      <c r="AB199" s="3">
        <v>218</v>
      </c>
      <c r="AC199" s="3">
        <f>IF(ISERROR((VLOOKUP($A199,'SegEnds_NonXtal_BW#'!$A:$Z,20,FALSE)+VLOOKUP($A199,A:AL,28,FALSE)-50)),"-",(VLOOKUP($A199,'SegEnds_NonXtal_BW#'!$A:$Z,20,FALSE)+VLOOKUP($A199,A:AL,28,FALSE)-50))</f>
        <v>242</v>
      </c>
      <c r="AD199" s="3">
        <f>IF(ISERROR(VLOOKUP($A199,'SegEnds_NonXtal_BW#'!$A:$Z,21,FALSE)+VLOOKUP($A199,A:AL,31,FALSE)-50),"-",(VLOOKUP($A199,'SegEnds_NonXtal_BW#'!$A:$Z,21,FALSE)+VLOOKUP($A199,A:AL,31,FALSE)-50))</f>
        <v>286</v>
      </c>
      <c r="AE199" s="3">
        <v>312</v>
      </c>
      <c r="AF199" s="3">
        <f>IF(ISERROR((VLOOKUP($A199,'SegEnds_NonXtal_BW#'!$A:$Z,22,FALSE)+VLOOKUP($A199,A:AL,31,FALSE)-50)),"-",(VLOOKUP($A199,'SegEnds_NonXtal_BW#'!$A:$Z,22,FALSE)+VLOOKUP($A199,A:AL,31,FALSE)-50))</f>
        <v>323</v>
      </c>
      <c r="AG199" s="3">
        <f>IF(ISERROR(VLOOKUP($A199,'SegEnds_NonXtal_BW#'!$A:$Z,23,FALSE)+VLOOKUP($A199,A:AL,34,FALSE)-50),"-",(VLOOKUP($A199,'SegEnds_NonXtal_BW#'!$A:$Z,23,FALSE)+VLOOKUP($A199,A:AL,34,FALSE)-50))</f>
        <v>329</v>
      </c>
      <c r="AH199" s="3">
        <v>355</v>
      </c>
      <c r="AI199" s="3">
        <f>IF(ISERROR((VLOOKUP($A199,'SegEnds_NonXtal_BW#'!$A:$Z,24,FALSE)+VLOOKUP($A199,A:AL,34,FALSE)-50)),"-",(VLOOKUP($A199,'SegEnds_NonXtal_BW#'!$A:$Z,24,FALSE)+VLOOKUP($A199,A:AL,34,FALSE)-50))</f>
        <v>361</v>
      </c>
      <c r="AJ199" s="3">
        <f>IF(ISERROR(VLOOKUP($A199,'SegEnds_NonXtal_BW#'!$A:$Z,25,FALSE)+VLOOKUP($A199,A:AL,37,FALSE)-50),"-",(VLOOKUP($A199,'SegEnds_NonXtal_BW#'!$A:$Z,25,FALSE)+VLOOKUP($A199,A:AL,37,FALSE)-50))</f>
        <v>362</v>
      </c>
      <c r="AK199" s="3">
        <v>365</v>
      </c>
      <c r="AL199" s="3">
        <f>IF(ISERROR((VLOOKUP($A199,'SegEnds_NonXtal_BW#'!$A:$Z,26,FALSE)+VLOOKUP($A199,A:AL,37,FALSE)-50)),"-",(VLOOKUP($A199,'SegEnds_NonXtal_BW#'!$A:$Z,26,FALSE)+VLOOKUP($A199,A:AL,37,FALSE)-50))</f>
        <v>377</v>
      </c>
      <c r="AM199" s="28" t="str">
        <f>VLOOKUP(A199,Classification!A:B,2,FALSE)</f>
        <v>A</v>
      </c>
      <c r="AN199" s="28" t="b">
        <f t="shared" si="156"/>
        <v>1</v>
      </c>
      <c r="AO199" s="3" t="str">
        <f>IF(ISERROR(MATCH(A199,'SegEnds_Xtal_Prot#'!B:B, 0)), "NoXtal", "Xtal")</f>
        <v>NoXtal</v>
      </c>
      <c r="AP199" s="3" t="str">
        <f t="shared" si="141"/>
        <v>-</v>
      </c>
      <c r="AQ199" s="3" t="str">
        <f t="shared" si="142"/>
        <v>-</v>
      </c>
      <c r="AR199" s="3">
        <f t="shared" si="143"/>
        <v>3</v>
      </c>
      <c r="AS199" s="3">
        <f t="shared" si="144"/>
        <v>1</v>
      </c>
      <c r="AT199" s="3">
        <f t="shared" si="145"/>
        <v>1</v>
      </c>
      <c r="AU199" s="3">
        <f t="shared" si="146"/>
        <v>1</v>
      </c>
      <c r="AV199" s="3">
        <f t="shared" si="147"/>
        <v>20</v>
      </c>
      <c r="AW199" s="3">
        <f t="shared" si="148"/>
        <v>4</v>
      </c>
      <c r="AX199" s="3">
        <f t="shared" si="149"/>
        <v>44</v>
      </c>
      <c r="AY199" s="3">
        <f t="shared" si="150"/>
        <v>6</v>
      </c>
      <c r="AZ199" s="3">
        <f t="shared" si="151"/>
        <v>1</v>
      </c>
      <c r="BA199" s="3">
        <f>IF(ISERROR(LEN(VLOOKUP(A199,Seqs!A:E,2,FALSE))-AL199),"-",LEN(VLOOKUP(A199,Seqs!A:E,2,FALSE))-AL199)</f>
        <v>33</v>
      </c>
      <c r="BB199" s="16">
        <f t="shared" si="152"/>
        <v>29</v>
      </c>
      <c r="BC199" s="9">
        <f t="shared" si="153"/>
        <v>20</v>
      </c>
      <c r="BD199" s="3">
        <f t="shared" si="154"/>
        <v>29</v>
      </c>
      <c r="BE199" s="3">
        <f t="shared" si="155"/>
        <v>94</v>
      </c>
    </row>
    <row r="200" spans="1:57" s="3" customFormat="1" x14ac:dyDescent="0.2">
      <c r="A200" s="3" t="s">
        <v>330</v>
      </c>
      <c r="B200" s="3" t="str">
        <f>LOWER(VLOOKUP(A200,Xtal_Templ!A:B,2,FALSE))</f>
        <v>ptafr_human</v>
      </c>
      <c r="C200" s="3">
        <f>VLOOKUP($A200,'SegEnds_NonXtal_BW#'!$A:$Z,3,FALSE)+D200-50</f>
        <v>16</v>
      </c>
      <c r="D200" s="3">
        <v>39</v>
      </c>
      <c r="E200" s="3">
        <f>IF(ISERROR(VLOOKUP($A200,'SegEnds_NonXtal_BW#'!$A:$Z,4,FALSE)+VLOOKUP($A200,A:AL,4,FALSE)-50),"-",(VLOOKUP($A200,'SegEnds_NonXtal_BW#'!$A:$Z,4,FALSE)+VLOOKUP($A200,A:AL,4,FALSE)-50))</f>
        <v>49</v>
      </c>
      <c r="F200" s="3">
        <f>IF(ISERROR(VLOOKUP($A200,'SegEnds_NonXtal_BW#'!$A:$Z,5,FALSE)+VLOOKUP($A200,A:AL,7,FALSE)-50),"-",(VLOOKUP($A200,'SegEnds_NonXtal_BW#'!$A:$Z,5,FALSE)+VLOOKUP($A200,A:AL,7,FALSE)-50))</f>
        <v>50</v>
      </c>
      <c r="G200" s="3">
        <v>52</v>
      </c>
      <c r="H200" s="3">
        <f>IF(ISERROR(VLOOKUP($A200,'SegEnds_NonXtal_BW#'!$A:$Z,6,FALSE)+VLOOKUP($A200,A:AL,7,FALSE)-50),"-",(VLOOKUP($A200,'SegEnds_NonXtal_BW#'!$A:$Z,6,FALSE)+VLOOKUP($A200,A:AL,7,FALSE)-50))</f>
        <v>53</v>
      </c>
      <c r="I200" s="3">
        <f>VLOOKUP($A200,'SegEnds_NonXtal_BW#'!$A:$Z,7,FALSE)+J200-50</f>
        <v>54</v>
      </c>
      <c r="J200" s="3">
        <v>67</v>
      </c>
      <c r="K200" s="3">
        <f>VLOOKUP($A200,'SegEnds_NonXtal_BW#'!$A:$Z,8,FALSE)+VLOOKUP($A200,A:AL,10,FALSE)-50</f>
        <v>84</v>
      </c>
      <c r="L200" s="3">
        <f>M200-1</f>
        <v>86</v>
      </c>
      <c r="M200" s="3">
        <v>87</v>
      </c>
      <c r="N200" s="3">
        <f>M200+2</f>
        <v>89</v>
      </c>
      <c r="O200" s="3">
        <f t="shared" si="139"/>
        <v>90</v>
      </c>
      <c r="P200" s="3">
        <v>119</v>
      </c>
      <c r="Q200" s="3">
        <f>VLOOKUP($A200,'SegEnds_NonXtal_BW#'!$A:$Z,12,FALSE)+VLOOKUP($A200,A:AL,16,FALSE)-50</f>
        <v>125</v>
      </c>
      <c r="R200" s="3">
        <f>IF(ISERROR(VLOOKUP($A200,'SegEnds_NonXtal_BW#'!$A:$Z,13,FALSE)+VLOOKUP($A200,A:AL,19,FALSE)-50),"-",VLOOKUP($A200,'SegEnds_NonXtal_BW#'!$A:$Z,13,FALSE)+VLOOKUP($A200,A:AL,19,FALSE)-50)</f>
        <v>126</v>
      </c>
      <c r="S200" s="3">
        <v>126</v>
      </c>
      <c r="T200" s="100">
        <f>IF(ISERROR(VLOOKUP($A200,'SegEnds_NonXtal_BW#'!$A:$Z,14,FALSE)+VLOOKUP($A200,A:AL,19,FALSE)-50),"-",(VLOOKUP($A200,'SegEnds_NonXtal_BW#'!$A:$Z,14,FALSE)+VLOOKUP($A200,A:AL,19,FALSE)-50))</f>
        <v>133</v>
      </c>
      <c r="U200" s="9">
        <f>IF(ISERROR(VLOOKUP($A200,'SegEnds_NonXtal_BW#'!$A:$Z,15,FALSE)+VLOOKUP($A200,A:AL,22,FALSE)-50),"-",VLOOKUP($A200,'SegEnds_NonXtal_BW#'!$A:$Z,15,FALSE)+VLOOKUP($A200,A:AL,22,FALSE)-50)</f>
        <v>134</v>
      </c>
      <c r="V200" s="3">
        <v>146</v>
      </c>
      <c r="W200" s="3">
        <f>IF(ISERROR(VLOOKUP($A200,'SegEnds_NonXtal_BW#'!$A:$Z,16,FALSE)+VLOOKUP($A200,A:AL,22,FALSE)-50),"-",(VLOOKUP($A200,'SegEnds_NonXtal_BW#'!$A:$Z,16,FALSE)+VLOOKUP($A200,A:AL,22,FALSE)-50))</f>
        <v>159</v>
      </c>
      <c r="X200" s="3">
        <f>IF(ISERROR(VLOOKUP($A200,'SegEnds_NonXtal_BW#'!$A:$Z,17,FALSE)+VLOOKUP($A200,A:AL,25,FALSE)-50),"-",(VLOOKUP($A200,'SegEnds_NonXtal_BW#'!$A:$Z,17,FALSE)+VLOOKUP($A200,A:AL,25,FALSE)-50))</f>
        <v>172</v>
      </c>
      <c r="Y200" s="3">
        <v>172</v>
      </c>
      <c r="Z200" s="3">
        <f t="shared" si="140"/>
        <v>174</v>
      </c>
      <c r="AA200" s="3">
        <f>IF(ISERROR(VLOOKUP($A200,'SegEnds_NonXtal_BW#'!$A:$Z,19,FALSE)+VLOOKUP($A200,A:AL,28,FALSE)-50),"-",(VLOOKUP($A200,'SegEnds_NonXtal_BW#'!$A:$Z,19,FALSE)+VLOOKUP($A200,A:AL,28,FALSE)-50))</f>
        <v>180</v>
      </c>
      <c r="AB200" s="3">
        <v>197</v>
      </c>
      <c r="AC200" s="3">
        <f>IF(ISERROR((VLOOKUP($A200,'SegEnds_NonXtal_BW#'!$A:$Z,20,FALSE)+VLOOKUP($A200,A:AL,28,FALSE)-50)),"-",(VLOOKUP($A200,'SegEnds_NonXtal_BW#'!$A:$Z,20,FALSE)+VLOOKUP($A200,A:AL,28,FALSE)-50))</f>
        <v>214</v>
      </c>
      <c r="AD200" s="3">
        <f>IF(ISERROR(VLOOKUP($A200,'SegEnds_NonXtal_BW#'!$A:$Z,21,FALSE)+VLOOKUP($A200,A:AL,31,FALSE)-50),"-",(VLOOKUP($A200,'SegEnds_NonXtal_BW#'!$A:$Z,21,FALSE)+VLOOKUP($A200,A:AL,31,FALSE)-50))</f>
        <v>219</v>
      </c>
      <c r="AE200" s="3">
        <v>243</v>
      </c>
      <c r="AF200" s="3">
        <f>IF(ISERROR((VLOOKUP($A200,'SegEnds_NonXtal_BW#'!$A:$Z,22,FALSE)+VLOOKUP($A200,A:AL,31,FALSE)-50)),"-",(VLOOKUP($A200,'SegEnds_NonXtal_BW#'!$A:$Z,22,FALSE)+VLOOKUP($A200,A:AL,31,FALSE)-50))</f>
        <v>254</v>
      </c>
      <c r="AG200" s="3">
        <f>IF(ISERROR(VLOOKUP($A200,'SegEnds_NonXtal_BW#'!$A:$Z,23,FALSE)+VLOOKUP($A200,A:AL,34,FALSE)-50),"-",(VLOOKUP($A200,'SegEnds_NonXtal_BW#'!$A:$Z,23,FALSE)+VLOOKUP($A200,A:AL,34,FALSE)-50))</f>
        <v>261</v>
      </c>
      <c r="AH200" s="3">
        <v>283</v>
      </c>
      <c r="AI200" s="3">
        <f>IF(ISERROR((VLOOKUP($A200,'SegEnds_NonXtal_BW#'!$A:$Z,24,FALSE)+VLOOKUP($A200,A:AL,34,FALSE)-50)),"-",(VLOOKUP($A200,'SegEnds_NonXtal_BW#'!$A:$Z,24,FALSE)+VLOOKUP($A200,A:AL,34,FALSE)-50))</f>
        <v>292</v>
      </c>
      <c r="AJ200" s="3">
        <f>IF(ISERROR(VLOOKUP($A200,'SegEnds_NonXtal_BW#'!$A:$Z,25,FALSE)+VLOOKUP($A200,A:AL,37,FALSE)-50),"-",(VLOOKUP($A200,'SegEnds_NonXtal_BW#'!$A:$Z,25,FALSE)+VLOOKUP($A200,A:AL,37,FALSE)-50))</f>
        <v>293</v>
      </c>
      <c r="AK200" s="3">
        <v>293</v>
      </c>
      <c r="AL200" s="3">
        <f>IF(ISERROR((VLOOKUP($A200,'SegEnds_NonXtal_BW#'!$A:$Z,26,FALSE)+VLOOKUP($A200,A:AL,37,FALSE)-50)),"-",(VLOOKUP($A200,'SegEnds_NonXtal_BW#'!$A:$Z,26,FALSE)+VLOOKUP($A200,A:AL,37,FALSE)-50))</f>
        <v>306</v>
      </c>
      <c r="AM200" s="28" t="str">
        <f>VLOOKUP(A200,Classification!A:B,2,FALSE)</f>
        <v>A</v>
      </c>
      <c r="AN200" s="28" t="b">
        <f t="shared" si="156"/>
        <v>1</v>
      </c>
      <c r="AO200" s="3" t="str">
        <f>IF(ISERROR(MATCH(A200,'SegEnds_Xtal_Prot#'!B:B, 0)), "NoXtal", "Xtal")</f>
        <v>NoXtal</v>
      </c>
      <c r="AP200" s="3">
        <f t="shared" si="141"/>
        <v>1</v>
      </c>
      <c r="AQ200" s="3">
        <f t="shared" si="142"/>
        <v>1</v>
      </c>
      <c r="AR200" s="3">
        <f t="shared" si="143"/>
        <v>2</v>
      </c>
      <c r="AS200" s="3">
        <f t="shared" si="144"/>
        <v>1</v>
      </c>
      <c r="AT200" s="3">
        <f t="shared" si="145"/>
        <v>1</v>
      </c>
      <c r="AU200" s="3">
        <f t="shared" si="146"/>
        <v>1</v>
      </c>
      <c r="AV200" s="3">
        <f t="shared" si="147"/>
        <v>13</v>
      </c>
      <c r="AW200" s="3">
        <f t="shared" si="148"/>
        <v>6</v>
      </c>
      <c r="AX200" s="3">
        <f t="shared" si="149"/>
        <v>5</v>
      </c>
      <c r="AY200" s="3">
        <f t="shared" si="150"/>
        <v>7</v>
      </c>
      <c r="AZ200" s="3">
        <f t="shared" si="151"/>
        <v>1</v>
      </c>
      <c r="BA200" s="3">
        <f>IF(ISERROR(LEN(VLOOKUP(A200,Seqs!A:E,2,FALSE))-AL200),"-",LEN(VLOOKUP(A200,Seqs!A:E,2,FALSE))-AL200)</f>
        <v>59</v>
      </c>
      <c r="BB200" s="16">
        <f t="shared" si="152"/>
        <v>28</v>
      </c>
      <c r="BC200" s="9">
        <f t="shared" si="153"/>
        <v>20</v>
      </c>
      <c r="BD200" s="3">
        <f t="shared" si="154"/>
        <v>28</v>
      </c>
      <c r="BE200" s="3">
        <f t="shared" si="155"/>
        <v>46</v>
      </c>
    </row>
    <row r="201" spans="1:57" s="3" customFormat="1" x14ac:dyDescent="0.2">
      <c r="A201" s="3" t="s">
        <v>332</v>
      </c>
      <c r="B201" s="3" t="s">
        <v>913</v>
      </c>
      <c r="C201" s="3">
        <f>VLOOKUP($A201,'SegEnds_NonXtal_BW#'!$A:$Z,3,FALSE)+D201-50</f>
        <v>66</v>
      </c>
      <c r="D201" s="3">
        <v>88</v>
      </c>
      <c r="E201" s="3">
        <f>IF(ISERROR(VLOOKUP($A201,'SegEnds_NonXtal_BW#'!$A:$Z,4,FALSE)+VLOOKUP($A201,A:AL,4,FALSE)-50),"-",(VLOOKUP($A201,'SegEnds_NonXtal_BW#'!$A:$Z,4,FALSE)+VLOOKUP($A201,A:AL,4,FALSE)-50))</f>
        <v>98</v>
      </c>
      <c r="F201" s="3">
        <f t="shared" ref="F201:F209" si="157">G201-2</f>
        <v>99</v>
      </c>
      <c r="G201" s="3">
        <v>101</v>
      </c>
      <c r="H201" s="3">
        <f t="shared" ref="H201:I209" si="158">G201+1</f>
        <v>102</v>
      </c>
      <c r="I201" s="3">
        <f t="shared" si="158"/>
        <v>103</v>
      </c>
      <c r="J201" s="3">
        <v>116</v>
      </c>
      <c r="K201" s="3">
        <v>134</v>
      </c>
      <c r="L201" s="3">
        <f>M201-1</f>
        <v>135</v>
      </c>
      <c r="M201" s="3">
        <v>136</v>
      </c>
      <c r="N201" s="3">
        <f>M201+2</f>
        <v>138</v>
      </c>
      <c r="O201" s="3">
        <f t="shared" si="139"/>
        <v>139</v>
      </c>
      <c r="P201" s="3">
        <v>168</v>
      </c>
      <c r="Q201" s="3">
        <f>VLOOKUP($A201,'SegEnds_NonXtal_BW#'!$A:$Z,12,FALSE)+VLOOKUP($A201,A:AL,16,FALSE)-50</f>
        <v>174</v>
      </c>
      <c r="R201" s="3">
        <f>IF(ISERROR(VLOOKUP($A201,'SegEnds_NonXtal_BW#'!$A:$Z,13,FALSE)+VLOOKUP($A201,A:AL,19,FALSE)-50),"-",VLOOKUP($A201,'SegEnds_NonXtal_BW#'!$A:$Z,13,FALSE)+VLOOKUP($A201,A:AL,19,FALSE)-50)</f>
        <v>175</v>
      </c>
      <c r="S201" s="3">
        <v>175</v>
      </c>
      <c r="T201" s="100">
        <f>IF(ISERROR(VLOOKUP($A201,'SegEnds_NonXtal_BW#'!$A:$Z,14,FALSE)+VLOOKUP($A201,A:AL,19,FALSE)-50),"-",(VLOOKUP($A201,'SegEnds_NonXtal_BW#'!$A:$Z,14,FALSE)+VLOOKUP($A201,A:AL,19,FALSE)-50))</f>
        <v>182</v>
      </c>
      <c r="U201" s="9">
        <f>IF(ISERROR(VLOOKUP($A201,'SegEnds_NonXtal_BW#'!$A:$Z,15,FALSE)+VLOOKUP($A201,A:AL,22,FALSE)-50),"-",VLOOKUP($A201,'SegEnds_NonXtal_BW#'!$A:$Z,15,FALSE)+VLOOKUP($A201,A:AL,22,FALSE)-50)</f>
        <v>183</v>
      </c>
      <c r="V201" s="3">
        <v>195</v>
      </c>
      <c r="W201" s="3">
        <f>IF(ISERROR(VLOOKUP($A201,'SegEnds_NonXtal_BW#'!$A:$Z,16,FALSE)+VLOOKUP($A201,A:AL,22,FALSE)-50),"-",(VLOOKUP($A201,'SegEnds_NonXtal_BW#'!$A:$Z,16,FALSE)+VLOOKUP($A201,A:AL,22,FALSE)-50))</f>
        <v>207</v>
      </c>
      <c r="X201" s="3">
        <f>IF(ISERROR(VLOOKUP($A201,'SegEnds_NonXtal_BW#'!$A:$Z,17,FALSE)+VLOOKUP($A201,A:AL,25,FALSE)-50),"-",(VLOOKUP($A201,'SegEnds_NonXtal_BW#'!$A:$Z,17,FALSE)+VLOOKUP($A201,A:AL,25,FALSE)-50))</f>
        <v>221</v>
      </c>
      <c r="Y201" s="3">
        <v>221</v>
      </c>
      <c r="Z201" s="3">
        <f t="shared" si="140"/>
        <v>223</v>
      </c>
      <c r="AA201" s="3">
        <f>IF(ISERROR(VLOOKUP($A201,'SegEnds_NonXtal_BW#'!$A:$Z,19,FALSE)+VLOOKUP($A201,A:AL,28,FALSE)-50),"-",(VLOOKUP($A201,'SegEnds_NonXtal_BW#'!$A:$Z,19,FALSE)+VLOOKUP($A201,A:AL,28,FALSE)-50))</f>
        <v>231</v>
      </c>
      <c r="AB201" s="3">
        <v>247</v>
      </c>
      <c r="AC201" s="3">
        <f>IF(ISERROR((VLOOKUP($A201,'SegEnds_NonXtal_BW#'!$A:$Z,20,FALSE)+VLOOKUP($A201,A:AL,28,FALSE)-50)),"-",(VLOOKUP($A201,'SegEnds_NonXtal_BW#'!$A:$Z,20,FALSE)+VLOOKUP($A201,A:AL,28,FALSE)-50))</f>
        <v>278</v>
      </c>
      <c r="AD201" s="3">
        <f>IF(ISERROR(VLOOKUP($A201,'SegEnds_NonXtal_BW#'!$A:$Z,21,FALSE)+VLOOKUP($A201,A:AL,31,FALSE)-50),"-",(VLOOKUP($A201,'SegEnds_NonXtal_BW#'!$A:$Z,21,FALSE)+VLOOKUP($A201,A:AL,31,FALSE)-50))</f>
        <v>284</v>
      </c>
      <c r="AE201" s="3">
        <v>311</v>
      </c>
      <c r="AF201" s="3">
        <f>IF(ISERROR((VLOOKUP($A201,'SegEnds_NonXtal_BW#'!$A:$Z,22,FALSE)+VLOOKUP($A201,A:AL,31,FALSE)-50)),"-",(VLOOKUP($A201,'SegEnds_NonXtal_BW#'!$A:$Z,22,FALSE)+VLOOKUP($A201,A:AL,31,FALSE)-50))</f>
        <v>322</v>
      </c>
      <c r="AG201" s="3">
        <f>IF(ISERROR(VLOOKUP($A201,'SegEnds_NonXtal_BW#'!$A:$Z,23,FALSE)+VLOOKUP($A201,A:AL,34,FALSE)-50),"-",(VLOOKUP($A201,'SegEnds_NonXtal_BW#'!$A:$Z,23,FALSE)+VLOOKUP($A201,A:AL,34,FALSE)-50))</f>
        <v>328</v>
      </c>
      <c r="AH201" s="3">
        <v>347</v>
      </c>
      <c r="AI201" s="3">
        <f>IF(ISERROR((VLOOKUP($A201,'SegEnds_NonXtal_BW#'!$A:$Z,24,FALSE)+VLOOKUP($A201,A:AL,34,FALSE)-50)),"-",(VLOOKUP($A201,'SegEnds_NonXtal_BW#'!$A:$Z,24,FALSE)+VLOOKUP($A201,A:AL,34,FALSE)-50))</f>
        <v>353</v>
      </c>
      <c r="AJ201" s="3">
        <f>IF(ISERROR(VLOOKUP($A201,'SegEnds_NonXtal_BW#'!$A:$Z,25,FALSE)+VLOOKUP($A201,A:AL,37,FALSE)-50),"-",(VLOOKUP($A201,'SegEnds_NonXtal_BW#'!$A:$Z,25,FALSE)+VLOOKUP($A201,A:AL,37,FALSE)-50))</f>
        <v>354</v>
      </c>
      <c r="AK201" s="3">
        <v>357</v>
      </c>
      <c r="AL201" s="3">
        <f>IF(ISERROR((VLOOKUP($A201,'SegEnds_NonXtal_BW#'!$A:$Z,26,FALSE)+VLOOKUP($A201,A:AL,37,FALSE)-50)),"-",(VLOOKUP($A201,'SegEnds_NonXtal_BW#'!$A:$Z,26,FALSE)+VLOOKUP($A201,A:AL,37,FALSE)-50))</f>
        <v>366</v>
      </c>
      <c r="AM201" s="28" t="str">
        <f>VLOOKUP(A201,Classification!A:B,2,FALSE)</f>
        <v>A</v>
      </c>
      <c r="AN201" s="28" t="b">
        <f t="shared" si="156"/>
        <v>1</v>
      </c>
      <c r="AO201" s="3" t="str">
        <f>IF(ISERROR(MATCH(A201,'SegEnds_Xtal_Prot#'!B:B, 0)), "NoXtal", "Xtal")</f>
        <v>NoXtal</v>
      </c>
      <c r="AP201" s="3">
        <f t="shared" si="141"/>
        <v>1</v>
      </c>
      <c r="AQ201" s="3">
        <f t="shared" si="142"/>
        <v>1</v>
      </c>
      <c r="AR201" s="3">
        <f t="shared" si="143"/>
        <v>1</v>
      </c>
      <c r="AS201" s="3">
        <f t="shared" si="144"/>
        <v>1</v>
      </c>
      <c r="AT201" s="3">
        <f t="shared" si="145"/>
        <v>1</v>
      </c>
      <c r="AU201" s="3">
        <f t="shared" si="146"/>
        <v>1</v>
      </c>
      <c r="AV201" s="3">
        <f t="shared" si="147"/>
        <v>14</v>
      </c>
      <c r="AW201" s="3">
        <f t="shared" si="148"/>
        <v>8</v>
      </c>
      <c r="AX201" s="3">
        <f t="shared" si="149"/>
        <v>6</v>
      </c>
      <c r="AY201" s="3">
        <f t="shared" si="150"/>
        <v>6</v>
      </c>
      <c r="AZ201" s="3">
        <f t="shared" si="151"/>
        <v>1</v>
      </c>
      <c r="BA201" s="3">
        <f>IF(ISERROR(LEN(VLOOKUP(A201,Seqs!A:E,2,FALSE))-AL201),"-",LEN(VLOOKUP(A201,Seqs!A:E,2,FALSE))-AL201)</f>
        <v>112</v>
      </c>
      <c r="BB201" s="16">
        <f t="shared" si="152"/>
        <v>28</v>
      </c>
      <c r="BC201" s="9">
        <f t="shared" si="153"/>
        <v>20</v>
      </c>
      <c r="BD201" s="3">
        <f t="shared" si="154"/>
        <v>28</v>
      </c>
      <c r="BE201" s="3">
        <f t="shared" si="155"/>
        <v>64</v>
      </c>
    </row>
    <row r="202" spans="1:57" s="3" customFormat="1" x14ac:dyDescent="0.2">
      <c r="A202" s="3" t="s">
        <v>334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57"/>
        <v>78</v>
      </c>
      <c r="G202" s="3">
        <v>80</v>
      </c>
      <c r="H202" s="3">
        <f t="shared" si="158"/>
        <v>81</v>
      </c>
      <c r="I202" s="3">
        <f t="shared" si="158"/>
        <v>82</v>
      </c>
      <c r="J202" s="3">
        <v>95</v>
      </c>
      <c r="K202" s="3">
        <f>VLOOKUP($A202,'SegEnds_NonXtal_BW#'!$A:$Z,8,FALSE)+VLOOKUP($A202,A:AL,10,FALSE)-50</f>
        <v>112</v>
      </c>
      <c r="L202" s="3">
        <f>M202-1</f>
        <v>113</v>
      </c>
      <c r="M202" s="3">
        <v>114</v>
      </c>
      <c r="N202" s="3">
        <f>M202+2</f>
        <v>116</v>
      </c>
      <c r="O202" s="3">
        <f t="shared" si="139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40"/>
        <v>200</v>
      </c>
      <c r="AA202" s="3">
        <f>IF(ISERROR(VLOOKUP($A202,'SegEnds_NonXtal_BW#'!$A:$Z,19,FALSE)+VLOOKUP($A202,A:AL,28,FALSE)-50),"-",(VLOOKUP($A202,'SegEnds_NonXtal_BW#'!$A:$Z,19,FALSE)+VLOOKUP($A202,A:AL,28,FALSE)-50))</f>
        <v>205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56"/>
        <v>1</v>
      </c>
      <c r="AO202" s="3" t="str">
        <f>IF(ISERROR(MATCH(A202,'SegEnds_Xtal_Prot#'!B:B, 0)), "NoXtal", "Xtal")</f>
        <v>Xtal</v>
      </c>
      <c r="AP202" s="3">
        <f t="shared" si="141"/>
        <v>1</v>
      </c>
      <c r="AQ202" s="3">
        <f t="shared" si="142"/>
        <v>1</v>
      </c>
      <c r="AR202" s="3">
        <f t="shared" si="143"/>
        <v>1</v>
      </c>
      <c r="AS202" s="3">
        <f t="shared" si="144"/>
        <v>1</v>
      </c>
      <c r="AT202" s="3">
        <f t="shared" si="145"/>
        <v>1</v>
      </c>
      <c r="AU202" s="3">
        <f t="shared" si="146"/>
        <v>1</v>
      </c>
      <c r="AV202" s="3">
        <f t="shared" si="147"/>
        <v>11</v>
      </c>
      <c r="AW202" s="3">
        <f t="shared" si="148"/>
        <v>5</v>
      </c>
      <c r="AX202" s="3">
        <f t="shared" si="149"/>
        <v>6</v>
      </c>
      <c r="AY202" s="3">
        <f t="shared" si="150"/>
        <v>6</v>
      </c>
      <c r="AZ202" s="3">
        <f t="shared" si="151"/>
        <v>1</v>
      </c>
      <c r="BA202" s="3">
        <f>IF(ISERROR(LEN(VLOOKUP(A202,Seqs!A:E,2,FALSE))-AL202),"-",LEN(VLOOKUP(A202,Seqs!A:E,2,FALSE))-AL202)</f>
        <v>37</v>
      </c>
      <c r="BB202" s="16">
        <f t="shared" si="152"/>
        <v>28</v>
      </c>
      <c r="BC202" s="9">
        <f t="shared" si="153"/>
        <v>20</v>
      </c>
      <c r="BD202" s="3">
        <f t="shared" si="154"/>
        <v>28</v>
      </c>
      <c r="BE202" s="3">
        <f t="shared" si="155"/>
        <v>51</v>
      </c>
    </row>
    <row r="203" spans="1:57" s="3" customFormat="1" x14ac:dyDescent="0.2">
      <c r="A203" s="3" t="s">
        <v>909</v>
      </c>
      <c r="B203" s="3" t="str">
        <f>LOWER(VLOOKUP(A203,Xtal_Templ!A:B,2,FALSE))</f>
        <v>oprd_mouse</v>
      </c>
      <c r="C203" s="3">
        <f>VLOOKUP($A203,'SegEnds_NonXtal_BW#'!$A:$Z,3,FALSE)+D203-50</f>
        <v>41</v>
      </c>
      <c r="D203" s="3">
        <v>67</v>
      </c>
      <c r="E203" s="3">
        <f>IF(ISERROR(VLOOKUP($A203,'SegEnds_NonXtal_BW#'!$A:$Z,4,FALSE)+VLOOKUP($A203,A:AL,4,FALSE)-50),"-",(VLOOKUP($A203,'SegEnds_NonXtal_BW#'!$A:$Z,4,FALSE)+VLOOKUP($A203,A:AL,4,FALSE)-50))</f>
        <v>77</v>
      </c>
      <c r="F203" s="3">
        <f t="shared" si="157"/>
        <v>78</v>
      </c>
      <c r="G203" s="3">
        <v>80</v>
      </c>
      <c r="H203" s="3">
        <f t="shared" si="158"/>
        <v>81</v>
      </c>
      <c r="I203" s="3">
        <f t="shared" si="158"/>
        <v>82</v>
      </c>
      <c r="J203" s="3">
        <v>95</v>
      </c>
      <c r="K203" s="3">
        <f>VLOOKUP($A203,'SegEnds_NonXtal_BW#'!$A:$Z,8,FALSE)+VLOOKUP($A203,A:AL,10,FALSE)-50</f>
        <v>112</v>
      </c>
      <c r="L203" s="3">
        <f>IF(ISERROR(VLOOKUP($A203,'SegEnds_NonXtal_BW#'!$A:$Z,9,FALSE)+VLOOKUP($A203,A:AL,13,FALSE)-50),"-",(VLOOKUP($A203,'SegEnds_NonXtal_BW#'!$A:$Z,9,FALSE)+VLOOKUP($A203,A:AL,13,FALSE)-50))</f>
        <v>113</v>
      </c>
      <c r="M203" s="3">
        <v>114</v>
      </c>
      <c r="N203" s="3">
        <f>IF(ISERROR(VLOOKUP($A203,'SegEnds_NonXtal_BW#'!$A:$Z,10,FALSE)+VLOOKUP($A203,A:AL,13,FALSE)-50),"-",(VLOOKUP($A203,'SegEnds_NonXtal_BW#'!$A:$Z,10,FALSE)+VLOOKUP($A203,A:AL,13,FALSE)-50))</f>
        <v>116</v>
      </c>
      <c r="O203" s="3">
        <f t="shared" si="139"/>
        <v>117</v>
      </c>
      <c r="P203" s="3">
        <v>146</v>
      </c>
      <c r="Q203" s="3">
        <f>VLOOKUP($A203,'SegEnds_NonXtal_BW#'!$A:$Z,12,FALSE)+VLOOKUP($A203,A:AL,16,FALSE)-50</f>
        <v>152</v>
      </c>
      <c r="R203" s="3">
        <f>IF(ISERROR(VLOOKUP($A203,'SegEnds_NonXtal_BW#'!$A:$Z,13,FALSE)+VLOOKUP($A203,A:AL,19,FALSE)-50),"-",VLOOKUP($A203,'SegEnds_NonXtal_BW#'!$A:$Z,13,FALSE)+VLOOKUP($A203,A:AL,19,FALSE)-50)</f>
        <v>153</v>
      </c>
      <c r="S203" s="3">
        <v>153</v>
      </c>
      <c r="T203" s="100">
        <f>IF(ISERROR(VLOOKUP($A203,'SegEnds_NonXtal_BW#'!$A:$Z,14,FALSE)+VLOOKUP($A203,A:AL,19,FALSE)-50),"-",(VLOOKUP($A203,'SegEnds_NonXtal_BW#'!$A:$Z,14,FALSE)+VLOOKUP($A203,A:AL,19,FALSE)-50))</f>
        <v>160</v>
      </c>
      <c r="U203" s="9">
        <f>IF(ISERROR(VLOOKUP($A203,'SegEnds_NonXtal_BW#'!$A:$Z,15,FALSE)+VLOOKUP($A203,A:AL,22,FALSE)-50),"-",VLOOKUP($A203,'SegEnds_NonXtal_BW#'!$A:$Z,15,FALSE)+VLOOKUP($A203,A:AL,22,FALSE)-50)</f>
        <v>161</v>
      </c>
      <c r="V203" s="3">
        <v>173</v>
      </c>
      <c r="W203" s="3">
        <f>IF(ISERROR(VLOOKUP($A203,'SegEnds_NonXtal_BW#'!$A:$Z,16,FALSE)+VLOOKUP($A203,A:AL,22,FALSE)-50),"-",(VLOOKUP($A203,'SegEnds_NonXtal_BW#'!$A:$Z,16,FALSE)+VLOOKUP($A203,A:AL,22,FALSE)-50))</f>
        <v>187</v>
      </c>
      <c r="X203" s="3">
        <f>IF(ISERROR(VLOOKUP($A203,'SegEnds_NonXtal_BW#'!$A:$Z,17,FALSE)+VLOOKUP($A203,A:AL,25,FALSE)-50),"-",(VLOOKUP($A203,'SegEnds_NonXtal_BW#'!$A:$Z,17,FALSE)+VLOOKUP($A203,A:AL,25,FALSE)-50))</f>
        <v>198</v>
      </c>
      <c r="Y203" s="3">
        <v>198</v>
      </c>
      <c r="Z203" s="3">
        <f t="shared" si="140"/>
        <v>200</v>
      </c>
      <c r="AA203" s="3">
        <f>IF(ISERROR(VLOOKUP($A203,'SegEnds_NonXtal_BW#'!$A:$Z,19,FALSE)+VLOOKUP($A203,A:AL,28,FALSE)-50),"-",(VLOOKUP($A203,'SegEnds_NonXtal_BW#'!$A:$Z,19,FALSE)+VLOOKUP($A203,A:AL,28,FALSE)-50))</f>
        <v>205</v>
      </c>
      <c r="AB203" s="3">
        <v>225</v>
      </c>
      <c r="AC203" s="3">
        <f>IF(ISERROR((VLOOKUP($A203,'SegEnds_NonXtal_BW#'!$A:$Z,20,FALSE)+VLOOKUP($A203,A:AL,28,FALSE)-50)),"-",(VLOOKUP($A203,'SegEnds_NonXtal_BW#'!$A:$Z,20,FALSE)+VLOOKUP($A203,A:AL,28,FALSE)-50))</f>
        <v>243</v>
      </c>
      <c r="AD203" s="3">
        <f>IF(ISERROR(VLOOKUP($A203,'SegEnds_NonXtal_BW#'!$A:$Z,21,FALSE)+VLOOKUP($A203,A:AL,31,FALSE)-50),"-",(VLOOKUP($A203,'SegEnds_NonXtal_BW#'!$A:$Z,21,FALSE)+VLOOKUP($A203,A:AL,31,FALSE)-50))</f>
        <v>249</v>
      </c>
      <c r="AE203" s="3">
        <v>276</v>
      </c>
      <c r="AF203" s="3">
        <f>IF(ISERROR((VLOOKUP($A203,'SegEnds_NonXtal_BW#'!$A:$Z,22,FALSE)+VLOOKUP($A203,A:AL,31,FALSE)-50)),"-",(VLOOKUP($A203,'SegEnds_NonXtal_BW#'!$A:$Z,22,FALSE)+VLOOKUP($A203,A:AL,31,FALSE)-50))</f>
        <v>287</v>
      </c>
      <c r="AG203" s="3">
        <f>IF(ISERROR(VLOOKUP($A203,'SegEnds_NonXtal_BW#'!$A:$Z,23,FALSE)+VLOOKUP($A203,A:AL,34,FALSE)-50),"-",(VLOOKUP($A203,'SegEnds_NonXtal_BW#'!$A:$Z,23,FALSE)+VLOOKUP($A203,A:AL,34,FALSE)-50))</f>
        <v>293</v>
      </c>
      <c r="AH203" s="3">
        <v>315</v>
      </c>
      <c r="AI203" s="3">
        <f>IF(ISERROR((VLOOKUP($A203,'SegEnds_NonXtal_BW#'!$A:$Z,24,FALSE)+VLOOKUP($A203,A:AL,34,FALSE)-50)),"-",(VLOOKUP($A203,'SegEnds_NonXtal_BW#'!$A:$Z,24,FALSE)+VLOOKUP($A203,A:AL,34,FALSE)-50))</f>
        <v>321</v>
      </c>
      <c r="AJ203" s="3">
        <f>IF(ISERROR(VLOOKUP($A203,'SegEnds_NonXtal_BW#'!$A:$Z,25,FALSE)+VLOOKUP($A203,A:AL,37,FALSE)-50),"-",(VLOOKUP($A203,'SegEnds_NonXtal_BW#'!$A:$Z,25,FALSE)+VLOOKUP($A203,A:AL,37,FALSE)-50))</f>
        <v>322</v>
      </c>
      <c r="AK203" s="3">
        <v>325</v>
      </c>
      <c r="AL203" s="3">
        <f>IF(ISERROR((VLOOKUP($A203,'SegEnds_NonXtal_BW#'!$A:$Z,26,FALSE)+VLOOKUP($A203,A:AL,37,FALSE)-50)),"-",(VLOOKUP($A203,'SegEnds_NonXtal_BW#'!$A:$Z,26,FALSE)+VLOOKUP($A203,A:AL,37,FALSE)-50))</f>
        <v>335</v>
      </c>
      <c r="AM203" s="28" t="str">
        <f>VLOOKUP(A203,Classification!A:B,2,FALSE)</f>
        <v>A</v>
      </c>
      <c r="AN203" s="28" t="b">
        <f t="shared" si="156"/>
        <v>1</v>
      </c>
      <c r="AO203" s="3" t="str">
        <f>IF(ISERROR(MATCH(A203,'SegEnds_Xtal_Prot#'!B:B, 0)), "NoXtal", "Xtal")</f>
        <v>Xtal</v>
      </c>
      <c r="AP203" s="3">
        <f t="shared" si="141"/>
        <v>1</v>
      </c>
      <c r="AQ203" s="3">
        <f t="shared" si="142"/>
        <v>1</v>
      </c>
      <c r="AR203" s="3">
        <f t="shared" si="143"/>
        <v>1</v>
      </c>
      <c r="AS203" s="3">
        <f t="shared" si="144"/>
        <v>1</v>
      </c>
      <c r="AT203" s="3">
        <f t="shared" si="145"/>
        <v>1</v>
      </c>
      <c r="AU203" s="3">
        <f t="shared" si="146"/>
        <v>1</v>
      </c>
      <c r="AV203" s="3">
        <f t="shared" si="147"/>
        <v>11</v>
      </c>
      <c r="AW203" s="3">
        <f t="shared" si="148"/>
        <v>5</v>
      </c>
      <c r="AX203" s="3">
        <f t="shared" si="149"/>
        <v>6</v>
      </c>
      <c r="AY203" s="3">
        <f t="shared" si="150"/>
        <v>6</v>
      </c>
      <c r="AZ203" s="3">
        <f t="shared" si="151"/>
        <v>1</v>
      </c>
      <c r="BA203" s="3">
        <f>IF(ISERROR(LEN(VLOOKUP(A203,Seqs!A:E,2,FALSE))-AL203),"-",LEN(VLOOKUP(A203,Seqs!A:E,2,FALSE))-AL203)</f>
        <v>37</v>
      </c>
      <c r="BB203" s="16">
        <f t="shared" si="152"/>
        <v>28</v>
      </c>
      <c r="BC203" s="9">
        <f t="shared" si="153"/>
        <v>20</v>
      </c>
      <c r="BD203" s="3">
        <f t="shared" si="154"/>
        <v>28</v>
      </c>
      <c r="BE203" s="3">
        <f t="shared" si="155"/>
        <v>51</v>
      </c>
    </row>
    <row r="204" spans="1:57" s="3" customFormat="1" x14ac:dyDescent="0.2">
      <c r="A204" s="3" t="s">
        <v>335</v>
      </c>
      <c r="B204" s="3" t="str">
        <f>LOWER(VLOOKUP(A204,Xtal_Templ!A:B,2,FALSE))</f>
        <v>oprk_human</v>
      </c>
      <c r="C204" s="3">
        <f>VLOOKUP($A204,'SegEnds_NonXtal_BW#'!$A:$Z,3,FALSE)+D204-50</f>
        <v>57</v>
      </c>
      <c r="D204" s="3">
        <v>77</v>
      </c>
      <c r="E204" s="3">
        <f>IF(ISERROR(VLOOKUP($A204,'SegEnds_NonXtal_BW#'!$A:$Z,4,FALSE)+VLOOKUP($A204,A:AL,4,FALSE)-50),"-",(VLOOKUP($A204,'SegEnds_NonXtal_BW#'!$A:$Z,4,FALSE)+VLOOKUP($A204,A:AL,4,FALSE)-50))</f>
        <v>87</v>
      </c>
      <c r="F204" s="3">
        <f t="shared" si="157"/>
        <v>88</v>
      </c>
      <c r="G204" s="3">
        <v>90</v>
      </c>
      <c r="H204" s="3">
        <f t="shared" si="158"/>
        <v>91</v>
      </c>
      <c r="I204" s="3">
        <f t="shared" si="158"/>
        <v>92</v>
      </c>
      <c r="J204" s="3">
        <v>105</v>
      </c>
      <c r="K204" s="3">
        <f>VLOOKUP($A204,'SegEnds_NonXtal_BW#'!$A:$Z,8,FALSE)+VLOOKUP($A204,A:AL,10,FALSE)-50</f>
        <v>122</v>
      </c>
      <c r="L204" s="3">
        <f>M204-1</f>
        <v>123</v>
      </c>
      <c r="M204" s="3">
        <v>124</v>
      </c>
      <c r="N204" s="3">
        <f>M204+2</f>
        <v>126</v>
      </c>
      <c r="O204" s="3">
        <f t="shared" si="139"/>
        <v>127</v>
      </c>
      <c r="P204" s="3">
        <v>156</v>
      </c>
      <c r="Q204" s="3">
        <f>VLOOKUP($A204,'SegEnds_NonXtal_BW#'!$A:$Z,12,FALSE)+VLOOKUP($A204,A:AL,16,FALSE)-50</f>
        <v>162</v>
      </c>
      <c r="R204" s="3">
        <f>IF(ISERROR(VLOOKUP($A204,'SegEnds_NonXtal_BW#'!$A:$Z,13,FALSE)+VLOOKUP($A204,A:AL,19,FALSE)-50),"-",VLOOKUP($A204,'SegEnds_NonXtal_BW#'!$A:$Z,13,FALSE)+VLOOKUP($A204,A:AL,19,FALSE)-50)</f>
        <v>163</v>
      </c>
      <c r="S204" s="3">
        <v>163</v>
      </c>
      <c r="T204" s="100">
        <f>IF(ISERROR(VLOOKUP($A204,'SegEnds_NonXtal_BW#'!$A:$Z,14,FALSE)+VLOOKUP($A204,A:AL,19,FALSE)-50),"-",(VLOOKUP($A204,'SegEnds_NonXtal_BW#'!$A:$Z,14,FALSE)+VLOOKUP($A204,A:AL,19,FALSE)-50))</f>
        <v>170</v>
      </c>
      <c r="U204" s="9">
        <f>IF(ISERROR(VLOOKUP($A204,'SegEnds_NonXtal_BW#'!$A:$Z,15,FALSE)+VLOOKUP($A204,A:AL,22,FALSE)-50),"-",VLOOKUP($A204,'SegEnds_NonXtal_BW#'!$A:$Z,15,FALSE)+VLOOKUP($A204,A:AL,22,FALSE)-50)</f>
        <v>171</v>
      </c>
      <c r="V204" s="3">
        <v>183</v>
      </c>
      <c r="W204" s="3">
        <f>IF(ISERROR(VLOOKUP($A204,'SegEnds_NonXtal_BW#'!$A:$Z,16,FALSE)+VLOOKUP($A204,A:AL,22,FALSE)-50),"-",(VLOOKUP($A204,'SegEnds_NonXtal_BW#'!$A:$Z,16,FALSE)+VLOOKUP($A204,A:AL,22,FALSE)-50))</f>
        <v>197</v>
      </c>
      <c r="X204" s="3">
        <f>IF(ISERROR(VLOOKUP($A204,'SegEnds_NonXtal_BW#'!$A:$Z,17,FALSE)+VLOOKUP($A204,A:AL,25,FALSE)-50),"-",(VLOOKUP($A204,'SegEnds_NonXtal_BW#'!$A:$Z,17,FALSE)+VLOOKUP($A204,A:AL,25,FALSE)-50))</f>
        <v>210</v>
      </c>
      <c r="Y204" s="3">
        <v>210</v>
      </c>
      <c r="Z204" s="3">
        <f t="shared" si="140"/>
        <v>212</v>
      </c>
      <c r="AA204" s="3">
        <f>IF(ISERROR(VLOOKUP($A204,'SegEnds_NonXtal_BW#'!$A:$Z,19,FALSE)+VLOOKUP($A204,A:AL,28,FALSE)-50),"-",(VLOOKUP($A204,'SegEnds_NonXtal_BW#'!$A:$Z,19,FALSE)+VLOOKUP($A204,A:AL,28,FALSE)-50))</f>
        <v>218</v>
      </c>
      <c r="AB204" s="3">
        <v>238</v>
      </c>
      <c r="AC204" s="3">
        <f>IF(ISERROR((VLOOKUP($A204,'SegEnds_NonXtal_BW#'!$A:$Z,20,FALSE)+VLOOKUP($A204,A:AL,28,FALSE)-50)),"-",(VLOOKUP($A204,'SegEnds_NonXtal_BW#'!$A:$Z,20,FALSE)+VLOOKUP($A204,A:AL,28,FALSE)-50))</f>
        <v>256</v>
      </c>
      <c r="AD204" s="3">
        <f>IF(ISERROR(VLOOKUP($A204,'SegEnds_NonXtal_BW#'!$A:$Z,21,FALSE)+VLOOKUP($A204,A:AL,31,FALSE)-50),"-",(VLOOKUP($A204,'SegEnds_NonXtal_BW#'!$A:$Z,21,FALSE)+VLOOKUP($A204,A:AL,31,FALSE)-50))</f>
        <v>262</v>
      </c>
      <c r="AE204" s="3">
        <v>289</v>
      </c>
      <c r="AF204" s="3">
        <f>IF(ISERROR((VLOOKUP($A204,'SegEnds_NonXtal_BW#'!$A:$Z,22,FALSE)+VLOOKUP($A204,A:AL,31,FALSE)-50)),"-",(VLOOKUP($A204,'SegEnds_NonXtal_BW#'!$A:$Z,22,FALSE)+VLOOKUP($A204,A:AL,31,FALSE)-50))</f>
        <v>300</v>
      </c>
      <c r="AG204" s="3">
        <f>IF(ISERROR(VLOOKUP($A204,'SegEnds_NonXtal_BW#'!$A:$Z,23,FALSE)+VLOOKUP($A204,A:AL,34,FALSE)-50),"-",(VLOOKUP($A204,'SegEnds_NonXtal_BW#'!$A:$Z,23,FALSE)+VLOOKUP($A204,A:AL,34,FALSE)-50))</f>
        <v>305</v>
      </c>
      <c r="AH204" s="3">
        <v>327</v>
      </c>
      <c r="AI204" s="3">
        <f>IF(ISERROR((VLOOKUP($A204,'SegEnds_NonXtal_BW#'!$A:$Z,24,FALSE)+VLOOKUP($A204,A:AL,34,FALSE)-50)),"-",(VLOOKUP($A204,'SegEnds_NonXtal_BW#'!$A:$Z,24,FALSE)+VLOOKUP($A204,A:AL,34,FALSE)-50))</f>
        <v>333</v>
      </c>
      <c r="AJ204" s="3">
        <f>IF(ISERROR(VLOOKUP($A204,'SegEnds_NonXtal_BW#'!$A:$Z,25,FALSE)+VLOOKUP($A204,A:AL,37,FALSE)-50),"-",(VLOOKUP($A204,'SegEnds_NonXtal_BW#'!$A:$Z,25,FALSE)+VLOOKUP($A204,A:AL,37,FALSE)-50))</f>
        <v>334</v>
      </c>
      <c r="AK204" s="3">
        <v>337</v>
      </c>
      <c r="AL204" s="3">
        <f>IF(ISERROR((VLOOKUP($A204,'SegEnds_NonXtal_BW#'!$A:$Z,26,FALSE)+VLOOKUP($A204,A:AL,37,FALSE)-50)),"-",(VLOOKUP($A204,'SegEnds_NonXtal_BW#'!$A:$Z,26,FALSE)+VLOOKUP($A204,A:AL,37,FALSE)-50))</f>
        <v>346</v>
      </c>
      <c r="AM204" s="28" t="str">
        <f>VLOOKUP(A204,Classification!A:B,2,FALSE)</f>
        <v>A</v>
      </c>
      <c r="AN204" s="28" t="b">
        <f t="shared" si="156"/>
        <v>1</v>
      </c>
      <c r="AO204" s="3" t="str">
        <f>IF(ISERROR(MATCH(A204,'SegEnds_Xtal_Prot#'!B:B, 0)), "NoXtal", "Xtal")</f>
        <v>Xtal</v>
      </c>
      <c r="AP204" s="3">
        <f t="shared" si="141"/>
        <v>1</v>
      </c>
      <c r="AQ204" s="3">
        <f t="shared" si="142"/>
        <v>1</v>
      </c>
      <c r="AR204" s="3">
        <f t="shared" si="143"/>
        <v>1</v>
      </c>
      <c r="AS204" s="3">
        <f t="shared" si="144"/>
        <v>1</v>
      </c>
      <c r="AT204" s="3">
        <f t="shared" si="145"/>
        <v>1</v>
      </c>
      <c r="AU204" s="3">
        <f t="shared" si="146"/>
        <v>1</v>
      </c>
      <c r="AV204" s="3">
        <f t="shared" si="147"/>
        <v>13</v>
      </c>
      <c r="AW204" s="3">
        <f t="shared" si="148"/>
        <v>6</v>
      </c>
      <c r="AX204" s="3">
        <f t="shared" si="149"/>
        <v>6</v>
      </c>
      <c r="AY204" s="3">
        <f t="shared" si="150"/>
        <v>5</v>
      </c>
      <c r="AZ204" s="3">
        <f t="shared" si="151"/>
        <v>1</v>
      </c>
      <c r="BA204" s="3">
        <f>IF(ISERROR(LEN(VLOOKUP(A204,Seqs!A:E,2,FALSE))-AL204),"-",LEN(VLOOKUP(A204,Seqs!A:E,2,FALSE))-AL204)</f>
        <v>34</v>
      </c>
      <c r="BB204" s="16">
        <f t="shared" si="152"/>
        <v>28</v>
      </c>
      <c r="BC204" s="9">
        <f t="shared" si="153"/>
        <v>20</v>
      </c>
      <c r="BD204" s="3">
        <f t="shared" si="154"/>
        <v>28</v>
      </c>
      <c r="BE204" s="3">
        <f t="shared" si="155"/>
        <v>51</v>
      </c>
    </row>
    <row r="205" spans="1:57" s="3" customFormat="1" x14ac:dyDescent="0.2">
      <c r="A205" s="3" t="s">
        <v>336</v>
      </c>
      <c r="B205" s="3" t="str">
        <f>LOWER(VLOOKUP(A205,Xtal_Templ!A:B,2,FALSE))</f>
        <v>oprm_mouse</v>
      </c>
      <c r="C205" s="3">
        <f>VLOOKUP($A205,'SegEnds_NonXtal_BW#'!$A:$Z,3,FALSE)+D205-50</f>
        <v>67</v>
      </c>
      <c r="D205" s="3">
        <v>88</v>
      </c>
      <c r="E205" s="3">
        <f>IF(ISERROR(VLOOKUP($A205,'SegEnds_NonXtal_BW#'!$A:$Z,4,FALSE)+VLOOKUP($A205,A:AL,4,FALSE)-50),"-",(VLOOKUP($A205,'SegEnds_NonXtal_BW#'!$A:$Z,4,FALSE)+VLOOKUP($A205,A:AL,4,FALSE)-50))</f>
        <v>98</v>
      </c>
      <c r="F205" s="3">
        <f t="shared" si="157"/>
        <v>99</v>
      </c>
      <c r="G205" s="3">
        <v>101</v>
      </c>
      <c r="H205" s="3">
        <f t="shared" si="158"/>
        <v>102</v>
      </c>
      <c r="I205" s="3">
        <f t="shared" si="158"/>
        <v>103</v>
      </c>
      <c r="J205" s="3">
        <v>116</v>
      </c>
      <c r="K205" s="3">
        <f>VLOOKUP($A205,'SegEnds_NonXtal_BW#'!$A:$Z,8,FALSE)+VLOOKUP($A205,A:AL,10,FALSE)-50</f>
        <v>133</v>
      </c>
      <c r="L205" s="3">
        <f>M205-1</f>
        <v>134</v>
      </c>
      <c r="M205" s="3">
        <v>135</v>
      </c>
      <c r="N205" s="3">
        <f>M205+2</f>
        <v>137</v>
      </c>
      <c r="O205" s="3">
        <f t="shared" si="139"/>
        <v>138</v>
      </c>
      <c r="P205" s="3">
        <v>167</v>
      </c>
      <c r="Q205" s="3">
        <f>VLOOKUP($A205,'SegEnds_NonXtal_BW#'!$A:$Z,12,FALSE)+VLOOKUP($A205,A:AL,16,FALSE)-50</f>
        <v>173</v>
      </c>
      <c r="R205" s="3">
        <f>IF(ISERROR(VLOOKUP($A205,'SegEnds_NonXtal_BW#'!$A:$Z,13,FALSE)+VLOOKUP($A205,A:AL,19,FALSE)-50),"-",VLOOKUP($A205,'SegEnds_NonXtal_BW#'!$A:$Z,13,FALSE)+VLOOKUP($A205,A:AL,19,FALSE)-50)</f>
        <v>174</v>
      </c>
      <c r="S205" s="3">
        <v>174</v>
      </c>
      <c r="T205" s="100">
        <f>IF(ISERROR(VLOOKUP($A205,'SegEnds_NonXtal_BW#'!$A:$Z,14,FALSE)+VLOOKUP($A205,A:AL,19,FALSE)-50),"-",(VLOOKUP($A205,'SegEnds_NonXtal_BW#'!$A:$Z,14,FALSE)+VLOOKUP($A205,A:AL,19,FALSE)-50))</f>
        <v>181</v>
      </c>
      <c r="U205" s="9">
        <f>IF(ISERROR(VLOOKUP($A205,'SegEnds_NonXtal_BW#'!$A:$Z,15,FALSE)+VLOOKUP($A205,A:AL,22,FALSE)-50),"-",VLOOKUP($A205,'SegEnds_NonXtal_BW#'!$A:$Z,15,FALSE)+VLOOKUP($A205,A:AL,22,FALSE)-50)</f>
        <v>182</v>
      </c>
      <c r="V205" s="3">
        <v>194</v>
      </c>
      <c r="W205" s="3">
        <f>IF(ISERROR(VLOOKUP($A205,'SegEnds_NonXtal_BW#'!$A:$Z,16,FALSE)+VLOOKUP($A205,A:AL,22,FALSE)-50),"-",(VLOOKUP($A205,'SegEnds_NonXtal_BW#'!$A:$Z,16,FALSE)+VLOOKUP($A205,A:AL,22,FALSE)-50))</f>
        <v>208</v>
      </c>
      <c r="X205" s="3">
        <f>IF(ISERROR(VLOOKUP($A205,'SegEnds_NonXtal_BW#'!$A:$Z,17,FALSE)+VLOOKUP($A205,A:AL,25,FALSE)-50),"-",(VLOOKUP($A205,'SegEnds_NonXtal_BW#'!$A:$Z,17,FALSE)+VLOOKUP($A205,A:AL,25,FALSE)-50))</f>
        <v>219</v>
      </c>
      <c r="Y205" s="3">
        <v>219</v>
      </c>
      <c r="Z205" s="3">
        <f t="shared" si="140"/>
        <v>221</v>
      </c>
      <c r="AA205" s="3">
        <f>IF(ISERROR(VLOOKUP($A205,'SegEnds_NonXtal_BW#'!$A:$Z,19,FALSE)+VLOOKUP($A205,A:AL,28,FALSE)-50),"-",(VLOOKUP($A205,'SegEnds_NonXtal_BW#'!$A:$Z,19,FALSE)+VLOOKUP($A205,A:AL,28,FALSE)-50))</f>
        <v>226</v>
      </c>
      <c r="AB205" s="3">
        <v>246</v>
      </c>
      <c r="AC205" s="3">
        <f>IF(ISERROR((VLOOKUP($A205,'SegEnds_NonXtal_BW#'!$A:$Z,20,FALSE)+VLOOKUP($A205,A:AL,28,FALSE)-50)),"-",(VLOOKUP($A205,'SegEnds_NonXtal_BW#'!$A:$Z,20,FALSE)+VLOOKUP($A205,A:AL,28,FALSE)-50))</f>
        <v>264</v>
      </c>
      <c r="AD205" s="3">
        <f>IF(ISERROR(VLOOKUP($A205,'SegEnds_NonXtal_BW#'!$A:$Z,21,FALSE)+VLOOKUP($A205,A:AL,31,FALSE)-50),"-",(VLOOKUP($A205,'SegEnds_NonXtal_BW#'!$A:$Z,21,FALSE)+VLOOKUP($A205,A:AL,31,FALSE)-50))</f>
        <v>270</v>
      </c>
      <c r="AE205" s="3">
        <v>297</v>
      </c>
      <c r="AF205" s="3">
        <f>IF(ISERROR((VLOOKUP($A205,'SegEnds_NonXtal_BW#'!$A:$Z,22,FALSE)+VLOOKUP($A205,A:AL,31,FALSE)-50)),"-",(VLOOKUP($A205,'SegEnds_NonXtal_BW#'!$A:$Z,22,FALSE)+VLOOKUP($A205,A:AL,31,FALSE)-50))</f>
        <v>308</v>
      </c>
      <c r="AG205" s="3">
        <f>IF(ISERROR(VLOOKUP($A205,'SegEnds_NonXtal_BW#'!$A:$Z,23,FALSE)+VLOOKUP($A205,A:AL,34,FALSE)-50),"-",(VLOOKUP($A205,'SegEnds_NonXtal_BW#'!$A:$Z,23,FALSE)+VLOOKUP($A205,A:AL,34,FALSE)-50))</f>
        <v>313</v>
      </c>
      <c r="AH205" s="3">
        <v>335</v>
      </c>
      <c r="AI205" s="3">
        <f>IF(ISERROR((VLOOKUP($A205,'SegEnds_NonXtal_BW#'!$A:$Z,24,FALSE)+VLOOKUP($A205,A:AL,34,FALSE)-50)),"-",(VLOOKUP($A205,'SegEnds_NonXtal_BW#'!$A:$Z,24,FALSE)+VLOOKUP($A205,A:AL,34,FALSE)-50))</f>
        <v>341</v>
      </c>
      <c r="AJ205" s="3">
        <f>IF(ISERROR(VLOOKUP($A205,'SegEnds_NonXtal_BW#'!$A:$Z,25,FALSE)+VLOOKUP($A205,A:AL,37,FALSE)-50),"-",(VLOOKUP($A205,'SegEnds_NonXtal_BW#'!$A:$Z,25,FALSE)+VLOOKUP($A205,A:AL,37,FALSE)-50))</f>
        <v>342</v>
      </c>
      <c r="AK205" s="3">
        <v>345</v>
      </c>
      <c r="AL205" s="3">
        <f>IF(ISERROR((VLOOKUP($A205,'SegEnds_NonXtal_BW#'!$A:$Z,26,FALSE)+VLOOKUP($A205,A:AL,37,FALSE)-50)),"-",(VLOOKUP($A205,'SegEnds_NonXtal_BW#'!$A:$Z,26,FALSE)+VLOOKUP($A205,A:AL,37,FALSE)-50))</f>
        <v>354</v>
      </c>
      <c r="AM205" s="28" t="str">
        <f>VLOOKUP(A205,Classification!A:B,2,FALSE)</f>
        <v>A</v>
      </c>
      <c r="AN205" s="28" t="b">
        <f t="shared" si="156"/>
        <v>1</v>
      </c>
      <c r="AO205" s="3" t="str">
        <f>IF(ISERROR(MATCH(A205,'SegEnds_Xtal_Prot#'!B:B, 0)), "NoXtal", "Xtal")</f>
        <v>NoXtal</v>
      </c>
      <c r="AP205" s="3">
        <f t="shared" si="141"/>
        <v>1</v>
      </c>
      <c r="AQ205" s="3">
        <f t="shared" si="142"/>
        <v>1</v>
      </c>
      <c r="AR205" s="3">
        <f t="shared" si="143"/>
        <v>1</v>
      </c>
      <c r="AS205" s="3">
        <f t="shared" si="144"/>
        <v>1</v>
      </c>
      <c r="AT205" s="3">
        <f t="shared" si="145"/>
        <v>1</v>
      </c>
      <c r="AU205" s="3">
        <f t="shared" si="146"/>
        <v>1</v>
      </c>
      <c r="AV205" s="3">
        <f t="shared" si="147"/>
        <v>11</v>
      </c>
      <c r="AW205" s="3">
        <f t="shared" si="148"/>
        <v>5</v>
      </c>
      <c r="AX205" s="3">
        <f t="shared" si="149"/>
        <v>6</v>
      </c>
      <c r="AY205" s="3">
        <f t="shared" si="150"/>
        <v>5</v>
      </c>
      <c r="AZ205" s="3">
        <f t="shared" si="151"/>
        <v>1</v>
      </c>
      <c r="BA205" s="3">
        <f>IF(ISERROR(LEN(VLOOKUP(A205,Seqs!A:E,2,FALSE))-AL205),"-",LEN(VLOOKUP(A205,Seqs!A:E,2,FALSE))-AL205)</f>
        <v>46</v>
      </c>
      <c r="BB205" s="16">
        <f t="shared" si="152"/>
        <v>28</v>
      </c>
      <c r="BC205" s="9">
        <f t="shared" si="153"/>
        <v>20</v>
      </c>
      <c r="BD205" s="3">
        <f t="shared" si="154"/>
        <v>28</v>
      </c>
      <c r="BE205" s="3">
        <f t="shared" si="155"/>
        <v>51</v>
      </c>
    </row>
    <row r="206" spans="1:57" s="3" customFormat="1" x14ac:dyDescent="0.2">
      <c r="A206" s="3" t="s">
        <v>911</v>
      </c>
      <c r="B206" s="3" t="str">
        <f>LOWER(VLOOKUP(A206,Xtal_Templ!A:B,2,FALSE))</f>
        <v>oprm_mouse</v>
      </c>
      <c r="C206" s="3">
        <f>VLOOKUP($A206,'SegEnds_NonXtal_BW#'!$A:$Z,3,FALSE)+D206-50</f>
        <v>65</v>
      </c>
      <c r="D206" s="3">
        <v>86</v>
      </c>
      <c r="E206" s="3">
        <f>IF(ISERROR(VLOOKUP($A206,'SegEnds_NonXtal_BW#'!$A:$Z,4,FALSE)+VLOOKUP($A206,A:AL,4,FALSE)-50),"-",(VLOOKUP($A206,'SegEnds_NonXtal_BW#'!$A:$Z,4,FALSE)+VLOOKUP($A206,A:AL,4,FALSE)-50))</f>
        <v>96</v>
      </c>
      <c r="F206" s="3">
        <f t="shared" si="157"/>
        <v>97</v>
      </c>
      <c r="G206" s="3">
        <v>99</v>
      </c>
      <c r="H206" s="3">
        <f t="shared" si="158"/>
        <v>100</v>
      </c>
      <c r="I206" s="3">
        <f t="shared" si="158"/>
        <v>101</v>
      </c>
      <c r="J206" s="3">
        <v>114</v>
      </c>
      <c r="K206" s="3">
        <f>VLOOKUP($A206,'SegEnds_NonXtal_BW#'!$A:$Z,8,FALSE)+VLOOKUP($A206,A:AL,10,FALSE)-50</f>
        <v>131</v>
      </c>
      <c r="L206" s="3">
        <f>IF(ISERROR(VLOOKUP($A206,'SegEnds_NonXtal_BW#'!$A:$Z,9,FALSE)+VLOOKUP($A206,A:AL,13,FALSE)-50),"-",(VLOOKUP($A206,'SegEnds_NonXtal_BW#'!$A:$Z,9,FALSE)+VLOOKUP($A206,A:AL,13,FALSE)-50))</f>
        <v>132</v>
      </c>
      <c r="M206" s="3">
        <v>133</v>
      </c>
      <c r="N206" s="3">
        <f>IF(ISERROR(VLOOKUP($A206,'SegEnds_NonXtal_BW#'!$A:$Z,10,FALSE)+VLOOKUP($A206,A:AL,13,FALSE)-50),"-",(VLOOKUP($A206,'SegEnds_NonXtal_BW#'!$A:$Z,10,FALSE)+VLOOKUP($A206,A:AL,13,FALSE)-50))</f>
        <v>135</v>
      </c>
      <c r="O206" s="3">
        <f t="shared" si="139"/>
        <v>136</v>
      </c>
      <c r="P206" s="3">
        <v>165</v>
      </c>
      <c r="Q206" s="3">
        <f>VLOOKUP($A206,'SegEnds_NonXtal_BW#'!$A:$Z,12,FALSE)+VLOOKUP($A206,A:AL,16,FALSE)-50</f>
        <v>171</v>
      </c>
      <c r="R206" s="3">
        <f>IF(ISERROR(VLOOKUP($A206,'SegEnds_NonXtal_BW#'!$A:$Z,13,FALSE)+VLOOKUP($A206,A:AL,19,FALSE)-50),"-",VLOOKUP($A206,'SegEnds_NonXtal_BW#'!$A:$Z,13,FALSE)+VLOOKUP($A206,A:AL,19,FALSE)-50)</f>
        <v>172</v>
      </c>
      <c r="S206" s="3">
        <v>172</v>
      </c>
      <c r="T206" s="100">
        <f>IF(ISERROR(VLOOKUP($A206,'SegEnds_NonXtal_BW#'!$A:$Z,14,FALSE)+VLOOKUP($A206,A:AL,19,FALSE)-50),"-",(VLOOKUP($A206,'SegEnds_NonXtal_BW#'!$A:$Z,14,FALSE)+VLOOKUP($A206,A:AL,19,FALSE)-50))</f>
        <v>179</v>
      </c>
      <c r="U206" s="9">
        <f>IF(ISERROR(VLOOKUP($A206,'SegEnds_NonXtal_BW#'!$A:$Z,15,FALSE)+VLOOKUP($A206,A:AL,22,FALSE)-50),"-",VLOOKUP($A206,'SegEnds_NonXtal_BW#'!$A:$Z,15,FALSE)+VLOOKUP($A206,A:AL,22,FALSE)-50)</f>
        <v>180</v>
      </c>
      <c r="V206" s="3">
        <v>192</v>
      </c>
      <c r="W206" s="3">
        <f>IF(ISERROR(VLOOKUP($A206,'SegEnds_NonXtal_BW#'!$A:$Z,16,FALSE)+VLOOKUP($A206,A:AL,22,FALSE)-50),"-",(VLOOKUP($A206,'SegEnds_NonXtal_BW#'!$A:$Z,16,FALSE)+VLOOKUP($A206,A:AL,22,FALSE)-50))</f>
        <v>206</v>
      </c>
      <c r="X206" s="3">
        <f>IF(ISERROR(VLOOKUP($A206,'SegEnds_NonXtal_BW#'!$A:$Z,17,FALSE)+VLOOKUP($A206,A:AL,25,FALSE)-50),"-",(VLOOKUP($A206,'SegEnds_NonXtal_BW#'!$A:$Z,17,FALSE)+VLOOKUP($A206,A:AL,25,FALSE)-50))</f>
        <v>217</v>
      </c>
      <c r="Y206" s="3">
        <v>217</v>
      </c>
      <c r="Z206" s="3">
        <f t="shared" si="140"/>
        <v>219</v>
      </c>
      <c r="AA206" s="3">
        <f>IF(ISERROR(VLOOKUP($A206,'SegEnds_NonXtal_BW#'!$A:$Z,19,FALSE)+VLOOKUP($A206,A:AL,28,FALSE)-50),"-",(VLOOKUP($A206,'SegEnds_NonXtal_BW#'!$A:$Z,19,FALSE)+VLOOKUP($A206,A:AL,28,FALSE)-50))</f>
        <v>224</v>
      </c>
      <c r="AB206" s="3">
        <v>244</v>
      </c>
      <c r="AC206" s="3">
        <f>IF(ISERROR((VLOOKUP($A206,'SegEnds_NonXtal_BW#'!$A:$Z,20,FALSE)+VLOOKUP($A206,A:AL,28,FALSE)-50)),"-",(VLOOKUP($A206,'SegEnds_NonXtal_BW#'!$A:$Z,20,FALSE)+VLOOKUP($A206,A:AL,28,FALSE)-50))</f>
        <v>262</v>
      </c>
      <c r="AD206" s="3">
        <f>IF(ISERROR(VLOOKUP($A206,'SegEnds_NonXtal_BW#'!$A:$Z,21,FALSE)+VLOOKUP($A206,A:AL,31,FALSE)-50),"-",(VLOOKUP($A206,'SegEnds_NonXtal_BW#'!$A:$Z,21,FALSE)+VLOOKUP($A206,A:AL,31,FALSE)-50))</f>
        <v>268</v>
      </c>
      <c r="AE206" s="3">
        <v>295</v>
      </c>
      <c r="AF206" s="3">
        <f>IF(ISERROR((VLOOKUP($A206,'SegEnds_NonXtal_BW#'!$A:$Z,22,FALSE)+VLOOKUP($A206,A:AL,31,FALSE)-50)),"-",(VLOOKUP($A206,'SegEnds_NonXtal_BW#'!$A:$Z,22,FALSE)+VLOOKUP($A206,A:AL,31,FALSE)-50))</f>
        <v>306</v>
      </c>
      <c r="AG206" s="3">
        <f>IF(ISERROR(VLOOKUP($A206,'SegEnds_NonXtal_BW#'!$A:$Z,23,FALSE)+VLOOKUP($A206,A:AL,34,FALSE)-50),"-",(VLOOKUP($A206,'SegEnds_NonXtal_BW#'!$A:$Z,23,FALSE)+VLOOKUP($A206,A:AL,34,FALSE)-50))</f>
        <v>311</v>
      </c>
      <c r="AH206" s="3">
        <v>333</v>
      </c>
      <c r="AI206" s="3">
        <f>IF(ISERROR((VLOOKUP($A206,'SegEnds_NonXtal_BW#'!$A:$Z,24,FALSE)+VLOOKUP($A206,A:AL,34,FALSE)-50)),"-",(VLOOKUP($A206,'SegEnds_NonXtal_BW#'!$A:$Z,24,FALSE)+VLOOKUP($A206,A:AL,34,FALSE)-50))</f>
        <v>339</v>
      </c>
      <c r="AJ206" s="3">
        <f>IF(ISERROR(VLOOKUP($A206,'SegEnds_NonXtal_BW#'!$A:$Z,25,FALSE)+VLOOKUP($A206,A:AL,37,FALSE)-50),"-",(VLOOKUP($A206,'SegEnds_NonXtal_BW#'!$A:$Z,25,FALSE)+VLOOKUP($A206,A:AL,37,FALSE)-50))</f>
        <v>340</v>
      </c>
      <c r="AK206" s="3">
        <v>343</v>
      </c>
      <c r="AL206" s="3">
        <f>IF(ISERROR((VLOOKUP($A206,'SegEnds_NonXtal_BW#'!$A:$Z,26,FALSE)+VLOOKUP($A206,A:AL,37,FALSE)-50)),"-",(VLOOKUP($A206,'SegEnds_NonXtal_BW#'!$A:$Z,26,FALSE)+VLOOKUP($A206,A:AL,37,FALSE)-50))</f>
        <v>352</v>
      </c>
      <c r="AM206" s="28" t="str">
        <f>VLOOKUP(A206,Classification!A:B,2,FALSE)</f>
        <v>A</v>
      </c>
      <c r="AN206" s="28" t="b">
        <f t="shared" si="156"/>
        <v>1</v>
      </c>
      <c r="AO206" s="3" t="str">
        <f>IF(ISERROR(MATCH(A206,'SegEnds_Xtal_Prot#'!B:B, 0)), "NoXtal", "Xtal")</f>
        <v>Xtal</v>
      </c>
      <c r="AP206" s="3">
        <f t="shared" si="141"/>
        <v>1</v>
      </c>
      <c r="AQ206" s="3">
        <f t="shared" si="142"/>
        <v>1</v>
      </c>
      <c r="AR206" s="3">
        <f t="shared" si="143"/>
        <v>1</v>
      </c>
      <c r="AS206" s="3">
        <f t="shared" si="144"/>
        <v>1</v>
      </c>
      <c r="AT206" s="3">
        <f t="shared" si="145"/>
        <v>1</v>
      </c>
      <c r="AU206" s="3">
        <f t="shared" si="146"/>
        <v>1</v>
      </c>
      <c r="AV206" s="3">
        <f t="shared" si="147"/>
        <v>11</v>
      </c>
      <c r="AW206" s="3">
        <f t="shared" si="148"/>
        <v>5</v>
      </c>
      <c r="AX206" s="3">
        <f t="shared" si="149"/>
        <v>6</v>
      </c>
      <c r="AY206" s="3">
        <f t="shared" si="150"/>
        <v>5</v>
      </c>
      <c r="AZ206" s="3">
        <f t="shared" si="151"/>
        <v>1</v>
      </c>
      <c r="BA206" s="3">
        <f>IF(ISERROR(LEN(VLOOKUP(A206,Seqs!A:E,2,FALSE))-AL206),"-",LEN(VLOOKUP(A206,Seqs!A:E,2,FALSE))-AL206)</f>
        <v>46</v>
      </c>
      <c r="BB206" s="16">
        <f t="shared" si="152"/>
        <v>28</v>
      </c>
      <c r="BC206" s="9">
        <f t="shared" si="153"/>
        <v>20</v>
      </c>
      <c r="BD206" s="3">
        <f t="shared" si="154"/>
        <v>28</v>
      </c>
      <c r="BE206" s="3">
        <f t="shared" si="155"/>
        <v>51</v>
      </c>
    </row>
    <row r="207" spans="1:57" s="3" customFormat="1" x14ac:dyDescent="0.2">
      <c r="A207" s="3" t="s">
        <v>1167</v>
      </c>
      <c r="B207" s="3" t="str">
        <f>LOWER(VLOOKUP(A207,Xtal_Templ!A:B,2,FALSE))</f>
        <v>oprx_human</v>
      </c>
      <c r="C207" s="3">
        <f>VLOOKUP($A207,'SegEnds_NonXtal_BW#'!$A:$Z,3,FALSE)+D207-50</f>
        <v>48</v>
      </c>
      <c r="D207" s="3">
        <v>69</v>
      </c>
      <c r="E207" s="3">
        <f>IF(ISERROR(VLOOKUP($A207,'SegEnds_NonXtal_BW#'!$A:$Z,4,FALSE)+VLOOKUP($A207,A:AL,4,FALSE)-50),"-",(VLOOKUP($A207,'SegEnds_NonXtal_BW#'!$A:$Z,4,FALSE)+VLOOKUP($A207,A:AL,4,FALSE)-50))</f>
        <v>79</v>
      </c>
      <c r="F207" s="3">
        <f t="shared" si="157"/>
        <v>80</v>
      </c>
      <c r="G207" s="3">
        <v>82</v>
      </c>
      <c r="H207" s="3">
        <f t="shared" si="158"/>
        <v>83</v>
      </c>
      <c r="I207" s="3">
        <f t="shared" si="158"/>
        <v>84</v>
      </c>
      <c r="J207" s="3">
        <v>97</v>
      </c>
      <c r="K207" s="3">
        <f>VLOOKUP($A207,'SegEnds_NonXtal_BW#'!$A:$Z,8,FALSE)+VLOOKUP($A207,A:AL,10,FALSE)-50</f>
        <v>114</v>
      </c>
      <c r="L207" s="3">
        <f>M207-1</f>
        <v>115</v>
      </c>
      <c r="M207" s="3">
        <v>116</v>
      </c>
      <c r="N207" s="3">
        <f>M207+2</f>
        <v>118</v>
      </c>
      <c r="O207" s="3">
        <f t="shared" si="139"/>
        <v>119</v>
      </c>
      <c r="P207" s="3">
        <v>148</v>
      </c>
      <c r="Q207" s="3">
        <f>VLOOKUP($A207,'SegEnds_NonXtal_BW#'!$A:$Z,12,FALSE)+VLOOKUP($A207,A:AL,16,FALSE)-50</f>
        <v>154</v>
      </c>
      <c r="R207" s="3">
        <f>IF(ISERROR(VLOOKUP($A207,'SegEnds_NonXtal_BW#'!$A:$Z,13,FALSE)+VLOOKUP($A207,A:AL,19,FALSE)-50),"-",VLOOKUP($A207,'SegEnds_NonXtal_BW#'!$A:$Z,13,FALSE)+VLOOKUP($A207,A:AL,19,FALSE)-50)</f>
        <v>155</v>
      </c>
      <c r="S207" s="3">
        <v>155</v>
      </c>
      <c r="T207" s="100">
        <f>IF(ISERROR(VLOOKUP($A207,'SegEnds_NonXtal_BW#'!$A:$Z,14,FALSE)+VLOOKUP($A207,A:AL,19,FALSE)-50),"-",(VLOOKUP($A207,'SegEnds_NonXtal_BW#'!$A:$Z,14,FALSE)+VLOOKUP($A207,A:AL,19,FALSE)-50))</f>
        <v>162</v>
      </c>
      <c r="U207" s="9">
        <f>IF(ISERROR(VLOOKUP($A207,'SegEnds_NonXtal_BW#'!$A:$Z,15,FALSE)+VLOOKUP($A207,A:AL,22,FALSE)-50),"-",VLOOKUP($A207,'SegEnds_NonXtal_BW#'!$A:$Z,15,FALSE)+VLOOKUP($A207,A:AL,22,FALSE)-50)</f>
        <v>163</v>
      </c>
      <c r="V207" s="3">
        <v>175</v>
      </c>
      <c r="W207" s="3">
        <f>IF(ISERROR(VLOOKUP($A207,'SegEnds_NonXtal_BW#'!$A:$Z,16,FALSE)+VLOOKUP($A207,A:AL,22,FALSE)-50),"-",(VLOOKUP($A207,'SegEnds_NonXtal_BW#'!$A:$Z,16,FALSE)+VLOOKUP($A207,A:AL,22,FALSE)-50))</f>
        <v>189</v>
      </c>
      <c r="X207" s="3">
        <f>IF(ISERROR(VLOOKUP($A207,'SegEnds_NonXtal_BW#'!$A:$Z,17,FALSE)+VLOOKUP($A207,A:AL,25,FALSE)-50),"-",(VLOOKUP($A207,'SegEnds_NonXtal_BW#'!$A:$Z,17,FALSE)+VLOOKUP($A207,A:AL,25,FALSE)-50))</f>
        <v>200</v>
      </c>
      <c r="Y207" s="3">
        <v>200</v>
      </c>
      <c r="Z207" s="3">
        <f t="shared" si="140"/>
        <v>202</v>
      </c>
      <c r="AA207" s="3">
        <f>IF(ISERROR(VLOOKUP($A207,'SegEnds_NonXtal_BW#'!$A:$Z,19,FALSE)+VLOOKUP($A207,A:AL,28,FALSE)-50),"-",(VLOOKUP($A207,'SegEnds_NonXtal_BW#'!$A:$Z,19,FALSE)+VLOOKUP($A207,A:AL,28,FALSE)-50))</f>
        <v>207</v>
      </c>
      <c r="AB207" s="3">
        <v>227</v>
      </c>
      <c r="AC207" s="3">
        <f>IF(ISERROR((VLOOKUP($A207,'SegEnds_NonXtal_BW#'!$A:$Z,20,FALSE)+VLOOKUP($A207,A:AL,28,FALSE)-50)),"-",(VLOOKUP($A207,'SegEnds_NonXtal_BW#'!$A:$Z,20,FALSE)+VLOOKUP($A207,A:AL,28,FALSE)-50))</f>
        <v>245</v>
      </c>
      <c r="AD207" s="3">
        <f>IF(ISERROR(VLOOKUP($A207,'SegEnds_NonXtal_BW#'!$A:$Z,21,FALSE)+VLOOKUP($A207,A:AL,31,FALSE)-50),"-",(VLOOKUP($A207,'SegEnds_NonXtal_BW#'!$A:$Z,21,FALSE)+VLOOKUP($A207,A:AL,31,FALSE)-50))</f>
        <v>251</v>
      </c>
      <c r="AE207" s="3">
        <v>278</v>
      </c>
      <c r="AF207" s="3">
        <f>IF(ISERROR((VLOOKUP($A207,'SegEnds_NonXtal_BW#'!$A:$Z,22,FALSE)+VLOOKUP($A207,A:AL,31,FALSE)-50)),"-",(VLOOKUP($A207,'SegEnds_NonXtal_BW#'!$A:$Z,22,FALSE)+VLOOKUP($A207,A:AL,31,FALSE)-50))</f>
        <v>289</v>
      </c>
      <c r="AG207" s="3">
        <f>IF(ISERROR(VLOOKUP($A207,'SegEnds_NonXtal_BW#'!$A:$Z,23,FALSE)+VLOOKUP($A207,A:AL,34,FALSE)-50),"-",(VLOOKUP($A207,'SegEnds_NonXtal_BW#'!$A:$Z,23,FALSE)+VLOOKUP($A207,A:AL,34,FALSE)-50))</f>
        <v>294</v>
      </c>
      <c r="AH207" s="3">
        <v>316</v>
      </c>
      <c r="AI207" s="3">
        <f>IF(ISERROR((VLOOKUP($A207,'SegEnds_NonXtal_BW#'!$A:$Z,24,FALSE)+VLOOKUP($A207,A:AL,34,FALSE)-50)),"-",(VLOOKUP($A207,'SegEnds_NonXtal_BW#'!$A:$Z,24,FALSE)+VLOOKUP($A207,A:AL,34,FALSE)-50))</f>
        <v>322</v>
      </c>
      <c r="AJ207" s="3">
        <f>IF(ISERROR(VLOOKUP($A207,'SegEnds_NonXtal_BW#'!$A:$Z,25,FALSE)+VLOOKUP($A207,A:AL,37,FALSE)-50),"-",(VLOOKUP($A207,'SegEnds_NonXtal_BW#'!$A:$Z,25,FALSE)+VLOOKUP($A207,A:AL,37,FALSE)-50))</f>
        <v>323</v>
      </c>
      <c r="AK207" s="3">
        <v>326</v>
      </c>
      <c r="AL207" s="3">
        <f>IF(ISERROR((VLOOKUP($A207,'SegEnds_NonXtal_BW#'!$A:$Z,26,FALSE)+VLOOKUP($A207,A:AL,37,FALSE)-50)),"-",(VLOOKUP($A207,'SegEnds_NonXtal_BW#'!$A:$Z,26,FALSE)+VLOOKUP($A207,A:AL,37,FALSE)-50))</f>
        <v>335</v>
      </c>
      <c r="AM207" s="28" t="str">
        <f>VLOOKUP(A207,Classification!A:B,2,FALSE)</f>
        <v>A</v>
      </c>
      <c r="AN207" s="28" t="b">
        <f t="shared" si="156"/>
        <v>1</v>
      </c>
      <c r="AO207" s="3" t="str">
        <f>IF(ISERROR(MATCH(A207,'SegEnds_Xtal_Prot#'!B:B, 0)), "NoXtal", "Xtal")</f>
        <v>Xtal</v>
      </c>
      <c r="AP207" s="3">
        <f t="shared" si="141"/>
        <v>1</v>
      </c>
      <c r="AQ207" s="3">
        <f t="shared" si="142"/>
        <v>1</v>
      </c>
      <c r="AR207" s="3">
        <f t="shared" si="143"/>
        <v>1</v>
      </c>
      <c r="AS207" s="3">
        <f t="shared" si="144"/>
        <v>1</v>
      </c>
      <c r="AT207" s="3">
        <f t="shared" si="145"/>
        <v>1</v>
      </c>
      <c r="AU207" s="3">
        <f t="shared" si="146"/>
        <v>1</v>
      </c>
      <c r="AV207" s="3">
        <f t="shared" si="147"/>
        <v>11</v>
      </c>
      <c r="AW207" s="3">
        <f t="shared" si="148"/>
        <v>5</v>
      </c>
      <c r="AX207" s="3">
        <f t="shared" si="149"/>
        <v>6</v>
      </c>
      <c r="AY207" s="3">
        <f t="shared" si="150"/>
        <v>5</v>
      </c>
      <c r="AZ207" s="3">
        <f t="shared" si="151"/>
        <v>1</v>
      </c>
      <c r="BA207" s="3">
        <f>IF(ISERROR(LEN(VLOOKUP(A207,Seqs!A:E,2,FALSE))-AL207),"-",LEN(VLOOKUP(A207,Seqs!A:E,2,FALSE))-AL207)</f>
        <v>35</v>
      </c>
      <c r="BB207" s="16">
        <f t="shared" si="152"/>
        <v>28</v>
      </c>
      <c r="BC207" s="9">
        <f t="shared" si="153"/>
        <v>20</v>
      </c>
      <c r="BD207" s="3">
        <f t="shared" si="154"/>
        <v>28</v>
      </c>
      <c r="BE207" s="3">
        <f t="shared" si="155"/>
        <v>51</v>
      </c>
    </row>
    <row r="208" spans="1:57" s="3" customFormat="1" x14ac:dyDescent="0.2">
      <c r="A208" s="3" t="s">
        <v>915</v>
      </c>
      <c r="B208" s="3" t="str">
        <f>LOWER(VLOOKUP(A208,Xtal_Templ!A:B,2,FALSE))</f>
        <v>opsd_todpa</v>
      </c>
      <c r="C208" s="3">
        <f>VLOOKUP($A208,'SegEnds_NonXtal_BW#'!$A:$Z,3,FALSE)+D208-50</f>
        <v>31</v>
      </c>
      <c r="D208" s="3">
        <v>52</v>
      </c>
      <c r="E208" s="3">
        <f>IF(ISERROR(VLOOKUP($A208,'SegEnds_NonXtal_BW#'!$A:$Z,4,FALSE)+VLOOKUP($A208,A:AL,4,FALSE)-50),"-",(VLOOKUP($A208,'SegEnds_NonXtal_BW#'!$A:$Z,4,FALSE)+VLOOKUP($A208,A:AL,4,FALSE)-50))</f>
        <v>62</v>
      </c>
      <c r="F208" s="3">
        <f t="shared" si="157"/>
        <v>63</v>
      </c>
      <c r="G208" s="3">
        <v>65</v>
      </c>
      <c r="H208" s="3">
        <f t="shared" si="158"/>
        <v>66</v>
      </c>
      <c r="I208" s="3">
        <f t="shared" si="158"/>
        <v>67</v>
      </c>
      <c r="J208" s="3">
        <v>80</v>
      </c>
      <c r="K208" s="3">
        <f>VLOOKUP($A208,'SegEnds_NonXtal_BW#'!$A:$Z,8,FALSE)+VLOOKUP($A208,A:AL,10,FALSE)-50</f>
        <v>99</v>
      </c>
      <c r="L208" s="3">
        <f>IF(ISERROR(VLOOKUP($A208,'SegEnds_NonXtal_BW#'!$A:$Z,9,FALSE)+VLOOKUP($A208,A:AL,13,FALSE)-50),"-",(VLOOKUP($A208,'SegEnds_NonXtal_BW#'!$A:$Z,9,FALSE)+VLOOKUP($A208,A:AL,13,FALSE)-50))</f>
        <v>100</v>
      </c>
      <c r="M208" s="3">
        <v>101</v>
      </c>
      <c r="N208" s="3">
        <f>IF(ISERROR(VLOOKUP($A208,'SegEnds_NonXtal_BW#'!$A:$Z,10,FALSE)+VLOOKUP($A208,A:AL,13,FALSE)-50),"-",(VLOOKUP($A208,'SegEnds_NonXtal_BW#'!$A:$Z,10,FALSE)+VLOOKUP($A208,A:AL,13,FALSE)-50))</f>
        <v>103</v>
      </c>
      <c r="O208" s="3">
        <f t="shared" si="139"/>
        <v>104</v>
      </c>
      <c r="P208" s="3">
        <v>133</v>
      </c>
      <c r="Q208" s="3">
        <f>VLOOKUP($A208,'SegEnds_NonXtal_BW#'!$A:$Z,12,FALSE)+VLOOKUP($A208,A:AL,16,FALSE)-50</f>
        <v>139</v>
      </c>
      <c r="R208" s="3">
        <f>IF(ISERROR(VLOOKUP($A208,'SegEnds_NonXtal_BW#'!$A:$Z,13,FALSE)+VLOOKUP($A208,A:AL,19,FALSE)-50),"-",VLOOKUP($A208,'SegEnds_NonXtal_BW#'!$A:$Z,13,FALSE)+VLOOKUP($A208,A:AL,19,FALSE)-50)</f>
        <v>140</v>
      </c>
      <c r="S208" s="3">
        <v>140</v>
      </c>
      <c r="T208" s="100">
        <f>IF(ISERROR(VLOOKUP($A208,'SegEnds_NonXtal_BW#'!$A:$Z,14,FALSE)+VLOOKUP($A208,A:AL,19,FALSE)-50),"-",(VLOOKUP($A208,'SegEnds_NonXtal_BW#'!$A:$Z,14,FALSE)+VLOOKUP($A208,A:AL,19,FALSE)-50))</f>
        <v>147</v>
      </c>
      <c r="U208" s="9">
        <f>IF(ISERROR(VLOOKUP($A208,'SegEnds_NonXtal_BW#'!$A:$Z,15,FALSE)+VLOOKUP($A208,A:AL,22,FALSE)-50),"-",VLOOKUP($A208,'SegEnds_NonXtal_BW#'!$A:$Z,15,FALSE)+VLOOKUP($A208,A:AL,22,FALSE)-50)</f>
        <v>148</v>
      </c>
      <c r="V208" s="3">
        <v>160</v>
      </c>
      <c r="W208" s="3">
        <f>IF(ISERROR(VLOOKUP($A208,'SegEnds_NonXtal_BW#'!$A:$Z,16,FALSE)+VLOOKUP($A208,A:AL,22,FALSE)-50),"-",(VLOOKUP($A208,'SegEnds_NonXtal_BW#'!$A:$Z,16,FALSE)+VLOOKUP($A208,A:AL,22,FALSE)-50))</f>
        <v>172</v>
      </c>
      <c r="X208" s="3">
        <f>IF(ISERROR(VLOOKUP($A208,'SegEnds_NonXtal_BW#'!$A:$Z,17,FALSE)+VLOOKUP($A208,A:AL,25,FALSE)-50),"-",(VLOOKUP($A208,'SegEnds_NonXtal_BW#'!$A:$Z,17,FALSE)+VLOOKUP($A208,A:AL,25,FALSE)-50))</f>
        <v>186</v>
      </c>
      <c r="Y208" s="3">
        <v>186</v>
      </c>
      <c r="Z208" s="3">
        <f t="shared" si="140"/>
        <v>188</v>
      </c>
      <c r="AA208" s="3">
        <f>IF(ISERROR(VLOOKUP($A208,'SegEnds_NonXtal_BW#'!$A:$Z,19,FALSE)+VLOOKUP($A208,A:AL,28,FALSE)-50),"-",(VLOOKUP($A208,'SegEnds_NonXtal_BW#'!$A:$Z,19,FALSE)+VLOOKUP($A208,A:AL,28,FALSE)-50))</f>
        <v>194</v>
      </c>
      <c r="AB208" s="3">
        <v>212</v>
      </c>
      <c r="AC208" s="3">
        <v>239</v>
      </c>
      <c r="AD208" s="3">
        <v>244</v>
      </c>
      <c r="AE208" s="3">
        <v>276</v>
      </c>
      <c r="AF208" s="3">
        <f>IF(ISERROR((VLOOKUP($A208,'SegEnds_NonXtal_BW#'!$A:$Z,22,FALSE)+VLOOKUP($A208,A:AL,31,FALSE)-50)),"-",(VLOOKUP($A208,'SegEnds_NonXtal_BW#'!$A:$Z,22,FALSE)+VLOOKUP($A208,A:AL,31,FALSE)-50))</f>
        <v>287</v>
      </c>
      <c r="AG208" s="3">
        <f>IF(ISERROR(VLOOKUP($A208,'SegEnds_NonXtal_BW#'!$A:$Z,23,FALSE)+VLOOKUP($A208,A:AL,34,FALSE)-50),"-",(VLOOKUP($A208,'SegEnds_NonXtal_BW#'!$A:$Z,23,FALSE)+VLOOKUP($A208,A:AL,34,FALSE)-50))</f>
        <v>293</v>
      </c>
      <c r="AH208" s="3">
        <v>312</v>
      </c>
      <c r="AI208" s="3">
        <f>IF(ISERROR((VLOOKUP($A208,'SegEnds_NonXtal_BW#'!$A:$Z,24,FALSE)+VLOOKUP($A208,A:AL,34,FALSE)-50)),"-",(VLOOKUP($A208,'SegEnds_NonXtal_BW#'!$A:$Z,24,FALSE)+VLOOKUP($A208,A:AL,34,FALSE)-50))</f>
        <v>318</v>
      </c>
      <c r="AJ208" s="3">
        <f>IF(ISERROR(VLOOKUP($A208,'SegEnds_NonXtal_BW#'!$A:$Z,25,FALSE)+VLOOKUP($A208,A:AL,37,FALSE)-50),"-",(VLOOKUP($A208,'SegEnds_NonXtal_BW#'!$A:$Z,25,FALSE)+VLOOKUP($A208,A:AL,37,FALSE)-50))</f>
        <v>319</v>
      </c>
      <c r="AK208" s="3">
        <v>322</v>
      </c>
      <c r="AL208" s="3">
        <f>IF(ISERROR((VLOOKUP($A208,'SegEnds_NonXtal_BW#'!$A:$Z,26,FALSE)+VLOOKUP($A208,A:AL,37,FALSE)-50)),"-",(VLOOKUP($A208,'SegEnds_NonXtal_BW#'!$A:$Z,26,FALSE)+VLOOKUP($A208,A:AL,37,FALSE)-50))</f>
        <v>330</v>
      </c>
      <c r="AM208" s="28" t="str">
        <f>VLOOKUP(A208,Classification!A:B,2,FALSE)</f>
        <v>A</v>
      </c>
      <c r="AN208" s="28" t="b">
        <f t="shared" si="156"/>
        <v>1</v>
      </c>
      <c r="AO208" s="3" t="str">
        <f>IF(ISERROR(MATCH(A208,'SegEnds_Xtal_Prot#'!B:B, 0)), "NoXtal", "Xtal")</f>
        <v>Xtal</v>
      </c>
      <c r="AP208" s="3">
        <f t="shared" si="141"/>
        <v>1</v>
      </c>
      <c r="AQ208" s="3">
        <f t="shared" si="142"/>
        <v>1</v>
      </c>
      <c r="AR208" s="3">
        <f t="shared" si="143"/>
        <v>1</v>
      </c>
      <c r="AS208" s="3">
        <f t="shared" si="144"/>
        <v>1</v>
      </c>
      <c r="AT208" s="3">
        <f t="shared" si="145"/>
        <v>1</v>
      </c>
      <c r="AU208" s="3">
        <f t="shared" si="146"/>
        <v>1</v>
      </c>
      <c r="AV208" s="3">
        <f t="shared" si="147"/>
        <v>14</v>
      </c>
      <c r="AW208" s="3">
        <f t="shared" si="148"/>
        <v>6</v>
      </c>
      <c r="AX208" s="3">
        <f t="shared" si="149"/>
        <v>5</v>
      </c>
      <c r="AY208" s="3">
        <f t="shared" si="150"/>
        <v>6</v>
      </c>
      <c r="AZ208" s="3">
        <f t="shared" si="151"/>
        <v>1</v>
      </c>
      <c r="BA208" s="3">
        <f>IF(ISERROR(LEN(VLOOKUP(A208,Seqs!A:E,2,FALSE))-AL208),"-",LEN(VLOOKUP(A208,Seqs!A:E,2,FALSE))-AL208)</f>
        <v>118</v>
      </c>
      <c r="BB208" s="16">
        <f t="shared" si="152"/>
        <v>28</v>
      </c>
      <c r="BC208" s="9">
        <f t="shared" si="153"/>
        <v>20</v>
      </c>
      <c r="BD208" s="3">
        <f t="shared" si="154"/>
        <v>28</v>
      </c>
      <c r="BE208" s="3">
        <f t="shared" si="155"/>
        <v>64</v>
      </c>
    </row>
    <row r="209" spans="1:59" s="3" customFormat="1" x14ac:dyDescent="0.2">
      <c r="A209" s="3" t="s">
        <v>341</v>
      </c>
      <c r="B209" s="3" t="str">
        <f>LOWER(VLOOKUP(A209,Xtal_Templ!A:B,2,FALSE))</f>
        <v>pd2r2_human</v>
      </c>
      <c r="C209" s="3">
        <f>VLOOKUP($A209,'SegEnds_NonXtal_BW#'!$A:$Z,3,FALSE)+D209-50</f>
        <v>92</v>
      </c>
      <c r="D209" s="3">
        <v>110</v>
      </c>
      <c r="E209" s="3">
        <f>IF(ISERROR(VLOOKUP($A209,'SegEnds_NonXtal_BW#'!$A:$Z,4,FALSE)+VLOOKUP($A209,A:AL,4,FALSE)-50),"-",(VLOOKUP($A209,'SegEnds_NonXtal_BW#'!$A:$Z,4,FALSE)+VLOOKUP($A209,A:AL,4,FALSE)-50))</f>
        <v>120</v>
      </c>
      <c r="F209" s="3">
        <f t="shared" si="157"/>
        <v>121</v>
      </c>
      <c r="G209" s="3">
        <v>123</v>
      </c>
      <c r="H209" s="3">
        <f t="shared" si="158"/>
        <v>124</v>
      </c>
      <c r="I209" s="3">
        <f t="shared" si="158"/>
        <v>125</v>
      </c>
      <c r="J209" s="3">
        <v>138</v>
      </c>
      <c r="K209" s="3">
        <f>VLOOKUP($A209,'SegEnds_NonXtal_BW#'!$A:$Z,8,FALSE)+VLOOKUP($A209,A:AL,10,FALSE)-50</f>
        <v>155</v>
      </c>
      <c r="L209" s="3">
        <f t="shared" ref="L209:L215" si="159">M209-1</f>
        <v>157</v>
      </c>
      <c r="M209" s="3">
        <v>158</v>
      </c>
      <c r="N209" s="3">
        <f t="shared" ref="N209:N215" si="160">M209+2</f>
        <v>160</v>
      </c>
      <c r="O209" s="3">
        <f t="shared" si="139"/>
        <v>161</v>
      </c>
      <c r="P209" s="3">
        <v>190</v>
      </c>
      <c r="Q209" s="3">
        <f>VLOOKUP($A209,'SegEnds_NonXtal_BW#'!$A:$Z,12,FALSE)+VLOOKUP($A209,A:AL,16,FALSE)-50</f>
        <v>196</v>
      </c>
      <c r="R209" s="3">
        <f>IF(ISERROR(VLOOKUP($A209,'SegEnds_NonXtal_BW#'!$A:$Z,13,FALSE)+VLOOKUP($A209,A:AL,19,FALSE)-50),"-",VLOOKUP($A209,'SegEnds_NonXtal_BW#'!$A:$Z,13,FALSE)+VLOOKUP($A209,A:AL,19,FALSE)-50)</f>
        <v>197</v>
      </c>
      <c r="S209" s="3">
        <v>197</v>
      </c>
      <c r="T209" s="100">
        <f>IF(ISERROR(VLOOKUP($A209,'SegEnds_NonXtal_BW#'!$A:$Z,14,FALSE)+VLOOKUP($A209,A:AL,19,FALSE)-50),"-",(VLOOKUP($A209,'SegEnds_NonXtal_BW#'!$A:$Z,14,FALSE)+VLOOKUP($A209,A:AL,19,FALSE)-50))</f>
        <v>204</v>
      </c>
      <c r="U209" s="9">
        <f>IF(ISERROR(VLOOKUP($A209,'SegEnds_NonXtal_BW#'!$A:$Z,15,FALSE)+VLOOKUP($A209,A:AL,22,FALSE)-50),"-",VLOOKUP($A209,'SegEnds_NonXtal_BW#'!$A:$Z,15,FALSE)+VLOOKUP($A209,A:AL,22,FALSE)-50)</f>
        <v>205</v>
      </c>
      <c r="V209" s="3">
        <v>217</v>
      </c>
      <c r="W209" s="3">
        <f>IF(ISERROR(VLOOKUP($A209,'SegEnds_NonXtal_BW#'!$A:$Z,16,FALSE)+VLOOKUP($A209,A:AL,22,FALSE)-50),"-",(VLOOKUP($A209,'SegEnds_NonXtal_BW#'!$A:$Z,16,FALSE)+VLOOKUP($A209,A:AL,22,FALSE)-50))</f>
        <v>231</v>
      </c>
      <c r="X209" s="3">
        <f>IF(ISERROR(VLOOKUP($A209,'SegEnds_NonXtal_BW#'!$A:$Z,17,FALSE)+VLOOKUP($A209,A:AL,25,FALSE)-50),"-",(VLOOKUP($A209,'SegEnds_NonXtal_BW#'!$A:$Z,17,FALSE)+VLOOKUP($A209,A:AL,25,FALSE)-50))</f>
        <v>237</v>
      </c>
      <c r="Y209" s="3">
        <v>237</v>
      </c>
      <c r="Z209" s="3">
        <f t="shared" si="140"/>
        <v>239</v>
      </c>
      <c r="AA209" s="3">
        <f>IF(ISERROR(VLOOKUP($A209,'SegEnds_NonXtal_BW#'!$A:$Z,19,FALSE)+VLOOKUP($A209,A:AL,28,FALSE)-50),"-",(VLOOKUP($A209,'SegEnds_NonXtal_BW#'!$A:$Z,19,FALSE)+VLOOKUP($A209,A:AL,28,FALSE)-50))</f>
        <v>240</v>
      </c>
      <c r="AB209" s="3">
        <v>264</v>
      </c>
      <c r="AC209" s="3">
        <f>IF(ISERROR((VLOOKUP($A209,'SegEnds_NonXtal_BW#'!$A:$Z,20,FALSE)+VLOOKUP($A209,A:AL,28,FALSE)-50)),"-",(VLOOKUP($A209,'SegEnds_NonXtal_BW#'!$A:$Z,20,FALSE)+VLOOKUP($A209,A:AL,28,FALSE)-50))</f>
        <v>281</v>
      </c>
      <c r="AD209" s="3">
        <f>IF(ISERROR(VLOOKUP($A209,'SegEnds_NonXtal_BW#'!$A:$Z,21,FALSE)+VLOOKUP($A209,A:AL,31,FALSE)-50),"-",(VLOOKUP($A209,'SegEnds_NonXtal_BW#'!$A:$Z,21,FALSE)+VLOOKUP($A209,A:AL,31,FALSE)-50))</f>
        <v>286</v>
      </c>
      <c r="AE209" s="3">
        <v>310</v>
      </c>
      <c r="AF209" s="3">
        <f>IF(ISERROR((VLOOKUP($A209,'SegEnds_NonXtal_BW#'!$A:$Z,22,FALSE)+VLOOKUP($A209,A:AL,31,FALSE)-50)),"-",(VLOOKUP($A209,'SegEnds_NonXtal_BW#'!$A:$Z,22,FALSE)+VLOOKUP($A209,A:AL,31,FALSE)-50))</f>
        <v>321</v>
      </c>
      <c r="AG209" s="3">
        <f>IF(ISERROR(VLOOKUP($A209,'SegEnds_NonXtal_BW#'!$A:$Z,23,FALSE)+VLOOKUP($A209,A:AL,34,FALSE)-50),"-",(VLOOKUP($A209,'SegEnds_NonXtal_BW#'!$A:$Z,23,FALSE)+VLOOKUP($A209,A:AL,34,FALSE)-50))</f>
        <v>330</v>
      </c>
      <c r="AH209" s="3">
        <v>352</v>
      </c>
      <c r="AI209" s="3">
        <f>IF(ISERROR((VLOOKUP($A209,'SegEnds_NonXtal_BW#'!$A:$Z,24,FALSE)+VLOOKUP($A209,A:AL,34,FALSE)-50)),"-",(VLOOKUP($A209,'SegEnds_NonXtal_BW#'!$A:$Z,24,FALSE)+VLOOKUP($A209,A:AL,34,FALSE)-50))</f>
        <v>358</v>
      </c>
      <c r="AJ209" s="3">
        <f>IF(ISERROR(VLOOKUP($A209,'SegEnds_NonXtal_BW#'!$A:$Z,25,FALSE)+VLOOKUP($A209,A:AL,37,FALSE)-50),"-",(VLOOKUP($A209,'SegEnds_NonXtal_BW#'!$A:$Z,25,FALSE)+VLOOKUP($A209,A:AL,37,FALSE)-50))</f>
        <v>359</v>
      </c>
      <c r="AK209" s="3">
        <v>362</v>
      </c>
      <c r="AL209" s="3">
        <f>IF(ISERROR((VLOOKUP($A209,'SegEnds_NonXtal_BW#'!$A:$Z,26,FALSE)+VLOOKUP($A209,A:AL,37,FALSE)-50)),"-",(VLOOKUP($A209,'SegEnds_NonXtal_BW#'!$A:$Z,26,FALSE)+VLOOKUP($A209,A:AL,37,FALSE)-50))</f>
        <v>376</v>
      </c>
      <c r="AM209" s="28" t="str">
        <f>VLOOKUP(A209,Classification!A:B,2,FALSE)</f>
        <v>A</v>
      </c>
      <c r="AN209" s="28" t="b">
        <f t="shared" si="156"/>
        <v>1</v>
      </c>
      <c r="AO209" s="3" t="str">
        <f>IF(ISERROR(MATCH(A209,'SegEnds_Xtal_Prot#'!B:B, 0)), "NoXtal", "Xtal")</f>
        <v>NoXtal</v>
      </c>
      <c r="AP209" s="3">
        <f t="shared" si="141"/>
        <v>1</v>
      </c>
      <c r="AQ209" s="3">
        <f t="shared" si="142"/>
        <v>1</v>
      </c>
      <c r="AR209" s="3">
        <f t="shared" si="143"/>
        <v>2</v>
      </c>
      <c r="AS209" s="3">
        <f t="shared" si="144"/>
        <v>1</v>
      </c>
      <c r="AT209" s="3">
        <f t="shared" si="145"/>
        <v>1</v>
      </c>
      <c r="AU209" s="3">
        <f t="shared" si="146"/>
        <v>1</v>
      </c>
      <c r="AV209" s="3">
        <f t="shared" si="147"/>
        <v>6</v>
      </c>
      <c r="AW209" s="3">
        <f t="shared" si="148"/>
        <v>1</v>
      </c>
      <c r="AX209" s="3">
        <f t="shared" si="149"/>
        <v>5</v>
      </c>
      <c r="AY209" s="3">
        <f t="shared" si="150"/>
        <v>9</v>
      </c>
      <c r="AZ209" s="3">
        <f t="shared" si="151"/>
        <v>1</v>
      </c>
      <c r="BA209" s="3">
        <f>IF(ISERROR(LEN(VLOOKUP(A209,Seqs!A:E,2,FALSE))-AL209),"-",LEN(VLOOKUP(A209,Seqs!A:E,2,FALSE))-AL209)</f>
        <v>47</v>
      </c>
      <c r="BB209" s="16">
        <f t="shared" si="152"/>
        <v>28</v>
      </c>
      <c r="BC209" s="9">
        <f t="shared" si="153"/>
        <v>20</v>
      </c>
      <c r="BD209" s="3">
        <f t="shared" si="154"/>
        <v>28</v>
      </c>
      <c r="BE209" s="3">
        <f t="shared" si="155"/>
        <v>46</v>
      </c>
    </row>
    <row r="210" spans="1:59" s="3" customFormat="1" x14ac:dyDescent="0.2">
      <c r="A210" s="3" t="s">
        <v>342</v>
      </c>
      <c r="B210" s="3" t="str">
        <f>LOWER(VLOOKUP(A210,Xtal_Templ!A:B,2,FALSE))</f>
        <v>p2ry1_human</v>
      </c>
      <c r="C210" s="3">
        <f>VLOOKUP($A210,'SegEnds_NonXtal_BW#'!$A:$Z,3,FALSE)+D210-50</f>
        <v>31</v>
      </c>
      <c r="D210" s="3">
        <v>51</v>
      </c>
      <c r="E210" s="3">
        <f>IF(ISERROR(VLOOKUP($A210,'SegEnds_NonXtal_BW#'!$A:$Z,4,FALSE)+VLOOKUP($A210,A:AL,4,FALSE)-50),"-",(VLOOKUP($A210,'SegEnds_NonXtal_BW#'!$A:$Z,4,FALSE)+VLOOKUP($A210,A:AL,4,FALSE)-50))</f>
        <v>61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66</v>
      </c>
      <c r="J210" s="3">
        <v>79</v>
      </c>
      <c r="K210" s="3">
        <f>VLOOKUP($A210,'SegEnds_NonXtal_BW#'!$A:$Z,8,FALSE)+VLOOKUP($A210,A:AL,10,FALSE)-50</f>
        <v>95</v>
      </c>
      <c r="L210" s="3">
        <f t="shared" si="159"/>
        <v>98</v>
      </c>
      <c r="M210" s="3">
        <v>99</v>
      </c>
      <c r="N210" s="3">
        <f t="shared" si="160"/>
        <v>101</v>
      </c>
      <c r="O210" s="3">
        <f t="shared" si="139"/>
        <v>102</v>
      </c>
      <c r="P210" s="3">
        <v>131</v>
      </c>
      <c r="Q210" s="3">
        <f>VLOOKUP($A210,'SegEnds_NonXtal_BW#'!$A:$Z,12,FALSE)+VLOOKUP($A210,A:AL,16,FALSE)-50</f>
        <v>137</v>
      </c>
      <c r="R210" s="3">
        <f>IF(ISERROR(VLOOKUP($A210,'SegEnds_NonXtal_BW#'!$A:$Z,13,FALSE)+VLOOKUP($A210,A:AL,19,FALSE)-50),"-",VLOOKUP($A210,'SegEnds_NonXtal_BW#'!$A:$Z,13,FALSE)+VLOOKUP($A210,A:AL,19,FALSE)-50)</f>
        <v>138</v>
      </c>
      <c r="S210" s="3">
        <v>138</v>
      </c>
      <c r="T210" s="100">
        <f>IF(ISERROR(VLOOKUP($A210,'SegEnds_NonXtal_BW#'!$A:$Z,14,FALSE)+VLOOKUP($A210,A:AL,19,FALSE)-50),"-",(VLOOKUP($A210,'SegEnds_NonXtal_BW#'!$A:$Z,14,FALSE)+VLOOKUP($A210,A:AL,19,FALSE)-50))</f>
        <v>145</v>
      </c>
      <c r="U210" s="9">
        <f>IF(ISERROR(VLOOKUP($A210,'SegEnds_NonXtal_BW#'!$A:$Z,15,FALSE)+VLOOKUP($A210,A:AL,22,FALSE)-50),"-",VLOOKUP($A210,'SegEnds_NonXtal_BW#'!$A:$Z,15,FALSE)+VLOOKUP($A210,A:AL,22,FALSE)-50)</f>
        <v>146</v>
      </c>
      <c r="V210" s="3">
        <v>158</v>
      </c>
      <c r="W210" s="3">
        <f>IF(ISERROR(VLOOKUP($A210,'SegEnds_NonXtal_BW#'!$A:$Z,16,FALSE)+VLOOKUP($A210,A:AL,22,FALSE)-50),"-",(VLOOKUP($A210,'SegEnds_NonXtal_BW#'!$A:$Z,16,FALSE)+VLOOKUP($A210,A:AL,22,FALSE)-50))</f>
        <v>172</v>
      </c>
      <c r="X210" s="3">
        <f>IF(ISERROR(VLOOKUP($A210,'SegEnds_NonXtal_BW#'!$A:$Z,17,FALSE)+VLOOKUP($A210,A:AL,25,FALSE)-50),"-",(VLOOKUP($A210,'SegEnds_NonXtal_BW#'!$A:$Z,17,FALSE)+VLOOKUP($A210,A:AL,25,FALSE)-50))</f>
        <v>183</v>
      </c>
      <c r="Y210" s="3">
        <v>183</v>
      </c>
      <c r="Z210" s="3">
        <f t="shared" si="140"/>
        <v>185</v>
      </c>
      <c r="AA210" s="3">
        <f>IF(ISERROR(VLOOKUP($A210,'SegEnds_NonXtal_BW#'!$A:$Z,19,FALSE)+VLOOKUP($A210,A:AL,28,FALSE)-50),"-",(VLOOKUP($A210,'SegEnds_NonXtal_BW#'!$A:$Z,19,FALSE)+VLOOKUP($A210,A:AL,28,FALSE)-50))</f>
        <v>192</v>
      </c>
      <c r="AB210" s="3">
        <v>210</v>
      </c>
      <c r="AC210" s="3">
        <f>IF(ISERROR((VLOOKUP($A210,'SegEnds_NonXtal_BW#'!$A:$Z,20,FALSE)+VLOOKUP($A210,A:AL,28,FALSE)-50)),"-",(VLOOKUP($A210,'SegEnds_NonXtal_BW#'!$A:$Z,20,FALSE)+VLOOKUP($A210,A:AL,28,FALSE)-50))</f>
        <v>227</v>
      </c>
      <c r="AD210" s="3">
        <f>IF(ISERROR(VLOOKUP($A210,'SegEnds_NonXtal_BW#'!$A:$Z,21,FALSE)+VLOOKUP($A210,A:AL,31,FALSE)-50),"-",(VLOOKUP($A210,'SegEnds_NonXtal_BW#'!$A:$Z,21,FALSE)+VLOOKUP($A210,A:AL,31,FALSE)-50))</f>
        <v>232</v>
      </c>
      <c r="AE210" s="3">
        <v>256</v>
      </c>
      <c r="AF210" s="3">
        <f>IF(ISERROR((VLOOKUP($A210,'SegEnds_NonXtal_BW#'!$A:$Z,22,FALSE)+VLOOKUP($A210,A:AL,31,FALSE)-50)),"-",(VLOOKUP($A210,'SegEnds_NonXtal_BW#'!$A:$Z,22,FALSE)+VLOOKUP($A210,A:AL,31,FALSE)-50))</f>
        <v>267</v>
      </c>
      <c r="AG210" s="3">
        <f>IF(ISERROR(VLOOKUP($A210,'SegEnds_NonXtal_BW#'!$A:$Z,23,FALSE)+VLOOKUP($A210,A:AL,34,FALSE)-50),"-",(VLOOKUP($A210,'SegEnds_NonXtal_BW#'!$A:$Z,23,FALSE)+VLOOKUP($A210,A:AL,34,FALSE)-50))</f>
        <v>273</v>
      </c>
      <c r="AH210" s="3">
        <v>299</v>
      </c>
      <c r="AI210" s="3">
        <f>IF(ISERROR((VLOOKUP($A210,'SegEnds_NonXtal_BW#'!$A:$Z,24,FALSE)+VLOOKUP($A210,A:AL,34,FALSE)-50)),"-",(VLOOKUP($A210,'SegEnds_NonXtal_BW#'!$A:$Z,24,FALSE)+VLOOKUP($A210,A:AL,34,FALSE)-50))</f>
        <v>305</v>
      </c>
      <c r="AJ210" s="3">
        <f>IF(ISERROR(VLOOKUP($A210,'SegEnds_NonXtal_BW#'!$A:$Z,25,FALSE)+VLOOKUP($A210,A:AL,37,FALSE)-50),"-",(VLOOKUP($A210,'SegEnds_NonXtal_BW#'!$A:$Z,25,FALSE)+VLOOKUP($A210,A:AL,37,FALSE)-50))</f>
        <v>306</v>
      </c>
      <c r="AK210" s="3">
        <v>309</v>
      </c>
      <c r="AL210" s="3">
        <f>IF(ISERROR((VLOOKUP($A210,'SegEnds_NonXtal_BW#'!$A:$Z,26,FALSE)+VLOOKUP($A210,A:AL,37,FALSE)-50)),"-",(VLOOKUP($A210,'SegEnds_NonXtal_BW#'!$A:$Z,26,FALSE)+VLOOKUP($A210,A:AL,37,FALSE)-50))</f>
        <v>318</v>
      </c>
      <c r="AM210" s="28" t="str">
        <f>VLOOKUP(A210,Classification!A:B,2,FALSE)</f>
        <v>A</v>
      </c>
      <c r="AN210" s="28" t="b">
        <f t="shared" si="156"/>
        <v>1</v>
      </c>
      <c r="AO210" s="3" t="str">
        <f>IF(ISERROR(MATCH(A210,'SegEnds_Xtal_Prot#'!B:B, 0)), "NoXtal", "Xtal")</f>
        <v>NoXtal</v>
      </c>
      <c r="AP210" s="3" t="str">
        <f t="shared" si="141"/>
        <v>-</v>
      </c>
      <c r="AQ210" s="3" t="str">
        <f t="shared" si="142"/>
        <v>-</v>
      </c>
      <c r="AR210" s="3">
        <f t="shared" si="143"/>
        <v>3</v>
      </c>
      <c r="AS210" s="3">
        <f t="shared" si="144"/>
        <v>1</v>
      </c>
      <c r="AT210" s="3">
        <f t="shared" si="145"/>
        <v>1</v>
      </c>
      <c r="AU210" s="3">
        <f t="shared" si="146"/>
        <v>1</v>
      </c>
      <c r="AV210" s="3">
        <f t="shared" si="147"/>
        <v>11</v>
      </c>
      <c r="AW210" s="3">
        <f t="shared" si="148"/>
        <v>7</v>
      </c>
      <c r="AX210" s="3">
        <f t="shared" si="149"/>
        <v>5</v>
      </c>
      <c r="AY210" s="3">
        <f t="shared" si="150"/>
        <v>6</v>
      </c>
      <c r="AZ210" s="3">
        <f t="shared" si="151"/>
        <v>1</v>
      </c>
      <c r="BA210" s="3">
        <f>IF(ISERROR(LEN(VLOOKUP(A210,Seqs!A:E,2,FALSE))-AL210),"-",LEN(VLOOKUP(A210,Seqs!A:E,2,FALSE))-AL210)</f>
        <v>19</v>
      </c>
      <c r="BB210" s="16">
        <f t="shared" si="152"/>
        <v>28</v>
      </c>
      <c r="BC210" s="9">
        <f t="shared" si="153"/>
        <v>20</v>
      </c>
      <c r="BD210" s="3">
        <f t="shared" si="154"/>
        <v>28</v>
      </c>
      <c r="BE210" s="3">
        <f t="shared" si="155"/>
        <v>46</v>
      </c>
      <c r="BF210" s="3">
        <f>AH210-AE210</f>
        <v>43</v>
      </c>
    </row>
    <row r="211" spans="1:59" s="3" customFormat="1" x14ac:dyDescent="0.2">
      <c r="A211" s="3" t="s">
        <v>344</v>
      </c>
      <c r="B211" s="3" t="str">
        <f>LOWER(VLOOKUP(A211,Xtal_Templ!A:B,2,FALSE))</f>
        <v>p2ry1_human</v>
      </c>
      <c r="C211" s="3">
        <f>VLOOKUP($A211,'SegEnds_NonXtal_BW#'!$A:$Z,3,FALSE)+D211-50</f>
        <v>49</v>
      </c>
      <c r="D211" s="3">
        <v>69</v>
      </c>
      <c r="E211" s="3">
        <f>IF(ISERROR(VLOOKUP($A211,'SegEnds_NonXtal_BW#'!$A:$Z,4,FALSE)+VLOOKUP($A211,A:AL,4,FALSE)-50),"-",(VLOOKUP($A211,'SegEnds_NonXtal_BW#'!$A:$Z,4,FALSE)+VLOOKUP($A211,A:AL,4,FALSE)-50))</f>
        <v>79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84</v>
      </c>
      <c r="J211" s="3">
        <v>97</v>
      </c>
      <c r="K211" s="3">
        <f>VLOOKUP($A211,'SegEnds_NonXtal_BW#'!$A:$Z,8,FALSE)+VLOOKUP($A211,A:AL,10,FALSE)-50</f>
        <v>113</v>
      </c>
      <c r="L211" s="3">
        <f t="shared" si="159"/>
        <v>116</v>
      </c>
      <c r="M211" s="3">
        <v>117</v>
      </c>
      <c r="N211" s="3">
        <f t="shared" si="160"/>
        <v>119</v>
      </c>
      <c r="O211" s="3">
        <f t="shared" si="139"/>
        <v>120</v>
      </c>
      <c r="P211" s="3">
        <v>149</v>
      </c>
      <c r="Q211" s="3">
        <f>VLOOKUP($A211,'SegEnds_NonXtal_BW#'!$A:$Z,12,FALSE)+VLOOKUP($A211,A:AL,16,FALSE)-50</f>
        <v>155</v>
      </c>
      <c r="R211" s="3">
        <f>IF(ISERROR(VLOOKUP($A211,'SegEnds_NonXtal_BW#'!$A:$Z,13,FALSE)+VLOOKUP($A211,A:AL,19,FALSE)-50),"-",VLOOKUP($A211,'SegEnds_NonXtal_BW#'!$A:$Z,13,FALSE)+VLOOKUP($A211,A:AL,19,FALSE)-50)</f>
        <v>156</v>
      </c>
      <c r="S211" s="3">
        <v>156</v>
      </c>
      <c r="T211" s="100">
        <f>IF(ISERROR(VLOOKUP($A211,'SegEnds_NonXtal_BW#'!$A:$Z,14,FALSE)+VLOOKUP($A211,A:AL,19,FALSE)-50),"-",(VLOOKUP($A211,'SegEnds_NonXtal_BW#'!$A:$Z,14,FALSE)+VLOOKUP($A211,A:AL,19,FALSE)-50))</f>
        <v>163</v>
      </c>
      <c r="U211" s="9">
        <f>IF(ISERROR(VLOOKUP($A211,'SegEnds_NonXtal_BW#'!$A:$Z,15,FALSE)+VLOOKUP($A211,A:AL,22,FALSE)-50),"-",VLOOKUP($A211,'SegEnds_NonXtal_BW#'!$A:$Z,15,FALSE)+VLOOKUP($A211,A:AL,22,FALSE)-50)</f>
        <v>164</v>
      </c>
      <c r="V211" s="3">
        <v>176</v>
      </c>
      <c r="W211" s="3">
        <f>IF(ISERROR(VLOOKUP($A211,'SegEnds_NonXtal_BW#'!$A:$Z,16,FALSE)+VLOOKUP($A211,A:AL,22,FALSE)-50),"-",(VLOOKUP($A211,'SegEnds_NonXtal_BW#'!$A:$Z,16,FALSE)+VLOOKUP($A211,A:AL,22,FALSE)-50))</f>
        <v>190</v>
      </c>
      <c r="X211" s="3">
        <f>IF(ISERROR(VLOOKUP($A211,'SegEnds_NonXtal_BW#'!$A:$Z,17,FALSE)+VLOOKUP($A211,A:AL,25,FALSE)-50),"-",(VLOOKUP($A211,'SegEnds_NonXtal_BW#'!$A:$Z,17,FALSE)+VLOOKUP($A211,A:AL,25,FALSE)-50))</f>
        <v>202</v>
      </c>
      <c r="Y211" s="3">
        <v>202</v>
      </c>
      <c r="Z211" s="3">
        <f t="shared" si="140"/>
        <v>204</v>
      </c>
      <c r="AA211" s="3">
        <f>IF(ISERROR(VLOOKUP($A211,'SegEnds_NonXtal_BW#'!$A:$Z,19,FALSE)+VLOOKUP($A211,A:AL,28,FALSE)-50),"-",(VLOOKUP($A211,'SegEnds_NonXtal_BW#'!$A:$Z,19,FALSE)+VLOOKUP($A211,A:AL,28,FALSE)-50))</f>
        <v>211</v>
      </c>
      <c r="AB211" s="3">
        <v>229</v>
      </c>
      <c r="AC211" s="3">
        <f>IF(ISERROR((VLOOKUP($A211,'SegEnds_NonXtal_BW#'!$A:$Z,20,FALSE)+VLOOKUP($A211,A:AL,28,FALSE)-50)),"-",(VLOOKUP($A211,'SegEnds_NonXtal_BW#'!$A:$Z,20,FALSE)+VLOOKUP($A211,A:AL,28,FALSE)-50))</f>
        <v>247</v>
      </c>
      <c r="AD211" s="3">
        <f>IF(ISERROR(VLOOKUP($A211,'SegEnds_NonXtal_BW#'!$A:$Z,21,FALSE)+VLOOKUP($A211,A:AL,31,FALSE)-50),"-",(VLOOKUP($A211,'SegEnds_NonXtal_BW#'!$A:$Z,21,FALSE)+VLOOKUP($A211,A:AL,31,FALSE)-50))</f>
        <v>253</v>
      </c>
      <c r="AE211" s="3">
        <v>275</v>
      </c>
      <c r="AF211" s="3">
        <f>IF(ISERROR((VLOOKUP($A211,'SegEnds_NonXtal_BW#'!$A:$Z,22,FALSE)+VLOOKUP($A211,A:AL,31,FALSE)-50)),"-",(VLOOKUP($A211,'SegEnds_NonXtal_BW#'!$A:$Z,22,FALSE)+VLOOKUP($A211,A:AL,31,FALSE)-50))</f>
        <v>289</v>
      </c>
      <c r="AG211" s="3">
        <f>IF(ISERROR(VLOOKUP($A211,'SegEnds_NonXtal_BW#'!$A:$Z,23,FALSE)+VLOOKUP($A211,A:AL,34,FALSE)-50),"-",(VLOOKUP($A211,'SegEnds_NonXtal_BW#'!$A:$Z,23,FALSE)+VLOOKUP($A211,A:AL,34,FALSE)-50))</f>
        <v>295</v>
      </c>
      <c r="AH211" s="3">
        <v>321</v>
      </c>
      <c r="AI211" s="3">
        <f>IF(ISERROR((VLOOKUP($A211,'SegEnds_NonXtal_BW#'!$A:$Z,24,FALSE)+VLOOKUP($A211,A:AL,34,FALSE)-50)),"-",(VLOOKUP($A211,'SegEnds_NonXtal_BW#'!$A:$Z,24,FALSE)+VLOOKUP($A211,A:AL,34,FALSE)-50))</f>
        <v>327</v>
      </c>
      <c r="AJ211" s="3">
        <f>IF(ISERROR(VLOOKUP($A211,'SegEnds_NonXtal_BW#'!$A:$Z,25,FALSE)+VLOOKUP($A211,A:AL,37,FALSE)-50),"-",(VLOOKUP($A211,'SegEnds_NonXtal_BW#'!$A:$Z,25,FALSE)+VLOOKUP($A211,A:AL,37,FALSE)-50))</f>
        <v>328</v>
      </c>
      <c r="AK211" s="3">
        <v>331</v>
      </c>
      <c r="AL211" s="3">
        <f>IF(ISERROR((VLOOKUP($A211,'SegEnds_NonXtal_BW#'!$A:$Z,26,FALSE)+VLOOKUP($A211,A:AL,37,FALSE)-50)),"-",(VLOOKUP($A211,'SegEnds_NonXtal_BW#'!$A:$Z,26,FALSE)+VLOOKUP($A211,A:AL,37,FALSE)-50))</f>
        <v>340</v>
      </c>
      <c r="AM211" s="28" t="str">
        <f>VLOOKUP(A211,Classification!A:B,2,FALSE)</f>
        <v>A</v>
      </c>
      <c r="AN211" s="28" t="b">
        <f t="shared" si="156"/>
        <v>1</v>
      </c>
      <c r="AO211" s="3" t="str">
        <f>IF(ISERROR(MATCH(A211,'SegEnds_Xtal_Prot#'!B:B, 0)), "NoXtal", "Xtal")</f>
        <v>Xtal</v>
      </c>
      <c r="AP211" s="3" t="str">
        <f t="shared" si="141"/>
        <v>-</v>
      </c>
      <c r="AQ211" s="3" t="str">
        <f t="shared" si="142"/>
        <v>-</v>
      </c>
      <c r="AR211" s="3">
        <f t="shared" si="143"/>
        <v>3</v>
      </c>
      <c r="AS211" s="3">
        <f t="shared" si="144"/>
        <v>1</v>
      </c>
      <c r="AT211" s="3">
        <f t="shared" si="145"/>
        <v>1</v>
      </c>
      <c r="AU211" s="3">
        <f t="shared" si="146"/>
        <v>1</v>
      </c>
      <c r="AV211" s="3">
        <f t="shared" si="147"/>
        <v>12</v>
      </c>
      <c r="AW211" s="3">
        <f t="shared" si="148"/>
        <v>7</v>
      </c>
      <c r="AX211" s="3">
        <f t="shared" si="149"/>
        <v>6</v>
      </c>
      <c r="AY211" s="3">
        <f t="shared" si="150"/>
        <v>6</v>
      </c>
      <c r="AZ211" s="3">
        <f t="shared" si="151"/>
        <v>1</v>
      </c>
      <c r="BA211" s="3">
        <f>IF(ISERROR(LEN(VLOOKUP(A211,Seqs!A:E,2,FALSE))-AL211),"-",LEN(VLOOKUP(A211,Seqs!A:E,2,FALSE))-AL211)</f>
        <v>33</v>
      </c>
      <c r="BB211" s="16">
        <f t="shared" si="152"/>
        <v>28</v>
      </c>
      <c r="BC211" s="9">
        <f t="shared" si="153"/>
        <v>20</v>
      </c>
      <c r="BD211" s="3">
        <f t="shared" si="154"/>
        <v>28</v>
      </c>
      <c r="BE211" s="3">
        <f t="shared" si="155"/>
        <v>46</v>
      </c>
    </row>
    <row r="212" spans="1:59" s="3" customFormat="1" x14ac:dyDescent="0.2">
      <c r="A212" s="3" t="s">
        <v>345</v>
      </c>
      <c r="B212" s="3" t="str">
        <f>LOWER(VLOOKUP(A212,Xtal_Templ!A:B,2,FALSE))</f>
        <v>p2ry1_human</v>
      </c>
      <c r="C212" s="3">
        <f>VLOOKUP($A212,'SegEnds_NonXtal_BW#'!$A:$Z,3,FALSE)+D212-50</f>
        <v>31</v>
      </c>
      <c r="D212" s="3">
        <v>51</v>
      </c>
      <c r="E212" s="3">
        <f>IF(ISERROR(VLOOKUP($A212,'SegEnds_NonXtal_BW#'!$A:$Z,4,FALSE)+VLOOKUP($A212,A:AL,4,FALSE)-50),"-",(VLOOKUP($A212,'SegEnds_NonXtal_BW#'!$A:$Z,4,FALSE)+VLOOKUP($A212,A:AL,4,FALSE)-50))</f>
        <v>61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66</v>
      </c>
      <c r="J212" s="3">
        <v>79</v>
      </c>
      <c r="K212" s="3">
        <f>VLOOKUP($A212,'SegEnds_NonXtal_BW#'!$A:$Z,8,FALSE)+VLOOKUP($A212,A:AL,10,FALSE)-50</f>
        <v>95</v>
      </c>
      <c r="L212" s="3">
        <f t="shared" si="159"/>
        <v>98</v>
      </c>
      <c r="M212" s="3">
        <v>99</v>
      </c>
      <c r="N212" s="3">
        <f t="shared" si="160"/>
        <v>101</v>
      </c>
      <c r="O212" s="3">
        <f t="shared" si="139"/>
        <v>102</v>
      </c>
      <c r="P212" s="3">
        <v>131</v>
      </c>
      <c r="Q212" s="3">
        <f>VLOOKUP($A212,'SegEnds_NonXtal_BW#'!$A:$Z,12,FALSE)+VLOOKUP($A212,A:AL,16,FALSE)-50</f>
        <v>137</v>
      </c>
      <c r="R212" s="3">
        <f>IF(ISERROR(VLOOKUP($A212,'SegEnds_NonXtal_BW#'!$A:$Z,13,FALSE)+VLOOKUP($A212,A:AL,19,FALSE)-50),"-",VLOOKUP($A212,'SegEnds_NonXtal_BW#'!$A:$Z,13,FALSE)+VLOOKUP($A212,A:AL,19,FALSE)-50)</f>
        <v>138</v>
      </c>
      <c r="S212" s="3">
        <v>138</v>
      </c>
      <c r="T212" s="100">
        <f>IF(ISERROR(VLOOKUP($A212,'SegEnds_NonXtal_BW#'!$A:$Z,14,FALSE)+VLOOKUP($A212,A:AL,19,FALSE)-50),"-",(VLOOKUP($A212,'SegEnds_NonXtal_BW#'!$A:$Z,14,FALSE)+VLOOKUP($A212,A:AL,19,FALSE)-50))</f>
        <v>145</v>
      </c>
      <c r="U212" s="9">
        <f>IF(ISERROR(VLOOKUP($A212,'SegEnds_NonXtal_BW#'!$A:$Z,15,FALSE)+VLOOKUP($A212,A:AL,22,FALSE)-50),"-",VLOOKUP($A212,'SegEnds_NonXtal_BW#'!$A:$Z,15,FALSE)+VLOOKUP($A212,A:AL,22,FALSE)-50)</f>
        <v>146</v>
      </c>
      <c r="V212" s="3">
        <v>158</v>
      </c>
      <c r="W212" s="3">
        <f>IF(ISERROR(VLOOKUP($A212,'SegEnds_NonXtal_BW#'!$A:$Z,16,FALSE)+VLOOKUP($A212,A:AL,22,FALSE)-50),"-",(VLOOKUP($A212,'SegEnds_NonXtal_BW#'!$A:$Z,16,FALSE)+VLOOKUP($A212,A:AL,22,FALSE)-50))</f>
        <v>172</v>
      </c>
      <c r="X212" s="3">
        <f>IF(ISERROR(VLOOKUP($A212,'SegEnds_NonXtal_BW#'!$A:$Z,17,FALSE)+VLOOKUP($A212,A:AL,25,FALSE)-50),"-",(VLOOKUP($A212,'SegEnds_NonXtal_BW#'!$A:$Z,17,FALSE)+VLOOKUP($A212,A:AL,25,FALSE)-50))</f>
        <v>183</v>
      </c>
      <c r="Y212" s="3">
        <v>183</v>
      </c>
      <c r="Z212" s="3">
        <f t="shared" si="140"/>
        <v>185</v>
      </c>
      <c r="AA212" s="3">
        <f>IF(ISERROR(VLOOKUP($A212,'SegEnds_NonXtal_BW#'!$A:$Z,19,FALSE)+VLOOKUP($A212,A:AL,28,FALSE)-50),"-",(VLOOKUP($A212,'SegEnds_NonXtal_BW#'!$A:$Z,19,FALSE)+VLOOKUP($A212,A:AL,28,FALSE)-50))</f>
        <v>192</v>
      </c>
      <c r="AB212" s="3">
        <v>210</v>
      </c>
      <c r="AC212" s="3">
        <f>IF(ISERROR((VLOOKUP($A212,'SegEnds_NonXtal_BW#'!$A:$Z,20,FALSE)+VLOOKUP($A212,A:AL,28,FALSE)-50)),"-",(VLOOKUP($A212,'SegEnds_NonXtal_BW#'!$A:$Z,20,FALSE)+VLOOKUP($A212,A:AL,28,FALSE)-50))</f>
        <v>232</v>
      </c>
      <c r="AD212" s="3">
        <f>IF(ISERROR(VLOOKUP($A212,'SegEnds_NonXtal_BW#'!$A:$Z,21,FALSE)+VLOOKUP($A212,A:AL,31,FALSE)-50),"-",(VLOOKUP($A212,'SegEnds_NonXtal_BW#'!$A:$Z,21,FALSE)+VLOOKUP($A212,A:AL,31,FALSE)-50))</f>
        <v>239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56"/>
        <v>1</v>
      </c>
      <c r="AO212" s="3" t="str">
        <f>IF(ISERROR(MATCH(A212,'SegEnds_Xtal_Prot#'!B:B, 0)), "NoXtal", "Xtal")</f>
        <v>NoXtal</v>
      </c>
      <c r="AP212" s="3" t="str">
        <f t="shared" si="141"/>
        <v>-</v>
      </c>
      <c r="AQ212" s="3" t="str">
        <f t="shared" si="142"/>
        <v>-</v>
      </c>
      <c r="AR212" s="3">
        <f t="shared" si="143"/>
        <v>3</v>
      </c>
      <c r="AS212" s="3">
        <f t="shared" si="144"/>
        <v>1</v>
      </c>
      <c r="AT212" s="3">
        <f t="shared" si="145"/>
        <v>1</v>
      </c>
      <c r="AU212" s="3">
        <f t="shared" si="146"/>
        <v>1</v>
      </c>
      <c r="AV212" s="3">
        <f t="shared" si="147"/>
        <v>11</v>
      </c>
      <c r="AW212" s="3">
        <f t="shared" si="148"/>
        <v>7</v>
      </c>
      <c r="AX212" s="3">
        <f t="shared" si="149"/>
        <v>7</v>
      </c>
      <c r="AY212" s="3">
        <f t="shared" si="150"/>
        <v>6</v>
      </c>
      <c r="AZ212" s="3">
        <f t="shared" si="151"/>
        <v>1</v>
      </c>
      <c r="BA212" s="3">
        <f>IF(ISERROR(LEN(VLOOKUP(A212,Seqs!A:E,2,FALSE))-AL212),"-",LEN(VLOOKUP(A212,Seqs!A:E,2,FALSE))-AL212)</f>
        <v>55</v>
      </c>
      <c r="BB212" s="16">
        <f t="shared" si="152"/>
        <v>28</v>
      </c>
      <c r="BC212" s="9">
        <f t="shared" si="153"/>
        <v>20</v>
      </c>
      <c r="BD212" s="3">
        <f t="shared" si="154"/>
        <v>28</v>
      </c>
      <c r="BE212" s="3">
        <f t="shared" si="155"/>
        <v>50</v>
      </c>
    </row>
    <row r="213" spans="1:59" s="3" customFormat="1" x14ac:dyDescent="0.2">
      <c r="A213" s="3" t="s">
        <v>346</v>
      </c>
      <c r="B213" s="3" t="str">
        <f>LOWER(VLOOKUP(A213,Xtal_Templ!A:B,2,FALSE))</f>
        <v>p2ry1_human</v>
      </c>
      <c r="C213" s="3">
        <f>VLOOKUP($A213,'SegEnds_NonXtal_BW#'!$A:$Z,3,FALSE)+D213-50</f>
        <v>33</v>
      </c>
      <c r="D213" s="3">
        <v>53</v>
      </c>
      <c r="E213" s="3">
        <f>IF(ISERROR(VLOOKUP($A213,'SegEnds_NonXtal_BW#'!$A:$Z,4,FALSE)+VLOOKUP($A213,A:AL,4,FALSE)-50),"-",(VLOOKUP($A213,'SegEnds_NonXtal_BW#'!$A:$Z,4,FALSE)+VLOOKUP($A213,A:AL,4,FALSE)-50))</f>
        <v>63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68</v>
      </c>
      <c r="J213" s="3">
        <v>81</v>
      </c>
      <c r="K213" s="3">
        <f>VLOOKUP($A213,'SegEnds_NonXtal_BW#'!$A:$Z,8,FALSE)+VLOOKUP($A213,A:AL,10,FALSE)-50</f>
        <v>97</v>
      </c>
      <c r="L213" s="3">
        <f t="shared" si="159"/>
        <v>100</v>
      </c>
      <c r="M213" s="3">
        <v>101</v>
      </c>
      <c r="N213" s="3">
        <f t="shared" si="160"/>
        <v>103</v>
      </c>
      <c r="O213" s="3">
        <f t="shared" si="139"/>
        <v>104</v>
      </c>
      <c r="P213" s="3">
        <v>133</v>
      </c>
      <c r="Q213" s="3">
        <f>VLOOKUP($A213,'SegEnds_NonXtal_BW#'!$A:$Z,12,FALSE)+VLOOKUP($A213,A:AL,16,FALSE)-50</f>
        <v>139</v>
      </c>
      <c r="R213" s="3">
        <f>IF(ISERROR(VLOOKUP($A213,'SegEnds_NonXtal_BW#'!$A:$Z,13,FALSE)+VLOOKUP($A213,A:AL,19,FALSE)-50),"-",VLOOKUP($A213,'SegEnds_NonXtal_BW#'!$A:$Z,13,FALSE)+VLOOKUP($A213,A:AL,19,FALSE)-50)</f>
        <v>140</v>
      </c>
      <c r="S213" s="3">
        <v>140</v>
      </c>
      <c r="T213" s="100">
        <f>IF(ISERROR(VLOOKUP($A213,'SegEnds_NonXtal_BW#'!$A:$Z,14,FALSE)+VLOOKUP($A213,A:AL,19,FALSE)-50),"-",(VLOOKUP($A213,'SegEnds_NonXtal_BW#'!$A:$Z,14,FALSE)+VLOOKUP($A213,A:AL,19,FALSE)-50))</f>
        <v>147</v>
      </c>
      <c r="U213" s="9">
        <f>IF(ISERROR(VLOOKUP($A213,'SegEnds_NonXtal_BW#'!$A:$Z,15,FALSE)+VLOOKUP($A213,A:AL,22,FALSE)-50),"-",VLOOKUP($A213,'SegEnds_NonXtal_BW#'!$A:$Z,15,FALSE)+VLOOKUP($A213,A:AL,22,FALSE)-50)</f>
        <v>148</v>
      </c>
      <c r="V213" s="3">
        <v>160</v>
      </c>
      <c r="W213" s="3">
        <f>IF(ISERROR(VLOOKUP($A213,'SegEnds_NonXtal_BW#'!$A:$Z,16,FALSE)+VLOOKUP($A213,A:AL,22,FALSE)-50),"-",(VLOOKUP($A213,'SegEnds_NonXtal_BW#'!$A:$Z,16,FALSE)+VLOOKUP($A213,A:AL,22,FALSE)-50))</f>
        <v>174</v>
      </c>
      <c r="X213" s="3">
        <f>IF(ISERROR(VLOOKUP($A213,'SegEnds_NonXtal_BW#'!$A:$Z,17,FALSE)+VLOOKUP($A213,A:AL,25,FALSE)-50),"-",(VLOOKUP($A213,'SegEnds_NonXtal_BW#'!$A:$Z,17,FALSE)+VLOOKUP($A213,A:AL,25,FALSE)-50))</f>
        <v>185</v>
      </c>
      <c r="Y213" s="3">
        <v>185</v>
      </c>
      <c r="Z213" s="3">
        <f t="shared" si="140"/>
        <v>187</v>
      </c>
      <c r="AA213" s="3">
        <f>IF(ISERROR(VLOOKUP($A213,'SegEnds_NonXtal_BW#'!$A:$Z,19,FALSE)+VLOOKUP($A213,A:AL,28,FALSE)-50),"-",(VLOOKUP($A213,'SegEnds_NonXtal_BW#'!$A:$Z,19,FALSE)+VLOOKUP($A213,A:AL,28,FALSE)-50))</f>
        <v>194</v>
      </c>
      <c r="AB213" s="3">
        <v>212</v>
      </c>
      <c r="AC213" s="3">
        <f>IF(ISERROR((VLOOKUP($A213,'SegEnds_NonXtal_BW#'!$A:$Z,20,FALSE)+VLOOKUP($A213,A:AL,28,FALSE)-50)),"-",(VLOOKUP($A213,'SegEnds_NonXtal_BW#'!$A:$Z,20,FALSE)+VLOOKUP($A213,A:AL,28,FALSE)-50))</f>
        <v>230</v>
      </c>
      <c r="AD213" s="3">
        <f>IF(ISERROR(VLOOKUP($A213,'SegEnds_NonXtal_BW#'!$A:$Z,21,FALSE)+VLOOKUP($A213,A:AL,31,FALSE)-50),"-",(VLOOKUP($A213,'SegEnds_NonXtal_BW#'!$A:$Z,21,FALSE)+VLOOKUP($A213,A:AL,31,FALSE)-50))</f>
        <v>234</v>
      </c>
      <c r="AE213" s="3">
        <v>260</v>
      </c>
      <c r="AF213" s="3">
        <f>IF(ISERROR((VLOOKUP($A213,'SegEnds_NonXtal_BW#'!$A:$Z,22,FALSE)+VLOOKUP($A213,A:AL,31,FALSE)-50)),"-",(VLOOKUP($A213,'SegEnds_NonXtal_BW#'!$A:$Z,22,FALSE)+VLOOKUP($A213,A:AL,31,FALSE)-50))</f>
        <v>271</v>
      </c>
      <c r="AG213" s="3">
        <f>IF(ISERROR(VLOOKUP($A213,'SegEnds_NonXtal_BW#'!$A:$Z,23,FALSE)+VLOOKUP($A213,A:AL,34,FALSE)-50),"-",(VLOOKUP($A213,'SegEnds_NonXtal_BW#'!$A:$Z,23,FALSE)+VLOOKUP($A213,A:AL,34,FALSE)-50))</f>
        <v>277</v>
      </c>
      <c r="AH213" s="3">
        <v>303</v>
      </c>
      <c r="AI213" s="3">
        <f>IF(ISERROR((VLOOKUP($A213,'SegEnds_NonXtal_BW#'!$A:$Z,24,FALSE)+VLOOKUP($A213,A:AL,34,FALSE)-50)),"-",(VLOOKUP($A213,'SegEnds_NonXtal_BW#'!$A:$Z,24,FALSE)+VLOOKUP($A213,A:AL,34,FALSE)-50))</f>
        <v>309</v>
      </c>
      <c r="AJ213" s="3">
        <f>IF(ISERROR(VLOOKUP($A213,'SegEnds_NonXtal_BW#'!$A:$Z,25,FALSE)+VLOOKUP($A213,A:AL,37,FALSE)-50),"-",(VLOOKUP($A213,'SegEnds_NonXtal_BW#'!$A:$Z,25,FALSE)+VLOOKUP($A213,A:AL,37,FALSE)-50))</f>
        <v>310</v>
      </c>
      <c r="AK213" s="3">
        <v>313</v>
      </c>
      <c r="AL213" s="3">
        <f>IF(ISERROR((VLOOKUP($A213,'SegEnds_NonXtal_BW#'!$A:$Z,26,FALSE)+VLOOKUP($A213,A:AL,37,FALSE)-50)),"-",(VLOOKUP($A213,'SegEnds_NonXtal_BW#'!$A:$Z,26,FALSE)+VLOOKUP($A213,A:AL,37,FALSE)-50))</f>
        <v>322</v>
      </c>
      <c r="AM213" s="28" t="str">
        <f>VLOOKUP(A213,Classification!A:B,2,FALSE)</f>
        <v>A</v>
      </c>
      <c r="AN213" s="28" t="b">
        <f t="shared" si="156"/>
        <v>1</v>
      </c>
      <c r="AO213" s="3" t="str">
        <f>IF(ISERROR(MATCH(A213,'SegEnds_Xtal_Prot#'!B:B, 0)), "NoXtal", "Xtal")</f>
        <v>NoXtal</v>
      </c>
      <c r="AP213" s="3" t="str">
        <f t="shared" si="141"/>
        <v>-</v>
      </c>
      <c r="AQ213" s="3" t="str">
        <f t="shared" si="142"/>
        <v>-</v>
      </c>
      <c r="AR213" s="3">
        <f t="shared" si="143"/>
        <v>3</v>
      </c>
      <c r="AS213" s="3">
        <f t="shared" si="144"/>
        <v>1</v>
      </c>
      <c r="AT213" s="3">
        <f t="shared" si="145"/>
        <v>1</v>
      </c>
      <c r="AU213" s="3">
        <f t="shared" si="146"/>
        <v>1</v>
      </c>
      <c r="AV213" s="3">
        <f t="shared" si="147"/>
        <v>11</v>
      </c>
      <c r="AW213" s="3">
        <f t="shared" si="148"/>
        <v>7</v>
      </c>
      <c r="AX213" s="3">
        <f t="shared" si="149"/>
        <v>4</v>
      </c>
      <c r="AY213" s="3">
        <f t="shared" si="150"/>
        <v>6</v>
      </c>
      <c r="AZ213" s="3">
        <f t="shared" si="151"/>
        <v>1</v>
      </c>
      <c r="BA213" s="3">
        <f>IF(ISERROR(LEN(VLOOKUP(A213,Seqs!A:E,2,FALSE))-AL213),"-",LEN(VLOOKUP(A213,Seqs!A:E,2,FALSE))-AL213)</f>
        <v>43</v>
      </c>
      <c r="BB213" s="16">
        <f t="shared" si="152"/>
        <v>28</v>
      </c>
      <c r="BC213" s="9">
        <f t="shared" si="153"/>
        <v>20</v>
      </c>
      <c r="BD213" s="3">
        <f t="shared" si="154"/>
        <v>28</v>
      </c>
      <c r="BE213" s="3">
        <f t="shared" si="155"/>
        <v>48</v>
      </c>
    </row>
    <row r="214" spans="1:59" s="3" customFormat="1" x14ac:dyDescent="0.2">
      <c r="A214" s="3" t="s">
        <v>348</v>
      </c>
      <c r="B214" s="3" t="str">
        <f>LOWER(VLOOKUP(A214,Xtal_Templ!A:B,2,FALSE))</f>
        <v>par2_human</v>
      </c>
      <c r="C214" s="3">
        <f>VLOOKUP($A214,'SegEnds_NonXtal_BW#'!$A:$Z,3,FALSE)+D214-50</f>
        <v>19</v>
      </c>
      <c r="D214" s="3">
        <v>41</v>
      </c>
      <c r="E214" s="3">
        <f>IF(ISERROR(VLOOKUP($A214,'SegEnds_NonXtal_BW#'!$A:$Z,4,FALSE)+VLOOKUP($A214,A:AL,4,FALSE)-50),"-",(VLOOKUP($A214,'SegEnds_NonXtal_BW#'!$A:$Z,4,FALSE)+VLOOKUP($A214,A:AL,4,FALSE)-50))</f>
        <v>51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56</v>
      </c>
      <c r="J214" s="3">
        <v>69</v>
      </c>
      <c r="K214" s="3">
        <f>VLOOKUP($A214,'SegEnds_NonXtal_BW#'!$A:$Z,8,FALSE)+VLOOKUP($A214,A:AL,10,FALSE)-50</f>
        <v>85</v>
      </c>
      <c r="L214" s="3">
        <f t="shared" si="159"/>
        <v>88</v>
      </c>
      <c r="M214" s="3">
        <v>89</v>
      </c>
      <c r="N214" s="3">
        <f t="shared" si="160"/>
        <v>91</v>
      </c>
      <c r="O214" s="3">
        <f t="shared" si="139"/>
        <v>92</v>
      </c>
      <c r="P214" s="3">
        <v>121</v>
      </c>
      <c r="Q214" s="3">
        <f>VLOOKUP($A214,'SegEnds_NonXtal_BW#'!$A:$Z,12,FALSE)+VLOOKUP($A214,A:AL,16,FALSE)-50</f>
        <v>127</v>
      </c>
      <c r="R214" s="3">
        <f>IF(ISERROR(VLOOKUP($A214,'SegEnds_NonXtal_BW#'!$A:$Z,13,FALSE)+VLOOKUP($A214,A:AL,19,FALSE)-50),"-",VLOOKUP($A214,'SegEnds_NonXtal_BW#'!$A:$Z,13,FALSE)+VLOOKUP($A214,A:AL,19,FALSE)-50)</f>
        <v>128</v>
      </c>
      <c r="S214" s="3">
        <v>128</v>
      </c>
      <c r="T214" s="100">
        <f>IF(ISERROR(VLOOKUP($A214,'SegEnds_NonXtal_BW#'!$A:$Z,14,FALSE)+VLOOKUP($A214,A:AL,19,FALSE)-50),"-",(VLOOKUP($A214,'SegEnds_NonXtal_BW#'!$A:$Z,14,FALSE)+VLOOKUP($A214,A:AL,19,FALSE)-50))</f>
        <v>135</v>
      </c>
      <c r="U214" s="9">
        <f>IF(ISERROR(VLOOKUP($A214,'SegEnds_NonXtal_BW#'!$A:$Z,15,FALSE)+VLOOKUP($A214,A:AL,22,FALSE)-50),"-",VLOOKUP($A214,'SegEnds_NonXtal_BW#'!$A:$Z,15,FALSE)+VLOOKUP($A214,A:AL,22,FALSE)-50)</f>
        <v>136</v>
      </c>
      <c r="V214" s="3">
        <v>148</v>
      </c>
      <c r="W214" s="3">
        <f>IF(ISERROR(VLOOKUP($A214,'SegEnds_NonXtal_BW#'!$A:$Z,16,FALSE)+VLOOKUP($A214,A:AL,22,FALSE)-50),"-",(VLOOKUP($A214,'SegEnds_NonXtal_BW#'!$A:$Z,16,FALSE)+VLOOKUP($A214,A:AL,22,FALSE)-50))</f>
        <v>160</v>
      </c>
      <c r="X214" s="3">
        <f>IF(ISERROR(VLOOKUP($A214,'SegEnds_NonXtal_BW#'!$A:$Z,17,FALSE)+VLOOKUP($A214,A:AL,25,FALSE)-50),"-",(VLOOKUP($A214,'SegEnds_NonXtal_BW#'!$A:$Z,17,FALSE)+VLOOKUP($A214,A:AL,25,FALSE)-50))</f>
        <v>175</v>
      </c>
      <c r="Y214" s="3">
        <v>175</v>
      </c>
      <c r="Z214" s="3">
        <f t="shared" si="140"/>
        <v>177</v>
      </c>
      <c r="AA214" s="3">
        <f>IF(ISERROR(VLOOKUP($A214,'SegEnds_NonXtal_BW#'!$A:$Z,19,FALSE)+VLOOKUP($A214,A:AL,28,FALSE)-50),"-",(VLOOKUP($A214,'SegEnds_NonXtal_BW#'!$A:$Z,19,FALSE)+VLOOKUP($A214,A:AL,28,FALSE)-50))</f>
        <v>186</v>
      </c>
      <c r="AB214" s="3">
        <v>205</v>
      </c>
      <c r="AC214" s="3">
        <f>IF(ISERROR((VLOOKUP($A214,'SegEnds_NonXtal_BW#'!$A:$Z,20,FALSE)+VLOOKUP($A214,A:AL,28,FALSE)-50)),"-",(VLOOKUP($A214,'SegEnds_NonXtal_BW#'!$A:$Z,20,FALSE)+VLOOKUP($A214,A:AL,28,FALSE)-50))</f>
        <v>222</v>
      </c>
      <c r="AD214" s="3">
        <f>IF(ISERROR(VLOOKUP($A214,'SegEnds_NonXtal_BW#'!$A:$Z,21,FALSE)+VLOOKUP($A214,A:AL,31,FALSE)-50),"-",(VLOOKUP($A214,'SegEnds_NonXtal_BW#'!$A:$Z,21,FALSE)+VLOOKUP($A214,A:AL,31,FALSE)-50))</f>
        <v>228</v>
      </c>
      <c r="AE214" s="3">
        <v>252</v>
      </c>
      <c r="AF214" s="3">
        <f>IF(ISERROR((VLOOKUP($A214,'SegEnds_NonXtal_BW#'!$A:$Z,22,FALSE)+VLOOKUP($A214,A:AL,31,FALSE)-50)),"-",(VLOOKUP($A214,'SegEnds_NonXtal_BW#'!$A:$Z,22,FALSE)+VLOOKUP($A214,A:AL,31,FALSE)-50))</f>
        <v>263</v>
      </c>
      <c r="AG214" s="3">
        <f>IF(ISERROR(VLOOKUP($A214,'SegEnds_NonXtal_BW#'!$A:$Z,23,FALSE)+VLOOKUP($A214,A:AL,34,FALSE)-50),"-",(VLOOKUP($A214,'SegEnds_NonXtal_BW#'!$A:$Z,23,FALSE)+VLOOKUP($A214,A:AL,34,FALSE)-50))</f>
        <v>271</v>
      </c>
      <c r="AH214" s="3">
        <v>290</v>
      </c>
      <c r="AI214" s="3">
        <f>IF(ISERROR((VLOOKUP($A214,'SegEnds_NonXtal_BW#'!$A:$Z,24,FALSE)+VLOOKUP($A214,A:AL,34,FALSE)-50)),"-",(VLOOKUP($A214,'SegEnds_NonXtal_BW#'!$A:$Z,24,FALSE)+VLOOKUP($A214,A:AL,34,FALSE)-50))</f>
        <v>296</v>
      </c>
      <c r="AJ214" s="3">
        <f>IF(ISERROR(VLOOKUP($A214,'SegEnds_NonXtal_BW#'!$A:$Z,25,FALSE)+VLOOKUP($A214,A:AL,37,FALSE)-50),"-",(VLOOKUP($A214,'SegEnds_NonXtal_BW#'!$A:$Z,25,FALSE)+VLOOKUP($A214,A:AL,37,FALSE)-50))</f>
        <v>297</v>
      </c>
      <c r="AK214" s="3">
        <v>300</v>
      </c>
      <c r="AL214" s="3">
        <f>IF(ISERROR((VLOOKUP($A214,'SegEnds_NonXtal_BW#'!$A:$Z,26,FALSE)+VLOOKUP($A214,A:AL,37,FALSE)-50)),"-",(VLOOKUP($A214,'SegEnds_NonXtal_BW#'!$A:$Z,26,FALSE)+VLOOKUP($A214,A:AL,37,FALSE)-50))</f>
        <v>311</v>
      </c>
      <c r="AM214" s="28" t="str">
        <f>VLOOKUP(A214,Classification!A:B,2,FALSE)</f>
        <v>A</v>
      </c>
      <c r="AN214" s="28" t="b">
        <f t="shared" si="156"/>
        <v>1</v>
      </c>
      <c r="AO214" s="3" t="str">
        <f>IF(ISERROR(MATCH(A214,'SegEnds_Xtal_Prot#'!B:B, 0)), "NoXtal", "Xtal")</f>
        <v>NoXtal</v>
      </c>
      <c r="AP214" s="3" t="str">
        <f t="shared" si="141"/>
        <v>-</v>
      </c>
      <c r="AQ214" s="3" t="str">
        <f t="shared" si="142"/>
        <v>-</v>
      </c>
      <c r="AR214" s="3">
        <f t="shared" si="143"/>
        <v>3</v>
      </c>
      <c r="AS214" s="3">
        <f t="shared" si="144"/>
        <v>1</v>
      </c>
      <c r="AT214" s="3">
        <f t="shared" si="145"/>
        <v>1</v>
      </c>
      <c r="AU214" s="3">
        <f t="shared" si="146"/>
        <v>1</v>
      </c>
      <c r="AV214" s="3">
        <f t="shared" si="147"/>
        <v>15</v>
      </c>
      <c r="AW214" s="3">
        <f t="shared" si="148"/>
        <v>9</v>
      </c>
      <c r="AX214" s="3">
        <f t="shared" si="149"/>
        <v>6</v>
      </c>
      <c r="AY214" s="3">
        <f t="shared" si="150"/>
        <v>8</v>
      </c>
      <c r="AZ214" s="3">
        <f t="shared" si="151"/>
        <v>1</v>
      </c>
      <c r="BA214" s="3">
        <f>IF(ISERROR(LEN(VLOOKUP(A214,Seqs!A:E,2,FALSE))-AL214),"-",LEN(VLOOKUP(A214,Seqs!A:E,2,FALSE))-AL214)</f>
        <v>48</v>
      </c>
      <c r="BB214" s="16">
        <f t="shared" si="152"/>
        <v>28</v>
      </c>
      <c r="BC214" s="9">
        <f t="shared" si="153"/>
        <v>20</v>
      </c>
      <c r="BD214" s="3">
        <f t="shared" si="154"/>
        <v>28</v>
      </c>
      <c r="BE214" s="3">
        <f t="shared" si="155"/>
        <v>47</v>
      </c>
    </row>
    <row r="215" spans="1:59" s="3" customFormat="1" x14ac:dyDescent="0.2">
      <c r="A215" s="3" t="s">
        <v>350</v>
      </c>
      <c r="B215" s="3" t="str">
        <f>LOWER(VLOOKUP(A215,Xtal_Templ!A:B,2,FALSE))</f>
        <v>p2ry1_human</v>
      </c>
      <c r="C215" s="3">
        <f>VLOOKUP($A215,'SegEnds_NonXtal_BW#'!$A:$Z,3,FALSE)+D215-50</f>
        <v>26</v>
      </c>
      <c r="D215" s="3">
        <v>46</v>
      </c>
      <c r="E215" s="3">
        <f>IF(ISERROR(VLOOKUP($A215,'SegEnds_NonXtal_BW#'!$A:$Z,4,FALSE)+VLOOKUP($A215,A:AL,4,FALSE)-50),"-",(VLOOKUP($A215,'SegEnds_NonXtal_BW#'!$A:$Z,4,FALSE)+VLOOKUP($A215,A:AL,4,FALSE)-50))</f>
        <v>56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62</v>
      </c>
      <c r="J215" s="3">
        <v>75</v>
      </c>
      <c r="K215" s="3">
        <f>VLOOKUP($A215,'SegEnds_NonXtal_BW#'!$A:$Z,8,FALSE)+VLOOKUP($A215,A:AL,10,FALSE)-50</f>
        <v>91</v>
      </c>
      <c r="L215" s="3">
        <f t="shared" si="159"/>
        <v>94</v>
      </c>
      <c r="M215" s="3">
        <v>95</v>
      </c>
      <c r="N215" s="3">
        <f t="shared" si="160"/>
        <v>97</v>
      </c>
      <c r="O215" s="3">
        <f t="shared" si="139"/>
        <v>98</v>
      </c>
      <c r="P215" s="3">
        <v>127</v>
      </c>
      <c r="Q215" s="3">
        <f>VLOOKUP($A215,'SegEnds_NonXtal_BW#'!$A:$Z,12,FALSE)+VLOOKUP($A215,A:AL,16,FALSE)-50</f>
        <v>133</v>
      </c>
      <c r="R215" s="3">
        <f>IF(ISERROR(VLOOKUP($A215,'SegEnds_NonXtal_BW#'!$A:$Z,13,FALSE)+VLOOKUP($A215,A:AL,19,FALSE)-50),"-",VLOOKUP($A215,'SegEnds_NonXtal_BW#'!$A:$Z,13,FALSE)+VLOOKUP($A215,A:AL,19,FALSE)-50)</f>
        <v>134</v>
      </c>
      <c r="S215" s="3">
        <v>134</v>
      </c>
      <c r="T215" s="100">
        <f>IF(ISERROR(VLOOKUP($A215,'SegEnds_NonXtal_BW#'!$A:$Z,14,FALSE)+VLOOKUP($A215,A:AL,19,FALSE)-50),"-",(VLOOKUP($A215,'SegEnds_NonXtal_BW#'!$A:$Z,14,FALSE)+VLOOKUP($A215,A:AL,19,FALSE)-50))</f>
        <v>141</v>
      </c>
      <c r="U215" s="9">
        <f>IF(ISERROR(VLOOKUP($A215,'SegEnds_NonXtal_BW#'!$A:$Z,15,FALSE)+VLOOKUP($A215,A:AL,22,FALSE)-50),"-",VLOOKUP($A215,'SegEnds_NonXtal_BW#'!$A:$Z,15,FALSE)+VLOOKUP($A215,A:AL,22,FALSE)-50)</f>
        <v>142</v>
      </c>
      <c r="V215" s="3">
        <v>154</v>
      </c>
      <c r="W215" s="3">
        <f>IF(ISERROR(VLOOKUP($A215,'SegEnds_NonXtal_BW#'!$A:$Z,16,FALSE)+VLOOKUP($A215,A:AL,22,FALSE)-50),"-",(VLOOKUP($A215,'SegEnds_NonXtal_BW#'!$A:$Z,16,FALSE)+VLOOKUP($A215,A:AL,22,FALSE)-50))</f>
        <v>168</v>
      </c>
      <c r="X215" s="3">
        <f>IF(ISERROR(VLOOKUP($A215,'SegEnds_NonXtal_BW#'!$A:$Z,17,FALSE)+VLOOKUP($A215,A:AL,25,FALSE)-50),"-",(VLOOKUP($A215,'SegEnds_NonXtal_BW#'!$A:$Z,17,FALSE)+VLOOKUP($A215,A:AL,25,FALSE)-50))</f>
        <v>191</v>
      </c>
      <c r="Y215" s="3">
        <v>191</v>
      </c>
      <c r="Z215" s="3">
        <f t="shared" si="140"/>
        <v>193</v>
      </c>
      <c r="AA215" s="3">
        <f>IF(ISERROR(VLOOKUP($A215,'SegEnds_NonXtal_BW#'!$A:$Z,19,FALSE)+VLOOKUP($A215,A:AL,28,FALSE)-50),"-",(VLOOKUP($A215,'SegEnds_NonXtal_BW#'!$A:$Z,19,FALSE)+VLOOKUP($A215,A:AL,28,FALSE)-50))</f>
        <v>199</v>
      </c>
      <c r="AB215" s="3">
        <v>217</v>
      </c>
      <c r="AC215" s="3">
        <f>IF(ISERROR((VLOOKUP($A215,'SegEnds_NonXtal_BW#'!$A:$Z,20,FALSE)+VLOOKUP($A215,A:AL,28,FALSE)-50)),"-",(VLOOKUP($A215,'SegEnds_NonXtal_BW#'!$A:$Z,20,FALSE)+VLOOKUP($A215,A:AL,28,FALSE)-50))</f>
        <v>234</v>
      </c>
      <c r="AD215" s="3">
        <f>IF(ISERROR(VLOOKUP($A215,'SegEnds_NonXtal_BW#'!$A:$Z,21,FALSE)+VLOOKUP($A215,A:AL,31,FALSE)-50),"-",(VLOOKUP($A215,'SegEnds_NonXtal_BW#'!$A:$Z,21,FALSE)+VLOOKUP($A215,A:AL,31,FALSE)-50))</f>
        <v>239</v>
      </c>
      <c r="AE215" s="3">
        <v>263</v>
      </c>
      <c r="AF215" s="3">
        <f>IF(ISERROR((VLOOKUP($A215,'SegEnds_NonXtal_BW#'!$A:$Z,22,FALSE)+VLOOKUP($A215,A:AL,31,FALSE)-50)),"-",(VLOOKUP($A215,'SegEnds_NonXtal_BW#'!$A:$Z,22,FALSE)+VLOOKUP($A215,A:AL,31,FALSE)-50))</f>
        <v>277</v>
      </c>
      <c r="AG215" s="3">
        <f>IF(ISERROR(VLOOKUP($A215,'SegEnds_NonXtal_BW#'!$A:$Z,23,FALSE)+VLOOKUP($A215,A:AL,34,FALSE)-50),"-",(VLOOKUP($A215,'SegEnds_NonXtal_BW#'!$A:$Z,23,FALSE)+VLOOKUP($A215,A:AL,34,FALSE)-50))</f>
        <v>292</v>
      </c>
      <c r="AH215" s="3">
        <v>318</v>
      </c>
      <c r="AI215" s="3">
        <f>IF(ISERROR((VLOOKUP($A215,'SegEnds_NonXtal_BW#'!$A:$Z,24,FALSE)+VLOOKUP($A215,A:AL,34,FALSE)-50)),"-",(VLOOKUP($A215,'SegEnds_NonXtal_BW#'!$A:$Z,24,FALSE)+VLOOKUP($A215,A:AL,34,FALSE)-50))</f>
        <v>324</v>
      </c>
      <c r="AJ215" s="3">
        <f>IF(ISERROR(VLOOKUP($A215,'SegEnds_NonXtal_BW#'!$A:$Z,25,FALSE)+VLOOKUP($A215,A:AL,37,FALSE)-50),"-",(VLOOKUP($A215,'SegEnds_NonXtal_BW#'!$A:$Z,25,FALSE)+VLOOKUP($A215,A:AL,37,FALSE)-50))</f>
        <v>325</v>
      </c>
      <c r="AK215" s="3">
        <v>328</v>
      </c>
      <c r="AL215" s="3">
        <f>IF(ISERROR((VLOOKUP($A215,'SegEnds_NonXtal_BW#'!$A:$Z,26,FALSE)+VLOOKUP($A215,A:AL,37,FALSE)-50)),"-",(VLOOKUP($A215,'SegEnds_NonXtal_BW#'!$A:$Z,26,FALSE)+VLOOKUP($A215,A:AL,37,FALSE)-50))</f>
        <v>337</v>
      </c>
      <c r="AM215" s="28" t="str">
        <f>VLOOKUP(A215,Classification!A:B,2,FALSE)</f>
        <v>A</v>
      </c>
      <c r="AN215" s="28" t="b">
        <f t="shared" si="156"/>
        <v>1</v>
      </c>
      <c r="AO215" s="3" t="str">
        <f>IF(ISERROR(MATCH(A215,'SegEnds_Xtal_Prot#'!B:B, 0)), "NoXtal", "Xtal")</f>
        <v>NoXtal</v>
      </c>
      <c r="AP215" s="3" t="str">
        <f t="shared" si="141"/>
        <v>-</v>
      </c>
      <c r="AQ215" s="3" t="str">
        <f t="shared" si="142"/>
        <v>-</v>
      </c>
      <c r="AR215" s="3">
        <f t="shared" si="143"/>
        <v>3</v>
      </c>
      <c r="AS215" s="3">
        <f t="shared" si="144"/>
        <v>1</v>
      </c>
      <c r="AT215" s="3">
        <f t="shared" si="145"/>
        <v>1</v>
      </c>
      <c r="AU215" s="3">
        <f t="shared" si="146"/>
        <v>1</v>
      </c>
      <c r="AV215" s="3">
        <f t="shared" si="147"/>
        <v>23</v>
      </c>
      <c r="AW215" s="3">
        <f t="shared" si="148"/>
        <v>6</v>
      </c>
      <c r="AX215" s="3">
        <f t="shared" si="149"/>
        <v>5</v>
      </c>
      <c r="AY215" s="3">
        <f t="shared" si="150"/>
        <v>15</v>
      </c>
      <c r="AZ215" s="3">
        <f t="shared" si="151"/>
        <v>1</v>
      </c>
      <c r="BA215" s="3">
        <f>IF(ISERROR(LEN(VLOOKUP(A215,Seqs!A:E,2,FALSE))-AL215),"-",LEN(VLOOKUP(A215,Seqs!A:E,2,FALSE))-AL215)</f>
        <v>37</v>
      </c>
      <c r="BB215" s="16">
        <f t="shared" si="152"/>
        <v>29</v>
      </c>
      <c r="BC215" s="9">
        <f t="shared" si="153"/>
        <v>20</v>
      </c>
      <c r="BD215" s="3">
        <f t="shared" si="154"/>
        <v>29</v>
      </c>
      <c r="BE215" s="3">
        <f t="shared" si="155"/>
        <v>46</v>
      </c>
    </row>
    <row r="216" spans="1:59" s="3" customFormat="1" x14ac:dyDescent="0.2">
      <c r="A216" s="3" t="s">
        <v>351</v>
      </c>
      <c r="B216" s="3" t="str">
        <f>LOWER(VLOOKUP(A216,Xtal_Templ!A:B,2,FALSE))</f>
        <v>p2y12_human</v>
      </c>
      <c r="C216" s="3">
        <f>VLOOKUP($A216,'SegEnds_NonXtal_BW#'!$A:$Z,3,FALSE)+D216-50</f>
        <v>21</v>
      </c>
      <c r="D216" s="3">
        <v>43</v>
      </c>
      <c r="E216" s="3">
        <f>IF(ISERROR(VLOOKUP($A216,'SegEnds_NonXtal_BW#'!$A:$Z,4,FALSE)+VLOOKUP($A216,A:AL,4,FALSE)-50),"-",(VLOOKUP($A216,'SegEnds_NonXtal_BW#'!$A:$Z,4,FALSE)+VLOOKUP($A216,A:AL,4,FALSE)-50))</f>
        <v>53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57</v>
      </c>
      <c r="J216" s="3">
        <v>70</v>
      </c>
      <c r="K216" s="3">
        <f>VLOOKUP($A216,'SegEnds_NonXtal_BW#'!$A:$Z,8,FALSE)+VLOOKUP($A216,A:AL,10,FALSE)-50</f>
        <v>86</v>
      </c>
      <c r="L216" s="3" t="str">
        <f>IF(ISERROR(VLOOKUP($A216,'SegEnds_NonXtal_BW#'!$A:$Z,9,FALSE)+VLOOKUP($A216,A:AL,13,FALSE)-50),"-",(VLOOKUP($A216,'SegEnds_NonXtal_BW#'!$A:$Z,9,FALSE)+VLOOKUP($A216,A:AL,13,FALSE)-50))</f>
        <v>-</v>
      </c>
      <c r="M216" s="3" t="s">
        <v>23</v>
      </c>
      <c r="N216" s="3" t="str">
        <f>IF(ISERROR(VLOOKUP($A216,'SegEnds_NonXtal_BW#'!$A:$Z,10,FALSE)+VLOOKUP($A216,A:AL,13,FALSE)-50),"-",(VLOOKUP($A216,'SegEnds_NonXtal_BW#'!$A:$Z,10,FALSE)+VLOOKUP($A216,A:AL,13,FALSE)-50))</f>
        <v>-</v>
      </c>
      <c r="O216" s="3">
        <f>VLOOKUP($A216,'SegEnds_NonXtal_BW#'!$A:$Z,11,FALSE)+VLOOKUP($A216,A:AL,16,FALSE)-50</f>
        <v>90</v>
      </c>
      <c r="P216" s="3">
        <v>122</v>
      </c>
      <c r="Q216" s="3">
        <f>VLOOKUP($A216,'SegEnds_NonXtal_BW#'!$A:$Z,12,FALSE)+VLOOKUP($A216,A:AL,16,FALSE)-50</f>
        <v>128</v>
      </c>
      <c r="R216" s="3">
        <f>IF(ISERROR(VLOOKUP($A216,'SegEnds_NonXtal_BW#'!$A:$Z,13,FALSE)+VLOOKUP($A216,A:AL,19,FALSE)-50),"-",VLOOKUP($A216,'SegEnds_NonXtal_BW#'!$A:$Z,13,FALSE)+VLOOKUP($A216,A:AL,19,FALSE)-50)</f>
        <v>129</v>
      </c>
      <c r="S216" s="3">
        <v>129</v>
      </c>
      <c r="T216" s="100">
        <f>IF(ISERROR(VLOOKUP($A216,'SegEnds_NonXtal_BW#'!$A:$Z,14,FALSE)+VLOOKUP($A216,A:AL,19,FALSE)-50),"-",(VLOOKUP($A216,'SegEnds_NonXtal_BW#'!$A:$Z,14,FALSE)+VLOOKUP($A216,A:AL,19,FALSE)-50))</f>
        <v>136</v>
      </c>
      <c r="U216" s="9">
        <f>IF(ISERROR(VLOOKUP($A216,'SegEnds_NonXtal_BW#'!$A:$Z,15,FALSE)+VLOOKUP($A216,A:AL,22,FALSE)-50),"-",VLOOKUP($A216,'SegEnds_NonXtal_BW#'!$A:$Z,15,FALSE)+VLOOKUP($A216,A:AL,22,FALSE)-50)</f>
        <v>137</v>
      </c>
      <c r="V216" s="3">
        <v>149</v>
      </c>
      <c r="W216" s="3">
        <f>IF(ISERROR(VLOOKUP($A216,'SegEnds_NonXtal_BW#'!$A:$Z,16,FALSE)+VLOOKUP($A216,A:AL,22,FALSE)-50),"-",(VLOOKUP($A216,'SegEnds_NonXtal_BW#'!$A:$Z,16,FALSE)+VLOOKUP($A216,A:AL,22,FALSE)-50))</f>
        <v>163</v>
      </c>
      <c r="X216" s="3">
        <f>IF(ISERROR(VLOOKUP($A216,'SegEnds_NonXtal_BW#'!$A:$Z,17,FALSE)+VLOOKUP($A216,A:AL,25,FALSE)-50),"-",(VLOOKUP($A216,'SegEnds_NonXtal_BW#'!$A:$Z,17,FALSE)+VLOOKUP($A216,A:AL,25,FALSE)-50))</f>
        <v>175</v>
      </c>
      <c r="Y216" s="3">
        <v>175</v>
      </c>
      <c r="Z216" s="3">
        <f t="shared" si="140"/>
        <v>177</v>
      </c>
      <c r="AA216" s="3">
        <f>IF(ISERROR(VLOOKUP($A216,'SegEnds_NonXtal_BW#'!$A:$Z,19,FALSE)+VLOOKUP($A216,A:AL,28,FALSE)-50),"-",(VLOOKUP($A216,'SegEnds_NonXtal_BW#'!$A:$Z,19,FALSE)+VLOOKUP($A216,A:AL,28,FALSE)-50))</f>
        <v>181</v>
      </c>
      <c r="AB216" s="3">
        <v>201</v>
      </c>
      <c r="AC216" s="3">
        <f>IF(ISERROR((VLOOKUP($A216,'SegEnds_NonXtal_BW#'!$A:$Z,20,FALSE)+VLOOKUP($A216,A:AL,28,FALSE)-50)),"-",(VLOOKUP($A216,'SegEnds_NonXtal_BW#'!$A:$Z,20,FALSE)+VLOOKUP($A216,A:AL,28,FALSE)-50))</f>
        <v>223</v>
      </c>
      <c r="AD216" s="3">
        <f>IF(ISERROR(VLOOKUP($A216,'SegEnds_NonXtal_BW#'!$A:$Z,21,FALSE)+VLOOKUP($A216,A:AL,31,FALSE)-50),"-",(VLOOKUP($A216,'SegEnds_NonXtal_BW#'!$A:$Z,21,FALSE)+VLOOKUP($A216,A:AL,31,FALSE)-50))</f>
        <v>230</v>
      </c>
      <c r="AE216" s="3">
        <v>251</v>
      </c>
      <c r="AF216" s="3">
        <f>IF(ISERROR((VLOOKUP($A216,'SegEnds_NonXtal_BW#'!$A:$Z,22,FALSE)+VLOOKUP($A216,A:AL,31,FALSE)-50)),"-",(VLOOKUP($A216,'SegEnds_NonXtal_BW#'!$A:$Z,22,FALSE)+VLOOKUP($A216,A:AL,31,FALSE)-50))</f>
        <v>265</v>
      </c>
      <c r="AG216" s="3">
        <f>IF(ISERROR(VLOOKUP($A216,'SegEnds_NonXtal_BW#'!$A:$Z,23,FALSE)+VLOOKUP($A216,A:AL,34,FALSE)-50),"-",(VLOOKUP($A216,'SegEnds_NonXtal_BW#'!$A:$Z,23,FALSE)+VLOOKUP($A216,A:AL,34,FALSE)-50))</f>
        <v>269</v>
      </c>
      <c r="AH216" s="3">
        <v>295</v>
      </c>
      <c r="AI216" s="3">
        <f>IF(ISERROR((VLOOKUP($A216,'SegEnds_NonXtal_BW#'!$A:$Z,24,FALSE)+VLOOKUP($A216,A:AL,34,FALSE)-50)),"-",(VLOOKUP($A216,'SegEnds_NonXtal_BW#'!$A:$Z,24,FALSE)+VLOOKUP($A216,A:AL,34,FALSE)-50))</f>
        <v>301</v>
      </c>
      <c r="AJ216" s="3">
        <f>IF(ISERROR(VLOOKUP($A216,'SegEnds_NonXtal_BW#'!$A:$Z,25,FALSE)+VLOOKUP($A216,A:AL,37,FALSE)-50),"-",(VLOOKUP($A216,'SegEnds_NonXtal_BW#'!$A:$Z,25,FALSE)+VLOOKUP($A216,A:AL,37,FALSE)-50))</f>
        <v>302</v>
      </c>
      <c r="AK216" s="3">
        <v>305</v>
      </c>
      <c r="AL216" s="3">
        <f>IF(ISERROR((VLOOKUP($A216,'SegEnds_NonXtal_BW#'!$A:$Z,26,FALSE)+VLOOKUP($A216,A:AL,37,FALSE)-50)),"-",(VLOOKUP($A216,'SegEnds_NonXtal_BW#'!$A:$Z,26,FALSE)+VLOOKUP($A216,A:AL,37,FALSE)-50))</f>
        <v>312</v>
      </c>
      <c r="AM216" s="28" t="str">
        <f>VLOOKUP(A216,Classification!A:B,2,FALSE)</f>
        <v>A</v>
      </c>
      <c r="AN216" s="28" t="b">
        <f t="shared" si="156"/>
        <v>1</v>
      </c>
      <c r="AO216" s="3" t="str">
        <f>IF(ISERROR(MATCH(A216,'SegEnds_Xtal_Prot#'!B:B, 0)), "NoXtal", "Xtal")</f>
        <v>Xtal</v>
      </c>
      <c r="AP216" s="3" t="str">
        <f t="shared" si="141"/>
        <v>-</v>
      </c>
      <c r="AQ216" s="3" t="str">
        <f t="shared" si="142"/>
        <v>-</v>
      </c>
      <c r="AR216" s="3" t="str">
        <f t="shared" si="143"/>
        <v>-</v>
      </c>
      <c r="AS216" s="3" t="str">
        <f t="shared" si="144"/>
        <v>-</v>
      </c>
      <c r="AT216" s="3">
        <f t="shared" si="145"/>
        <v>1</v>
      </c>
      <c r="AU216" s="3">
        <f t="shared" si="146"/>
        <v>1</v>
      </c>
      <c r="AV216" s="3">
        <f t="shared" si="147"/>
        <v>12</v>
      </c>
      <c r="AW216" s="3">
        <f t="shared" si="148"/>
        <v>4</v>
      </c>
      <c r="AX216" s="3">
        <f t="shared" si="149"/>
        <v>7</v>
      </c>
      <c r="AY216" s="3">
        <f t="shared" si="150"/>
        <v>4</v>
      </c>
      <c r="AZ216" s="3">
        <f t="shared" si="151"/>
        <v>1</v>
      </c>
      <c r="BA216" s="3">
        <f>IF(ISERROR(LEN(VLOOKUP(A216,Seqs!A:E,2,FALSE))-AL216),"-",LEN(VLOOKUP(A216,Seqs!A:E,2,FALSE))-AL216)</f>
        <v>30</v>
      </c>
      <c r="BB216" s="16">
        <f t="shared" si="152"/>
        <v>27</v>
      </c>
      <c r="BC216" s="9">
        <f t="shared" si="153"/>
        <v>20</v>
      </c>
      <c r="BD216" s="3">
        <f t="shared" si="154"/>
        <v>27</v>
      </c>
      <c r="BE216" s="3">
        <f t="shared" si="155"/>
        <v>50</v>
      </c>
    </row>
    <row r="217" spans="1:59" s="3" customFormat="1" x14ac:dyDescent="0.2">
      <c r="A217" s="3" t="s">
        <v>352</v>
      </c>
      <c r="B217" s="3" t="str">
        <f>LOWER(VLOOKUP(A217,Xtal_Templ!A:B,2,FALSE))</f>
        <v>p2y12_human</v>
      </c>
      <c r="C217" s="3">
        <f>VLOOKUP($A217,'SegEnds_NonXtal_BW#'!$A:$Z,3,FALSE)+D217-50</f>
        <v>40</v>
      </c>
      <c r="D217" s="3">
        <v>62</v>
      </c>
      <c r="E217" s="3">
        <f>IF(ISERROR(VLOOKUP($A217,'SegEnds_NonXtal_BW#'!$A:$Z,4,FALSE)+VLOOKUP($A217,A:AL,4,FALSE)-50),"-",(VLOOKUP($A217,'SegEnds_NonXtal_BW#'!$A:$Z,4,FALSE)+VLOOKUP($A217,A:AL,4,FALSE)-50))</f>
        <v>72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76</v>
      </c>
      <c r="J217" s="3">
        <v>89</v>
      </c>
      <c r="K217" s="3">
        <f>VLOOKUP($A217,'SegEnds_NonXtal_BW#'!$A:$Z,8,FALSE)+VLOOKUP($A217,A:AL,10,FALSE)-50</f>
        <v>105</v>
      </c>
      <c r="L217" s="3" t="s">
        <v>23</v>
      </c>
      <c r="M217" s="3" t="s">
        <v>23</v>
      </c>
      <c r="N217" s="3" t="s">
        <v>23</v>
      </c>
      <c r="O217" s="3">
        <f>VLOOKUP($A217,'SegEnds_NonXtal_BW#'!$A:$Z,11,FALSE)+VLOOKUP($A217,A:AL,16,FALSE)-50</f>
        <v>109</v>
      </c>
      <c r="P217" s="3">
        <v>141</v>
      </c>
      <c r="Q217" s="3">
        <f>VLOOKUP($A217,'SegEnds_NonXtal_BW#'!$A:$Z,12,FALSE)+VLOOKUP($A217,A:AL,16,FALSE)-50</f>
        <v>147</v>
      </c>
      <c r="R217" s="3">
        <f>IF(ISERROR(VLOOKUP($A217,'SegEnds_NonXtal_BW#'!$A:$Z,13,FALSE)+VLOOKUP($A217,A:AL,19,FALSE)-50),"-",VLOOKUP($A217,'SegEnds_NonXtal_BW#'!$A:$Z,13,FALSE)+VLOOKUP($A217,A:AL,19,FALSE)-50)</f>
        <v>148</v>
      </c>
      <c r="S217" s="3">
        <v>148</v>
      </c>
      <c r="T217" s="100">
        <f>IF(ISERROR(VLOOKUP($A217,'SegEnds_NonXtal_BW#'!$A:$Z,14,FALSE)+VLOOKUP($A217,A:AL,19,FALSE)-50),"-",(VLOOKUP($A217,'SegEnds_NonXtal_BW#'!$A:$Z,14,FALSE)+VLOOKUP($A217,A:AL,19,FALSE)-50))</f>
        <v>155</v>
      </c>
      <c r="U217" s="9">
        <f>IF(ISERROR(VLOOKUP($A217,'SegEnds_NonXtal_BW#'!$A:$Z,15,FALSE)+VLOOKUP($A217,A:AL,22,FALSE)-50),"-",VLOOKUP($A217,'SegEnds_NonXtal_BW#'!$A:$Z,15,FALSE)+VLOOKUP($A217,A:AL,22,FALSE)-50)</f>
        <v>156</v>
      </c>
      <c r="V217" s="3">
        <v>168</v>
      </c>
      <c r="W217" s="3">
        <f>IF(ISERROR(VLOOKUP($A217,'SegEnds_NonXtal_BW#'!$A:$Z,16,FALSE)+VLOOKUP($A217,A:AL,22,FALSE)-50),"-",(VLOOKUP($A217,'SegEnds_NonXtal_BW#'!$A:$Z,16,FALSE)+VLOOKUP($A217,A:AL,22,FALSE)-50))</f>
        <v>182</v>
      </c>
      <c r="X217" s="3">
        <f>IF(ISERROR(VLOOKUP($A217,'SegEnds_NonXtal_BW#'!$A:$Z,17,FALSE)+VLOOKUP($A217,A:AL,25,FALSE)-50),"-",(VLOOKUP($A217,'SegEnds_NonXtal_BW#'!$A:$Z,17,FALSE)+VLOOKUP($A217,A:AL,25,FALSE)-50))</f>
        <v>194</v>
      </c>
      <c r="Y217" s="3">
        <v>194</v>
      </c>
      <c r="Z217" s="3">
        <f t="shared" si="140"/>
        <v>196</v>
      </c>
      <c r="AA217" s="3">
        <f>IF(ISERROR(VLOOKUP($A217,'SegEnds_NonXtal_BW#'!$A:$Z,19,FALSE)+VLOOKUP($A217,A:AL,28,FALSE)-50),"-",(VLOOKUP($A217,'SegEnds_NonXtal_BW#'!$A:$Z,19,FALSE)+VLOOKUP($A217,A:AL,28,FALSE)-50))</f>
        <v>200</v>
      </c>
      <c r="AB217" s="3">
        <v>220</v>
      </c>
      <c r="AC217" s="3">
        <f>IF(ISERROR((VLOOKUP($A217,'SegEnds_NonXtal_BW#'!$A:$Z,20,FALSE)+VLOOKUP($A217,A:AL,28,FALSE)-50)),"-",(VLOOKUP($A217,'SegEnds_NonXtal_BW#'!$A:$Z,20,FALSE)+VLOOKUP($A217,A:AL,28,FALSE)-50))</f>
        <v>242</v>
      </c>
      <c r="AD217" s="3">
        <f>IF(ISERROR(VLOOKUP($A217,'SegEnds_NonXtal_BW#'!$A:$Z,21,FALSE)+VLOOKUP($A217,A:AL,31,FALSE)-50),"-",(VLOOKUP($A217,'SegEnds_NonXtal_BW#'!$A:$Z,21,FALSE)+VLOOKUP($A217,A:AL,31,FALSE)-50))</f>
        <v>249</v>
      </c>
      <c r="AE217" s="3">
        <v>270</v>
      </c>
      <c r="AF217" s="3">
        <f>IF(ISERROR((VLOOKUP($A217,'SegEnds_NonXtal_BW#'!$A:$Z,22,FALSE)+VLOOKUP($A217,A:AL,31,FALSE)-50)),"-",(VLOOKUP($A217,'SegEnds_NonXtal_BW#'!$A:$Z,22,FALSE)+VLOOKUP($A217,A:AL,31,FALSE)-50))</f>
        <v>284</v>
      </c>
      <c r="AG217" s="3">
        <f>IF(ISERROR(VLOOKUP($A217,'SegEnds_NonXtal_BW#'!$A:$Z,23,FALSE)+VLOOKUP($A217,A:AL,34,FALSE)-50),"-",(VLOOKUP($A217,'SegEnds_NonXtal_BW#'!$A:$Z,23,FALSE)+VLOOKUP($A217,A:AL,34,FALSE)-50))</f>
        <v>288</v>
      </c>
      <c r="AH217" s="3">
        <v>314</v>
      </c>
      <c r="AI217" s="3">
        <f>IF(ISERROR((VLOOKUP($A217,'SegEnds_NonXtal_BW#'!$A:$Z,24,FALSE)+VLOOKUP($A217,A:AL,34,FALSE)-50)),"-",(VLOOKUP($A217,'SegEnds_NonXtal_BW#'!$A:$Z,24,FALSE)+VLOOKUP($A217,A:AL,34,FALSE)-50))</f>
        <v>320</v>
      </c>
      <c r="AJ217" s="3">
        <f>IF(ISERROR(VLOOKUP($A217,'SegEnds_NonXtal_BW#'!$A:$Z,25,FALSE)+VLOOKUP($A217,A:AL,37,FALSE)-50),"-",(VLOOKUP($A217,'SegEnds_NonXtal_BW#'!$A:$Z,25,FALSE)+VLOOKUP($A217,A:AL,37,FALSE)-50))</f>
        <v>321</v>
      </c>
      <c r="AK217" s="3">
        <v>324</v>
      </c>
      <c r="AL217" s="3">
        <f>IF(ISERROR((VLOOKUP($A217,'SegEnds_NonXtal_BW#'!$A:$Z,26,FALSE)+VLOOKUP($A217,A:AL,37,FALSE)-50)),"-",(VLOOKUP($A217,'SegEnds_NonXtal_BW#'!$A:$Z,26,FALSE)+VLOOKUP($A217,A:AL,37,FALSE)-50))</f>
        <v>331</v>
      </c>
      <c r="AM217" s="28" t="str">
        <f>VLOOKUP(A217,Classification!A:B,2,FALSE)</f>
        <v>A</v>
      </c>
      <c r="AN217" s="28" t="b">
        <f t="shared" si="156"/>
        <v>1</v>
      </c>
      <c r="AO217" s="3" t="str">
        <f>IF(ISERROR(MATCH(A217,'SegEnds_Xtal_Prot#'!B:B, 0)), "NoXtal", "Xtal")</f>
        <v>NoXtal</v>
      </c>
      <c r="AP217" s="3" t="str">
        <f t="shared" si="141"/>
        <v>-</v>
      </c>
      <c r="AQ217" s="3" t="str">
        <f t="shared" si="142"/>
        <v>-</v>
      </c>
      <c r="AR217" s="3" t="str">
        <f t="shared" si="143"/>
        <v>-</v>
      </c>
      <c r="AS217" s="3" t="str">
        <f t="shared" si="144"/>
        <v>-</v>
      </c>
      <c r="AT217" s="3">
        <f t="shared" si="145"/>
        <v>1</v>
      </c>
      <c r="AU217" s="3">
        <f t="shared" si="146"/>
        <v>1</v>
      </c>
      <c r="AV217" s="3">
        <f t="shared" si="147"/>
        <v>12</v>
      </c>
      <c r="AW217" s="3">
        <f t="shared" si="148"/>
        <v>4</v>
      </c>
      <c r="AX217" s="3">
        <f t="shared" si="149"/>
        <v>7</v>
      </c>
      <c r="AY217" s="3">
        <f t="shared" si="150"/>
        <v>4</v>
      </c>
      <c r="AZ217" s="3">
        <f t="shared" si="151"/>
        <v>1</v>
      </c>
      <c r="BA217" s="3">
        <f>IF(ISERROR(LEN(VLOOKUP(A217,Seqs!A:E,2,FALSE))-AL217),"-",LEN(VLOOKUP(A217,Seqs!A:E,2,FALSE))-AL217)</f>
        <v>23</v>
      </c>
      <c r="BB217" s="16">
        <f t="shared" si="152"/>
        <v>27</v>
      </c>
      <c r="BC217" s="9">
        <f t="shared" si="153"/>
        <v>20</v>
      </c>
      <c r="BD217" s="3">
        <f t="shared" si="154"/>
        <v>27</v>
      </c>
      <c r="BE217" s="3">
        <f t="shared" si="155"/>
        <v>50</v>
      </c>
      <c r="BF217" s="3">
        <f>AH217-AE217</f>
        <v>44</v>
      </c>
    </row>
    <row r="218" spans="1:59" s="3" customFormat="1" x14ac:dyDescent="0.2">
      <c r="A218" s="3" t="s">
        <v>353</v>
      </c>
      <c r="B218" s="3" t="str">
        <f>LOWER(VLOOKUP(A218,Xtal_Templ!A:B,2,FALSE))</f>
        <v>p2y12_human</v>
      </c>
      <c r="C218" s="3">
        <f>VLOOKUP($A218,'SegEnds_NonXtal_BW#'!$A:$Z,3,FALSE)+D218-50</f>
        <v>18</v>
      </c>
      <c r="D218" s="3">
        <v>40</v>
      </c>
      <c r="E218" s="3">
        <f>IF(ISERROR(VLOOKUP($A218,'SegEnds_NonXtal_BW#'!$A:$Z,4,FALSE)+VLOOKUP($A218,A:AL,4,FALSE)-50),"-",(VLOOKUP($A218,'SegEnds_NonXtal_BW#'!$A:$Z,4,FALSE)+VLOOKUP($A218,A:AL,4,FALSE)-50))</f>
        <v>50</v>
      </c>
      <c r="F218" s="3" t="str">
        <f>IF(ISERROR(VLOOKUP($A218,'SegEnds_NonXtal_BW#'!$A:$Z,5,FALSE)+VLOOKUP($A218,A:AL,7,FALSE)-50),"-",(VLOOKUP($A218,'SegEnds_NonXtal_BW#'!$A:$Z,5,FALSE)+VLOOKUP($A218,A:AL,7,FALSE)-50))</f>
        <v>-</v>
      </c>
      <c r="G218" s="3" t="s">
        <v>23</v>
      </c>
      <c r="H218" s="3" t="str">
        <f>IF(ISERROR(VLOOKUP($A218,'SegEnds_NonXtal_BW#'!$A:$Z,6,FALSE)+VLOOKUP($A218,A:AL,7,FALSE)-50),"-",(VLOOKUP($A218,'SegEnds_NonXtal_BW#'!$A:$Z,6,FALSE)+VLOOKUP($A218,A:AL,7,FALSE)-50))</f>
        <v>-</v>
      </c>
      <c r="I218" s="3">
        <f>VLOOKUP($A218,'SegEnds_NonXtal_BW#'!$A:$Z,7,FALSE)+J218-50</f>
        <v>54</v>
      </c>
      <c r="J218" s="3">
        <v>67</v>
      </c>
      <c r="K218" s="3">
        <f>VLOOKUP($A218,'SegEnds_NonXtal_BW#'!$A:$Z,8,FALSE)+VLOOKUP($A218,A:AL,10,FALSE)-50</f>
        <v>83</v>
      </c>
      <c r="L218" s="3" t="str">
        <f>IF(ISERROR(VLOOKUP($A218,'SegEnds_NonXtal_BW#'!$A:$Z,9,FALSE)+VLOOKUP($A218,A:AL,13,FALSE)-50),"-",(VLOOKUP($A218,'SegEnds_NonXtal_BW#'!$A:$Z,9,FALSE)+VLOOKUP($A218,A:AL,13,FALSE)-50))</f>
        <v>-</v>
      </c>
      <c r="M218" s="3" t="s">
        <v>23</v>
      </c>
      <c r="N218" s="3" t="str">
        <f>IF(ISERROR(VLOOKUP($A218,'SegEnds_NonXtal_BW#'!$A:$Z,10,FALSE)+VLOOKUP($A218,A:AL,13,FALSE)-50),"-",(VLOOKUP($A218,'SegEnds_NonXtal_BW#'!$A:$Z,10,FALSE)+VLOOKUP($A218,A:AL,13,FALSE)-50))</f>
        <v>-</v>
      </c>
      <c r="O218" s="3">
        <f>VLOOKUP($A218,'SegEnds_NonXtal_BW#'!$A:$Z,11,FALSE)+VLOOKUP($A218,A:AL,16,FALSE)-50</f>
        <v>87</v>
      </c>
      <c r="P218" s="3">
        <v>119</v>
      </c>
      <c r="Q218" s="3">
        <f>VLOOKUP($A218,'SegEnds_NonXtal_BW#'!$A:$Z,12,FALSE)+VLOOKUP($A218,A:AL,16,FALSE)-50</f>
        <v>125</v>
      </c>
      <c r="R218" s="3">
        <f>IF(ISERROR(VLOOKUP($A218,'SegEnds_NonXtal_BW#'!$A:$Z,13,FALSE)+VLOOKUP($A218,A:AL,19,FALSE)-50),"-",VLOOKUP($A218,'SegEnds_NonXtal_BW#'!$A:$Z,13,FALSE)+VLOOKUP($A218,A:AL,19,FALSE)-50)</f>
        <v>126</v>
      </c>
      <c r="S218" s="3">
        <v>126</v>
      </c>
      <c r="T218" s="100">
        <f>IF(ISERROR(VLOOKUP($A218,'SegEnds_NonXtal_BW#'!$A:$Z,14,FALSE)+VLOOKUP($A218,A:AL,19,FALSE)-50),"-",(VLOOKUP($A218,'SegEnds_NonXtal_BW#'!$A:$Z,14,FALSE)+VLOOKUP($A218,A:AL,19,FALSE)-50))</f>
        <v>133</v>
      </c>
      <c r="U218" s="9">
        <f>IF(ISERROR(VLOOKUP($A218,'SegEnds_NonXtal_BW#'!$A:$Z,15,FALSE)+VLOOKUP($A218,A:AL,22,FALSE)-50),"-",VLOOKUP($A218,'SegEnds_NonXtal_BW#'!$A:$Z,15,FALSE)+VLOOKUP($A218,A:AL,22,FALSE)-50)</f>
        <v>134</v>
      </c>
      <c r="V218" s="3">
        <v>146</v>
      </c>
      <c r="W218" s="3">
        <f>IF(ISERROR(VLOOKUP($A218,'SegEnds_NonXtal_BW#'!$A:$Z,16,FALSE)+VLOOKUP($A218,A:AL,22,FALSE)-50),"-",(VLOOKUP($A218,'SegEnds_NonXtal_BW#'!$A:$Z,16,FALSE)+VLOOKUP($A218,A:AL,22,FALSE)-50))</f>
        <v>160</v>
      </c>
      <c r="X218" s="3">
        <f>IF(ISERROR(VLOOKUP($A218,'SegEnds_NonXtal_BW#'!$A:$Z,17,FALSE)+VLOOKUP($A218,A:AL,25,FALSE)-50),"-",(VLOOKUP($A218,'SegEnds_NonXtal_BW#'!$A:$Z,17,FALSE)+VLOOKUP($A218,A:AL,25,FALSE)-50))</f>
        <v>172</v>
      </c>
      <c r="Y218" s="3">
        <v>172</v>
      </c>
      <c r="Z218" s="3">
        <f t="shared" si="140"/>
        <v>174</v>
      </c>
      <c r="AA218" s="3">
        <f>IF(ISERROR(VLOOKUP($A218,'SegEnds_NonXtal_BW#'!$A:$Z,19,FALSE)+VLOOKUP($A218,A:AL,28,FALSE)-50),"-",(VLOOKUP($A218,'SegEnds_NonXtal_BW#'!$A:$Z,19,FALSE)+VLOOKUP($A218,A:AL,28,FALSE)-50))</f>
        <v>178</v>
      </c>
      <c r="AB218" s="3">
        <v>198</v>
      </c>
      <c r="AC218" s="3">
        <f>IF(ISERROR((VLOOKUP($A218,'SegEnds_NonXtal_BW#'!$A:$Z,20,FALSE)+VLOOKUP($A218,A:AL,28,FALSE)-50)),"-",(VLOOKUP($A218,'SegEnds_NonXtal_BW#'!$A:$Z,20,FALSE)+VLOOKUP($A218,A:AL,28,FALSE)-50))</f>
        <v>220</v>
      </c>
      <c r="AD218" s="3">
        <f>IF(ISERROR(VLOOKUP($A218,'SegEnds_NonXtal_BW#'!$A:$Z,21,FALSE)+VLOOKUP($A218,A:AL,31,FALSE)-50),"-",(VLOOKUP($A218,'SegEnds_NonXtal_BW#'!$A:$Z,21,FALSE)+VLOOKUP($A218,A:AL,31,FALSE)-50))</f>
        <v>227</v>
      </c>
      <c r="AE218" s="3">
        <v>248</v>
      </c>
      <c r="AF218" s="3">
        <f>IF(ISERROR((VLOOKUP($A218,'SegEnds_NonXtal_BW#'!$A:$Z,22,FALSE)+VLOOKUP($A218,A:AL,31,FALSE)-50)),"-",(VLOOKUP($A218,'SegEnds_NonXtal_BW#'!$A:$Z,22,FALSE)+VLOOKUP($A218,A:AL,31,FALSE)-50))</f>
        <v>262</v>
      </c>
      <c r="AG218" s="3">
        <f>IF(ISERROR(VLOOKUP($A218,'SegEnds_NonXtal_BW#'!$A:$Z,23,FALSE)+VLOOKUP($A218,A:AL,34,FALSE)-50),"-",(VLOOKUP($A218,'SegEnds_NonXtal_BW#'!$A:$Z,23,FALSE)+VLOOKUP($A218,A:AL,34,FALSE)-50))</f>
        <v>266</v>
      </c>
      <c r="AH218" s="3">
        <v>292</v>
      </c>
      <c r="AI218" s="3">
        <f>IF(ISERROR((VLOOKUP($A218,'SegEnds_NonXtal_BW#'!$A:$Z,24,FALSE)+VLOOKUP($A218,A:AL,34,FALSE)-50)),"-",(VLOOKUP($A218,'SegEnds_NonXtal_BW#'!$A:$Z,24,FALSE)+VLOOKUP($A218,A:AL,34,FALSE)-50))</f>
        <v>298</v>
      </c>
      <c r="AJ218" s="3">
        <f>IF(ISERROR(VLOOKUP($A218,'SegEnds_NonXtal_BW#'!$A:$Z,25,FALSE)+VLOOKUP($A218,A:AL,37,FALSE)-50),"-",(VLOOKUP($A218,'SegEnds_NonXtal_BW#'!$A:$Z,25,FALSE)+VLOOKUP($A218,A:AL,37,FALSE)-50))</f>
        <v>299</v>
      </c>
      <c r="AK218" s="3">
        <v>302</v>
      </c>
      <c r="AL218" s="3">
        <f>IF(ISERROR((VLOOKUP($A218,'SegEnds_NonXtal_BW#'!$A:$Z,26,FALSE)+VLOOKUP($A218,A:AL,37,FALSE)-50)),"-",(VLOOKUP($A218,'SegEnds_NonXtal_BW#'!$A:$Z,26,FALSE)+VLOOKUP($A218,A:AL,37,FALSE)-50))</f>
        <v>309</v>
      </c>
      <c r="AM218" s="28" t="str">
        <f>VLOOKUP(A218,Classification!A:B,2,FALSE)</f>
        <v>A</v>
      </c>
      <c r="AN218" s="28" t="b">
        <f t="shared" si="156"/>
        <v>1</v>
      </c>
      <c r="AO218" s="3" t="str">
        <f>IF(ISERROR(MATCH(A218,'SegEnds_Xtal_Prot#'!B:B, 0)), "NoXtal", "Xtal")</f>
        <v>NoXtal</v>
      </c>
      <c r="AP218" s="3" t="str">
        <f t="shared" si="141"/>
        <v>-</v>
      </c>
      <c r="AQ218" s="3" t="str">
        <f t="shared" si="142"/>
        <v>-</v>
      </c>
      <c r="AR218" s="3" t="str">
        <f t="shared" si="143"/>
        <v>-</v>
      </c>
      <c r="AS218" s="3" t="str">
        <f t="shared" si="144"/>
        <v>-</v>
      </c>
      <c r="AT218" s="3">
        <f t="shared" si="145"/>
        <v>1</v>
      </c>
      <c r="AU218" s="3">
        <f t="shared" si="146"/>
        <v>1</v>
      </c>
      <c r="AV218" s="3">
        <f t="shared" si="147"/>
        <v>12</v>
      </c>
      <c r="AW218" s="3">
        <f t="shared" si="148"/>
        <v>4</v>
      </c>
      <c r="AX218" s="3">
        <f t="shared" si="149"/>
        <v>7</v>
      </c>
      <c r="AY218" s="3">
        <f t="shared" si="150"/>
        <v>4</v>
      </c>
      <c r="AZ218" s="3">
        <f t="shared" si="151"/>
        <v>1</v>
      </c>
      <c r="BA218" s="3">
        <f>IF(ISERROR(LEN(VLOOKUP(A218,Seqs!A:E,2,FALSE))-AL218),"-",LEN(VLOOKUP(A218,Seqs!A:E,2,FALSE))-AL218)</f>
        <v>29</v>
      </c>
      <c r="BB218" s="16">
        <f t="shared" si="152"/>
        <v>27</v>
      </c>
      <c r="BC218" s="9">
        <f t="shared" si="153"/>
        <v>20</v>
      </c>
      <c r="BD218" s="3">
        <f t="shared" si="154"/>
        <v>27</v>
      </c>
      <c r="BE218" s="3">
        <f t="shared" si="155"/>
        <v>50</v>
      </c>
      <c r="BF218" s="3">
        <f>AH218-AE218</f>
        <v>44</v>
      </c>
    </row>
    <row r="219" spans="1:59" s="3" customFormat="1" x14ac:dyDescent="0.2">
      <c r="A219" s="3" t="s">
        <v>354</v>
      </c>
      <c r="B219" s="3" t="str">
        <f>LOWER(VLOOKUP(A219,Xtal_Templ!A:B,2,FALSE))</f>
        <v>par1_human</v>
      </c>
      <c r="C219" s="3">
        <f>VLOOKUP($A219,'SegEnds_NonXtal_BW#'!$A:$Z,3,FALSE)+D219-50</f>
        <v>99</v>
      </c>
      <c r="D219" s="3">
        <v>120</v>
      </c>
      <c r="E219" s="3">
        <f>IF(ISERROR(VLOOKUP($A219,'SegEnds_NonXtal_BW#'!$A:$Z,4,FALSE)+VLOOKUP($A219,A:AL,4,FALSE)-50),"-",(VLOOKUP($A219,'SegEnds_NonXtal_BW#'!$A:$Z,4,FALSE)+VLOOKUP($A219,A:AL,4,FALSE)-50))</f>
        <v>130</v>
      </c>
      <c r="F219" s="3">
        <f>G219-2</f>
        <v>131</v>
      </c>
      <c r="G219" s="3">
        <v>133</v>
      </c>
      <c r="H219" s="3">
        <f>G219+1</f>
        <v>134</v>
      </c>
      <c r="I219" s="3">
        <f>H219+1</f>
        <v>135</v>
      </c>
      <c r="J219" s="3">
        <v>148</v>
      </c>
      <c r="K219" s="3">
        <f>VLOOKUP($A219,'SegEnds_NonXtal_BW#'!$A:$Z,8,FALSE)+VLOOKUP($A219,A:AL,10,FALSE)-50</f>
        <v>164</v>
      </c>
      <c r="L219" s="3">
        <f>M219-1</f>
        <v>167</v>
      </c>
      <c r="M219" s="3">
        <v>168</v>
      </c>
      <c r="N219" s="3">
        <f>M219+2</f>
        <v>170</v>
      </c>
      <c r="O219" s="3">
        <f>N219+1</f>
        <v>171</v>
      </c>
      <c r="P219" s="3">
        <v>200</v>
      </c>
      <c r="Q219" s="3">
        <f>VLOOKUP($A219,'SegEnds_NonXtal_BW#'!$A:$Z,12,FALSE)+VLOOKUP($A219,A:AL,16,FALSE)-50</f>
        <v>206</v>
      </c>
      <c r="R219" s="3">
        <f>IF(ISERROR(VLOOKUP($A219,'SegEnds_NonXtal_BW#'!$A:$Z,13,FALSE)+VLOOKUP($A219,A:AL,19,FALSE)-50),"-",VLOOKUP($A219,'SegEnds_NonXtal_BW#'!$A:$Z,13,FALSE)+VLOOKUP($A219,A:AL,19,FALSE)-50)</f>
        <v>207</v>
      </c>
      <c r="S219" s="3">
        <v>207</v>
      </c>
      <c r="T219" s="100">
        <f>IF(ISERROR(VLOOKUP($A219,'SegEnds_NonXtal_BW#'!$A:$Z,14,FALSE)+VLOOKUP($A219,A:AL,19,FALSE)-50),"-",(VLOOKUP($A219,'SegEnds_NonXtal_BW#'!$A:$Z,14,FALSE)+VLOOKUP($A219,A:AL,19,FALSE)-50))</f>
        <v>214</v>
      </c>
      <c r="U219" s="9">
        <f>IF(ISERROR(VLOOKUP($A219,'SegEnds_NonXtal_BW#'!$A:$Z,15,FALSE)+VLOOKUP($A219,A:AL,22,FALSE)-50),"-",VLOOKUP($A219,'SegEnds_NonXtal_BW#'!$A:$Z,15,FALSE)+VLOOKUP($A219,A:AL,22,FALSE)-50)</f>
        <v>215</v>
      </c>
      <c r="V219" s="3">
        <v>227</v>
      </c>
      <c r="W219" s="3">
        <f>IF(ISERROR(VLOOKUP($A219,'SegEnds_NonXtal_BW#'!$A:$Z,16,FALSE)+VLOOKUP($A219,A:AL,22,FALSE)-50),"-",(VLOOKUP($A219,'SegEnds_NonXtal_BW#'!$A:$Z,16,FALSE)+VLOOKUP($A219,A:AL,22,FALSE)-50))</f>
        <v>240</v>
      </c>
      <c r="X219" s="3">
        <f>IF(ISERROR(VLOOKUP($A219,'SegEnds_NonXtal_BW#'!$A:$Z,17,FALSE)+VLOOKUP($A219,A:AL,25,FALSE)-50),"-",(VLOOKUP($A219,'SegEnds_NonXtal_BW#'!$A:$Z,17,FALSE)+VLOOKUP($A219,A:AL,25,FALSE)-50))</f>
        <v>254</v>
      </c>
      <c r="Y219" s="3">
        <v>254</v>
      </c>
      <c r="Z219" s="3">
        <f t="shared" si="140"/>
        <v>256</v>
      </c>
      <c r="AA219" s="3">
        <f>IF(ISERROR(VLOOKUP($A219,'SegEnds_NonXtal_BW#'!$A:$Z,19,FALSE)+VLOOKUP($A219,A:AL,28,FALSE)-50),"-",(VLOOKUP($A219,'SegEnds_NonXtal_BW#'!$A:$Z,19,FALSE)+VLOOKUP($A219,A:AL,28,FALSE)-50))</f>
        <v>264</v>
      </c>
      <c r="AB219" s="3">
        <v>282</v>
      </c>
      <c r="AC219" s="3">
        <f>IF(ISERROR((VLOOKUP($A219,'SegEnds_NonXtal_BW#'!$A:$Z,20,FALSE)+VLOOKUP($A219,A:AL,28,FALSE)-50)),"-",(VLOOKUP($A219,'SegEnds_NonXtal_BW#'!$A:$Z,20,FALSE)+VLOOKUP($A219,A:AL,28,FALSE)-50))</f>
        <v>299</v>
      </c>
      <c r="AD219" s="3">
        <f>IF(ISERROR(VLOOKUP($A219,'SegEnds_NonXtal_BW#'!$A:$Z,21,FALSE)+VLOOKUP($A219,A:AL,31,FALSE)-50),"-",(VLOOKUP($A219,'SegEnds_NonXtal_BW#'!$A:$Z,21,FALSE)+VLOOKUP($A219,A:AL,31,FALSE)-50))</f>
        <v>304</v>
      </c>
      <c r="AE219" s="3">
        <v>328</v>
      </c>
      <c r="AF219" s="3">
        <f>IF(ISERROR((VLOOKUP($A219,'SegEnds_NonXtal_BW#'!$A:$Z,22,FALSE)+VLOOKUP($A219,A:AL,31,FALSE)-50)),"-",(VLOOKUP($A219,'SegEnds_NonXtal_BW#'!$A:$Z,22,FALSE)+VLOOKUP($A219,A:AL,31,FALSE)-50))</f>
        <v>340</v>
      </c>
      <c r="AG219" s="3">
        <f>IF(ISERROR(VLOOKUP($A219,'SegEnds_NonXtal_BW#'!$A:$Z,23,FALSE)+VLOOKUP($A219,A:AL,34,FALSE)-50),"-",(VLOOKUP($A219,'SegEnds_NonXtal_BW#'!$A:$Z,23,FALSE)+VLOOKUP($A219,A:AL,34,FALSE)-50))</f>
        <v>346</v>
      </c>
      <c r="AH219" s="3">
        <v>368</v>
      </c>
      <c r="AI219" s="3">
        <f>IF(ISERROR((VLOOKUP($A219,'SegEnds_NonXtal_BW#'!$A:$Z,24,FALSE)+VLOOKUP($A219,A:AL,34,FALSE)-50)),"-",(VLOOKUP($A219,'SegEnds_NonXtal_BW#'!$A:$Z,24,FALSE)+VLOOKUP($A219,A:AL,34,FALSE)-50))</f>
        <v>374</v>
      </c>
      <c r="AJ219" s="3">
        <f>IF(ISERROR(VLOOKUP($A219,'SegEnds_NonXtal_BW#'!$A:$Z,25,FALSE)+VLOOKUP($A219,A:AL,37,FALSE)-50),"-",(VLOOKUP($A219,'SegEnds_NonXtal_BW#'!$A:$Z,25,FALSE)+VLOOKUP($A219,A:AL,37,FALSE)-50))</f>
        <v>375</v>
      </c>
      <c r="AK219" s="3">
        <v>378</v>
      </c>
      <c r="AL219" s="3">
        <f>IF(ISERROR((VLOOKUP($A219,'SegEnds_NonXtal_BW#'!$A:$Z,26,FALSE)+VLOOKUP($A219,A:AL,37,FALSE)-50)),"-",(VLOOKUP($A219,'SegEnds_NonXtal_BW#'!$A:$Z,26,FALSE)+VLOOKUP($A219,A:AL,37,FALSE)-50))</f>
        <v>389</v>
      </c>
      <c r="AM219" s="28" t="str">
        <f>VLOOKUP(A219,Classification!A:B,2,FALSE)</f>
        <v>A</v>
      </c>
      <c r="AN219" s="28" t="b">
        <f t="shared" si="156"/>
        <v>1</v>
      </c>
      <c r="AO219" s="3" t="str">
        <f>IF(ISERROR(MATCH(A219,'SegEnds_Xtal_Prot#'!B:B, 0)), "NoXtal", "Xtal")</f>
        <v>Xtal</v>
      </c>
      <c r="AP219" s="3">
        <f t="shared" si="141"/>
        <v>1</v>
      </c>
      <c r="AQ219" s="3">
        <f t="shared" si="142"/>
        <v>1</v>
      </c>
      <c r="AR219" s="3">
        <f t="shared" si="143"/>
        <v>3</v>
      </c>
      <c r="AS219" s="3">
        <f t="shared" si="144"/>
        <v>1</v>
      </c>
      <c r="AT219" s="3">
        <f t="shared" si="145"/>
        <v>1</v>
      </c>
      <c r="AU219" s="3">
        <f t="shared" si="146"/>
        <v>1</v>
      </c>
      <c r="AV219" s="3">
        <f t="shared" si="147"/>
        <v>14</v>
      </c>
      <c r="AW219" s="3">
        <f t="shared" si="148"/>
        <v>8</v>
      </c>
      <c r="AX219" s="3">
        <f t="shared" si="149"/>
        <v>5</v>
      </c>
      <c r="AY219" s="3">
        <f t="shared" si="150"/>
        <v>6</v>
      </c>
      <c r="AZ219" s="3">
        <f t="shared" si="151"/>
        <v>1</v>
      </c>
      <c r="BA219" s="3">
        <f>IF(ISERROR(LEN(VLOOKUP(A219,Seqs!A:E,2,FALSE))-AL219),"-",LEN(VLOOKUP(A219,Seqs!A:E,2,FALSE))-AL219)</f>
        <v>36</v>
      </c>
      <c r="BB219" s="16">
        <f t="shared" si="152"/>
        <v>28</v>
      </c>
      <c r="BC219" s="9">
        <f t="shared" si="153"/>
        <v>20</v>
      </c>
      <c r="BD219" s="3">
        <f t="shared" si="154"/>
        <v>28</v>
      </c>
      <c r="BE219" s="3">
        <f t="shared" si="155"/>
        <v>46</v>
      </c>
    </row>
    <row r="220" spans="1:59" s="3" customFormat="1" x14ac:dyDescent="0.2">
      <c r="A220" s="3" t="s">
        <v>356</v>
      </c>
      <c r="B220" s="3" t="str">
        <f>LOWER(VLOOKUP(A220,Xtal_Templ!A:B,2,FALSE))</f>
        <v>par2_human</v>
      </c>
      <c r="C220" s="3">
        <f>VLOOKUP($A220,'SegEnds_NonXtal_BW#'!$A:$Z,3,FALSE)+D220-50</f>
        <v>90</v>
      </c>
      <c r="D220" s="3">
        <v>112</v>
      </c>
      <c r="E220" s="3">
        <f>IF(ISERROR(VLOOKUP($A220,'SegEnds_NonXtal_BW#'!$A:$Z,4,FALSE)+VLOOKUP($A220,A:AL,4,FALSE)-50),"-",(VLOOKUP($A220,'SegEnds_NonXtal_BW#'!$A:$Z,4,FALSE)+VLOOKUP($A220,A:AL,4,FALSE)-50))</f>
        <v>122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126</v>
      </c>
      <c r="J220" s="3">
        <v>139</v>
      </c>
      <c r="K220" s="3">
        <f>VLOOKUP($A220,'SegEnds_NonXtal_BW#'!$A:$Z,8,FALSE)+VLOOKUP($A220,A:AL,10,FALSE)-50</f>
        <v>155</v>
      </c>
      <c r="L220" s="3">
        <f>M220-1</f>
        <v>158</v>
      </c>
      <c r="M220" s="3">
        <v>159</v>
      </c>
      <c r="N220" s="3">
        <f>M220+2</f>
        <v>161</v>
      </c>
      <c r="O220" s="3">
        <f>N220+1</f>
        <v>162</v>
      </c>
      <c r="P220" s="3">
        <v>191</v>
      </c>
      <c r="Q220" s="3">
        <f>VLOOKUP($A220,'SegEnds_NonXtal_BW#'!$A:$Z,12,FALSE)+VLOOKUP($A220,A:AL,16,FALSE)-50</f>
        <v>197</v>
      </c>
      <c r="R220" s="3">
        <f>IF(ISERROR(VLOOKUP($A220,'SegEnds_NonXtal_BW#'!$A:$Z,13,FALSE)+VLOOKUP($A220,A:AL,19,FALSE)-50),"-",VLOOKUP($A220,'SegEnds_NonXtal_BW#'!$A:$Z,13,FALSE)+VLOOKUP($A220,A:AL,19,FALSE)-50)</f>
        <v>198</v>
      </c>
      <c r="S220" s="3">
        <v>198</v>
      </c>
      <c r="T220" s="100">
        <f>IF(ISERROR(VLOOKUP($A220,'SegEnds_NonXtal_BW#'!$A:$Z,14,FALSE)+VLOOKUP($A220,A:AL,19,FALSE)-50),"-",(VLOOKUP($A220,'SegEnds_NonXtal_BW#'!$A:$Z,14,FALSE)+VLOOKUP($A220,A:AL,19,FALSE)-50))</f>
        <v>205</v>
      </c>
      <c r="U220" s="9">
        <f>IF(ISERROR(VLOOKUP($A220,'SegEnds_NonXtal_BW#'!$A:$Z,15,FALSE)+VLOOKUP($A220,A:AL,22,FALSE)-50),"-",VLOOKUP($A220,'SegEnds_NonXtal_BW#'!$A:$Z,15,FALSE)+VLOOKUP($A220,A:AL,22,FALSE)-50)</f>
        <v>206</v>
      </c>
      <c r="V220" s="3">
        <v>218</v>
      </c>
      <c r="W220" s="3">
        <f>IF(ISERROR(VLOOKUP($A220,'SegEnds_NonXtal_BW#'!$A:$Z,16,FALSE)+VLOOKUP($A220,A:AL,22,FALSE)-50),"-",(VLOOKUP($A220,'SegEnds_NonXtal_BW#'!$A:$Z,16,FALSE)+VLOOKUP($A220,A:AL,22,FALSE)-50))</f>
        <v>230</v>
      </c>
      <c r="X220" s="3">
        <f>IF(ISERROR(VLOOKUP($A220,'SegEnds_NonXtal_BW#'!$A:$Z,17,FALSE)+VLOOKUP($A220,A:AL,25,FALSE)-50),"-",(VLOOKUP($A220,'SegEnds_NonXtal_BW#'!$A:$Z,17,FALSE)+VLOOKUP($A220,A:AL,25,FALSE)-50))</f>
        <v>252</v>
      </c>
      <c r="Y220" s="3">
        <v>252</v>
      </c>
      <c r="Z220" s="3">
        <f t="shared" si="140"/>
        <v>254</v>
      </c>
      <c r="AA220" s="3">
        <f>IF(ISERROR(VLOOKUP($A220,'SegEnds_NonXtal_BW#'!$A:$Z,19,FALSE)+VLOOKUP($A220,A:AL,28,FALSE)-50),"-",(VLOOKUP($A220,'SegEnds_NonXtal_BW#'!$A:$Z,19,FALSE)+VLOOKUP($A220,A:AL,28,FALSE)-50))</f>
        <v>259</v>
      </c>
      <c r="AB220" s="3">
        <v>274</v>
      </c>
      <c r="AC220" s="3">
        <f>IF(ISERROR((VLOOKUP($A220,'SegEnds_NonXtal_BW#'!$A:$Z,20,FALSE)+VLOOKUP($A220,A:AL,28,FALSE)-50)),"-",(VLOOKUP($A220,'SegEnds_NonXtal_BW#'!$A:$Z,20,FALSE)+VLOOKUP($A220,A:AL,28,FALSE)-50))</f>
        <v>292</v>
      </c>
      <c r="AD220" s="3">
        <f>IF(ISERROR(VLOOKUP($A220,'SegEnds_NonXtal_BW#'!$A:$Z,21,FALSE)+VLOOKUP($A220,A:AL,31,FALSE)-50),"-",(VLOOKUP($A220,'SegEnds_NonXtal_BW#'!$A:$Z,21,FALSE)+VLOOKUP($A220,A:AL,31,FALSE)-50))</f>
        <v>296</v>
      </c>
      <c r="AE220" s="3">
        <v>316</v>
      </c>
      <c r="AF220" s="3">
        <f>IF(ISERROR((VLOOKUP($A220,'SegEnds_NonXtal_BW#'!$A:$Z,22,FALSE)+VLOOKUP($A220,A:AL,31,FALSE)-50)),"-",(VLOOKUP($A220,'SegEnds_NonXtal_BW#'!$A:$Z,22,FALSE)+VLOOKUP($A220,A:AL,31,FALSE)-50))</f>
        <v>328</v>
      </c>
      <c r="AG220" s="3">
        <f>IF(ISERROR(VLOOKUP($A220,'SegEnds_NonXtal_BW#'!$A:$Z,23,FALSE)+VLOOKUP($A220,A:AL,34,FALSE)-50),"-",(VLOOKUP($A220,'SegEnds_NonXtal_BW#'!$A:$Z,23,FALSE)+VLOOKUP($A220,A:AL,34,FALSE)-50))</f>
        <v>336</v>
      </c>
      <c r="AH220" s="3">
        <v>355</v>
      </c>
      <c r="AI220" s="3">
        <f>IF(ISERROR((VLOOKUP($A220,'SegEnds_NonXtal_BW#'!$A:$Z,24,FALSE)+VLOOKUP($A220,A:AL,34,FALSE)-50)),"-",(VLOOKUP($A220,'SegEnds_NonXtal_BW#'!$A:$Z,24,FALSE)+VLOOKUP($A220,A:AL,34,FALSE)-50))</f>
        <v>361</v>
      </c>
      <c r="AJ220" s="3" t="s">
        <v>23</v>
      </c>
      <c r="AK220" s="3" t="s">
        <v>23</v>
      </c>
      <c r="AL220" s="3" t="s">
        <v>23</v>
      </c>
      <c r="AM220" s="28" t="str">
        <f>VLOOKUP(A220,Classification!A:B,2,FALSE)</f>
        <v>A</v>
      </c>
      <c r="AN220" s="28" t="b">
        <f t="shared" si="156"/>
        <v>1</v>
      </c>
      <c r="AO220" s="3" t="str">
        <f>IF(ISERROR(MATCH(A220,'SegEnds_Xtal_Prot#'!B:B, 0)), "NoXtal", "Xtal")</f>
        <v>NoXtal</v>
      </c>
      <c r="AP220" s="3" t="str">
        <f t="shared" si="141"/>
        <v>-</v>
      </c>
      <c r="AQ220" s="3" t="str">
        <f t="shared" si="142"/>
        <v>-</v>
      </c>
      <c r="AR220" s="3">
        <f t="shared" si="143"/>
        <v>3</v>
      </c>
      <c r="AS220" s="3">
        <f t="shared" si="144"/>
        <v>1</v>
      </c>
      <c r="AT220" s="3">
        <f t="shared" si="145"/>
        <v>1</v>
      </c>
      <c r="AU220" s="3">
        <f t="shared" si="146"/>
        <v>1</v>
      </c>
      <c r="AV220" s="3">
        <f t="shared" si="147"/>
        <v>22</v>
      </c>
      <c r="AW220" s="3">
        <f t="shared" si="148"/>
        <v>5</v>
      </c>
      <c r="AX220" s="3">
        <f t="shared" si="149"/>
        <v>4</v>
      </c>
      <c r="AY220" s="3">
        <f t="shared" si="150"/>
        <v>8</v>
      </c>
      <c r="AZ220" s="3" t="str">
        <f t="shared" si="151"/>
        <v>-</v>
      </c>
      <c r="BA220" s="3" t="str">
        <f>IF(ISERROR(LEN(VLOOKUP(A220,Seqs!A:E,2,FALSE))-AL220),"-",LEN(VLOOKUP(A220,Seqs!A:E,2,FALSE))-AL220)</f>
        <v>-</v>
      </c>
      <c r="BB220" s="16">
        <f t="shared" si="152"/>
        <v>27</v>
      </c>
      <c r="BC220" s="9">
        <f t="shared" si="153"/>
        <v>20</v>
      </c>
      <c r="BD220" s="3">
        <f t="shared" si="154"/>
        <v>27</v>
      </c>
      <c r="BE220" s="3">
        <f t="shared" si="155"/>
        <v>42</v>
      </c>
      <c r="BF220" s="3">
        <f>AH220-AE220</f>
        <v>39</v>
      </c>
      <c r="BG220" s="3" t="s">
        <v>1301</v>
      </c>
    </row>
    <row r="221" spans="1:59" s="3" customFormat="1" x14ac:dyDescent="0.2">
      <c r="A221" s="3" t="s">
        <v>357</v>
      </c>
      <c r="B221" s="3" t="str">
        <f>LOWER(VLOOKUP(A221,Xtal_Templ!A:B,2,FALSE))</f>
        <v>par2_human</v>
      </c>
      <c r="C221" s="3">
        <f>VLOOKUP($A221,'SegEnds_NonXtal_BW#'!$A:$Z,3,FALSE)+D221-50</f>
        <v>73</v>
      </c>
      <c r="D221" s="3">
        <v>95</v>
      </c>
      <c r="E221" s="3">
        <f>IF(ISERROR(VLOOKUP($A221,'SegEnds_NonXtal_BW#'!$A:$Z,4,FALSE)+VLOOKUP($A221,A:AL,4,FALSE)-50),"-",(VLOOKUP($A221,'SegEnds_NonXtal_BW#'!$A:$Z,4,FALSE)+VLOOKUP($A221,A:AL,4,FALSE)-50))</f>
        <v>105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109</v>
      </c>
      <c r="J221" s="3">
        <v>122</v>
      </c>
      <c r="K221" s="3">
        <f>VLOOKUP($A221,'SegEnds_NonXtal_BW#'!$A:$Z,8,FALSE)+VLOOKUP($A221,A:AL,10,FALSE)-50</f>
        <v>138</v>
      </c>
      <c r="L221" s="3">
        <f>M221-1</f>
        <v>141</v>
      </c>
      <c r="M221" s="3">
        <v>142</v>
      </c>
      <c r="N221" s="3">
        <f>M221+2</f>
        <v>144</v>
      </c>
      <c r="O221" s="3">
        <f>N221+1</f>
        <v>145</v>
      </c>
      <c r="P221" s="3">
        <v>174</v>
      </c>
      <c r="Q221" s="3">
        <f>VLOOKUP($A221,'SegEnds_NonXtal_BW#'!$A:$Z,12,FALSE)+VLOOKUP($A221,A:AL,16,FALSE)-50</f>
        <v>180</v>
      </c>
      <c r="R221" s="3">
        <f>IF(ISERROR(VLOOKUP($A221,'SegEnds_NonXtal_BW#'!$A:$Z,13,FALSE)+VLOOKUP($A221,A:AL,19,FALSE)-50),"-",VLOOKUP($A221,'SegEnds_NonXtal_BW#'!$A:$Z,13,FALSE)+VLOOKUP($A221,A:AL,19,FALSE)-50)</f>
        <v>181</v>
      </c>
      <c r="S221" s="3">
        <v>181</v>
      </c>
      <c r="T221" s="100">
        <f>IF(ISERROR(VLOOKUP($A221,'SegEnds_NonXtal_BW#'!$A:$Z,14,FALSE)+VLOOKUP($A221,A:AL,19,FALSE)-50),"-",(VLOOKUP($A221,'SegEnds_NonXtal_BW#'!$A:$Z,14,FALSE)+VLOOKUP($A221,A:AL,19,FALSE)-50))</f>
        <v>188</v>
      </c>
      <c r="U221" s="9">
        <f>IF(ISERROR(VLOOKUP($A221,'SegEnds_NonXtal_BW#'!$A:$Z,15,FALSE)+VLOOKUP($A221,A:AL,22,FALSE)-50),"-",VLOOKUP($A221,'SegEnds_NonXtal_BW#'!$A:$Z,15,FALSE)+VLOOKUP($A221,A:AL,22,FALSE)-50)</f>
        <v>189</v>
      </c>
      <c r="V221" s="3">
        <v>201</v>
      </c>
      <c r="W221" s="3">
        <f>IF(ISERROR(VLOOKUP($A221,'SegEnds_NonXtal_BW#'!$A:$Z,16,FALSE)+VLOOKUP($A221,A:AL,22,FALSE)-50),"-",(VLOOKUP($A221,'SegEnds_NonXtal_BW#'!$A:$Z,16,FALSE)+VLOOKUP($A221,A:AL,22,FALSE)-50))</f>
        <v>213</v>
      </c>
      <c r="X221" s="3">
        <f>IF(ISERROR(VLOOKUP($A221,'SegEnds_NonXtal_BW#'!$A:$Z,17,FALSE)+VLOOKUP($A221,A:AL,25,FALSE)-50),"-",(VLOOKUP($A221,'SegEnds_NonXtal_BW#'!$A:$Z,17,FALSE)+VLOOKUP($A221,A:AL,25,FALSE)-50))</f>
        <v>228</v>
      </c>
      <c r="Y221" s="3">
        <v>228</v>
      </c>
      <c r="Z221" s="3">
        <f t="shared" si="140"/>
        <v>230</v>
      </c>
      <c r="AA221" s="3">
        <f>IF(ISERROR(VLOOKUP($A221,'SegEnds_NonXtal_BW#'!$A:$Z,19,FALSE)+VLOOKUP($A221,A:AL,28,FALSE)-50),"-",(VLOOKUP($A221,'SegEnds_NonXtal_BW#'!$A:$Z,19,FALSE)+VLOOKUP($A221,A:AL,28,FALSE)-50))</f>
        <v>237</v>
      </c>
      <c r="AB221" s="3">
        <v>256</v>
      </c>
      <c r="AC221" s="3">
        <f>IF(ISERROR((VLOOKUP($A221,'SegEnds_NonXtal_BW#'!$A:$Z,20,FALSE)+VLOOKUP($A221,A:AL,28,FALSE)-50)),"-",(VLOOKUP($A221,'SegEnds_NonXtal_BW#'!$A:$Z,20,FALSE)+VLOOKUP($A221,A:AL,28,FALSE)-50))</f>
        <v>274</v>
      </c>
      <c r="AD221" s="3">
        <f>IF(ISERROR(VLOOKUP($A221,'SegEnds_NonXtal_BW#'!$A:$Z,21,FALSE)+VLOOKUP($A221,A:AL,31,FALSE)-50),"-",(VLOOKUP($A221,'SegEnds_NonXtal_BW#'!$A:$Z,21,FALSE)+VLOOKUP($A221,A:AL,31,FALSE)-50))</f>
        <v>278</v>
      </c>
      <c r="AE221" s="3">
        <v>298</v>
      </c>
      <c r="AF221" s="3">
        <f>IF(ISERROR((VLOOKUP($A221,'SegEnds_NonXtal_BW#'!$A:$Z,22,FALSE)+VLOOKUP($A221,A:AL,31,FALSE)-50)),"-",(VLOOKUP($A221,'SegEnds_NonXtal_BW#'!$A:$Z,22,FALSE)+VLOOKUP($A221,A:AL,31,FALSE)-50))</f>
        <v>310</v>
      </c>
      <c r="AG221" s="3">
        <f>IF(ISERROR(VLOOKUP($A221,'SegEnds_NonXtal_BW#'!$A:$Z,23,FALSE)+VLOOKUP($A221,A:AL,34,FALSE)-50),"-",(VLOOKUP($A221,'SegEnds_NonXtal_BW#'!$A:$Z,23,FALSE)+VLOOKUP($A221,A:AL,34,FALSE)-50))</f>
        <v>318</v>
      </c>
      <c r="AH221" s="3">
        <v>337</v>
      </c>
      <c r="AI221" s="3">
        <f>IF(ISERROR((VLOOKUP($A221,'SegEnds_NonXtal_BW#'!$A:$Z,24,FALSE)+VLOOKUP($A221,A:AL,34,FALSE)-50)),"-",(VLOOKUP($A221,'SegEnds_NonXtal_BW#'!$A:$Z,24,FALSE)+VLOOKUP($A221,A:AL,34,FALSE)-50))</f>
        <v>343</v>
      </c>
      <c r="AJ221" s="3">
        <f>IF(ISERROR(VLOOKUP($A221,'SegEnds_NonXtal_BW#'!$A:$Z,25,FALSE)+VLOOKUP($A221,A:AL,37,FALSE)-50),"-",(VLOOKUP($A221,'SegEnds_NonXtal_BW#'!$A:$Z,25,FALSE)+VLOOKUP($A221,A:AL,37,FALSE)-50))</f>
        <v>344</v>
      </c>
      <c r="AK221" s="3">
        <v>347</v>
      </c>
      <c r="AL221" s="3">
        <f>IF(ISERROR((VLOOKUP($A221,'SegEnds_NonXtal_BW#'!$A:$Z,26,FALSE)+VLOOKUP($A221,A:AL,37,FALSE)-50)),"-",(VLOOKUP($A221,'SegEnds_NonXtal_BW#'!$A:$Z,26,FALSE)+VLOOKUP($A221,A:AL,37,FALSE)-50))</f>
        <v>358</v>
      </c>
      <c r="AM221" s="28" t="str">
        <f>VLOOKUP(A221,Classification!A:B,2,FALSE)</f>
        <v>A</v>
      </c>
      <c r="AN221" s="28" t="b">
        <f t="shared" si="156"/>
        <v>1</v>
      </c>
      <c r="AO221" s="3" t="str">
        <f>IF(ISERROR(MATCH(A221,'SegEnds_Xtal_Prot#'!B:B, 0)), "NoXtal", "Xtal")</f>
        <v>NoXtal</v>
      </c>
      <c r="AP221" s="3" t="str">
        <f t="shared" si="141"/>
        <v>-</v>
      </c>
      <c r="AQ221" s="3" t="str">
        <f t="shared" si="142"/>
        <v>-</v>
      </c>
      <c r="AR221" s="3">
        <f t="shared" si="143"/>
        <v>3</v>
      </c>
      <c r="AS221" s="3">
        <f t="shared" si="144"/>
        <v>1</v>
      </c>
      <c r="AT221" s="3">
        <f t="shared" si="145"/>
        <v>1</v>
      </c>
      <c r="AU221" s="3">
        <f t="shared" si="146"/>
        <v>1</v>
      </c>
      <c r="AV221" s="3">
        <f t="shared" si="147"/>
        <v>15</v>
      </c>
      <c r="AW221" s="3">
        <f t="shared" si="148"/>
        <v>7</v>
      </c>
      <c r="AX221" s="3">
        <f t="shared" si="149"/>
        <v>4</v>
      </c>
      <c r="AY221" s="3">
        <f t="shared" si="150"/>
        <v>8</v>
      </c>
      <c r="AZ221" s="3">
        <f t="shared" si="151"/>
        <v>1</v>
      </c>
      <c r="BA221" s="3">
        <f>IF(ISERROR(LEN(VLOOKUP(A221,Seqs!A:E,2,FALSE))-AL221),"-",LEN(VLOOKUP(A221,Seqs!A:E,2,FALSE))-AL221)</f>
        <v>27</v>
      </c>
      <c r="BB221" s="16">
        <f t="shared" si="152"/>
        <v>27</v>
      </c>
      <c r="BC221" s="9">
        <f t="shared" si="153"/>
        <v>20</v>
      </c>
      <c r="BD221" s="3">
        <f t="shared" si="154"/>
        <v>27</v>
      </c>
      <c r="BE221" s="3">
        <f t="shared" si="155"/>
        <v>42</v>
      </c>
      <c r="BF221" s="3">
        <f>AH221-AE221</f>
        <v>39</v>
      </c>
    </row>
    <row r="222" spans="1:59" s="3" customFormat="1" x14ac:dyDescent="0.2">
      <c r="A222" s="3" t="s">
        <v>358</v>
      </c>
      <c r="B222" s="3" t="str">
        <f>LOWER(VLOOKUP(A222,Xtal_Templ!A:B,2,FALSE))</f>
        <v>pe2r4_human</v>
      </c>
      <c r="C222" s="3">
        <f>VLOOKUP($A222,'SegEnds_NonXtal_BW#'!$A:$Z,3,FALSE)+D222-50</f>
        <v>17</v>
      </c>
      <c r="D222" s="3">
        <v>34</v>
      </c>
      <c r="E222" s="3">
        <f>IF(ISERROR(VLOOKUP($A222,'SegEnds_NonXtal_BW#'!$A:$Z,4,FALSE)+VLOOKUP($A222,A:AL,4,FALSE)-50),"-",(VLOOKUP($A222,'SegEnds_NonXtal_BW#'!$A:$Z,4,FALSE)+VLOOKUP($A222,A:AL,4,FALSE)-50))</f>
        <v>42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59</v>
      </c>
      <c r="J222" s="3">
        <v>72</v>
      </c>
      <c r="K222" s="3">
        <f>VLOOKUP($A222,'SegEnds_NonXtal_BW#'!$A:$Z,8,FALSE)+VLOOKUP($A222,A:AL,10,FALSE)-50</f>
        <v>89</v>
      </c>
      <c r="L222" s="3" t="str">
        <f>IF(ISERROR(VLOOKUP($A222,'SegEnds_NonXtal_BW#'!$A:$Z,9,FALSE)+VLOOKUP($A222,A:AL,13,FALSE)-50),"-",(VLOOKUP($A222,'SegEnds_NonXtal_BW#'!$A:$Z,9,FALSE)+VLOOKUP($A222,A:AL,13,FALSE)-50))</f>
        <v>-</v>
      </c>
      <c r="M222" s="3" t="s">
        <v>23</v>
      </c>
      <c r="N222" s="3" t="str">
        <f>IF(ISERROR(VLOOKUP($A222,'SegEnds_NonXtal_BW#'!$A:$Z,10,FALSE)+VLOOKUP($A222,A:AL,13,FALSE)-50),"-",(VLOOKUP($A222,'SegEnds_NonXtal_BW#'!$A:$Z,10,FALSE)+VLOOKUP($A222,A:AL,13,FALSE)-50))</f>
        <v>-</v>
      </c>
      <c r="O222" s="3">
        <f>VLOOKUP($A222,'SegEnds_NonXtal_BW#'!$A:$Z,11,FALSE)+VLOOKUP($A222,A:AL,16,FALSE)-50</f>
        <v>98</v>
      </c>
      <c r="P222" s="3">
        <v>130</v>
      </c>
      <c r="Q222" s="3">
        <f>VLOOKUP($A222,'SegEnds_NonXtal_BW#'!$A:$Z,12,FALSE)+VLOOKUP($A222,A:AL,16,FALSE)-50</f>
        <v>136</v>
      </c>
      <c r="R222" s="3">
        <f>IF(ISERROR(VLOOKUP($A222,'SegEnds_NonXtal_BW#'!$A:$Z,13,FALSE)+VLOOKUP($A222,A:AL,19,FALSE)-50),"-",VLOOKUP($A222,'SegEnds_NonXtal_BW#'!$A:$Z,13,FALSE)+VLOOKUP($A222,A:AL,19,FALSE)-50)</f>
        <v>137</v>
      </c>
      <c r="S222" s="3">
        <v>137</v>
      </c>
      <c r="T222" s="100">
        <f>IF(ISERROR(VLOOKUP($A222,'SegEnds_NonXtal_BW#'!$A:$Z,14,FALSE)+VLOOKUP($A222,A:AL,19,FALSE)-50),"-",(VLOOKUP($A222,'SegEnds_NonXtal_BW#'!$A:$Z,14,FALSE)+VLOOKUP($A222,A:AL,19,FALSE)-50))</f>
        <v>144</v>
      </c>
      <c r="U222" s="9">
        <f>IF(ISERROR(VLOOKUP($A222,'SegEnds_NonXtal_BW#'!$A:$Z,15,FALSE)+VLOOKUP($A222,A:AL,22,FALSE)-50),"-",VLOOKUP($A222,'SegEnds_NonXtal_BW#'!$A:$Z,15,FALSE)+VLOOKUP($A222,A:AL,22,FALSE)-50)</f>
        <v>145</v>
      </c>
      <c r="V222" s="3">
        <v>157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183</v>
      </c>
      <c r="Y222" s="3">
        <v>183</v>
      </c>
      <c r="Z222" s="3">
        <f t="shared" si="140"/>
        <v>185</v>
      </c>
      <c r="AA222" s="3">
        <f>IF(ISERROR(VLOOKUP($A222,'SegEnds_NonXtal_BW#'!$A:$Z,19,FALSE)+VLOOKUP($A222,A:AL,28,FALSE)-50),"-",(VLOOKUP($A222,'SegEnds_NonXtal_BW#'!$A:$Z,19,FALSE)+VLOOKUP($A222,A:AL,28,FALSE)-50))</f>
        <v>195</v>
      </c>
      <c r="AB222" s="3">
        <v>212</v>
      </c>
      <c r="AC222" s="3">
        <f>IF(ISERROR((VLOOKUP($A222,'SegEnds_NonXtal_BW#'!$A:$Z,20,FALSE)+VLOOKUP($A222,A:AL,28,FALSE)-50)),"-",(VLOOKUP($A222,'SegEnds_NonXtal_BW#'!$A:$Z,20,FALSE)+VLOOKUP($A222,A:AL,28,FALSE)-50))</f>
        <v>243</v>
      </c>
      <c r="AD222" s="3">
        <f>IF(ISERROR(VLOOKUP($A222,'SegEnds_NonXtal_BW#'!$A:$Z,21,FALSE)+VLOOKUP($A222,A:AL,31,FALSE)-50),"-",(VLOOKUP($A222,'SegEnds_NonXtal_BW#'!$A:$Z,21,FALSE)+VLOOKUP($A222,A:AL,31,FALSE)-50))</f>
        <v>253</v>
      </c>
      <c r="AE222" s="3">
        <v>280</v>
      </c>
      <c r="AF222" s="3">
        <f>IF(ISERROR((VLOOKUP($A222,'SegEnds_NonXtal_BW#'!$A:$Z,22,FALSE)+VLOOKUP($A222,A:AL,31,FALSE)-50)),"-",(VLOOKUP($A222,'SegEnds_NonXtal_BW#'!$A:$Z,22,FALSE)+VLOOKUP($A222,A:AL,31,FALSE)-50))</f>
        <v>291</v>
      </c>
      <c r="AG222" s="3">
        <f>IF(ISERROR(VLOOKUP($A222,'SegEnds_NonXtal_BW#'!$A:$Z,23,FALSE)+VLOOKUP($A222,A:AL,34,FALSE)-50),"-",(VLOOKUP($A222,'SegEnds_NonXtal_BW#'!$A:$Z,23,FALSE)+VLOOKUP($A222,A:AL,34,FALSE)-50))</f>
        <v>298</v>
      </c>
      <c r="AH222" s="3">
        <v>320</v>
      </c>
      <c r="AI222" s="3">
        <f>IF(ISERROR((VLOOKUP($A222,'SegEnds_NonXtal_BW#'!$A:$Z,24,FALSE)+VLOOKUP($A222,A:AL,34,FALSE)-50)),"-",(VLOOKUP($A222,'SegEnds_NonXtal_BW#'!$A:$Z,24,FALSE)+VLOOKUP($A222,A:AL,34,FALSE)-50))</f>
        <v>326</v>
      </c>
      <c r="AJ222" s="3">
        <f>IF(ISERROR(VLOOKUP($A222,'SegEnds_NonXtal_BW#'!$A:$Z,25,FALSE)+VLOOKUP($A222,A:AL,37,FALSE)-50),"-",(VLOOKUP($A222,'SegEnds_NonXtal_BW#'!$A:$Z,25,FALSE)+VLOOKUP($A222,A:AL,37,FALSE)-50))</f>
        <v>327</v>
      </c>
      <c r="AK222" s="3">
        <v>330</v>
      </c>
      <c r="AL222" s="3">
        <f>IF(ISERROR((VLOOKUP($A222,'SegEnds_NonXtal_BW#'!$A:$Z,26,FALSE)+VLOOKUP($A222,A:AL,37,FALSE)-50)),"-",(VLOOKUP($A222,'SegEnds_NonXtal_BW#'!$A:$Z,26,FALSE)+VLOOKUP($A222,A:AL,37,FALSE)-50))</f>
        <v>340</v>
      </c>
      <c r="AM222" s="28" t="str">
        <f>VLOOKUP(A222,Classification!A:B,2,FALSE)</f>
        <v>A</v>
      </c>
      <c r="AN222" s="28" t="b">
        <f t="shared" si="156"/>
        <v>1</v>
      </c>
      <c r="AO222" s="3" t="str">
        <f>IF(ISERROR(MATCH(A222,'SegEnds_Xtal_Prot#'!B:B, 0)), "NoXtal", "Xtal")</f>
        <v>NoXtal</v>
      </c>
      <c r="AP222" s="3" t="str">
        <f t="shared" si="141"/>
        <v>-</v>
      </c>
      <c r="AQ222" s="3" t="str">
        <f t="shared" si="142"/>
        <v>-</v>
      </c>
      <c r="AR222" s="3" t="str">
        <f t="shared" si="143"/>
        <v>-</v>
      </c>
      <c r="AS222" s="3" t="str">
        <f t="shared" si="144"/>
        <v>-</v>
      </c>
      <c r="AT222" s="3">
        <f t="shared" si="145"/>
        <v>1</v>
      </c>
      <c r="AU222" s="3">
        <f t="shared" si="146"/>
        <v>1</v>
      </c>
      <c r="AV222" s="3">
        <f t="shared" si="147"/>
        <v>13</v>
      </c>
      <c r="AW222" s="3">
        <f t="shared" si="148"/>
        <v>10</v>
      </c>
      <c r="AX222" s="3">
        <f t="shared" si="149"/>
        <v>10</v>
      </c>
      <c r="AY222" s="3">
        <f t="shared" si="150"/>
        <v>7</v>
      </c>
      <c r="AZ222" s="3">
        <f t="shared" si="151"/>
        <v>1</v>
      </c>
      <c r="BA222" s="3">
        <f>IF(ISERROR(LEN(VLOOKUP(A222,Seqs!A:E,2,FALSE))-AL222),"-",LEN(VLOOKUP(A222,Seqs!A:E,2,FALSE))-AL222)</f>
        <v>19</v>
      </c>
      <c r="BB222" s="16">
        <f t="shared" si="152"/>
        <v>38</v>
      </c>
      <c r="BC222" s="9">
        <f t="shared" si="153"/>
        <v>20</v>
      </c>
      <c r="BD222" s="3">
        <f t="shared" si="154"/>
        <v>38</v>
      </c>
      <c r="BE222" s="3">
        <f t="shared" si="155"/>
        <v>68</v>
      </c>
      <c r="BF222" s="3">
        <f>AH222-AE222</f>
        <v>40</v>
      </c>
    </row>
    <row r="223" spans="1:59" s="3" customFormat="1" x14ac:dyDescent="0.2">
      <c r="A223" s="3" t="s">
        <v>359</v>
      </c>
      <c r="B223" s="3" t="str">
        <f>LOWER(VLOOKUP(A223,Xtal_Templ!A:B,2,FALSE))</f>
        <v>pd2r2_human</v>
      </c>
      <c r="C223" s="3">
        <f>VLOOKUP($A223,'SegEnds_NonXtal_BW#'!$A:$Z,3,FALSE)+D223-50</f>
        <v>32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 t="str">
        <f>IF(ISERROR(VLOOKUP($A223,'SegEnds_NonXtal_BW#'!$A:$Z,5,FALSE)+VLOOKUP($A223,A:AL,7,FALSE)-50),"-",(VLOOKUP($A223,'SegEnds_NonXtal_BW#'!$A:$Z,5,FALSE)+VLOOKUP($A223,A:AL,7,FALSE)-50))</f>
        <v>-</v>
      </c>
      <c r="G223" s="3" t="s">
        <v>23</v>
      </c>
      <c r="H223" s="3" t="str">
        <f>IF(ISERROR(VLOOKUP($A223,'SegEnds_NonXtal_BW#'!$A:$Z,6,FALSE)+VLOOKUP($A223,A:AL,7,FALSE)-50),"-",(VLOOKUP($A223,'SegEnds_NonXtal_BW#'!$A:$Z,6,FALSE)+VLOOKUP($A223,A:AL,7,FALSE)-50))</f>
        <v>-</v>
      </c>
      <c r="I223" s="3">
        <f>VLOOKUP($A223,'SegEnds_NonXtal_BW#'!$A:$Z,7,FALSE)+J223-50</f>
        <v>64</v>
      </c>
      <c r="J223" s="3">
        <v>77</v>
      </c>
      <c r="K223" s="3">
        <f>VLOOKUP($A223,'SegEnds_NonXtal_BW#'!$A:$Z,8,FALSE)+VLOOKUP($A223,A:AL,10,FALSE)-50</f>
        <v>94</v>
      </c>
      <c r="L223" s="3">
        <f>M223-1</f>
        <v>96</v>
      </c>
      <c r="M223" s="3">
        <v>97</v>
      </c>
      <c r="N223" s="3">
        <f>M223+2</f>
        <v>99</v>
      </c>
      <c r="O223" s="3">
        <f>N223+1</f>
        <v>100</v>
      </c>
      <c r="P223" s="3">
        <v>129</v>
      </c>
      <c r="Q223" s="3">
        <f>VLOOKUP($A223,'SegEnds_NonXtal_BW#'!$A:$Z,12,FALSE)+VLOOKUP($A223,A:AL,16,FALSE)-50</f>
        <v>135</v>
      </c>
      <c r="R223" s="3">
        <f>IF(ISERROR(VLOOKUP($A223,'SegEnds_NonXtal_BW#'!$A:$Z,13,FALSE)+VLOOKUP($A223,A:AL,19,FALSE)-50),"-",VLOOKUP($A223,'SegEnds_NonXtal_BW#'!$A:$Z,13,FALSE)+VLOOKUP($A223,A:AL,19,FALSE)-50)</f>
        <v>136</v>
      </c>
      <c r="S223" s="3">
        <v>136</v>
      </c>
      <c r="T223" s="100">
        <f>IF(ISERROR(VLOOKUP($A223,'SegEnds_NonXtal_BW#'!$A:$Z,14,FALSE)+VLOOKUP($A223,A:AL,19,FALSE)-50),"-",(VLOOKUP($A223,'SegEnds_NonXtal_BW#'!$A:$Z,14,FALSE)+VLOOKUP($A223,A:AL,19,FALSE)-50))</f>
        <v>143</v>
      </c>
      <c r="U223" s="9">
        <f>IF(ISERROR(VLOOKUP($A223,'SegEnds_NonXtal_BW#'!$A:$Z,15,FALSE)+VLOOKUP($A223,A:AL,22,FALSE)-50),"-",VLOOKUP($A223,'SegEnds_NonXtal_BW#'!$A:$Z,15,FALSE)+VLOOKUP($A223,A:AL,22,FALSE)-50)</f>
        <v>144</v>
      </c>
      <c r="V223" s="3">
        <v>156</v>
      </c>
      <c r="W223" s="3">
        <f>IF(ISERROR(VLOOKUP($A223,'SegEnds_NonXtal_BW#'!$A:$Z,16,FALSE)+VLOOKUP($A223,A:AL,22,FALSE)-50),"-",(VLOOKUP($A223,'SegEnds_NonXtal_BW#'!$A:$Z,16,FALSE)+VLOOKUP($A223,A:AL,22,FALSE)-50))</f>
        <v>170</v>
      </c>
      <c r="X223" s="3">
        <f>IF(ISERROR(VLOOKUP($A223,'SegEnds_NonXtal_BW#'!$A:$Z,17,FALSE)+VLOOKUP($A223,A:AL,25,FALSE)-50),"-",(VLOOKUP($A223,'SegEnds_NonXtal_BW#'!$A:$Z,17,FALSE)+VLOOKUP($A223,A:AL,25,FALSE)-50))</f>
        <v>182</v>
      </c>
      <c r="Y223" s="3">
        <v>182</v>
      </c>
      <c r="Z223" s="3">
        <f t="shared" si="140"/>
        <v>184</v>
      </c>
      <c r="AA223" s="3">
        <f>IF(ISERROR(VLOOKUP($A223,'SegEnds_NonXtal_BW#'!$A:$Z,19,FALSE)+VLOOKUP($A223,A:AL,28,FALSE)-50),"-",(VLOOKUP($A223,'SegEnds_NonXtal_BW#'!$A:$Z,19,FALSE)+VLOOKUP($A223,A:AL,28,FALSE)-50))</f>
        <v>194</v>
      </c>
      <c r="AB223" s="3">
        <v>218</v>
      </c>
      <c r="AC223" s="3">
        <f>IF(ISERROR((VLOOKUP($A223,'SegEnds_NonXtal_BW#'!$A:$Z,20,FALSE)+VLOOKUP($A223,A:AL,28,FALSE)-50)),"-",(VLOOKUP($A223,'SegEnds_NonXtal_BW#'!$A:$Z,20,FALSE)+VLOOKUP($A223,A:AL,28,FALSE)-50))</f>
        <v>236</v>
      </c>
      <c r="AD223" s="3">
        <f>IF(ISERROR(VLOOKUP($A223,'SegEnds_NonXtal_BW#'!$A:$Z,21,FALSE)+VLOOKUP($A223,A:AL,31,FALSE)-50),"-",(VLOOKUP($A223,'SegEnds_NonXtal_BW#'!$A:$Z,21,FALSE)+VLOOKUP($A223,A:AL,31,FALSE)-50))</f>
        <v>241</v>
      </c>
      <c r="AE223" s="3">
        <v>261</v>
      </c>
      <c r="AF223" s="3">
        <f>IF(ISERROR((VLOOKUP($A223,'SegEnds_NonXtal_BW#'!$A:$Z,22,FALSE)+VLOOKUP($A223,A:AL,31,FALSE)-50)),"-",(VLOOKUP($A223,'SegEnds_NonXtal_BW#'!$A:$Z,22,FALSE)+VLOOKUP($A223,A:AL,31,FALSE)-50))</f>
        <v>272</v>
      </c>
      <c r="AG223" s="3">
        <f>IF(ISERROR(VLOOKUP($A223,'SegEnds_NonXtal_BW#'!$A:$Z,23,FALSE)+VLOOKUP($A223,A:AL,34,FALSE)-50),"-",(VLOOKUP($A223,'SegEnds_NonXtal_BW#'!$A:$Z,23,FALSE)+VLOOKUP($A223,A:AL,34,FALSE)-50))</f>
        <v>278</v>
      </c>
      <c r="AH223" s="3">
        <v>301</v>
      </c>
      <c r="AI223" s="3">
        <f>IF(ISERROR((VLOOKUP($A223,'SegEnds_NonXtal_BW#'!$A:$Z,24,FALSE)+VLOOKUP($A223,A:AL,34,FALSE)-50)),"-",(VLOOKUP($A223,'SegEnds_NonXtal_BW#'!$A:$Z,24,FALSE)+VLOOKUP($A223,A:AL,34,FALSE)-50))</f>
        <v>307</v>
      </c>
      <c r="AJ223" s="3">
        <f>IF(ISERROR(VLOOKUP($A223,'SegEnds_NonXtal_BW#'!$A:$Z,25,FALSE)+VLOOKUP($A223,A:AL,37,FALSE)-50),"-",(VLOOKUP($A223,'SegEnds_NonXtal_BW#'!$A:$Z,25,FALSE)+VLOOKUP($A223,A:AL,37,FALSE)-50))</f>
        <v>308</v>
      </c>
      <c r="AK223" s="3">
        <v>311</v>
      </c>
      <c r="AL223" s="3">
        <f>IF(ISERROR((VLOOKUP($A223,'SegEnds_NonXtal_BW#'!$A:$Z,26,FALSE)+VLOOKUP($A223,A:AL,37,FALSE)-50)),"-",(VLOOKUP($A223,'SegEnds_NonXtal_BW#'!$A:$Z,26,FALSE)+VLOOKUP($A223,A:AL,37,FALSE)-50))</f>
        <v>325</v>
      </c>
      <c r="AM223" s="28" t="str">
        <f>VLOOKUP(A223,Classification!A:B,2,FALSE)</f>
        <v>A</v>
      </c>
      <c r="AN223" s="28" t="b">
        <f t="shared" si="156"/>
        <v>1</v>
      </c>
      <c r="AO223" s="3" t="str">
        <f>IF(ISERROR(MATCH(A223,'SegEnds_Xtal_Prot#'!B:B, 0)), "NoXtal", "Xtal")</f>
        <v>Xtal</v>
      </c>
      <c r="AP223" s="3" t="str">
        <f t="shared" si="141"/>
        <v>-</v>
      </c>
      <c r="AQ223" s="3" t="str">
        <f t="shared" si="142"/>
        <v>-</v>
      </c>
      <c r="AR223" s="3">
        <f t="shared" si="143"/>
        <v>2</v>
      </c>
      <c r="AS223" s="3">
        <f t="shared" si="144"/>
        <v>1</v>
      </c>
      <c r="AT223" s="3">
        <f t="shared" si="145"/>
        <v>1</v>
      </c>
      <c r="AU223" s="3">
        <f t="shared" si="146"/>
        <v>1</v>
      </c>
      <c r="AV223" s="3">
        <f t="shared" si="147"/>
        <v>12</v>
      </c>
      <c r="AW223" s="3">
        <f t="shared" si="148"/>
        <v>10</v>
      </c>
      <c r="AX223" s="3">
        <f t="shared" si="149"/>
        <v>5</v>
      </c>
      <c r="AY223" s="3">
        <f t="shared" si="150"/>
        <v>6</v>
      </c>
      <c r="AZ223" s="3">
        <f t="shared" si="151"/>
        <v>1</v>
      </c>
      <c r="BA223" s="3">
        <f>IF(ISERROR(LEN(VLOOKUP(A223,Seqs!A:E,2,FALSE))-AL223),"-",LEN(VLOOKUP(A223,Seqs!A:E,2,FALSE))-AL223)</f>
        <v>70</v>
      </c>
      <c r="BB223" s="16">
        <f t="shared" si="152"/>
        <v>27</v>
      </c>
      <c r="BC223" s="9">
        <f t="shared" si="153"/>
        <v>20</v>
      </c>
      <c r="BD223" s="3">
        <f t="shared" si="154"/>
        <v>27</v>
      </c>
      <c r="BE223" s="3">
        <f t="shared" si="155"/>
        <v>43</v>
      </c>
    </row>
    <row r="224" spans="1:59" s="3" customFormat="1" x14ac:dyDescent="0.2">
      <c r="A224" s="3" t="s">
        <v>360</v>
      </c>
      <c r="B224" s="3" t="str">
        <f>LOWER(VLOOKUP(A224,Xtal_Templ!A:B,2,FALSE))</f>
        <v>ta2r_human</v>
      </c>
      <c r="C224" s="3">
        <f>VLOOKUP($A224,'SegEnds_NonXtal_BW#'!$A:$Z,3,FALSE)+D224-50</f>
        <v>35</v>
      </c>
      <c r="D224" s="3">
        <v>50</v>
      </c>
      <c r="E224" s="3">
        <f>IF(ISERROR(VLOOKUP($A224,'SegEnds_NonXtal_BW#'!$A:$Z,4,FALSE)+VLOOKUP($A224,A:AL,4,FALSE)-50),"-",(VLOOKUP($A224,'SegEnds_NonXtal_BW#'!$A:$Z,4,FALSE)+VLOOKUP($A224,A:AL,4,FALSE)-50))</f>
        <v>61</v>
      </c>
      <c r="F224" s="3">
        <f>G224-2</f>
        <v>62</v>
      </c>
      <c r="G224" s="3">
        <v>64</v>
      </c>
      <c r="H224" s="3">
        <f>G224+1</f>
        <v>65</v>
      </c>
      <c r="I224" s="3">
        <f>H224+1</f>
        <v>66</v>
      </c>
      <c r="J224" s="3">
        <v>84</v>
      </c>
      <c r="K224" s="3">
        <f>VLOOKUP($A224,'SegEnds_NonXtal_BW#'!$A:$Z,8,FALSE)+VLOOKUP($A224,A:AL,10,FALSE)-50</f>
        <v>100</v>
      </c>
      <c r="L224" s="3">
        <f>M224-1</f>
        <v>103</v>
      </c>
      <c r="M224" s="3">
        <v>104</v>
      </c>
      <c r="N224" s="3">
        <f>M224+2</f>
        <v>106</v>
      </c>
      <c r="O224" s="3">
        <f>N224+1</f>
        <v>107</v>
      </c>
      <c r="P224" s="3">
        <v>135</v>
      </c>
      <c r="Q224" s="3">
        <f>VLOOKUP($A224,'SegEnds_NonXtal_BW#'!$A:$Z,12,FALSE)+VLOOKUP($A224,A:AL,16,FALSE)-50</f>
        <v>141</v>
      </c>
      <c r="R224" s="3">
        <f>IF(ISERROR(VLOOKUP($A224,'SegEnds_NonXtal_BW#'!$A:$Z,13,FALSE)+VLOOKUP($A224,A:AL,19,FALSE)-50),"-",VLOOKUP($A224,'SegEnds_NonXtal_BW#'!$A:$Z,13,FALSE)+VLOOKUP($A224,A:AL,19,FALSE)-50)</f>
        <v>142</v>
      </c>
      <c r="S224" s="3">
        <v>142</v>
      </c>
      <c r="T224" s="100">
        <f>IF(ISERROR(VLOOKUP($A224,'SegEnds_NonXtal_BW#'!$A:$Z,14,FALSE)+VLOOKUP($A224,A:AL,19,FALSE)-50),"-",(VLOOKUP($A224,'SegEnds_NonXtal_BW#'!$A:$Z,14,FALSE)+VLOOKUP($A224,A:AL,19,FALSE)-50))</f>
        <v>149</v>
      </c>
      <c r="U224" s="9">
        <f>IF(ISERROR(VLOOKUP($A224,'SegEnds_NonXtal_BW#'!$A:$Z,15,FALSE)+VLOOKUP($A224,A:AL,22,FALSE)-50),"-",VLOOKUP($A224,'SegEnds_NonXtal_BW#'!$A:$Z,15,FALSE)+VLOOKUP($A224,A:AL,22,FALSE)-50)</f>
        <v>150</v>
      </c>
      <c r="V224" s="3">
        <v>162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188</v>
      </c>
      <c r="Y224" s="3">
        <v>188</v>
      </c>
      <c r="Z224" s="3">
        <f t="shared" si="140"/>
        <v>190</v>
      </c>
      <c r="AA224" s="3">
        <f>IF(ISERROR(VLOOKUP($A224,'SegEnds_NonXtal_BW#'!$A:$Z,19,FALSE)+VLOOKUP($A224,A:AL,28,FALSE)-50),"-",(VLOOKUP($A224,'SegEnds_NonXtal_BW#'!$A:$Z,19,FALSE)+VLOOKUP($A224,A:AL,28,FALSE)-50))</f>
        <v>197</v>
      </c>
      <c r="AB224" s="3">
        <v>216</v>
      </c>
      <c r="AC224" s="3">
        <f>IF(ISERROR((VLOOKUP($A224,'SegEnds_NonXtal_BW#'!$A:$Z,20,FALSE)+VLOOKUP($A224,A:AL,28,FALSE)-50)),"-",(VLOOKUP($A224,'SegEnds_NonXtal_BW#'!$A:$Z,20,FALSE)+VLOOKUP($A224,A:AL,28,FALSE)-50))</f>
        <v>240</v>
      </c>
      <c r="AD224" s="3">
        <f>IF(ISERROR(VLOOKUP($A224,'SegEnds_NonXtal_BW#'!$A:$Z,21,FALSE)+VLOOKUP($A224,A:AL,31,FALSE)-50),"-",(VLOOKUP($A224,'SegEnds_NonXtal_BW#'!$A:$Z,21,FALSE)+VLOOKUP($A224,A:AL,31,FALSE)-50))</f>
        <v>286</v>
      </c>
      <c r="AE224" s="3">
        <v>312</v>
      </c>
      <c r="AF224" s="3">
        <f>IF(ISERROR((VLOOKUP($A224,'SegEnds_NonXtal_BW#'!$A:$Z,22,FALSE)+VLOOKUP($A224,A:AL,31,FALSE)-50)),"-",(VLOOKUP($A224,'SegEnds_NonXtal_BW#'!$A:$Z,22,FALSE)+VLOOKUP($A224,A:AL,31,FALSE)-50))</f>
        <v>323</v>
      </c>
      <c r="AG224" s="3">
        <f>IF(ISERROR(VLOOKUP($A224,'SegEnds_NonXtal_BW#'!$A:$Z,23,FALSE)+VLOOKUP($A224,A:AL,34,FALSE)-50),"-",(VLOOKUP($A224,'SegEnds_NonXtal_BW#'!$A:$Z,23,FALSE)+VLOOKUP($A224,A:AL,34,FALSE)-50))</f>
        <v>329</v>
      </c>
      <c r="AH224" s="3">
        <v>348</v>
      </c>
      <c r="AI224" s="3">
        <f>IF(ISERROR((VLOOKUP($A224,'SegEnds_NonXtal_BW#'!$A:$Z,24,FALSE)+VLOOKUP($A224,A:AL,34,FALSE)-50)),"-",(VLOOKUP($A224,'SegEnds_NonXtal_BW#'!$A:$Z,24,FALSE)+VLOOKUP($A224,A:AL,34,FALSE)-50))</f>
        <v>354</v>
      </c>
      <c r="AJ224" s="3">
        <f>IF(ISERROR(VLOOKUP($A224,'SegEnds_NonXtal_BW#'!$A:$Z,25,FALSE)+VLOOKUP($A224,A:AL,37,FALSE)-50),"-",(VLOOKUP($A224,'SegEnds_NonXtal_BW#'!$A:$Z,25,FALSE)+VLOOKUP($A224,A:AL,37,FALSE)-50))</f>
        <v>355</v>
      </c>
      <c r="AK224" s="3">
        <v>358</v>
      </c>
      <c r="AL224" s="3">
        <f>IF(ISERROR((VLOOKUP($A224,'SegEnds_NonXtal_BW#'!$A:$Z,26,FALSE)+VLOOKUP($A224,A:AL,37,FALSE)-50)),"-",(VLOOKUP($A224,'SegEnds_NonXtal_BW#'!$A:$Z,26,FALSE)+VLOOKUP($A224,A:AL,37,FALSE)-50))</f>
        <v>374</v>
      </c>
      <c r="AM224" s="28" t="str">
        <f>VLOOKUP(A224,Classification!A:B,2,FALSE)</f>
        <v>A</v>
      </c>
      <c r="AN224" s="28" t="b">
        <f t="shared" si="156"/>
        <v>1</v>
      </c>
      <c r="AO224" s="3" t="str">
        <f>IF(ISERROR(MATCH(A224,'SegEnds_Xtal_Prot#'!B:B, 0)), "NoXtal", "Xtal")</f>
        <v>NoXtal</v>
      </c>
      <c r="AP224" s="3">
        <f t="shared" si="141"/>
        <v>1</v>
      </c>
      <c r="AQ224" s="3">
        <f t="shared" si="142"/>
        <v>1</v>
      </c>
      <c r="AR224" s="3">
        <f t="shared" si="143"/>
        <v>3</v>
      </c>
      <c r="AS224" s="3">
        <f t="shared" si="144"/>
        <v>1</v>
      </c>
      <c r="AT224" s="3">
        <f t="shared" si="145"/>
        <v>1</v>
      </c>
      <c r="AU224" s="3">
        <f t="shared" si="146"/>
        <v>1</v>
      </c>
      <c r="AV224" s="3">
        <f t="shared" si="147"/>
        <v>13</v>
      </c>
      <c r="AW224" s="3">
        <f t="shared" si="148"/>
        <v>7</v>
      </c>
      <c r="AX224" s="3">
        <f t="shared" si="149"/>
        <v>46</v>
      </c>
      <c r="AY224" s="3">
        <f t="shared" si="150"/>
        <v>6</v>
      </c>
      <c r="AZ224" s="3">
        <f t="shared" si="151"/>
        <v>1</v>
      </c>
      <c r="BA224" s="3">
        <f>IF(ISERROR(LEN(VLOOKUP(A224,Seqs!A:E,2,FALSE))-AL224),"-",LEN(VLOOKUP(A224,Seqs!A:E,2,FALSE))-AL224)</f>
        <v>28</v>
      </c>
      <c r="BB224" s="16">
        <f t="shared" si="152"/>
        <v>34</v>
      </c>
      <c r="BC224" s="9">
        <f t="shared" si="153"/>
        <v>20</v>
      </c>
      <c r="BD224" s="3">
        <f t="shared" si="154"/>
        <v>34</v>
      </c>
      <c r="BE224" s="3">
        <f t="shared" si="155"/>
        <v>96</v>
      </c>
    </row>
    <row r="225" spans="1:58" s="3" customFormat="1" x14ac:dyDescent="0.2">
      <c r="A225" s="3" t="s">
        <v>361</v>
      </c>
      <c r="B225" s="3" t="str">
        <f>LOWER(VLOOKUP(A225,Xtal_Templ!A:B,2,FALSE))</f>
        <v>pe2r4_human</v>
      </c>
      <c r="C225" s="3">
        <f>VLOOKUP($A225,'SegEnds_NonXtal_BW#'!$A:$Z,3,FALSE)+D225-50</f>
        <v>22</v>
      </c>
      <c r="D225" s="3">
        <v>39</v>
      </c>
      <c r="E225" s="3">
        <f>IF(ISERROR(VLOOKUP($A225,'SegEnds_NonXtal_BW#'!$A:$Z,4,FALSE)+VLOOKUP($A225,A:AL,4,FALSE)-50),"-",(VLOOKUP($A225,'SegEnds_NonXtal_BW#'!$A:$Z,4,FALSE)+VLOOKUP($A225,A:AL,4,FALSE)-50))</f>
        <v>47</v>
      </c>
      <c r="F225" s="3">
        <f>G225-2</f>
        <v>56</v>
      </c>
      <c r="G225" s="3">
        <v>58</v>
      </c>
      <c r="H225" s="3">
        <f>G225+1</f>
        <v>59</v>
      </c>
      <c r="I225" s="3">
        <f>H225+1</f>
        <v>60</v>
      </c>
      <c r="J225" s="3">
        <v>78</v>
      </c>
      <c r="K225" s="3">
        <f>VLOOKUP($A225,'SegEnds_NonXtal_BW#'!$A:$Z,8,FALSE)+VLOOKUP($A225,A:AL,10,FALSE)-50</f>
        <v>95</v>
      </c>
      <c r="L225" s="3" t="str">
        <f>IF(ISERROR(VLOOKUP($A225,'SegEnds_NonXtal_BW#'!$A:$Z,9,FALSE)+VLOOKUP($A225,A:AL,13,FALSE)-50),"-",(VLOOKUP($A225,'SegEnds_NonXtal_BW#'!$A:$Z,9,FALSE)+VLOOKUP($A225,A:AL,13,FALSE)-50))</f>
        <v>-</v>
      </c>
      <c r="M225" s="3" t="s">
        <v>23</v>
      </c>
      <c r="N225" s="3" t="str">
        <f>IF(ISERROR(VLOOKUP($A225,'SegEnds_NonXtal_BW#'!$A:$Z,10,FALSE)+VLOOKUP($A225,A:AL,13,FALSE)-50),"-",(VLOOKUP($A225,'SegEnds_NonXtal_BW#'!$A:$Z,10,FALSE)+VLOOKUP($A225,A:AL,13,FALSE)-50))</f>
        <v>-</v>
      </c>
      <c r="O225" s="3">
        <f>VLOOKUP($A225,'SegEnds_NonXtal_BW#'!$A:$Z,11,FALSE)+VLOOKUP($A225,A:AL,16,FALSE)-50</f>
        <v>102</v>
      </c>
      <c r="P225" s="3">
        <v>134</v>
      </c>
      <c r="Q225" s="3">
        <f>VLOOKUP($A225,'SegEnds_NonXtal_BW#'!$A:$Z,12,FALSE)+VLOOKUP($A225,A:AL,16,FALSE)-50</f>
        <v>140</v>
      </c>
      <c r="R225" s="3">
        <f>IF(ISERROR(VLOOKUP($A225,'SegEnds_NonXtal_BW#'!$A:$Z,13,FALSE)+VLOOKUP($A225,A:AL,19,FALSE)-50),"-",VLOOKUP($A225,'SegEnds_NonXtal_BW#'!$A:$Z,13,FALSE)+VLOOKUP($A225,A:AL,19,FALSE)-50)</f>
        <v>141</v>
      </c>
      <c r="S225" s="3">
        <v>141</v>
      </c>
      <c r="T225" s="100">
        <f>IF(ISERROR(VLOOKUP($A225,'SegEnds_NonXtal_BW#'!$A:$Z,14,FALSE)+VLOOKUP($A225,A:AL,19,FALSE)-50),"-",(VLOOKUP($A225,'SegEnds_NonXtal_BW#'!$A:$Z,14,FALSE)+VLOOKUP($A225,A:AL,19,FALSE)-50))</f>
        <v>148</v>
      </c>
      <c r="U225" s="9">
        <f>IF(ISERROR(VLOOKUP($A225,'SegEnds_NonXtal_BW#'!$A:$Z,15,FALSE)+VLOOKUP($A225,A:AL,22,FALSE)-50),"-",VLOOKUP($A225,'SegEnds_NonXtal_BW#'!$A:$Z,15,FALSE)+VLOOKUP($A225,A:AL,22,FALSE)-50)</f>
        <v>149</v>
      </c>
      <c r="V225" s="3">
        <v>161</v>
      </c>
      <c r="W225" s="3">
        <f>IF(ISERROR(VLOOKUP($A225,'SegEnds_NonXtal_BW#'!$A:$Z,16,FALSE)+VLOOKUP($A225,A:AL,22,FALSE)-50),"-",(VLOOKUP($A225,'SegEnds_NonXtal_BW#'!$A:$Z,16,FALSE)+VLOOKUP($A225,A:AL,22,FALSE)-50))</f>
        <v>174</v>
      </c>
      <c r="X225" s="3">
        <f>IF(ISERROR(VLOOKUP($A225,'SegEnds_NonXtal_BW#'!$A:$Z,17,FALSE)+VLOOKUP($A225,A:AL,25,FALSE)-50),"-",(VLOOKUP($A225,'SegEnds_NonXtal_BW#'!$A:$Z,17,FALSE)+VLOOKUP($A225,A:AL,25,FALSE)-50))</f>
        <v>187</v>
      </c>
      <c r="Y225" s="3">
        <v>187</v>
      </c>
      <c r="Z225" s="3">
        <f t="shared" si="140"/>
        <v>189</v>
      </c>
      <c r="AA225" s="3">
        <f>IF(ISERROR(VLOOKUP($A225,'SegEnds_NonXtal_BW#'!$A:$Z,19,FALSE)+VLOOKUP($A225,A:AL,28,FALSE)-50),"-",(VLOOKUP($A225,'SegEnds_NonXtal_BW#'!$A:$Z,19,FALSE)+VLOOKUP($A225,A:AL,28,FALSE)-50))</f>
        <v>194</v>
      </c>
      <c r="AB225" s="3">
        <v>209</v>
      </c>
      <c r="AC225" s="3">
        <f>IF(ISERROR((VLOOKUP($A225,'SegEnds_NonXtal_BW#'!$A:$Z,20,FALSE)+VLOOKUP($A225,A:AL,28,FALSE)-50)),"-",(VLOOKUP($A225,'SegEnds_NonXtal_BW#'!$A:$Z,20,FALSE)+VLOOKUP($A225,A:AL,28,FALSE)-50))</f>
        <v>235</v>
      </c>
      <c r="AD225" s="3">
        <f>IF(ISERROR(VLOOKUP($A225,'SegEnds_NonXtal_BW#'!$A:$Z,21,FALSE)+VLOOKUP($A225,A:AL,31,FALSE)-50),"-",(VLOOKUP($A225,'SegEnds_NonXtal_BW#'!$A:$Z,21,FALSE)+VLOOKUP($A225,A:AL,31,FALSE)-50))</f>
        <v>253</v>
      </c>
      <c r="AE225" s="3">
        <v>279</v>
      </c>
      <c r="AF225" s="3">
        <f>IF(ISERROR((VLOOKUP($A225,'SegEnds_NonXtal_BW#'!$A:$Z,22,FALSE)+VLOOKUP($A225,A:AL,31,FALSE)-50)),"-",(VLOOKUP($A225,'SegEnds_NonXtal_BW#'!$A:$Z,22,FALSE)+VLOOKUP($A225,A:AL,31,FALSE)-50))</f>
        <v>290</v>
      </c>
      <c r="AG225" s="3">
        <f>IF(ISERROR(VLOOKUP($A225,'SegEnds_NonXtal_BW#'!$A:$Z,23,FALSE)+VLOOKUP($A225,A:AL,34,FALSE)-50),"-",(VLOOKUP($A225,'SegEnds_NonXtal_BW#'!$A:$Z,23,FALSE)+VLOOKUP($A225,A:AL,34,FALSE)-50))</f>
        <v>295</v>
      </c>
      <c r="AH225" s="3">
        <v>312</v>
      </c>
      <c r="AI225" s="3">
        <f>IF(ISERROR((VLOOKUP($A225,'SegEnds_NonXtal_BW#'!$A:$Z,24,FALSE)+VLOOKUP($A225,A:AL,34,FALSE)-50)),"-",(VLOOKUP($A225,'SegEnds_NonXtal_BW#'!$A:$Z,24,FALSE)+VLOOKUP($A225,A:AL,34,FALSE)-50))</f>
        <v>318</v>
      </c>
      <c r="AJ225" s="3">
        <f>IF(ISERROR(VLOOKUP($A225,'SegEnds_NonXtal_BW#'!$A:$Z,25,FALSE)+VLOOKUP($A225,A:AL,37,FALSE)-50),"-",(VLOOKUP($A225,'SegEnds_NonXtal_BW#'!$A:$Z,25,FALSE)+VLOOKUP($A225,A:AL,37,FALSE)-50))</f>
        <v>319</v>
      </c>
      <c r="AK225" s="3">
        <v>322</v>
      </c>
      <c r="AL225" s="3">
        <f>IF(ISERROR((VLOOKUP($A225,'SegEnds_NonXtal_BW#'!$A:$Z,26,FALSE)+VLOOKUP($A225,A:AL,37,FALSE)-50)),"-",(VLOOKUP($A225,'SegEnds_NonXtal_BW#'!$A:$Z,26,FALSE)+VLOOKUP($A225,A:AL,37,FALSE)-50))</f>
        <v>332</v>
      </c>
      <c r="AM225" s="28" t="str">
        <f>VLOOKUP(A225,Classification!A:B,2,FALSE)</f>
        <v>A</v>
      </c>
      <c r="AN225" s="28" t="b">
        <f t="shared" si="156"/>
        <v>1</v>
      </c>
      <c r="AO225" s="3" t="str">
        <f>IF(ISERROR(MATCH(A225,'SegEnds_Xtal_Prot#'!B:B, 0)), "NoXtal", "Xtal")</f>
        <v>NoXtal</v>
      </c>
      <c r="AP225" s="3">
        <f t="shared" si="141"/>
        <v>9</v>
      </c>
      <c r="AQ225" s="3">
        <f t="shared" si="142"/>
        <v>1</v>
      </c>
      <c r="AR225" s="3" t="str">
        <f t="shared" si="143"/>
        <v>-</v>
      </c>
      <c r="AS225" s="3" t="str">
        <f t="shared" si="144"/>
        <v>-</v>
      </c>
      <c r="AT225" s="3">
        <f t="shared" si="145"/>
        <v>1</v>
      </c>
      <c r="AU225" s="3">
        <f t="shared" si="146"/>
        <v>1</v>
      </c>
      <c r="AV225" s="3">
        <f t="shared" si="147"/>
        <v>13</v>
      </c>
      <c r="AW225" s="3">
        <f t="shared" si="148"/>
        <v>5</v>
      </c>
      <c r="AX225" s="3">
        <f t="shared" si="149"/>
        <v>18</v>
      </c>
      <c r="AY225" s="3">
        <f t="shared" si="150"/>
        <v>5</v>
      </c>
      <c r="AZ225" s="3">
        <f t="shared" si="151"/>
        <v>1</v>
      </c>
      <c r="BA225" s="3">
        <f>IF(ISERROR(LEN(VLOOKUP(A225,Seqs!A:E,2,FALSE))-AL225),"-",LEN(VLOOKUP(A225,Seqs!A:E,2,FALSE))-AL225)</f>
        <v>26</v>
      </c>
      <c r="BB225" s="16">
        <f t="shared" si="152"/>
        <v>39</v>
      </c>
      <c r="BC225" s="9">
        <f t="shared" si="153"/>
        <v>20</v>
      </c>
      <c r="BD225" s="3">
        <f t="shared" si="154"/>
        <v>39</v>
      </c>
      <c r="BE225" s="3">
        <f t="shared" si="155"/>
        <v>70</v>
      </c>
      <c r="BF225" s="3">
        <f>AH225-AE225</f>
        <v>33</v>
      </c>
    </row>
    <row r="226" spans="1:58" s="3" customFormat="1" x14ac:dyDescent="0.2">
      <c r="A226" s="3" t="s">
        <v>362</v>
      </c>
      <c r="B226" s="3" t="str">
        <f>LOWER(VLOOKUP(A226,Xtal_Templ!A:B,2,FALSE))</f>
        <v>pe2r3_human</v>
      </c>
      <c r="C226" s="3">
        <f>VLOOKUP($A226,'SegEnds_NonXtal_BW#'!$A:$Z,3,FALSE)+D226-50</f>
        <v>52</v>
      </c>
      <c r="D226" s="3">
        <v>66</v>
      </c>
      <c r="E226" s="3">
        <f>IF(ISERROR(VLOOKUP($A226,'SegEnds_NonXtal_BW#'!$A:$Z,4,FALSE)+VLOOKUP($A226,A:AL,4,FALSE)-50),"-",(VLOOKUP($A226,'SegEnds_NonXtal_BW#'!$A:$Z,4,FALSE)+VLOOKUP($A226,A:AL,4,FALSE)-50))</f>
        <v>78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86</v>
      </c>
      <c r="J226" s="3">
        <v>99</v>
      </c>
      <c r="K226" s="3">
        <f>VLOOKUP($A226,'SegEnds_NonXtal_BW#'!$A:$Z,8,FALSE)+VLOOKUP($A226,A:AL,10,FALSE)-50</f>
        <v>117</v>
      </c>
      <c r="L226" s="3">
        <f>M226-1</f>
        <v>119</v>
      </c>
      <c r="M226" s="3">
        <v>120</v>
      </c>
      <c r="N226" s="3">
        <f>M226+2</f>
        <v>122</v>
      </c>
      <c r="O226" s="3">
        <f>N226+1</f>
        <v>123</v>
      </c>
      <c r="P226" s="3">
        <v>155</v>
      </c>
      <c r="Q226" s="3">
        <f>VLOOKUP($A226,'SegEnds_NonXtal_BW#'!$A:$Z,12,FALSE)+VLOOKUP($A226,A:AL,16,FALSE)-50</f>
        <v>161</v>
      </c>
      <c r="R226" s="3">
        <f>IF(ISERROR(VLOOKUP($A226,'SegEnds_NonXtal_BW#'!$A:$Z,13,FALSE)+VLOOKUP($A226,A:AL,19,FALSE)-50),"-",VLOOKUP($A226,'SegEnds_NonXtal_BW#'!$A:$Z,13,FALSE)+VLOOKUP($A226,A:AL,19,FALSE)-50)</f>
        <v>162</v>
      </c>
      <c r="S226" s="3">
        <v>162</v>
      </c>
      <c r="T226" s="100">
        <f>IF(ISERROR(VLOOKUP($A226,'SegEnds_NonXtal_BW#'!$A:$Z,14,FALSE)+VLOOKUP($A226,A:AL,19,FALSE)-50),"-",(VLOOKUP($A226,'SegEnds_NonXtal_BW#'!$A:$Z,14,FALSE)+VLOOKUP($A226,A:AL,19,FALSE)-50))</f>
        <v>169</v>
      </c>
      <c r="U226" s="9">
        <f>IF(ISERROR(VLOOKUP($A226,'SegEnds_NonXtal_BW#'!$A:$Z,15,FALSE)+VLOOKUP($A226,A:AL,22,FALSE)-50),"-",VLOOKUP($A226,'SegEnds_NonXtal_BW#'!$A:$Z,15,FALSE)+VLOOKUP($A226,A:AL,22,FALSE)-50)</f>
        <v>170</v>
      </c>
      <c r="V226" s="3">
        <v>182</v>
      </c>
      <c r="W226" s="3">
        <f>IF(ISERROR(VLOOKUP($A226,'SegEnds_NonXtal_BW#'!$A:$Z,16,FALSE)+VLOOKUP($A226,A:AL,22,FALSE)-50),"-",(VLOOKUP($A226,'SegEnds_NonXtal_BW#'!$A:$Z,16,FALSE)+VLOOKUP($A226,A:AL,22,FALSE)-50))</f>
        <v>195</v>
      </c>
      <c r="X226" s="3">
        <f>Y226</f>
        <v>208</v>
      </c>
      <c r="Y226" s="3">
        <v>208</v>
      </c>
      <c r="Z226" s="3">
        <f t="shared" si="140"/>
        <v>210</v>
      </c>
      <c r="AA226" s="3">
        <f>IF(ISERROR(VLOOKUP($A226,'SegEnds_NonXtal_BW#'!$A:$Z,19,FALSE)+VLOOKUP($A226,A:AL,28,FALSE)-50),"-",(VLOOKUP($A226,'SegEnds_NonXtal_BW#'!$A:$Z,19,FALSE)+VLOOKUP($A226,A:AL,28,FALSE)-50))</f>
        <v>225</v>
      </c>
      <c r="AB226" s="3">
        <v>241</v>
      </c>
      <c r="AC226" s="3">
        <f>IF(ISERROR((VLOOKUP($A226,'SegEnds_NonXtal_BW#'!$A:$Z,20,FALSE)+VLOOKUP($A226,A:AL,28,FALSE)-50)),"-",(VLOOKUP($A226,'SegEnds_NonXtal_BW#'!$A:$Z,20,FALSE)+VLOOKUP($A226,A:AL,28,FALSE)-50))</f>
        <v>264</v>
      </c>
      <c r="AD226" s="3">
        <f>IF(ISERROR(VLOOKUP($A226,'SegEnds_NonXtal_BW#'!$A:$Z,21,FALSE)+VLOOKUP($A226,A:AL,31,FALSE)-50),"-",(VLOOKUP($A226,'SegEnds_NonXtal_BW#'!$A:$Z,21,FALSE)+VLOOKUP($A226,A:AL,31,FALSE)-50))</f>
        <v>269</v>
      </c>
      <c r="AE226" s="3">
        <v>297</v>
      </c>
      <c r="AF226" s="3">
        <f>IF(ISERROR((VLOOKUP($A226,'SegEnds_NonXtal_BW#'!$A:$Z,22,FALSE)+VLOOKUP($A226,A:AL,31,FALSE)-50)),"-",(VLOOKUP($A226,'SegEnds_NonXtal_BW#'!$A:$Z,22,FALSE)+VLOOKUP($A226,A:AL,31,FALSE)-50))</f>
        <v>311</v>
      </c>
      <c r="AG226" s="3">
        <f>IF(ISERROR(VLOOKUP($A226,'SegEnds_NonXtal_BW#'!$A:$Z,23,FALSE)+VLOOKUP($A226,A:AL,34,FALSE)-50),"-",(VLOOKUP($A226,'SegEnds_NonXtal_BW#'!$A:$Z,23,FALSE)+VLOOKUP($A226,A:AL,34,FALSE)-50))</f>
        <v>317</v>
      </c>
      <c r="AH226" s="3">
        <v>343</v>
      </c>
      <c r="AI226" s="3">
        <f>IF(ISERROR((VLOOKUP($A226,'SegEnds_NonXtal_BW#'!$A:$Z,24,FALSE)+VLOOKUP($A226,A:AL,34,FALSE)-50)),"-",(VLOOKUP($A226,'SegEnds_NonXtal_BW#'!$A:$Z,24,FALSE)+VLOOKUP($A226,A:AL,34,FALSE)-50))</f>
        <v>346</v>
      </c>
      <c r="AJ226" s="3">
        <f>IF(ISERROR(VLOOKUP($A226,'SegEnds_NonXtal_BW#'!$A:$Z,25,FALSE)+VLOOKUP($A226,A:AL,37,FALSE)-50),"-",(VLOOKUP($A226,'SegEnds_NonXtal_BW#'!$A:$Z,25,FALSE)+VLOOKUP($A226,A:AL,37,FALSE)-50))</f>
        <v>347</v>
      </c>
      <c r="AK226" s="3">
        <v>353</v>
      </c>
      <c r="AL226" s="3">
        <f>IF(ISERROR((VLOOKUP($A226,'SegEnds_NonXtal_BW#'!$A:$Z,26,FALSE)+VLOOKUP($A226,A:AL,37,FALSE)-50)),"-",(VLOOKUP($A226,'SegEnds_NonXtal_BW#'!$A:$Z,26,FALSE)+VLOOKUP($A226,A:AL,37,FALSE)-50))</f>
        <v>369</v>
      </c>
      <c r="AM226" s="28" t="str">
        <f>VLOOKUP(A226,Classification!A:B,2,FALSE)</f>
        <v>A</v>
      </c>
      <c r="AN226" s="28" t="b">
        <f t="shared" si="156"/>
        <v>1</v>
      </c>
      <c r="AO226" s="3" t="str">
        <f>IF(ISERROR(MATCH(A226,'SegEnds_Xtal_Prot#'!B:B, 0)), "NoXtal", "Xtal")</f>
        <v>Xtal</v>
      </c>
      <c r="AP226" s="3" t="str">
        <f t="shared" si="141"/>
        <v>-</v>
      </c>
      <c r="AQ226" s="3" t="str">
        <f t="shared" si="142"/>
        <v>-</v>
      </c>
      <c r="AR226" s="3">
        <f t="shared" si="143"/>
        <v>2</v>
      </c>
      <c r="AS226" s="3">
        <f t="shared" si="144"/>
        <v>1</v>
      </c>
      <c r="AT226" s="3">
        <f t="shared" si="145"/>
        <v>1</v>
      </c>
      <c r="AU226" s="3">
        <f t="shared" si="146"/>
        <v>1</v>
      </c>
      <c r="AV226" s="3">
        <f t="shared" si="147"/>
        <v>13</v>
      </c>
      <c r="AW226" s="3">
        <f t="shared" si="148"/>
        <v>15</v>
      </c>
      <c r="AX226" s="3">
        <f t="shared" si="149"/>
        <v>5</v>
      </c>
      <c r="AY226" s="3">
        <f t="shared" si="150"/>
        <v>6</v>
      </c>
      <c r="AZ226" s="3">
        <f t="shared" si="151"/>
        <v>1</v>
      </c>
      <c r="BA226" s="3">
        <f>IF(ISERROR(LEN(VLOOKUP(A226,Seqs!A:E,2,FALSE))-AL226),"-",LEN(VLOOKUP(A226,Seqs!A:E,2,FALSE))-AL226)</f>
        <v>21</v>
      </c>
      <c r="BB226" s="16">
        <f t="shared" si="152"/>
        <v>33</v>
      </c>
      <c r="BC226" s="9">
        <f t="shared" si="153"/>
        <v>20</v>
      </c>
      <c r="BD226" s="3">
        <f t="shared" si="154"/>
        <v>33</v>
      </c>
      <c r="BE226" s="3">
        <f t="shared" si="155"/>
        <v>56</v>
      </c>
      <c r="BF226" s="3">
        <f>AH226-AE226</f>
        <v>46</v>
      </c>
    </row>
    <row r="227" spans="1:58" s="3" customFormat="1" x14ac:dyDescent="0.2">
      <c r="A227" s="3" t="s">
        <v>363</v>
      </c>
      <c r="B227" s="3" t="str">
        <f>LOWER(VLOOKUP(A227,Xtal_Templ!A:B,2,FALSE))</f>
        <v>pe2r4_human</v>
      </c>
      <c r="C227" s="3">
        <f>VLOOKUP($A227,'SegEnds_NonXtal_BW#'!$A:$Z,3,FALSE)+D227-50</f>
        <v>18</v>
      </c>
      <c r="D227" s="3">
        <v>35</v>
      </c>
      <c r="E227" s="3">
        <f>IF(ISERROR(VLOOKUP($A227,'SegEnds_NonXtal_BW#'!$A:$Z,4,FALSE)+VLOOKUP($A227,A:AL,4,FALSE)-50),"-",(VLOOKUP($A227,'SegEnds_NonXtal_BW#'!$A:$Z,4,FALSE)+VLOOKUP($A227,A:AL,4,FALSE)-50))</f>
        <v>43</v>
      </c>
      <c r="F227" s="3" t="str">
        <f>IF(ISERROR(VLOOKUP($A227,'SegEnds_NonXtal_BW#'!$A:$Z,5,FALSE)+VLOOKUP($A227,A:AL,7,FALSE)-50),"-",(VLOOKUP($A227,'SegEnds_NonXtal_BW#'!$A:$Z,5,FALSE)+VLOOKUP($A227,A:AL,7,FALSE)-50))</f>
        <v>-</v>
      </c>
      <c r="G227" s="3" t="s">
        <v>23</v>
      </c>
      <c r="H227" s="3" t="str">
        <f>IF(ISERROR(VLOOKUP($A227,'SegEnds_NonXtal_BW#'!$A:$Z,6,FALSE)+VLOOKUP($A227,A:AL,7,FALSE)-50),"-",(VLOOKUP($A227,'SegEnds_NonXtal_BW#'!$A:$Z,6,FALSE)+VLOOKUP($A227,A:AL,7,FALSE)-50))</f>
        <v>-</v>
      </c>
      <c r="I227" s="3">
        <f>VLOOKUP($A227,'SegEnds_NonXtal_BW#'!$A:$Z,7,FALSE)+J227-50</f>
        <v>52</v>
      </c>
      <c r="J227" s="3">
        <v>65</v>
      </c>
      <c r="K227" s="3">
        <f>VLOOKUP($A227,'SegEnds_NonXtal_BW#'!$A:$Z,8,FALSE)+VLOOKUP($A227,A:AL,10,FALSE)-50</f>
        <v>82</v>
      </c>
      <c r="L227" s="3">
        <f>M227-1</f>
        <v>84</v>
      </c>
      <c r="M227" s="3">
        <v>85</v>
      </c>
      <c r="N227" s="3">
        <f>M227+2</f>
        <v>87</v>
      </c>
      <c r="O227" s="3">
        <f>VLOOKUP($A227,'SegEnds_NonXtal_BW#'!$A:$Z,11,FALSE)+VLOOKUP($A227,A:AL,16,FALSE)-50</f>
        <v>88</v>
      </c>
      <c r="P227" s="3">
        <v>117</v>
      </c>
      <c r="Q227" s="3">
        <f>VLOOKUP($A227,'SegEnds_NonXtal_BW#'!$A:$Z,12,FALSE)+VLOOKUP($A227,A:AL,16,FALSE)-50</f>
        <v>123</v>
      </c>
      <c r="R227" s="3">
        <f>IF(ISERROR(VLOOKUP($A227,'SegEnds_NonXtal_BW#'!$A:$Z,13,FALSE)+VLOOKUP($A227,A:AL,19,FALSE)-50),"-",VLOOKUP($A227,'SegEnds_NonXtal_BW#'!$A:$Z,13,FALSE)+VLOOKUP($A227,A:AL,19,FALSE)-50)</f>
        <v>124</v>
      </c>
      <c r="S227" s="3">
        <v>124</v>
      </c>
      <c r="T227" s="100">
        <f>IF(ISERROR(VLOOKUP($A227,'SegEnds_NonXtal_BW#'!$A:$Z,14,FALSE)+VLOOKUP($A227,A:AL,19,FALSE)-50),"-",(VLOOKUP($A227,'SegEnds_NonXtal_BW#'!$A:$Z,14,FALSE)+VLOOKUP($A227,A:AL,19,FALSE)-50))</f>
        <v>131</v>
      </c>
      <c r="U227" s="9">
        <f>IF(ISERROR(VLOOKUP($A227,'SegEnds_NonXtal_BW#'!$A:$Z,15,FALSE)+VLOOKUP($A227,A:AL,22,FALSE)-50),"-",VLOOKUP($A227,'SegEnds_NonXtal_BW#'!$A:$Z,15,FALSE)+VLOOKUP($A227,A:AL,22,FALSE)-50)</f>
        <v>132</v>
      </c>
      <c r="V227" s="3">
        <v>144</v>
      </c>
      <c r="W227" s="3">
        <f>IF(ISERROR(VLOOKUP($A227,'SegEnds_NonXtal_BW#'!$A:$Z,16,FALSE)+VLOOKUP($A227,A:AL,22,FALSE)-50),"-",(VLOOKUP($A227,'SegEnds_NonXtal_BW#'!$A:$Z,16,FALSE)+VLOOKUP($A227,A:AL,22,FALSE)-50))</f>
        <v>157</v>
      </c>
      <c r="X227" s="3">
        <f>IF(ISERROR(VLOOKUP($A227,'SegEnds_NonXtal_BW#'!$A:$Z,17,FALSE)+VLOOKUP($A227,A:AL,25,FALSE)-50),"-",(VLOOKUP($A227,'SegEnds_NonXtal_BW#'!$A:$Z,17,FALSE)+VLOOKUP($A227,A:AL,25,FALSE)-50))</f>
        <v>170</v>
      </c>
      <c r="Y227" s="3">
        <v>170</v>
      </c>
      <c r="Z227" s="3">
        <f>IF(ISERROR(VLOOKUP($A227,'SegEnds_NonXtal_BW#'!$A:$Z,18,FALSE)+VLOOKUP($A227,A:AL,25,FALSE)-50),"-",(VLOOKUP($A227,'SegEnds_NonXtal_BW#'!$A:$Z,18,FALSE)+VLOOKUP($A227,A:AL,25,FALSE)-50))</f>
        <v>172</v>
      </c>
      <c r="AA227" s="3">
        <f>IF(ISERROR(VLOOKUP($A227,'SegEnds_NonXtal_BW#'!$A:$Z,19,FALSE)+VLOOKUP($A227,A:AL,28,FALSE)-50),"-",(VLOOKUP($A227,'SegEnds_NonXtal_BW#'!$A:$Z,19,FALSE)+VLOOKUP($A227,A:AL,28,FALSE)-50))</f>
        <v>178</v>
      </c>
      <c r="AB227" s="3">
        <v>195</v>
      </c>
      <c r="AC227" s="3">
        <f>IF(ISERROR((VLOOKUP($A227,'SegEnds_NonXtal_BW#'!$A:$Z,20,FALSE)+VLOOKUP($A227,A:AL,28,FALSE)-50)),"-",(VLOOKUP($A227,'SegEnds_NonXtal_BW#'!$A:$Z,20,FALSE)+VLOOKUP($A227,A:AL,28,FALSE)-50))</f>
        <v>221</v>
      </c>
      <c r="AD227" s="3">
        <f>IF(ISERROR(VLOOKUP($A227,'SegEnds_NonXtal_BW#'!$A:$Z,21,FALSE)+VLOOKUP($A227,A:AL,31,FALSE)-50),"-",(VLOOKUP($A227,'SegEnds_NonXtal_BW#'!$A:$Z,21,FALSE)+VLOOKUP($A227,A:AL,31,FALSE)-50))</f>
        <v>261</v>
      </c>
      <c r="AE227" s="3">
        <v>287</v>
      </c>
      <c r="AF227" s="3">
        <f>IF(ISERROR((VLOOKUP($A227,'SegEnds_NonXtal_BW#'!$A:$Z,22,FALSE)+VLOOKUP($A227,A:AL,31,FALSE)-50)),"-",(VLOOKUP($A227,'SegEnds_NonXtal_BW#'!$A:$Z,22,FALSE)+VLOOKUP($A227,A:AL,31,FALSE)-50))</f>
        <v>298</v>
      </c>
      <c r="AG227" s="3">
        <f>IF(ISERROR(VLOOKUP($A227,'SegEnds_NonXtal_BW#'!$A:$Z,23,FALSE)+VLOOKUP($A227,A:AL,34,FALSE)-50),"-",(VLOOKUP($A227,'SegEnds_NonXtal_BW#'!$A:$Z,23,FALSE)+VLOOKUP($A227,A:AL,34,FALSE)-50))</f>
        <v>309</v>
      </c>
      <c r="AH227" s="3">
        <v>326</v>
      </c>
      <c r="AI227" s="3">
        <f>IF(ISERROR((VLOOKUP($A227,'SegEnds_NonXtal_BW#'!$A:$Z,24,FALSE)+VLOOKUP($A227,A:AL,34,FALSE)-50)),"-",(VLOOKUP($A227,'SegEnds_NonXtal_BW#'!$A:$Z,24,FALSE)+VLOOKUP($A227,A:AL,34,FALSE)-50))</f>
        <v>332</v>
      </c>
      <c r="AJ227" s="3">
        <f>IF(ISERROR(VLOOKUP($A227,'SegEnds_NonXtal_BW#'!$A:$Z,25,FALSE)+VLOOKUP($A227,A:AL,37,FALSE)-50),"-",(VLOOKUP($A227,'SegEnds_NonXtal_BW#'!$A:$Z,25,FALSE)+VLOOKUP($A227,A:AL,37,FALSE)-50))</f>
        <v>333</v>
      </c>
      <c r="AK227" s="3">
        <v>336</v>
      </c>
      <c r="AL227" s="3">
        <f>IF(ISERROR((VLOOKUP($A227,'SegEnds_NonXtal_BW#'!$A:$Z,26,FALSE)+VLOOKUP($A227,A:AL,37,FALSE)-50)),"-",(VLOOKUP($A227,'SegEnds_NonXtal_BW#'!$A:$Z,26,FALSE)+VLOOKUP($A227,A:AL,37,FALSE)-50))</f>
        <v>346</v>
      </c>
      <c r="AM227" s="28" t="str">
        <f>VLOOKUP(A227,Classification!A:B,2,FALSE)</f>
        <v>A</v>
      </c>
      <c r="AN227" s="28" t="b">
        <f t="shared" si="156"/>
        <v>1</v>
      </c>
      <c r="AO227" s="3" t="str">
        <f>IF(ISERROR(MATCH(A227,'SegEnds_Xtal_Prot#'!B:B, 0)), "NoXtal", "Xtal")</f>
        <v>Xtal</v>
      </c>
      <c r="AP227" s="3" t="str">
        <f t="shared" si="141"/>
        <v>-</v>
      </c>
      <c r="AQ227" s="3" t="str">
        <f t="shared" si="142"/>
        <v>-</v>
      </c>
      <c r="AR227" s="3">
        <f t="shared" si="143"/>
        <v>2</v>
      </c>
      <c r="AS227" s="3">
        <f t="shared" si="144"/>
        <v>1</v>
      </c>
      <c r="AT227" s="3">
        <f t="shared" si="145"/>
        <v>1</v>
      </c>
      <c r="AU227" s="3">
        <f t="shared" si="146"/>
        <v>1</v>
      </c>
      <c r="AV227" s="3">
        <f t="shared" si="147"/>
        <v>13</v>
      </c>
      <c r="AW227" s="3">
        <f t="shared" si="148"/>
        <v>6</v>
      </c>
      <c r="AX227" s="3">
        <f t="shared" si="149"/>
        <v>40</v>
      </c>
      <c r="AY227" s="3">
        <f t="shared" si="150"/>
        <v>11</v>
      </c>
      <c r="AZ227" s="3">
        <f t="shared" si="151"/>
        <v>1</v>
      </c>
      <c r="BA227" s="3">
        <f>IF(ISERROR(LEN(VLOOKUP(A227,Seqs!A:E,2,FALSE))-AL227),"-",LEN(VLOOKUP(A227,Seqs!A:E,2,FALSE))-AL227)</f>
        <v>142</v>
      </c>
      <c r="BB227" s="16">
        <f t="shared" si="152"/>
        <v>30</v>
      </c>
      <c r="BC227" s="9">
        <f t="shared" si="153"/>
        <v>20</v>
      </c>
      <c r="BD227" s="3">
        <f t="shared" si="154"/>
        <v>30</v>
      </c>
      <c r="BE227" s="3">
        <f t="shared" si="155"/>
        <v>92</v>
      </c>
    </row>
    <row r="228" spans="1:58" s="3" customFormat="1" x14ac:dyDescent="0.2">
      <c r="A228" s="3" t="s">
        <v>364</v>
      </c>
      <c r="B228" s="3" t="str">
        <f>LOWER(VLOOKUP(A228,Xtal_Templ!A:B,2,FALSE))</f>
        <v>ta2r_human</v>
      </c>
      <c r="C228" s="3">
        <f>VLOOKUP($A228,'SegEnds_NonXtal_BW#'!$A:$Z,3,FALSE)+D228-50</f>
        <v>29</v>
      </c>
      <c r="D228" s="3">
        <v>44</v>
      </c>
      <c r="E228" s="3">
        <f>IF(ISERROR(VLOOKUP($A228,'SegEnds_NonXtal_BW#'!$A:$Z,4,FALSE)+VLOOKUP($A228,A:AL,4,FALSE)-50),"-",(VLOOKUP($A228,'SegEnds_NonXtal_BW#'!$A:$Z,4,FALSE)+VLOOKUP($A228,A:AL,4,FALSE)-50))</f>
        <v>55</v>
      </c>
      <c r="F228" s="3">
        <f>G228-2</f>
        <v>56</v>
      </c>
      <c r="G228" s="3">
        <v>58</v>
      </c>
      <c r="H228" s="3">
        <f>G228+1</f>
        <v>59</v>
      </c>
      <c r="I228" s="3">
        <f>H228+1</f>
        <v>60</v>
      </c>
      <c r="J228" s="3">
        <v>77</v>
      </c>
      <c r="K228" s="3">
        <f>VLOOKUP($A228,'SegEnds_NonXtal_BW#'!$A:$Z,8,FALSE)+VLOOKUP($A228,A:AL,10,FALSE)-50</f>
        <v>94</v>
      </c>
      <c r="L228" s="3">
        <f>M228-1</f>
        <v>97</v>
      </c>
      <c r="M228" s="3">
        <v>98</v>
      </c>
      <c r="N228" s="3">
        <f>M228+2</f>
        <v>100</v>
      </c>
      <c r="O228" s="3">
        <f>N228+1</f>
        <v>101</v>
      </c>
      <c r="P228" s="3">
        <v>133</v>
      </c>
      <c r="Q228" s="3">
        <f>VLOOKUP($A228,'SegEnds_NonXtal_BW#'!$A:$Z,12,FALSE)+VLOOKUP($A228,A:AL,16,FALSE)-50</f>
        <v>139</v>
      </c>
      <c r="R228" s="3">
        <f>IF(ISERROR(VLOOKUP($A228,'SegEnds_NonXtal_BW#'!$A:$Z,13,FALSE)+VLOOKUP($A228,A:AL,19,FALSE)-50),"-",VLOOKUP($A228,'SegEnds_NonXtal_BW#'!$A:$Z,13,FALSE)+VLOOKUP($A228,A:AL,19,FALSE)-50)</f>
        <v>140</v>
      </c>
      <c r="S228" s="3">
        <v>140</v>
      </c>
      <c r="T228" s="100">
        <f>IF(ISERROR(VLOOKUP($A228,'SegEnds_NonXtal_BW#'!$A:$Z,14,FALSE)+VLOOKUP($A228,A:AL,19,FALSE)-50),"-",(VLOOKUP($A228,'SegEnds_NonXtal_BW#'!$A:$Z,14,FALSE)+VLOOKUP($A228,A:AL,19,FALSE)-50))</f>
        <v>147</v>
      </c>
      <c r="U228" s="9">
        <f>IF(ISERROR(VLOOKUP($A228,'SegEnds_NonXtal_BW#'!$A:$Z,15,FALSE)+VLOOKUP($A228,A:AL,22,FALSE)-50),"-",VLOOKUP($A228,'SegEnds_NonXtal_BW#'!$A:$Z,15,FALSE)+VLOOKUP($A228,A:AL,22,FALSE)-50)</f>
        <v>148</v>
      </c>
      <c r="V228" s="3">
        <v>160</v>
      </c>
      <c r="W228" s="3">
        <f>IF(ISERROR(VLOOKUP($A228,'SegEnds_NonXtal_BW#'!$A:$Z,16,FALSE)+VLOOKUP($A228,A:AL,22,FALSE)-50),"-",(VLOOKUP($A228,'SegEnds_NonXtal_BW#'!$A:$Z,16,FALSE)+VLOOKUP($A228,A:AL,22,FALSE)-50))</f>
        <v>173</v>
      </c>
      <c r="X228" s="3">
        <f>IF(ISERROR(VLOOKUP($A228,'SegEnds_NonXtal_BW#'!$A:$Z,17,FALSE)+VLOOKUP($A228,A:AL,25,FALSE)-50),"-",(VLOOKUP($A228,'SegEnds_NonXtal_BW#'!$A:$Z,17,FALSE)+VLOOKUP($A228,A:AL,25,FALSE)-50))</f>
        <v>186</v>
      </c>
      <c r="Y228" s="3">
        <v>186</v>
      </c>
      <c r="Z228" s="3">
        <f t="shared" ref="Z228:Z233" si="161">Y228+2</f>
        <v>188</v>
      </c>
      <c r="AA228" s="3">
        <f>IF(ISERROR(VLOOKUP($A228,'SegEnds_NonXtal_BW#'!$A:$Z,19,FALSE)+VLOOKUP($A228,A:AL,28,FALSE)-50),"-",(VLOOKUP($A228,'SegEnds_NonXtal_BW#'!$A:$Z,19,FALSE)+VLOOKUP($A228,A:AL,28,FALSE)-50))</f>
        <v>199</v>
      </c>
      <c r="AB228" s="3">
        <v>214</v>
      </c>
      <c r="AC228" s="3">
        <f>IF(ISERROR((VLOOKUP($A228,'SegEnds_NonXtal_BW#'!$A:$Z,20,FALSE)+VLOOKUP($A228,A:AL,28,FALSE)-50)),"-",(VLOOKUP($A228,'SegEnds_NonXtal_BW#'!$A:$Z,20,FALSE)+VLOOKUP($A228,A:AL,28,FALSE)-50))</f>
        <v>236</v>
      </c>
      <c r="AD228" s="3">
        <f>IF(ISERROR(VLOOKUP($A228,'SegEnds_NonXtal_BW#'!$A:$Z,21,FALSE)+VLOOKUP($A228,A:AL,31,FALSE)-50),"-",(VLOOKUP($A228,'SegEnds_NonXtal_BW#'!$A:$Z,21,FALSE)+VLOOKUP($A228,A:AL,31,FALSE)-50))</f>
        <v>243</v>
      </c>
      <c r="AE228" s="3">
        <v>264</v>
      </c>
      <c r="AF228" s="3">
        <f>IF(ISERROR((VLOOKUP($A228,'SegEnds_NonXtal_BW#'!$A:$Z,22,FALSE)+VLOOKUP($A228,A:AL,31,FALSE)-50)),"-",(VLOOKUP($A228,'SegEnds_NonXtal_BW#'!$A:$Z,22,FALSE)+VLOOKUP($A228,A:AL,31,FALSE)-50))</f>
        <v>275</v>
      </c>
      <c r="AG228" s="3">
        <f>IF(ISERROR(VLOOKUP($A228,'SegEnds_NonXtal_BW#'!$A:$Z,23,FALSE)+VLOOKUP($A228,A:AL,34,FALSE)-50),"-",(VLOOKUP($A228,'SegEnds_NonXtal_BW#'!$A:$Z,23,FALSE)+VLOOKUP($A228,A:AL,34,FALSE)-50))</f>
        <v>282</v>
      </c>
      <c r="AH228" s="3">
        <v>301</v>
      </c>
      <c r="AI228" s="3">
        <f>IF(ISERROR((VLOOKUP($A228,'SegEnds_NonXtal_BW#'!$A:$Z,24,FALSE)+VLOOKUP($A228,A:AL,34,FALSE)-50)),"-",(VLOOKUP($A228,'SegEnds_NonXtal_BW#'!$A:$Z,24,FALSE)+VLOOKUP($A228,A:AL,34,FALSE)-50))</f>
        <v>307</v>
      </c>
      <c r="AJ228" s="3">
        <f>IF(ISERROR(VLOOKUP($A228,'SegEnds_NonXtal_BW#'!$A:$Z,25,FALSE)+VLOOKUP($A228,A:AL,37,FALSE)-50),"-",(VLOOKUP($A228,'SegEnds_NonXtal_BW#'!$A:$Z,25,FALSE)+VLOOKUP($A228,A:AL,37,FALSE)-50))</f>
        <v>308</v>
      </c>
      <c r="AK228" s="3">
        <v>311</v>
      </c>
      <c r="AL228" s="3">
        <f>IF(ISERROR((VLOOKUP($A228,'SegEnds_NonXtal_BW#'!$A:$Z,26,FALSE)+VLOOKUP($A228,A:AL,37,FALSE)-50)),"-",(VLOOKUP($A228,'SegEnds_NonXtal_BW#'!$A:$Z,26,FALSE)+VLOOKUP($A228,A:AL,37,FALSE)-50))</f>
        <v>327</v>
      </c>
      <c r="AM228" s="28" t="str">
        <f>VLOOKUP(A228,Classification!A:B,2,FALSE)</f>
        <v>A</v>
      </c>
      <c r="AN228" s="28" t="b">
        <f t="shared" si="156"/>
        <v>1</v>
      </c>
      <c r="AO228" s="3" t="str">
        <f>IF(ISERROR(MATCH(A228,'SegEnds_Xtal_Prot#'!B:B, 0)), "NoXtal", "Xtal")</f>
        <v>NoXtal</v>
      </c>
      <c r="AP228" s="3">
        <f t="shared" si="141"/>
        <v>1</v>
      </c>
      <c r="AQ228" s="3">
        <f t="shared" si="142"/>
        <v>1</v>
      </c>
      <c r="AR228" s="3">
        <f t="shared" si="143"/>
        <v>3</v>
      </c>
      <c r="AS228" s="3">
        <f t="shared" si="144"/>
        <v>1</v>
      </c>
      <c r="AT228" s="3">
        <f t="shared" si="145"/>
        <v>1</v>
      </c>
      <c r="AU228" s="3">
        <f t="shared" si="146"/>
        <v>1</v>
      </c>
      <c r="AV228" s="3">
        <f t="shared" si="147"/>
        <v>13</v>
      </c>
      <c r="AW228" s="3">
        <f t="shared" si="148"/>
        <v>11</v>
      </c>
      <c r="AX228" s="3">
        <f t="shared" si="149"/>
        <v>7</v>
      </c>
      <c r="AY228" s="3">
        <f t="shared" si="150"/>
        <v>7</v>
      </c>
      <c r="AZ228" s="3">
        <f t="shared" si="151"/>
        <v>1</v>
      </c>
      <c r="BA228" s="3">
        <f>IF(ISERROR(LEN(VLOOKUP(A228,Seqs!A:E,2,FALSE))-AL228),"-",LEN(VLOOKUP(A228,Seqs!A:E,2,FALSE))-AL228)</f>
        <v>32</v>
      </c>
      <c r="BB228" s="16">
        <f t="shared" si="152"/>
        <v>33</v>
      </c>
      <c r="BC228" s="9">
        <f t="shared" si="153"/>
        <v>20</v>
      </c>
      <c r="BD228" s="3">
        <f t="shared" si="154"/>
        <v>33</v>
      </c>
      <c r="BE228" s="3">
        <f t="shared" si="155"/>
        <v>50</v>
      </c>
    </row>
    <row r="229" spans="1:58" s="3" customFormat="1" x14ac:dyDescent="0.2">
      <c r="A229" s="3" t="s">
        <v>365</v>
      </c>
      <c r="B229" s="3" t="str">
        <f>LOWER(VLOOKUP(A229,Xtal_Templ!A:B,2,FALSE))</f>
        <v>pe2r4_human</v>
      </c>
      <c r="C229" s="3">
        <f>VLOOKUP($A229,'SegEnds_NonXtal_BW#'!$A:$Z,3,FALSE)+D229-50</f>
        <v>14</v>
      </c>
      <c r="D229" s="3">
        <v>31</v>
      </c>
      <c r="E229" s="3">
        <f>IF(ISERROR(VLOOKUP($A229,'SegEnds_NonXtal_BW#'!$A:$Z,4,FALSE)+VLOOKUP($A229,A:AL,4,FALSE)-50),"-",(VLOOKUP($A229,'SegEnds_NonXtal_BW#'!$A:$Z,4,FALSE)+VLOOKUP($A229,A:AL,4,FALSE)-50))</f>
        <v>39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 t="str">
        <f>IF(ISERROR(VLOOKUP($A229,'SegEnds_NonXtal_BW#'!$A:$Z,9,FALSE)+VLOOKUP($A229,A:AL,13,FALSE)-50),"-",(VLOOKUP($A229,'SegEnds_NonXtal_BW#'!$A:$Z,9,FALSE)+VLOOKUP($A229,A:AL,13,FALSE)-50))</f>
        <v>-</v>
      </c>
      <c r="M229" s="3" t="s">
        <v>23</v>
      </c>
      <c r="N229" s="3" t="str">
        <f>IF(ISERROR(VLOOKUP($A229,'SegEnds_NonXtal_BW#'!$A:$Z,10,FALSE)+VLOOKUP($A229,A:AL,13,FALSE)-50),"-",(VLOOKUP($A229,'SegEnds_NonXtal_BW#'!$A:$Z,10,FALSE)+VLOOKUP($A229,A:AL,13,FALSE)-50))</f>
        <v>-</v>
      </c>
      <c r="O229" s="3">
        <f>VLOOKUP($A229,'SegEnds_NonXtal_BW#'!$A:$Z,11,FALSE)+VLOOKUP($A229,A:AL,16,FALSE)-50</f>
        <v>85</v>
      </c>
      <c r="P229" s="3">
        <v>117</v>
      </c>
      <c r="Q229" s="3">
        <f>VLOOKUP($A229,'SegEnds_NonXtal_BW#'!$A:$Z,12,FALSE)+VLOOKUP($A229,A:AL,16,FALSE)-50</f>
        <v>123</v>
      </c>
      <c r="R229" s="3">
        <f>IF(ISERROR(VLOOKUP($A229,'SegEnds_NonXtal_BW#'!$A:$Z,13,FALSE)+VLOOKUP($A229,A:AL,19,FALSE)-50),"-",VLOOKUP($A229,'SegEnds_NonXtal_BW#'!$A:$Z,13,FALSE)+VLOOKUP($A229,A:AL,19,FALSE)-50)</f>
        <v>124</v>
      </c>
      <c r="S229" s="3">
        <v>124</v>
      </c>
      <c r="T229" s="100">
        <f>IF(ISERROR(VLOOKUP($A229,'SegEnds_NonXtal_BW#'!$A:$Z,14,FALSE)+VLOOKUP($A229,A:AL,19,FALSE)-50),"-",(VLOOKUP($A229,'SegEnds_NonXtal_BW#'!$A:$Z,14,FALSE)+VLOOKUP($A229,A:AL,19,FALSE)-50))</f>
        <v>131</v>
      </c>
      <c r="U229" s="9">
        <f>IF(ISERROR(VLOOKUP($A229,'SegEnds_NonXtal_BW#'!$A:$Z,15,FALSE)+VLOOKUP($A229,A:AL,22,FALSE)-50),"-",VLOOKUP($A229,'SegEnds_NonXtal_BW#'!$A:$Z,15,FALSE)+VLOOKUP($A229,A:AL,22,FALSE)-50)</f>
        <v>132</v>
      </c>
      <c r="V229" s="3">
        <v>144</v>
      </c>
      <c r="W229" s="3">
        <f>IF(ISERROR(VLOOKUP($A229,'SegEnds_NonXtal_BW#'!$A:$Z,16,FALSE)+VLOOKUP($A229,A:AL,22,FALSE)-50),"-",(VLOOKUP($A229,'SegEnds_NonXtal_BW#'!$A:$Z,16,FALSE)+VLOOKUP($A229,A:AL,22,FALSE)-50))</f>
        <v>157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61"/>
        <v>172</v>
      </c>
      <c r="AA229" s="3">
        <f>IF(ISERROR(VLOOKUP($A229,'SegEnds_NonXtal_BW#'!$A:$Z,19,FALSE)+VLOOKUP($A229,A:AL,28,FALSE)-50),"-",(VLOOKUP($A229,'SegEnds_NonXtal_BW#'!$A:$Z,19,FALSE)+VLOOKUP($A229,A:AL,28,FALSE)-50))</f>
        <v>180</v>
      </c>
      <c r="AB229" s="3">
        <v>197</v>
      </c>
      <c r="AC229" s="3">
        <f>IF(ISERROR((VLOOKUP($A229,'SegEnds_NonXtal_BW#'!$A:$Z,20,FALSE)+VLOOKUP($A229,A:AL,28,FALSE)-50)),"-",(VLOOKUP($A229,'SegEnds_NonXtal_BW#'!$A:$Z,20,FALSE)+VLOOKUP($A229,A:AL,28,FALSE)-50))</f>
        <v>220</v>
      </c>
      <c r="AD229" s="3">
        <f>IF(ISERROR(VLOOKUP($A229,'SegEnds_NonXtal_BW#'!$A:$Z,21,FALSE)+VLOOKUP($A229,A:AL,31,FALSE)-50),"-",(VLOOKUP($A229,'SegEnds_NonXtal_BW#'!$A:$Z,21,FALSE)+VLOOKUP($A229,A:AL,31,FALSE)-50))</f>
        <v>226</v>
      </c>
      <c r="AE229" s="3">
        <v>254</v>
      </c>
      <c r="AF229" s="3">
        <f>IF(ISERROR((VLOOKUP($A229,'SegEnds_NonXtal_BW#'!$A:$Z,22,FALSE)+VLOOKUP($A229,A:AL,31,FALSE)-50)),"-",(VLOOKUP($A229,'SegEnds_NonXtal_BW#'!$A:$Z,22,FALSE)+VLOOKUP($A229,A:AL,31,FALSE)-50))</f>
        <v>265</v>
      </c>
      <c r="AG229" s="3">
        <f>IF(ISERROR(VLOOKUP($A229,'SegEnds_NonXtal_BW#'!$A:$Z,23,FALSE)+VLOOKUP($A229,A:AL,34,FALSE)-50),"-",(VLOOKUP($A229,'SegEnds_NonXtal_BW#'!$A:$Z,23,FALSE)+VLOOKUP($A229,A:AL,34,FALSE)-50))</f>
        <v>270</v>
      </c>
      <c r="AH229" s="3">
        <v>289</v>
      </c>
      <c r="AI229" s="3">
        <f>IF(ISERROR((VLOOKUP($A229,'SegEnds_NonXtal_BW#'!$A:$Z,24,FALSE)+VLOOKUP($A229,A:AL,34,FALSE)-50)),"-",(VLOOKUP($A229,'SegEnds_NonXtal_BW#'!$A:$Z,24,FALSE)+VLOOKUP($A229,A:AL,34,FALSE)-50))</f>
        <v>295</v>
      </c>
      <c r="AJ229" s="3">
        <f>IF(ISERROR(VLOOKUP($A229,'SegEnds_NonXtal_BW#'!$A:$Z,25,FALSE)+VLOOKUP($A229,A:AL,37,FALSE)-50),"-",(VLOOKUP($A229,'SegEnds_NonXtal_BW#'!$A:$Z,25,FALSE)+VLOOKUP($A229,A:AL,37,FALSE)-50))</f>
        <v>296</v>
      </c>
      <c r="AK229" s="3">
        <v>299</v>
      </c>
      <c r="AL229" s="3">
        <f>IF(ISERROR((VLOOKUP($A229,'SegEnds_NonXtal_BW#'!$A:$Z,26,FALSE)+VLOOKUP($A229,A:AL,37,FALSE)-50)),"-",(VLOOKUP($A229,'SegEnds_NonXtal_BW#'!$A:$Z,26,FALSE)+VLOOKUP($A229,A:AL,37,FALSE)-50))</f>
        <v>309</v>
      </c>
      <c r="AM229" s="28" t="str">
        <f>VLOOKUP(A229,Classification!A:B,2,FALSE)</f>
        <v>A</v>
      </c>
      <c r="AN229" s="28" t="b">
        <f t="shared" si="156"/>
        <v>1</v>
      </c>
      <c r="AO229" s="3" t="str">
        <f>IF(ISERROR(MATCH(A229,'SegEnds_Xtal_Prot#'!B:B, 0)), "NoXtal", "Xtal")</f>
        <v>NoXtal</v>
      </c>
      <c r="AP229" s="3" t="str">
        <f t="shared" si="141"/>
        <v>-</v>
      </c>
      <c r="AQ229" s="3" t="str">
        <f t="shared" si="142"/>
        <v>-</v>
      </c>
      <c r="AR229" s="3" t="str">
        <f t="shared" si="143"/>
        <v>-</v>
      </c>
      <c r="AS229" s="3" t="str">
        <f t="shared" si="144"/>
        <v>-</v>
      </c>
      <c r="AT229" s="3">
        <f t="shared" si="145"/>
        <v>1</v>
      </c>
      <c r="AU229" s="3">
        <f t="shared" si="146"/>
        <v>1</v>
      </c>
      <c r="AV229" s="3">
        <f t="shared" si="147"/>
        <v>13</v>
      </c>
      <c r="AW229" s="3">
        <f t="shared" si="148"/>
        <v>8</v>
      </c>
      <c r="AX229" s="3">
        <f t="shared" si="149"/>
        <v>6</v>
      </c>
      <c r="AY229" s="3">
        <f t="shared" si="150"/>
        <v>5</v>
      </c>
      <c r="AZ229" s="3">
        <f t="shared" si="151"/>
        <v>1</v>
      </c>
      <c r="BA229" s="3">
        <f>IF(ISERROR(LEN(VLOOKUP(A229,Seqs!A:E,2,FALSE))-AL229),"-",LEN(VLOOKUP(A229,Seqs!A:E,2,FALSE))-AL229)</f>
        <v>77</v>
      </c>
      <c r="BB229" s="16">
        <f t="shared" si="152"/>
        <v>29</v>
      </c>
      <c r="BC229" s="9">
        <f t="shared" si="153"/>
        <v>20</v>
      </c>
      <c r="BD229" s="3">
        <f t="shared" si="154"/>
        <v>29</v>
      </c>
      <c r="BE229" s="3">
        <f t="shared" si="155"/>
        <v>57</v>
      </c>
    </row>
    <row r="230" spans="1:58" s="3" customFormat="1" x14ac:dyDescent="0.2">
      <c r="A230" s="3" t="s">
        <v>369</v>
      </c>
      <c r="B230" s="3" t="str">
        <f>LOWER(VLOOKUP(A230,Xtal_Templ!A:B,2,FALSE))</f>
        <v>ptafr_human</v>
      </c>
      <c r="C230" s="3">
        <f>VLOOKUP($A230,'SegEnds_NonXtal_BW#'!$A:$Z,3,FALSE)+D230-50</f>
        <v>9</v>
      </c>
      <c r="D230" s="3">
        <v>32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47</v>
      </c>
      <c r="J230" s="3">
        <v>60</v>
      </c>
      <c r="K230" s="3">
        <f>VLOOKUP($A230,'SegEnds_NonXtal_BW#'!$A:$Z,8,FALSE)+VLOOKUP($A230,A:AL,10,FALSE)-50</f>
        <v>77</v>
      </c>
      <c r="L230" s="3">
        <f>M230-1</f>
        <v>79</v>
      </c>
      <c r="M230" s="3">
        <v>80</v>
      </c>
      <c r="N230" s="3">
        <f>M230+2</f>
        <v>82</v>
      </c>
      <c r="O230" s="3">
        <f t="shared" ref="O230:O253" si="162">N230+1</f>
        <v>83</v>
      </c>
      <c r="P230" s="3">
        <v>112</v>
      </c>
      <c r="Q230" s="3">
        <f>VLOOKUP($A230,'SegEnds_NonXtal_BW#'!$A:$Z,12,FALSE)+VLOOKUP($A230,A:AL,16,FALSE)-50</f>
        <v>118</v>
      </c>
      <c r="R230" s="3">
        <f>IF(ISERROR(VLOOKUP($A230,'SegEnds_NonXtal_BW#'!$A:$Z,13,FALSE)+VLOOKUP($A230,A:AL,19,FALSE)-50),"-",VLOOKUP($A230,'SegEnds_NonXtal_BW#'!$A:$Z,13,FALSE)+VLOOKUP($A230,A:AL,19,FALSE)-50)</f>
        <v>119</v>
      </c>
      <c r="S230" s="3">
        <v>119</v>
      </c>
      <c r="T230" s="100">
        <f>IF(ISERROR(VLOOKUP($A230,'SegEnds_NonXtal_BW#'!$A:$Z,14,FALSE)+VLOOKUP($A230,A:AL,19,FALSE)-50),"-",(VLOOKUP($A230,'SegEnds_NonXtal_BW#'!$A:$Z,14,FALSE)+VLOOKUP($A230,A:AL,19,FALSE)-50))</f>
        <v>126</v>
      </c>
      <c r="U230" s="9">
        <f>IF(ISERROR(VLOOKUP($A230,'SegEnds_NonXtal_BW#'!$A:$Z,15,FALSE)+VLOOKUP($A230,A:AL,22,FALSE)-50),"-",VLOOKUP($A230,'SegEnds_NonXtal_BW#'!$A:$Z,15,FALSE)+VLOOKUP($A230,A:AL,22,FALSE)-50)</f>
        <v>127</v>
      </c>
      <c r="V230" s="3">
        <v>139</v>
      </c>
      <c r="W230" s="3">
        <f>IF(ISERROR(VLOOKUP($A230,'SegEnds_NonXtal_BW#'!$A:$Z,16,FALSE)+VLOOKUP($A230,A:AL,22,FALSE)-50),"-",(VLOOKUP($A230,'SegEnds_NonXtal_BW#'!$A:$Z,16,FALSE)+VLOOKUP($A230,A:AL,22,FALSE)-50))</f>
        <v>152</v>
      </c>
      <c r="X230" s="3">
        <f>IF(ISERROR(VLOOKUP($A230,'SegEnds_NonXtal_BW#'!$A:$Z,17,FALSE)+VLOOKUP($A230,A:AL,25,FALSE)-50),"-",(VLOOKUP($A230,'SegEnds_NonXtal_BW#'!$A:$Z,17,FALSE)+VLOOKUP($A230,A:AL,25,FALSE)-50))</f>
        <v>170</v>
      </c>
      <c r="Y230" s="3">
        <v>170</v>
      </c>
      <c r="Z230" s="3">
        <f t="shared" si="161"/>
        <v>172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195</v>
      </c>
      <c r="AC230" s="3">
        <f>IF(ISERROR((VLOOKUP($A230,'SegEnds_NonXtal_BW#'!$A:$Z,20,FALSE)+VLOOKUP($A230,A:AL,28,FALSE)-50)),"-",(VLOOKUP($A230,'SegEnds_NonXtal_BW#'!$A:$Z,20,FALSE)+VLOOKUP($A230,A:AL,28,FALSE)-50))</f>
        <v>212</v>
      </c>
      <c r="AD230" s="3">
        <f>IF(ISERROR(VLOOKUP($A230,'SegEnds_NonXtal_BW#'!$A:$Z,21,FALSE)+VLOOKUP($A230,A:AL,31,FALSE)-50),"-",(VLOOKUP($A230,'SegEnds_NonXtal_BW#'!$A:$Z,21,FALSE)+VLOOKUP($A230,A:AL,31,FALSE)-50))</f>
        <v>217</v>
      </c>
      <c r="AE230" s="3">
        <v>241</v>
      </c>
      <c r="AF230" s="3">
        <f>IF(ISERROR((VLOOKUP($A230,'SegEnds_NonXtal_BW#'!$A:$Z,22,FALSE)+VLOOKUP($A230,A:AL,31,FALSE)-50)),"-",(VLOOKUP($A230,'SegEnds_NonXtal_BW#'!$A:$Z,22,FALSE)+VLOOKUP($A230,A:AL,31,FALSE)-50))</f>
        <v>255</v>
      </c>
      <c r="AG230" s="3">
        <f>IF(ISERROR(VLOOKUP($A230,'SegEnds_NonXtal_BW#'!$A:$Z,23,FALSE)+VLOOKUP($A230,A:AL,34,FALSE)-50),"-",(VLOOKUP($A230,'SegEnds_NonXtal_BW#'!$A:$Z,23,FALSE)+VLOOKUP($A230,A:AL,34,FALSE)-50))</f>
        <v>261</v>
      </c>
      <c r="AH230" s="3">
        <v>287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297</v>
      </c>
      <c r="AL230" s="3">
        <f>IF(ISERROR((VLOOKUP($A230,'SegEnds_NonXtal_BW#'!$A:$Z,26,FALSE)+VLOOKUP($A230,A:AL,37,FALSE)-50)),"-",(VLOOKUP($A230,'SegEnds_NonXtal_BW#'!$A:$Z,26,FALSE)+VLOOKUP($A230,A:AL,37,FALSE)-50))</f>
        <v>310</v>
      </c>
      <c r="AM230" s="28" t="str">
        <f>VLOOKUP(A230,Classification!A:B,2,FALSE)</f>
        <v>A</v>
      </c>
      <c r="AN230" s="28" t="b">
        <f t="shared" si="156"/>
        <v>1</v>
      </c>
      <c r="AO230" s="3" t="str">
        <f>IF(ISERROR(MATCH(A230,'SegEnds_Xtal_Prot#'!B:B, 0)), "NoXtal", "Xtal")</f>
        <v>NoXtal</v>
      </c>
      <c r="AP230" s="3" t="str">
        <f t="shared" si="141"/>
        <v>-</v>
      </c>
      <c r="AQ230" s="3" t="str">
        <f t="shared" si="142"/>
        <v>-</v>
      </c>
      <c r="AR230" s="3">
        <f t="shared" si="143"/>
        <v>2</v>
      </c>
      <c r="AS230" s="3">
        <f t="shared" si="144"/>
        <v>1</v>
      </c>
      <c r="AT230" s="3">
        <f t="shared" si="145"/>
        <v>1</v>
      </c>
      <c r="AU230" s="3">
        <f t="shared" si="146"/>
        <v>1</v>
      </c>
      <c r="AV230" s="3">
        <f t="shared" si="147"/>
        <v>18</v>
      </c>
      <c r="AW230" s="3">
        <f t="shared" si="148"/>
        <v>6</v>
      </c>
      <c r="AX230" s="3">
        <f t="shared" si="149"/>
        <v>5</v>
      </c>
      <c r="AY230" s="3">
        <f t="shared" si="150"/>
        <v>6</v>
      </c>
      <c r="AZ230" s="3">
        <f t="shared" si="151"/>
        <v>1</v>
      </c>
      <c r="BA230" s="3">
        <f>IF(ISERROR(LEN(VLOOKUP(A230,Seqs!A:E,2,FALSE))-AL230),"-",LEN(VLOOKUP(A230,Seqs!A:E,2,FALSE))-AL230)</f>
        <v>27</v>
      </c>
      <c r="BB230" s="16">
        <f t="shared" si="152"/>
        <v>28</v>
      </c>
      <c r="BC230" s="9">
        <f t="shared" si="153"/>
        <v>20</v>
      </c>
      <c r="BD230" s="3">
        <f t="shared" si="154"/>
        <v>28</v>
      </c>
      <c r="BE230" s="3">
        <f t="shared" si="155"/>
        <v>46</v>
      </c>
    </row>
    <row r="231" spans="1:58" s="3" customFormat="1" x14ac:dyDescent="0.2">
      <c r="A231" s="3" t="s">
        <v>370</v>
      </c>
      <c r="B231" s="3" t="str">
        <f>LOWER(VLOOKUP(A231,Xtal_Templ!A:B,2,FALSE))</f>
        <v>ptafr_human</v>
      </c>
      <c r="C231" s="3">
        <f>VLOOKUP($A231,'SegEnds_NonXtal_BW#'!$A:$Z,3,FALSE)+D231-50</f>
        <v>10</v>
      </c>
      <c r="D231" s="3">
        <v>33</v>
      </c>
      <c r="E231" s="3">
        <f>IF(ISERROR(VLOOKUP($A231,'SegEnds_NonXtal_BW#'!$A:$Z,4,FALSE)+VLOOKUP($A231,A:AL,4,FALSE)-50),"-",(VLOOKUP($A231,'SegEnds_NonXtal_BW#'!$A:$Z,4,FALSE)+VLOOKUP($A231,A:AL,4,FALSE)-50))</f>
        <v>44</v>
      </c>
      <c r="F231" s="3" t="str">
        <f>IF(ISERROR(VLOOKUP($A231,'SegEnds_NonXtal_BW#'!$A:$Z,5,FALSE)+VLOOKUP($A231,A:AL,7,FALSE)-50),"-",(VLOOKUP($A231,'SegEnds_NonXtal_BW#'!$A:$Z,5,FALSE)+VLOOKUP($A231,A:AL,7,FALSE)-50))</f>
        <v>-</v>
      </c>
      <c r="G231" s="3" t="s">
        <v>23</v>
      </c>
      <c r="H231" s="3" t="str">
        <f>IF(ISERROR(VLOOKUP($A231,'SegEnds_NonXtal_BW#'!$A:$Z,6,FALSE)+VLOOKUP($A231,A:AL,7,FALSE)-50),"-",(VLOOKUP($A231,'SegEnds_NonXtal_BW#'!$A:$Z,6,FALSE)+VLOOKUP($A231,A:AL,7,FALSE)-50))</f>
        <v>-</v>
      </c>
      <c r="I231" s="3">
        <f>VLOOKUP($A231,'SegEnds_NonXtal_BW#'!$A:$Z,7,FALSE)+J231-50</f>
        <v>49</v>
      </c>
      <c r="J231" s="3">
        <v>63</v>
      </c>
      <c r="K231" s="3">
        <f>VLOOKUP($A231,'SegEnds_NonXtal_BW#'!$A:$Z,8,FALSE)+VLOOKUP($A231,A:AL,10,FALSE)-50</f>
        <v>80</v>
      </c>
      <c r="L231" s="3">
        <f>M231-1</f>
        <v>82</v>
      </c>
      <c r="M231" s="3">
        <v>83</v>
      </c>
      <c r="N231" s="3">
        <f>M231+2</f>
        <v>85</v>
      </c>
      <c r="O231" s="3">
        <f t="shared" si="162"/>
        <v>86</v>
      </c>
      <c r="P231" s="3">
        <v>115</v>
      </c>
      <c r="Q231" s="3">
        <f>VLOOKUP($A231,'SegEnds_NonXtal_BW#'!$A:$Z,12,FALSE)+VLOOKUP($A231,A:AL,16,FALSE)-50</f>
        <v>121</v>
      </c>
      <c r="R231" s="3">
        <f>IF(ISERROR(VLOOKUP($A231,'SegEnds_NonXtal_BW#'!$A:$Z,13,FALSE)+VLOOKUP($A231,A:AL,19,FALSE)-50),"-",VLOOKUP($A231,'SegEnds_NonXtal_BW#'!$A:$Z,13,FALSE)+VLOOKUP($A231,A:AL,19,FALSE)-50)</f>
        <v>122</v>
      </c>
      <c r="S231" s="3">
        <v>122</v>
      </c>
      <c r="T231" s="100">
        <f>IF(ISERROR(VLOOKUP($A231,'SegEnds_NonXtal_BW#'!$A:$Z,14,FALSE)+VLOOKUP($A231,A:AL,19,FALSE)-50),"-",(VLOOKUP($A231,'SegEnds_NonXtal_BW#'!$A:$Z,14,FALSE)+VLOOKUP($A231,A:AL,19,FALSE)-50))</f>
        <v>129</v>
      </c>
      <c r="U231" s="9">
        <f>IF(ISERROR(VLOOKUP($A231,'SegEnds_NonXtal_BW#'!$A:$Z,15,FALSE)+VLOOKUP($A231,A:AL,22,FALSE)-50),"-",VLOOKUP($A231,'SegEnds_NonXtal_BW#'!$A:$Z,15,FALSE)+VLOOKUP($A231,A:AL,22,FALSE)-50)</f>
        <v>130</v>
      </c>
      <c r="V231" s="3">
        <v>142</v>
      </c>
      <c r="W231" s="3">
        <f>IF(ISERROR(VLOOKUP($A231,'SegEnds_NonXtal_BW#'!$A:$Z,16,FALSE)+VLOOKUP($A231,A:AL,22,FALSE)-50),"-",(VLOOKUP($A231,'SegEnds_NonXtal_BW#'!$A:$Z,16,FALSE)+VLOOKUP($A231,A:AL,22,FALSE)-50))</f>
        <v>155</v>
      </c>
      <c r="X231" s="3">
        <f>IF(ISERROR(VLOOKUP($A231,'SegEnds_NonXtal_BW#'!$A:$Z,17,FALSE)+VLOOKUP($A231,A:AL,25,FALSE)-50),"-",(VLOOKUP($A231,'SegEnds_NonXtal_BW#'!$A:$Z,17,FALSE)+VLOOKUP($A231,A:AL,25,FALSE)-50))</f>
        <v>173</v>
      </c>
      <c r="Y231" s="3">
        <v>173</v>
      </c>
      <c r="Z231" s="3">
        <f t="shared" si="161"/>
        <v>175</v>
      </c>
      <c r="AA231" s="3">
        <f>IF(ISERROR(VLOOKUP($A231,'SegEnds_NonXtal_BW#'!$A:$Z,19,FALSE)+VLOOKUP($A231,A:AL,28,FALSE)-50),"-",(VLOOKUP($A231,'SegEnds_NonXtal_BW#'!$A:$Z,19,FALSE)+VLOOKUP($A231,A:AL,28,FALSE)-50))</f>
        <v>181</v>
      </c>
      <c r="AB231" s="3">
        <v>198</v>
      </c>
      <c r="AC231" s="3">
        <f>IF(ISERROR((VLOOKUP($A231,'SegEnds_NonXtal_BW#'!$A:$Z,20,FALSE)+VLOOKUP($A231,A:AL,28,FALSE)-50)),"-",(VLOOKUP($A231,'SegEnds_NonXtal_BW#'!$A:$Z,20,FALSE)+VLOOKUP($A231,A:AL,28,FALSE)-50))</f>
        <v>216</v>
      </c>
      <c r="AD231" s="3">
        <f>IF(ISERROR(VLOOKUP($A231,'SegEnds_NonXtal_BW#'!$A:$Z,21,FALSE)+VLOOKUP($A231,A:AL,31,FALSE)-50),"-",(VLOOKUP($A231,'SegEnds_NonXtal_BW#'!$A:$Z,21,FALSE)+VLOOKUP($A231,A:AL,31,FALSE)-50))</f>
        <v>221</v>
      </c>
      <c r="AE231" s="3">
        <v>247</v>
      </c>
      <c r="AF231" s="3">
        <f>IF(ISERROR((VLOOKUP($A231,'SegEnds_NonXtal_BW#'!$A:$Z,22,FALSE)+VLOOKUP($A231,A:AL,31,FALSE)-50)),"-",(VLOOKUP($A231,'SegEnds_NonXtal_BW#'!$A:$Z,22,FALSE)+VLOOKUP($A231,A:AL,31,FALSE)-50))</f>
        <v>261</v>
      </c>
      <c r="AG231" s="3">
        <f>IF(ISERROR(VLOOKUP($A231,'SegEnds_NonXtal_BW#'!$A:$Z,23,FALSE)+VLOOKUP($A231,A:AL,34,FALSE)-50),"-",(VLOOKUP($A231,'SegEnds_NonXtal_BW#'!$A:$Z,23,FALSE)+VLOOKUP($A231,A:AL,34,FALSE)-50))</f>
        <v>264</v>
      </c>
      <c r="AH231" s="3">
        <v>290</v>
      </c>
      <c r="AI231" s="3">
        <f>IF(ISERROR((VLOOKUP($A231,'SegEnds_NonXtal_BW#'!$A:$Z,24,FALSE)+VLOOKUP($A231,A:AL,34,FALSE)-50)),"-",(VLOOKUP($A231,'SegEnds_NonXtal_BW#'!$A:$Z,24,FALSE)+VLOOKUP($A231,A:AL,34,FALSE)-50))</f>
        <v>299</v>
      </c>
      <c r="AJ231" s="3">
        <f>IF(ISERROR(VLOOKUP($A231,'SegEnds_NonXtal_BW#'!$A:$Z,25,FALSE)+VLOOKUP($A231,A:AL,37,FALSE)-50),"-",(VLOOKUP($A231,'SegEnds_NonXtal_BW#'!$A:$Z,25,FALSE)+VLOOKUP($A231,A:AL,37,FALSE)-50))</f>
        <v>300</v>
      </c>
      <c r="AK231" s="3">
        <v>300</v>
      </c>
      <c r="AL231" s="3">
        <f>IF(ISERROR((VLOOKUP($A231,'SegEnds_NonXtal_BW#'!$A:$Z,26,FALSE)+VLOOKUP($A231,A:AL,37,FALSE)-50)),"-",(VLOOKUP($A231,'SegEnds_NonXtal_BW#'!$A:$Z,26,FALSE)+VLOOKUP($A231,A:AL,37,FALSE)-50))</f>
        <v>313</v>
      </c>
      <c r="AM231" s="28" t="str">
        <f>VLOOKUP(A231,Classification!A:B,2,FALSE)</f>
        <v>A</v>
      </c>
      <c r="AN231" s="28" t="b">
        <f t="shared" si="156"/>
        <v>1</v>
      </c>
      <c r="AO231" s="3" t="str">
        <f>IF(ISERROR(MATCH(A231,'SegEnds_Xtal_Prot#'!B:B, 0)), "NoXtal", "Xtal")</f>
        <v>Xtal</v>
      </c>
      <c r="AP231" s="3" t="str">
        <f t="shared" si="141"/>
        <v>-</v>
      </c>
      <c r="AQ231" s="3" t="str">
        <f t="shared" si="142"/>
        <v>-</v>
      </c>
      <c r="AR231" s="3">
        <f t="shared" si="143"/>
        <v>2</v>
      </c>
      <c r="AS231" s="3">
        <f t="shared" si="144"/>
        <v>1</v>
      </c>
      <c r="AT231" s="3">
        <f t="shared" si="145"/>
        <v>1</v>
      </c>
      <c r="AU231" s="3">
        <f t="shared" si="146"/>
        <v>1</v>
      </c>
      <c r="AV231" s="3">
        <f t="shared" si="147"/>
        <v>18</v>
      </c>
      <c r="AW231" s="3">
        <f t="shared" si="148"/>
        <v>6</v>
      </c>
      <c r="AX231" s="3">
        <f t="shared" si="149"/>
        <v>5</v>
      </c>
      <c r="AY231" s="3">
        <f t="shared" si="150"/>
        <v>3</v>
      </c>
      <c r="AZ231" s="3">
        <f t="shared" si="151"/>
        <v>1</v>
      </c>
      <c r="BA231" s="3">
        <f>IF(ISERROR(LEN(VLOOKUP(A231,Seqs!A:E,2,FALSE))-AL231),"-",LEN(VLOOKUP(A231,Seqs!A:E,2,FALSE))-AL231)</f>
        <v>29</v>
      </c>
      <c r="BB231" s="16">
        <f t="shared" si="152"/>
        <v>30</v>
      </c>
      <c r="BC231" s="9">
        <f t="shared" si="153"/>
        <v>20</v>
      </c>
      <c r="BD231" s="3">
        <f t="shared" si="154"/>
        <v>30</v>
      </c>
      <c r="BE231" s="3">
        <f t="shared" si="155"/>
        <v>49</v>
      </c>
    </row>
    <row r="232" spans="1:58" s="3" customFormat="1" x14ac:dyDescent="0.2">
      <c r="A232" s="3" t="s">
        <v>371</v>
      </c>
      <c r="B232" s="3" t="str">
        <f>LOWER(VLOOKUP(A232,Xtal_Templ!A:B,2,FALSE))</f>
        <v>ox2r_human</v>
      </c>
      <c r="C232" s="3">
        <f>VLOOKUP($A232,'SegEnds_NonXtal_BW#'!$A:$Z,3,FALSE)+D232-50</f>
        <v>44</v>
      </c>
      <c r="D232" s="3">
        <v>63</v>
      </c>
      <c r="E232" s="3">
        <f>IF(ISERROR(VLOOKUP($A232,'SegEnds_NonXtal_BW#'!$A:$Z,4,FALSE)+VLOOKUP($A232,A:AL,4,FALSE)-50),"-",(VLOOKUP($A232,'SegEnds_NonXtal_BW#'!$A:$Z,4,FALSE)+VLOOKUP($A232,A:AL,4,FALSE)-50))</f>
        <v>73</v>
      </c>
      <c r="F232" s="3">
        <f t="shared" ref="F232:F239" si="163">G232-2</f>
        <v>74</v>
      </c>
      <c r="G232" s="3">
        <v>76</v>
      </c>
      <c r="H232" s="3">
        <f t="shared" ref="H232:I239" si="164">G232+1</f>
        <v>77</v>
      </c>
      <c r="I232" s="3">
        <f t="shared" si="164"/>
        <v>78</v>
      </c>
      <c r="J232" s="3">
        <v>91</v>
      </c>
      <c r="K232" s="3">
        <f>VLOOKUP($A232,'SegEnds_NonXtal_BW#'!$A:$Z,8,FALSE)+VLOOKUP($A232,A:AL,10,FALSE)-50</f>
        <v>109</v>
      </c>
      <c r="L232" s="3">
        <f>M232-1</f>
        <v>110</v>
      </c>
      <c r="M232" s="3">
        <v>111</v>
      </c>
      <c r="N232" s="3">
        <f>M232+2</f>
        <v>113</v>
      </c>
      <c r="O232" s="3">
        <f t="shared" si="162"/>
        <v>114</v>
      </c>
      <c r="P232" s="3">
        <v>143</v>
      </c>
      <c r="Q232" s="3">
        <f>VLOOKUP($A232,'SegEnds_NonXtal_BW#'!$A:$Z,12,FALSE)+VLOOKUP($A232,A:AL,16,FALSE)-50</f>
        <v>149</v>
      </c>
      <c r="R232" s="3">
        <f>IF(ISERROR(VLOOKUP($A232,'SegEnds_NonXtal_BW#'!$A:$Z,13,FALSE)+VLOOKUP($A232,A:AL,19,FALSE)-50),"-",VLOOKUP($A232,'SegEnds_NonXtal_BW#'!$A:$Z,13,FALSE)+VLOOKUP($A232,A:AL,19,FALSE)-50)</f>
        <v>150</v>
      </c>
      <c r="S232" s="3">
        <v>150</v>
      </c>
      <c r="T232" s="100">
        <f>IF(ISERROR(VLOOKUP($A232,'SegEnds_NonXtal_BW#'!$A:$Z,14,FALSE)+VLOOKUP($A232,A:AL,19,FALSE)-50),"-",(VLOOKUP($A232,'SegEnds_NonXtal_BW#'!$A:$Z,14,FALSE)+VLOOKUP($A232,A:AL,19,FALSE)-50))</f>
        <v>157</v>
      </c>
      <c r="U232" s="9">
        <f>IF(ISERROR(VLOOKUP($A232,'SegEnds_NonXtal_BW#'!$A:$Z,15,FALSE)+VLOOKUP($A232,A:AL,22,FALSE)-50),"-",VLOOKUP($A232,'SegEnds_NonXtal_BW#'!$A:$Z,15,FALSE)+VLOOKUP($A232,A:AL,22,FALSE)-50)</f>
        <v>158</v>
      </c>
      <c r="V232" s="3">
        <v>170</v>
      </c>
      <c r="W232" s="3">
        <f>IF(ISERROR(VLOOKUP($A232,'SegEnds_NonXtal_BW#'!$A:$Z,16,FALSE)+VLOOKUP($A232,A:AL,22,FALSE)-50),"-",(VLOOKUP($A232,'SegEnds_NonXtal_BW#'!$A:$Z,16,FALSE)+VLOOKUP($A232,A:AL,22,FALSE)-50))</f>
        <v>184</v>
      </c>
      <c r="X232" s="3">
        <f>IF(ISERROR(VLOOKUP($A232,'SegEnds_NonXtal_BW#'!$A:$Z,17,FALSE)+VLOOKUP($A232,A:AL,25,FALSE)-50),"-",(VLOOKUP($A232,'SegEnds_NonXtal_BW#'!$A:$Z,17,FALSE)+VLOOKUP($A232,A:AL,25,FALSE)-50))</f>
        <v>201</v>
      </c>
      <c r="Y232" s="3">
        <v>201</v>
      </c>
      <c r="Z232" s="3">
        <f t="shared" si="161"/>
        <v>203</v>
      </c>
      <c r="AA232" s="3">
        <f>IF(ISERROR(VLOOKUP($A232,'SegEnds_NonXtal_BW#'!$A:$Z,19,FALSE)+VLOOKUP($A232,A:AL,28,FALSE)-50),"-",(VLOOKUP($A232,'SegEnds_NonXtal_BW#'!$A:$Z,19,FALSE)+VLOOKUP($A232,A:AL,28,FALSE)-50))</f>
        <v>209</v>
      </c>
      <c r="AB232" s="3">
        <v>226</v>
      </c>
      <c r="AC232" s="3">
        <f>IF(ISERROR((VLOOKUP($A232,'SegEnds_NonXtal_BW#'!$A:$Z,20,FALSE)+VLOOKUP($A232,A:AL,28,FALSE)-50)),"-",(VLOOKUP($A232,'SegEnds_NonXtal_BW#'!$A:$Z,20,FALSE)+VLOOKUP($A232,A:AL,28,FALSE)-50))</f>
        <v>257</v>
      </c>
      <c r="AD232" s="3">
        <f>IF(ISERROR(VLOOKUP($A232,'SegEnds_NonXtal_BW#'!$A:$Z,21,FALSE)+VLOOKUP($A232,A:AL,31,FALSE)-50),"-",(VLOOKUP($A232,'SegEnds_NonXtal_BW#'!$A:$Z,21,FALSE)+VLOOKUP($A232,A:AL,31,FALSE)-50))</f>
        <v>261</v>
      </c>
      <c r="AE232" s="3">
        <v>288</v>
      </c>
      <c r="AF232" s="3">
        <f>IF(ISERROR((VLOOKUP($A232,'SegEnds_NonXtal_BW#'!$A:$Z,22,FALSE)+VLOOKUP($A232,A:AL,31,FALSE)-50)),"-",(VLOOKUP($A232,'SegEnds_NonXtal_BW#'!$A:$Z,22,FALSE)+VLOOKUP($A232,A:AL,31,FALSE)-50))</f>
        <v>299</v>
      </c>
      <c r="AG232" s="3">
        <f>IF(ISERROR(VLOOKUP($A232,'SegEnds_NonXtal_BW#'!$A:$Z,23,FALSE)+VLOOKUP($A232,A:AL,34,FALSE)-50),"-",(VLOOKUP($A232,'SegEnds_NonXtal_BW#'!$A:$Z,23,FALSE)+VLOOKUP($A232,A:AL,34,FALSE)-50))</f>
        <v>307</v>
      </c>
      <c r="AH232" s="3">
        <v>329</v>
      </c>
      <c r="AI232" s="3">
        <f>IF(ISERROR((VLOOKUP($A232,'SegEnds_NonXtal_BW#'!$A:$Z,24,FALSE)+VLOOKUP($A232,A:AL,34,FALSE)-50)),"-",(VLOOKUP($A232,'SegEnds_NonXtal_BW#'!$A:$Z,24,FALSE)+VLOOKUP($A232,A:AL,34,FALSE)-50))</f>
        <v>335</v>
      </c>
      <c r="AJ232" s="3">
        <f>IF(ISERROR(VLOOKUP($A232,'SegEnds_NonXtal_BW#'!$A:$Z,25,FALSE)+VLOOKUP($A232,A:AL,37,FALSE)-50),"-",(VLOOKUP($A232,'SegEnds_NonXtal_BW#'!$A:$Z,25,FALSE)+VLOOKUP($A232,A:AL,37,FALSE)-50))</f>
        <v>336</v>
      </c>
      <c r="AK232" s="3">
        <v>339</v>
      </c>
      <c r="AL232" s="3">
        <f>IF(ISERROR((VLOOKUP($A232,'SegEnds_NonXtal_BW#'!$A:$Z,26,FALSE)+VLOOKUP($A232,A:AL,37,FALSE)-50)),"-",(VLOOKUP($A232,'SegEnds_NonXtal_BW#'!$A:$Z,26,FALSE)+VLOOKUP($A232,A:AL,37,FALSE)-50))</f>
        <v>352</v>
      </c>
      <c r="AM232" s="28" t="str">
        <f>VLOOKUP(A232,Classification!A:B,2,FALSE)</f>
        <v>A</v>
      </c>
      <c r="AN232" s="28" t="b">
        <f t="shared" si="156"/>
        <v>1</v>
      </c>
      <c r="AO232" s="3" t="str">
        <f>IF(ISERROR(MATCH(A232,'SegEnds_Xtal_Prot#'!B:B, 0)), "NoXtal", "Xtal")</f>
        <v>NoXtal</v>
      </c>
      <c r="AP232" s="3">
        <f t="shared" si="141"/>
        <v>1</v>
      </c>
      <c r="AQ232" s="3">
        <f t="shared" si="142"/>
        <v>1</v>
      </c>
      <c r="AR232" s="3">
        <f t="shared" si="143"/>
        <v>1</v>
      </c>
      <c r="AS232" s="3">
        <f t="shared" si="144"/>
        <v>1</v>
      </c>
      <c r="AT232" s="3">
        <f t="shared" si="145"/>
        <v>1</v>
      </c>
      <c r="AU232" s="3">
        <f t="shared" si="146"/>
        <v>1</v>
      </c>
      <c r="AV232" s="3">
        <f t="shared" si="147"/>
        <v>17</v>
      </c>
      <c r="AW232" s="3">
        <f t="shared" si="148"/>
        <v>6</v>
      </c>
      <c r="AX232" s="3">
        <f t="shared" si="149"/>
        <v>4</v>
      </c>
      <c r="AY232" s="3">
        <f t="shared" si="150"/>
        <v>8</v>
      </c>
      <c r="AZ232" s="3">
        <f t="shared" si="151"/>
        <v>1</v>
      </c>
      <c r="BA232" s="3">
        <f>IF(ISERROR(LEN(VLOOKUP(A232,Seqs!A:E,2,FALSE))-AL232),"-",LEN(VLOOKUP(A232,Seqs!A:E,2,FALSE))-AL232)</f>
        <v>79</v>
      </c>
      <c r="BB232" s="16">
        <f t="shared" si="152"/>
        <v>28</v>
      </c>
      <c r="BC232" s="9">
        <f t="shared" si="153"/>
        <v>20</v>
      </c>
      <c r="BD232" s="3">
        <f t="shared" si="154"/>
        <v>28</v>
      </c>
      <c r="BE232" s="3">
        <f t="shared" si="155"/>
        <v>62</v>
      </c>
    </row>
    <row r="233" spans="1:58" s="3" customFormat="1" x14ac:dyDescent="0.2">
      <c r="A233" s="3" t="s">
        <v>373</v>
      </c>
      <c r="B233" s="3" t="str">
        <f>LOWER(VLOOKUP(A233,Xtal_Templ!A:B,2,FALSE))</f>
        <v>oprd_human</v>
      </c>
      <c r="C233" s="3">
        <f>VLOOKUP($A233,'SegEnds_NonXtal_BW#'!$A:$Z,3,FALSE)+D233-50</f>
        <v>29</v>
      </c>
      <c r="D233" s="3">
        <v>57</v>
      </c>
      <c r="E233" s="3">
        <f>IF(ISERROR(VLOOKUP($A233,'SegEnds_NonXtal_BW#'!$A:$Z,4,FALSE)+VLOOKUP($A233,A:AL,4,FALSE)-50),"-",(VLOOKUP($A233,'SegEnds_NonXtal_BW#'!$A:$Z,4,FALSE)+VLOOKUP($A233,A:AL,4,FALSE)-50))</f>
        <v>67</v>
      </c>
      <c r="F233" s="3">
        <f t="shared" si="163"/>
        <v>69</v>
      </c>
      <c r="G233" s="3">
        <v>71</v>
      </c>
      <c r="H233" s="3">
        <f t="shared" si="164"/>
        <v>72</v>
      </c>
      <c r="I233" s="3">
        <f t="shared" si="164"/>
        <v>73</v>
      </c>
      <c r="J233" s="3">
        <v>87</v>
      </c>
      <c r="K233" s="3">
        <f>VLOOKUP($A233,'SegEnds_NonXtal_BW#'!$A:$Z,8,FALSE)+VLOOKUP($A233,A:AL,10,FALSE)-50</f>
        <v>104</v>
      </c>
      <c r="L233" s="3">
        <f>M233-1</f>
        <v>106</v>
      </c>
      <c r="M233" s="3">
        <v>107</v>
      </c>
      <c r="N233" s="3">
        <f>M233+2</f>
        <v>109</v>
      </c>
      <c r="O233" s="3">
        <f t="shared" si="162"/>
        <v>110</v>
      </c>
      <c r="P233" s="3">
        <v>139</v>
      </c>
      <c r="Q233" s="3">
        <f>VLOOKUP($A233,'SegEnds_NonXtal_BW#'!$A:$Z,12,FALSE)+VLOOKUP($A233,A:AL,16,FALSE)-50</f>
        <v>145</v>
      </c>
      <c r="R233" s="3">
        <f>IF(ISERROR(VLOOKUP($A233,'SegEnds_NonXtal_BW#'!$A:$Z,13,FALSE)+VLOOKUP($A233,A:AL,19,FALSE)-50),"-",VLOOKUP($A233,'SegEnds_NonXtal_BW#'!$A:$Z,13,FALSE)+VLOOKUP($A233,A:AL,19,FALSE)-50)</f>
        <v>146</v>
      </c>
      <c r="S233" s="3">
        <v>146</v>
      </c>
      <c r="T233" s="100">
        <f>IF(ISERROR(VLOOKUP($A233,'SegEnds_NonXtal_BW#'!$A:$Z,14,FALSE)+VLOOKUP($A233,A:AL,19,FALSE)-50),"-",(VLOOKUP($A233,'SegEnds_NonXtal_BW#'!$A:$Z,14,FALSE)+VLOOKUP($A233,A:AL,19,FALSE)-50))</f>
        <v>153</v>
      </c>
      <c r="U233" s="9">
        <f>IF(ISERROR(VLOOKUP($A233,'SegEnds_NonXtal_BW#'!$A:$Z,15,FALSE)+VLOOKUP($A233,A:AL,22,FALSE)-50),"-",VLOOKUP($A233,'SegEnds_NonXtal_BW#'!$A:$Z,15,FALSE)+VLOOKUP($A233,A:AL,22,FALSE)-50)</f>
        <v>154</v>
      </c>
      <c r="V233" s="3">
        <v>166</v>
      </c>
      <c r="W233" s="3">
        <f>IF(ISERROR(VLOOKUP($A233,'SegEnds_NonXtal_BW#'!$A:$Z,16,FALSE)+VLOOKUP($A233,A:AL,22,FALSE)-50),"-",(VLOOKUP($A233,'SegEnds_NonXtal_BW#'!$A:$Z,16,FALSE)+VLOOKUP($A233,A:AL,22,FALSE)-50))</f>
        <v>180</v>
      </c>
      <c r="X233" s="3">
        <f>IF(ISERROR(VLOOKUP($A233,'SegEnds_NonXtal_BW#'!$A:$Z,17,FALSE)+VLOOKUP($A233,A:AL,25,FALSE)-50),"-",(VLOOKUP($A233,'SegEnds_NonXtal_BW#'!$A:$Z,17,FALSE)+VLOOKUP($A233,A:AL,25,FALSE)-50))</f>
        <v>191</v>
      </c>
      <c r="Y233" s="3">
        <v>191</v>
      </c>
      <c r="Z233" s="3">
        <f t="shared" si="161"/>
        <v>193</v>
      </c>
      <c r="AA233" s="3">
        <f>IF(ISERROR(VLOOKUP($A233,'SegEnds_NonXtal_BW#'!$A:$Z,19,FALSE)+VLOOKUP($A233,A:AL,28,FALSE)-50),"-",(VLOOKUP($A233,'SegEnds_NonXtal_BW#'!$A:$Z,19,FALSE)+VLOOKUP($A233,A:AL,28,FALSE)-50))</f>
        <v>196</v>
      </c>
      <c r="AB233" s="3">
        <v>216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261</v>
      </c>
      <c r="AF233" s="3">
        <f>IF(ISERROR((VLOOKUP($A233,'SegEnds_NonXtal_BW#'!$A:$Z,22,FALSE)+VLOOKUP($A233,A:AL,31,FALSE)-50)),"-",(VLOOKUP($A233,'SegEnds_NonXtal_BW#'!$A:$Z,22,FALSE)+VLOOKUP($A233,A:AL,31,FALSE)-50))</f>
        <v>275</v>
      </c>
      <c r="AG233" s="3">
        <f>IF(ISERROR(VLOOKUP($A233,'SegEnds_NonXtal_BW#'!$A:$Z,23,FALSE)+VLOOKUP($A233,A:AL,34,FALSE)-50),"-",(VLOOKUP($A233,'SegEnds_NonXtal_BW#'!$A:$Z,23,FALSE)+VLOOKUP($A233,A:AL,34,FALSE)-50))</f>
        <v>280</v>
      </c>
      <c r="AH233" s="3">
        <v>306</v>
      </c>
      <c r="AI233" s="3">
        <f>IF(ISERROR((VLOOKUP($A233,'SegEnds_NonXtal_BW#'!$A:$Z,24,FALSE)+VLOOKUP($A233,A:AL,34,FALSE)-50)),"-",(VLOOKUP($A233,'SegEnds_NonXtal_BW#'!$A:$Z,24,FALSE)+VLOOKUP($A233,A:AL,34,FALSE)-50))</f>
        <v>312</v>
      </c>
      <c r="AJ233" s="3">
        <f>IF(ISERROR(VLOOKUP($A233,'SegEnds_NonXtal_BW#'!$A:$Z,25,FALSE)+VLOOKUP($A233,A:AL,37,FALSE)-50),"-",(VLOOKUP($A233,'SegEnds_NonXtal_BW#'!$A:$Z,25,FALSE)+VLOOKUP($A233,A:AL,37,FALSE)-50))</f>
        <v>313</v>
      </c>
      <c r="AK233" s="3">
        <v>316</v>
      </c>
      <c r="AL233" s="3">
        <f>IF(ISERROR((VLOOKUP($A233,'SegEnds_NonXtal_BW#'!$A:$Z,26,FALSE)+VLOOKUP($A233,A:AL,37,FALSE)-50)),"-",(VLOOKUP($A233,'SegEnds_NonXtal_BW#'!$A:$Z,26,FALSE)+VLOOKUP($A233,A:AL,37,FALSE)-50))</f>
        <v>326</v>
      </c>
      <c r="AM233" s="28" t="str">
        <f>VLOOKUP(A233,Classification!A:B,2,FALSE)</f>
        <v>A</v>
      </c>
      <c r="AN233" s="28" t="b">
        <f t="shared" si="156"/>
        <v>1</v>
      </c>
      <c r="AO233" s="3" t="str">
        <f>IF(ISERROR(MATCH(A233,'SegEnds_Xtal_Prot#'!B:B, 0)), "NoXtal", "Xtal")</f>
        <v>NoXtal</v>
      </c>
      <c r="AP233" s="3">
        <f t="shared" si="141"/>
        <v>2</v>
      </c>
      <c r="AQ233" s="3">
        <f t="shared" si="142"/>
        <v>1</v>
      </c>
      <c r="AR233" s="3">
        <f t="shared" si="143"/>
        <v>2</v>
      </c>
      <c r="AS233" s="3">
        <f t="shared" si="144"/>
        <v>1</v>
      </c>
      <c r="AT233" s="3">
        <f t="shared" si="145"/>
        <v>1</v>
      </c>
      <c r="AU233" s="3">
        <f t="shared" si="146"/>
        <v>1</v>
      </c>
      <c r="AV233" s="3">
        <f t="shared" si="147"/>
        <v>11</v>
      </c>
      <c r="AW233" s="3">
        <f t="shared" si="148"/>
        <v>3</v>
      </c>
      <c r="AX233" s="3">
        <f t="shared" si="149"/>
        <v>6</v>
      </c>
      <c r="AY233" s="3">
        <f t="shared" si="150"/>
        <v>5</v>
      </c>
      <c r="AZ233" s="3">
        <f t="shared" si="151"/>
        <v>1</v>
      </c>
      <c r="BA233" s="3">
        <f>IF(ISERROR(LEN(VLOOKUP(A233,Seqs!A:E,2,FALSE))-AL233),"-",LEN(VLOOKUP(A233,Seqs!A:E,2,FALSE))-AL233)</f>
        <v>48</v>
      </c>
      <c r="BB233" s="16">
        <f t="shared" si="152"/>
        <v>30</v>
      </c>
      <c r="BC233" s="9">
        <f t="shared" si="153"/>
        <v>20</v>
      </c>
      <c r="BD233" s="3">
        <f t="shared" si="154"/>
        <v>30</v>
      </c>
      <c r="BE233" s="3">
        <f t="shared" si="155"/>
        <v>45</v>
      </c>
    </row>
    <row r="234" spans="1:58" s="3" customFormat="1" x14ac:dyDescent="0.2">
      <c r="A234" s="3" t="s">
        <v>378</v>
      </c>
      <c r="B234" s="3" t="str">
        <f>LOWER(VLOOKUP(A234,Xtal_Templ!A:B,2,FALSE))</f>
        <v>s1pr1_human</v>
      </c>
      <c r="C234" s="3">
        <f>VLOOKUP($A234,'SegEnds_NonXtal_BW#'!$A:$Z,3,FALSE)+D234-50</f>
        <v>43</v>
      </c>
      <c r="D234" s="3">
        <v>64</v>
      </c>
      <c r="E234" s="3">
        <f>IF(ISERROR(VLOOKUP($A234,'SegEnds_NonXtal_BW#'!$A:$Z,4,FALSE)+VLOOKUP($A234,A:AL,4,FALSE)-50),"-",(VLOOKUP($A234,'SegEnds_NonXtal_BW#'!$A:$Z,4,FALSE)+VLOOKUP($A234,A:AL,4,FALSE)-50))</f>
        <v>74</v>
      </c>
      <c r="F234" s="3">
        <f t="shared" si="163"/>
        <v>75</v>
      </c>
      <c r="G234" s="3">
        <v>77</v>
      </c>
      <c r="H234" s="3">
        <f t="shared" si="164"/>
        <v>78</v>
      </c>
      <c r="I234" s="3">
        <f t="shared" si="164"/>
        <v>79</v>
      </c>
      <c r="J234" s="3">
        <v>92</v>
      </c>
      <c r="K234" s="3">
        <f>VLOOKUP($A234,'SegEnds_NonXtal_BW#'!$A:$Z,8,FALSE)+VLOOKUP($A234,A:AL,10,FALSE)-50</f>
        <v>105</v>
      </c>
      <c r="L234" s="3">
        <f>M234-3</f>
        <v>107</v>
      </c>
      <c r="M234" s="3">
        <v>110</v>
      </c>
      <c r="N234" s="3">
        <f>M234+3</f>
        <v>113</v>
      </c>
      <c r="O234" s="3">
        <f t="shared" si="162"/>
        <v>114</v>
      </c>
      <c r="P234" s="3">
        <v>143</v>
      </c>
      <c r="Q234" s="3">
        <f>VLOOKUP($A234,'SegEnds_NonXtal_BW#'!$A:$Z,12,FALSE)+VLOOKUP($A234,A:AL,16,FALSE)-50</f>
        <v>149</v>
      </c>
      <c r="R234" s="3">
        <f>IF(ISERROR(VLOOKUP($A234,'SegEnds_NonXtal_BW#'!$A:$Z,13,FALSE)+VLOOKUP($A234,A:AL,19,FALSE)-50),"-",VLOOKUP($A234,'SegEnds_NonXtal_BW#'!$A:$Z,13,FALSE)+VLOOKUP($A234,A:AL,19,FALSE)-50)</f>
        <v>150</v>
      </c>
      <c r="S234" s="3">
        <v>150</v>
      </c>
      <c r="T234" s="100">
        <f>IF(ISERROR(VLOOKUP($A234,'SegEnds_NonXtal_BW#'!$A:$Z,14,FALSE)+VLOOKUP($A234,A:AL,19,FALSE)-50),"-",(VLOOKUP($A234,'SegEnds_NonXtal_BW#'!$A:$Z,14,FALSE)+VLOOKUP($A234,A:AL,19,FALSE)-50))</f>
        <v>157</v>
      </c>
      <c r="U234" s="9">
        <f>IF(ISERROR(VLOOKUP($A234,'SegEnds_NonXtal_BW#'!$A:$Z,15,FALSE)+VLOOKUP($A234,A:AL,22,FALSE)-50),"-",VLOOKUP($A234,'SegEnds_NonXtal_BW#'!$A:$Z,15,FALSE)+VLOOKUP($A234,A:AL,22,FALSE)-50)</f>
        <v>158</v>
      </c>
      <c r="V234" s="3">
        <v>170</v>
      </c>
      <c r="W234" s="3">
        <f>IF(ISERROR(VLOOKUP($A234,'SegEnds_NonXtal_BW#'!$A:$Z,16,FALSE)+VLOOKUP($A234,A:AL,22,FALSE)-50),"-",(VLOOKUP($A234,'SegEnds_NonXtal_BW#'!$A:$Z,16,FALSE)+VLOOKUP($A234,A:AL,22,FALSE)-50))</f>
        <v>183</v>
      </c>
      <c r="X234" s="3" t="str">
        <f>IF(ISERROR(VLOOKUP($A234,'SegEnds_NonXtal_BW#'!$A:$Z,17,FALSE)+VLOOKUP($A234,A:AL,25,FALSE)-50),"-",(VLOOKUP($A234,'SegEnds_NonXtal_BW#'!$A:$Z,17,FALSE)+VLOOKUP($A234,A:AL,25,FALSE)-50))</f>
        <v>-</v>
      </c>
      <c r="Y234" s="3" t="s">
        <v>23</v>
      </c>
      <c r="Z234" s="3" t="str">
        <f>IF(ISERROR(VLOOKUP($A234,'SegEnds_NonXtal_BW#'!$A:$Z,18,FALSE)+VLOOKUP($A234,A:AL,25,FALSE)-50),"-",(VLOOKUP($A234,'SegEnds_NonXtal_BW#'!$A:$Z,18,FALSE)+VLOOKUP($A234,A:AL,25,FALSE)-50))</f>
        <v>-</v>
      </c>
      <c r="AA234" s="3">
        <f>IF(ISERROR(VLOOKUP($A234,'SegEnds_NonXtal_BW#'!$A:$Z,19,FALSE)+VLOOKUP($A234,A:AL,28,FALSE)-50),"-",(VLOOKUP($A234,'SegEnds_NonXtal_BW#'!$A:$Z,19,FALSE)+VLOOKUP($A234,A:AL,28,FALSE)-50))</f>
        <v>201</v>
      </c>
      <c r="AB234" s="3">
        <v>215</v>
      </c>
      <c r="AC234" s="3">
        <f>IF(ISERROR((VLOOKUP($A234,'SegEnds_NonXtal_BW#'!$A:$Z,20,FALSE)+VLOOKUP($A234,A:AL,28,FALSE)-50)),"-",(VLOOKUP($A234,'SegEnds_NonXtal_BW#'!$A:$Z,20,FALSE)+VLOOKUP($A234,A:AL,28,FALSE)-50))</f>
        <v>233</v>
      </c>
      <c r="AD234" s="3">
        <f>IF(ISERROR(VLOOKUP($A234,'SegEnds_NonXtal_BW#'!$A:$Z,21,FALSE)+VLOOKUP($A234,A:AL,31,FALSE)-50),"-",(VLOOKUP($A234,'SegEnds_NonXtal_BW#'!$A:$Z,21,FALSE)+VLOOKUP($A234,A:AL,31,FALSE)-50))</f>
        <v>239</v>
      </c>
      <c r="AE234" s="3">
        <v>266</v>
      </c>
      <c r="AF234" s="3">
        <f>IF(ISERROR((VLOOKUP($A234,'SegEnds_NonXtal_BW#'!$A:$Z,22,FALSE)+VLOOKUP($A234,A:AL,31,FALSE)-50)),"-",(VLOOKUP($A234,'SegEnds_NonXtal_BW#'!$A:$Z,22,FALSE)+VLOOKUP($A234,A:AL,31,FALSE)-50))</f>
        <v>277</v>
      </c>
      <c r="AG234" s="3">
        <f>IF(ISERROR(VLOOKUP($A234,'SegEnds_NonXtal_BW#'!$A:$Z,23,FALSE)+VLOOKUP($A234,A:AL,34,FALSE)-50),"-",(VLOOKUP($A234,'SegEnds_NonXtal_BW#'!$A:$Z,23,FALSE)+VLOOKUP($A234,A:AL,34,FALSE)-50))</f>
        <v>284</v>
      </c>
      <c r="AH234" s="3">
        <v>304</v>
      </c>
      <c r="AI234" s="3">
        <f>IF(ISERROR((VLOOKUP($A234,'SegEnds_NonXtal_BW#'!$A:$Z,24,FALSE)+VLOOKUP($A234,A:AL,34,FALSE)-50)),"-",(VLOOKUP($A234,'SegEnds_NonXtal_BW#'!$A:$Z,24,FALSE)+VLOOKUP($A234,A:AL,34,FALSE)-50))</f>
        <v>310</v>
      </c>
      <c r="AJ234" s="3">
        <f>IF(ISERROR(VLOOKUP($A234,'SegEnds_NonXtal_BW#'!$A:$Z,25,FALSE)+VLOOKUP($A234,A:AL,37,FALSE)-50),"-",(VLOOKUP($A234,'SegEnds_NonXtal_BW#'!$A:$Z,25,FALSE)+VLOOKUP($A234,A:AL,37,FALSE)-50))</f>
        <v>311</v>
      </c>
      <c r="AK234" s="3">
        <v>314</v>
      </c>
      <c r="AL234" s="3">
        <f>IF(ISERROR((VLOOKUP($A234,'SegEnds_NonXtal_BW#'!$A:$Z,26,FALSE)+VLOOKUP($A234,A:AL,37,FALSE)-50)),"-",(VLOOKUP($A234,'SegEnds_NonXtal_BW#'!$A:$Z,26,FALSE)+VLOOKUP($A234,A:AL,37,FALSE)-50))</f>
        <v>323</v>
      </c>
      <c r="AM234" s="28" t="str">
        <f>VLOOKUP(A234,Classification!A:B,2,FALSE)</f>
        <v>A</v>
      </c>
      <c r="AN234" s="28" t="b">
        <f t="shared" si="156"/>
        <v>1</v>
      </c>
      <c r="AO234" s="3" t="str">
        <f>IF(ISERROR(MATCH(A234,'SegEnds_Xtal_Prot#'!B:B, 0)), "NoXtal", "Xtal")</f>
        <v>NoXtal</v>
      </c>
      <c r="AP234" s="3">
        <f t="shared" si="141"/>
        <v>1</v>
      </c>
      <c r="AQ234" s="3">
        <f t="shared" si="142"/>
        <v>1</v>
      </c>
      <c r="AR234" s="3">
        <f t="shared" si="143"/>
        <v>2</v>
      </c>
      <c r="AS234" s="3">
        <f t="shared" si="144"/>
        <v>1</v>
      </c>
      <c r="AT234" s="3">
        <f t="shared" si="145"/>
        <v>1</v>
      </c>
      <c r="AU234" s="3">
        <f t="shared" si="146"/>
        <v>1</v>
      </c>
      <c r="AV234" s="3" t="str">
        <f t="shared" si="147"/>
        <v>-</v>
      </c>
      <c r="AW234" s="3" t="str">
        <f t="shared" si="148"/>
        <v>-</v>
      </c>
      <c r="AX234" s="3">
        <f t="shared" si="149"/>
        <v>6</v>
      </c>
      <c r="AY234" s="3">
        <f t="shared" si="150"/>
        <v>7</v>
      </c>
      <c r="AZ234" s="3">
        <f t="shared" si="151"/>
        <v>1</v>
      </c>
      <c r="BA234" s="3">
        <f>IF(ISERROR(LEN(VLOOKUP(A234,Seqs!A:E,2,FALSE))-AL234),"-",LEN(VLOOKUP(A234,Seqs!A:E,2,FALSE))-AL234)</f>
        <v>61</v>
      </c>
      <c r="BB234" s="16">
        <f t="shared" si="152"/>
        <v>28</v>
      </c>
      <c r="BC234" s="9">
        <f t="shared" si="153"/>
        <v>20</v>
      </c>
      <c r="BD234" s="3">
        <f t="shared" si="154"/>
        <v>28</v>
      </c>
      <c r="BE234" s="3">
        <f t="shared" si="155"/>
        <v>51</v>
      </c>
    </row>
    <row r="235" spans="1:58" s="3" customFormat="1" x14ac:dyDescent="0.2">
      <c r="A235" s="3" t="s">
        <v>380</v>
      </c>
      <c r="B235" s="3" t="str">
        <f>LOWER(VLOOKUP(A235,Xtal_Templ!A:B,2,FALSE))</f>
        <v>oprk_human</v>
      </c>
      <c r="C235" s="3">
        <f>VLOOKUP($A235,'SegEnds_NonXtal_BW#'!$A:$Z,3,FALSE)+D235-50</f>
        <v>56</v>
      </c>
      <c r="D235" s="3">
        <v>76</v>
      </c>
      <c r="E235" s="3">
        <f>IF(ISERROR(VLOOKUP($A235,'SegEnds_NonXtal_BW#'!$A:$Z,4,FALSE)+VLOOKUP($A235,A:AL,4,FALSE)-50),"-",(VLOOKUP($A235,'SegEnds_NonXtal_BW#'!$A:$Z,4,FALSE)+VLOOKUP($A235,A:AL,4,FALSE)-50))</f>
        <v>86</v>
      </c>
      <c r="F235" s="3">
        <f t="shared" si="163"/>
        <v>87</v>
      </c>
      <c r="G235" s="3">
        <v>89</v>
      </c>
      <c r="H235" s="3">
        <f t="shared" si="164"/>
        <v>90</v>
      </c>
      <c r="I235" s="3">
        <f t="shared" si="164"/>
        <v>91</v>
      </c>
      <c r="J235" s="3">
        <v>104</v>
      </c>
      <c r="K235" s="3">
        <f>VLOOKUP($A235,'SegEnds_NonXtal_BW#'!$A:$Z,8,FALSE)+VLOOKUP($A235,A:AL,10,FALSE)-50</f>
        <v>120</v>
      </c>
      <c r="L235" s="3">
        <f t="shared" ref="L235:L253" si="165">M235-1</f>
        <v>122</v>
      </c>
      <c r="M235" s="3">
        <v>123</v>
      </c>
      <c r="N235" s="3">
        <f t="shared" ref="N235:N253" si="166">M235+2</f>
        <v>125</v>
      </c>
      <c r="O235" s="3">
        <f t="shared" si="162"/>
        <v>126</v>
      </c>
      <c r="P235" s="3">
        <v>155</v>
      </c>
      <c r="Q235" s="3">
        <f>VLOOKUP($A235,'SegEnds_NonXtal_BW#'!$A:$Z,12,FALSE)+VLOOKUP($A235,A:AL,16,FALSE)-50</f>
        <v>161</v>
      </c>
      <c r="R235" s="3">
        <f>IF(ISERROR(VLOOKUP($A235,'SegEnds_NonXtal_BW#'!$A:$Z,13,FALSE)+VLOOKUP($A235,A:AL,19,FALSE)-50),"-",VLOOKUP($A235,'SegEnds_NonXtal_BW#'!$A:$Z,13,FALSE)+VLOOKUP($A235,A:AL,19,FALSE)-50)</f>
        <v>162</v>
      </c>
      <c r="S235" s="3">
        <v>162</v>
      </c>
      <c r="T235" s="100">
        <f>IF(ISERROR(VLOOKUP($A235,'SegEnds_NonXtal_BW#'!$A:$Z,14,FALSE)+VLOOKUP($A235,A:AL,19,FALSE)-50),"-",(VLOOKUP($A235,'SegEnds_NonXtal_BW#'!$A:$Z,14,FALSE)+VLOOKUP($A235,A:AL,19,FALSE)-50))</f>
        <v>169</v>
      </c>
      <c r="U235" s="9">
        <f>IF(ISERROR(VLOOKUP($A235,'SegEnds_NonXtal_BW#'!$A:$Z,15,FALSE)+VLOOKUP($A235,A:AL,22,FALSE)-50),"-",VLOOKUP($A235,'SegEnds_NonXtal_BW#'!$A:$Z,15,FALSE)+VLOOKUP($A235,A:AL,22,FALSE)-50)</f>
        <v>170</v>
      </c>
      <c r="V235" s="3">
        <v>182</v>
      </c>
      <c r="W235" s="3">
        <f>IF(ISERROR(VLOOKUP($A235,'SegEnds_NonXtal_BW#'!$A:$Z,16,FALSE)+VLOOKUP($A235,A:AL,22,FALSE)-50),"-",(VLOOKUP($A235,'SegEnds_NonXtal_BW#'!$A:$Z,16,FALSE)+VLOOKUP($A235,A:AL,22,FALSE)-50))</f>
        <v>196</v>
      </c>
      <c r="X235" s="3">
        <f>IF(ISERROR(VLOOKUP($A235,'SegEnds_NonXtal_BW#'!$A:$Z,17,FALSE)+VLOOKUP($A235,A:AL,25,FALSE)-50),"-",(VLOOKUP($A235,'SegEnds_NonXtal_BW#'!$A:$Z,17,FALSE)+VLOOKUP($A235,A:AL,25,FALSE)-50))</f>
        <v>208</v>
      </c>
      <c r="Y235" s="3">
        <v>208</v>
      </c>
      <c r="Z235" s="3">
        <f t="shared" ref="Z235:Z270" si="167">Y235+2</f>
        <v>210</v>
      </c>
      <c r="AA235" s="3">
        <f>IF(ISERROR(VLOOKUP($A235,'SegEnds_NonXtal_BW#'!$A:$Z,19,FALSE)+VLOOKUP($A235,A:AL,28,FALSE)-50),"-",(VLOOKUP($A235,'SegEnds_NonXtal_BW#'!$A:$Z,19,FALSE)+VLOOKUP($A235,A:AL,28,FALSE)-50))</f>
        <v>215</v>
      </c>
      <c r="AB235" s="3">
        <v>235</v>
      </c>
      <c r="AC235" s="3">
        <f>IF(ISERROR((VLOOKUP($A235,'SegEnds_NonXtal_BW#'!$A:$Z,20,FALSE)+VLOOKUP($A235,A:AL,28,FALSE)-50)),"-",(VLOOKUP($A235,'SegEnds_NonXtal_BW#'!$A:$Z,20,FALSE)+VLOOKUP($A235,A:AL,28,FALSE)-50))</f>
        <v>253</v>
      </c>
      <c r="AD235" s="3">
        <f>IF(ISERROR(VLOOKUP($A235,'SegEnds_NonXtal_BW#'!$A:$Z,21,FALSE)+VLOOKUP($A235,A:AL,31,FALSE)-50),"-",(VLOOKUP($A235,'SegEnds_NonXtal_BW#'!$A:$Z,21,FALSE)+VLOOKUP($A235,A:AL,31,FALSE)-50))</f>
        <v>259</v>
      </c>
      <c r="AE235" s="3">
        <v>286</v>
      </c>
      <c r="AF235" s="3">
        <f>IF(ISERROR((VLOOKUP($A235,'SegEnds_NonXtal_BW#'!$A:$Z,22,FALSE)+VLOOKUP($A235,A:AL,31,FALSE)-50)),"-",(VLOOKUP($A235,'SegEnds_NonXtal_BW#'!$A:$Z,22,FALSE)+VLOOKUP($A235,A:AL,31,FALSE)-50))</f>
        <v>297</v>
      </c>
      <c r="AG235" s="3">
        <f>IF(ISERROR(VLOOKUP($A235,'SegEnds_NonXtal_BW#'!$A:$Z,23,FALSE)+VLOOKUP($A235,A:AL,34,FALSE)-50),"-",(VLOOKUP($A235,'SegEnds_NonXtal_BW#'!$A:$Z,23,FALSE)+VLOOKUP($A235,A:AL,34,FALSE)-50))</f>
        <v>302</v>
      </c>
      <c r="AH235" s="3">
        <v>320</v>
      </c>
      <c r="AI235" s="3">
        <f>IF(ISERROR((VLOOKUP($A235,'SegEnds_NonXtal_BW#'!$A:$Z,24,FALSE)+VLOOKUP($A235,A:AL,34,FALSE)-50)),"-",(VLOOKUP($A235,'SegEnds_NonXtal_BW#'!$A:$Z,24,FALSE)+VLOOKUP($A235,A:AL,34,FALSE)-50))</f>
        <v>326</v>
      </c>
      <c r="AJ235" s="3">
        <f>IF(ISERROR(VLOOKUP($A235,'SegEnds_NonXtal_BW#'!$A:$Z,25,FALSE)+VLOOKUP($A235,A:AL,37,FALSE)-50),"-",(VLOOKUP($A235,'SegEnds_NonXtal_BW#'!$A:$Z,25,FALSE)+VLOOKUP($A235,A:AL,37,FALSE)-50))</f>
        <v>327</v>
      </c>
      <c r="AK235" s="3">
        <v>330</v>
      </c>
      <c r="AL235" s="3">
        <f>IF(ISERROR((VLOOKUP($A235,'SegEnds_NonXtal_BW#'!$A:$Z,26,FALSE)+VLOOKUP($A235,A:AL,37,FALSE)-50)),"-",(VLOOKUP($A235,'SegEnds_NonXtal_BW#'!$A:$Z,26,FALSE)+VLOOKUP($A235,A:AL,37,FALSE)-50))</f>
        <v>339</v>
      </c>
      <c r="AM235" s="28" t="str">
        <f>VLOOKUP(A235,Classification!A:B,2,FALSE)</f>
        <v>A</v>
      </c>
      <c r="AN235" s="28" t="b">
        <f t="shared" si="156"/>
        <v>1</v>
      </c>
      <c r="AO235" s="3" t="str">
        <f>IF(ISERROR(MATCH(A235,'SegEnds_Xtal_Prot#'!B:B, 0)), "NoXtal", "Xtal")</f>
        <v>NoXtal</v>
      </c>
      <c r="AP235" s="3">
        <f t="shared" si="141"/>
        <v>1</v>
      </c>
      <c r="AQ235" s="3">
        <f t="shared" si="142"/>
        <v>1</v>
      </c>
      <c r="AR235" s="3">
        <f t="shared" si="143"/>
        <v>2</v>
      </c>
      <c r="AS235" s="3">
        <f t="shared" si="144"/>
        <v>1</v>
      </c>
      <c r="AT235" s="3">
        <f t="shared" si="145"/>
        <v>1</v>
      </c>
      <c r="AU235" s="3">
        <f t="shared" si="146"/>
        <v>1</v>
      </c>
      <c r="AV235" s="3">
        <f t="shared" si="147"/>
        <v>12</v>
      </c>
      <c r="AW235" s="3">
        <f t="shared" si="148"/>
        <v>5</v>
      </c>
      <c r="AX235" s="3">
        <f t="shared" si="149"/>
        <v>6</v>
      </c>
      <c r="AY235" s="3">
        <f t="shared" si="150"/>
        <v>5</v>
      </c>
      <c r="AZ235" s="3">
        <f t="shared" si="151"/>
        <v>1</v>
      </c>
      <c r="BA235" s="3">
        <f>IF(ISERROR(LEN(VLOOKUP(A235,Seqs!A:E,2,FALSE))-AL235),"-",LEN(VLOOKUP(A235,Seqs!A:E,2,FALSE))-AL235)</f>
        <v>52</v>
      </c>
      <c r="BB235" s="16">
        <f t="shared" si="152"/>
        <v>28</v>
      </c>
      <c r="BC235" s="9">
        <f t="shared" si="153"/>
        <v>20</v>
      </c>
      <c r="BD235" s="3">
        <f t="shared" si="154"/>
        <v>28</v>
      </c>
      <c r="BE235" s="3">
        <f t="shared" si="155"/>
        <v>51</v>
      </c>
    </row>
    <row r="236" spans="1:58" s="3" customFormat="1" x14ac:dyDescent="0.2">
      <c r="A236" s="3" t="s">
        <v>381</v>
      </c>
      <c r="B236" s="3" t="str">
        <f>LOWER(VLOOKUP(A236,Xtal_Templ!A:B,2,FALSE))</f>
        <v>oprk_human</v>
      </c>
      <c r="C236" s="3">
        <f>VLOOKUP($A236,'SegEnds_NonXtal_BW#'!$A:$Z,3,FALSE)+D236-50</f>
        <v>41</v>
      </c>
      <c r="D236" s="3">
        <v>61</v>
      </c>
      <c r="E236" s="3">
        <f>IF(ISERROR(VLOOKUP($A236,'SegEnds_NonXtal_BW#'!$A:$Z,4,FALSE)+VLOOKUP($A236,A:AL,4,FALSE)-50),"-",(VLOOKUP($A236,'SegEnds_NonXtal_BW#'!$A:$Z,4,FALSE)+VLOOKUP($A236,A:AL,4,FALSE)-50))</f>
        <v>71</v>
      </c>
      <c r="F236" s="3">
        <f t="shared" si="163"/>
        <v>72</v>
      </c>
      <c r="G236" s="3">
        <v>74</v>
      </c>
      <c r="H236" s="3">
        <f t="shared" si="164"/>
        <v>75</v>
      </c>
      <c r="I236" s="3">
        <f t="shared" si="164"/>
        <v>76</v>
      </c>
      <c r="J236" s="3">
        <v>89</v>
      </c>
      <c r="K236" s="3">
        <f>VLOOKUP($A236,'SegEnds_NonXtal_BW#'!$A:$Z,8,FALSE)+VLOOKUP($A236,A:AL,10,FALSE)-50</f>
        <v>105</v>
      </c>
      <c r="L236" s="3">
        <f t="shared" si="165"/>
        <v>107</v>
      </c>
      <c r="M236" s="3">
        <v>108</v>
      </c>
      <c r="N236" s="3">
        <f t="shared" si="166"/>
        <v>110</v>
      </c>
      <c r="O236" s="3">
        <f t="shared" si="162"/>
        <v>111</v>
      </c>
      <c r="P236" s="3">
        <v>140</v>
      </c>
      <c r="Q236" s="3">
        <f>VLOOKUP($A236,'SegEnds_NonXtal_BW#'!$A:$Z,12,FALSE)+VLOOKUP($A236,A:AL,16,FALSE)-50</f>
        <v>146</v>
      </c>
      <c r="R236" s="3">
        <f>IF(ISERROR(VLOOKUP($A236,'SegEnds_NonXtal_BW#'!$A:$Z,13,FALSE)+VLOOKUP($A236,A:AL,19,FALSE)-50),"-",VLOOKUP($A236,'SegEnds_NonXtal_BW#'!$A:$Z,13,FALSE)+VLOOKUP($A236,A:AL,19,FALSE)-50)</f>
        <v>147</v>
      </c>
      <c r="S236" s="3">
        <v>147</v>
      </c>
      <c r="T236" s="100">
        <f>IF(ISERROR(VLOOKUP($A236,'SegEnds_NonXtal_BW#'!$A:$Z,14,FALSE)+VLOOKUP($A236,A:AL,19,FALSE)-50),"-",(VLOOKUP($A236,'SegEnds_NonXtal_BW#'!$A:$Z,14,FALSE)+VLOOKUP($A236,A:AL,19,FALSE)-50))</f>
        <v>154</v>
      </c>
      <c r="U236" s="9">
        <f>IF(ISERROR(VLOOKUP($A236,'SegEnds_NonXtal_BW#'!$A:$Z,15,FALSE)+VLOOKUP($A236,A:AL,22,FALSE)-50),"-",VLOOKUP($A236,'SegEnds_NonXtal_BW#'!$A:$Z,15,FALSE)+VLOOKUP($A236,A:AL,22,FALSE)-50)</f>
        <v>155</v>
      </c>
      <c r="V236" s="3">
        <v>167</v>
      </c>
      <c r="W236" s="3">
        <f>IF(ISERROR(VLOOKUP($A236,'SegEnds_NonXtal_BW#'!$A:$Z,16,FALSE)+VLOOKUP($A236,A:AL,22,FALSE)-50),"-",(VLOOKUP($A236,'SegEnds_NonXtal_BW#'!$A:$Z,16,FALSE)+VLOOKUP($A236,A:AL,22,FALSE)-50))</f>
        <v>181</v>
      </c>
      <c r="X236" s="3">
        <f>IF(ISERROR(VLOOKUP($A236,'SegEnds_NonXtal_BW#'!$A:$Z,17,FALSE)+VLOOKUP($A236,A:AL,25,FALSE)-50),"-",(VLOOKUP($A236,'SegEnds_NonXtal_BW#'!$A:$Z,17,FALSE)+VLOOKUP($A236,A:AL,25,FALSE)-50))</f>
        <v>193</v>
      </c>
      <c r="Y236" s="3">
        <v>193</v>
      </c>
      <c r="Z236" s="3">
        <f t="shared" si="167"/>
        <v>195</v>
      </c>
      <c r="AA236" s="3">
        <f>IF(ISERROR(VLOOKUP($A236,'SegEnds_NonXtal_BW#'!$A:$Z,19,FALSE)+VLOOKUP($A236,A:AL,28,FALSE)-50),"-",(VLOOKUP($A236,'SegEnds_NonXtal_BW#'!$A:$Z,19,FALSE)+VLOOKUP($A236,A:AL,28,FALSE)-50))</f>
        <v>200</v>
      </c>
      <c r="AB236" s="3">
        <v>220</v>
      </c>
      <c r="AC236" s="3">
        <f>IF(ISERROR((VLOOKUP($A236,'SegEnds_NonXtal_BW#'!$A:$Z,20,FALSE)+VLOOKUP($A236,A:AL,28,FALSE)-50)),"-",(VLOOKUP($A236,'SegEnds_NonXtal_BW#'!$A:$Z,20,FALSE)+VLOOKUP($A236,A:AL,28,FALSE)-50))</f>
        <v>238</v>
      </c>
      <c r="AD236" s="3">
        <f>IF(ISERROR(VLOOKUP($A236,'SegEnds_NonXtal_BW#'!$A:$Z,21,FALSE)+VLOOKUP($A236,A:AL,31,FALSE)-50),"-",(VLOOKUP($A236,'SegEnds_NonXtal_BW#'!$A:$Z,21,FALSE)+VLOOKUP($A236,A:AL,31,FALSE)-50))</f>
        <v>244</v>
      </c>
      <c r="AE236" s="3">
        <v>271</v>
      </c>
      <c r="AF236" s="3">
        <f>IF(ISERROR((VLOOKUP($A236,'SegEnds_NonXtal_BW#'!$A:$Z,22,FALSE)+VLOOKUP($A236,A:AL,31,FALSE)-50)),"-",(VLOOKUP($A236,'SegEnds_NonXtal_BW#'!$A:$Z,22,FALSE)+VLOOKUP($A236,A:AL,31,FALSE)-50))</f>
        <v>282</v>
      </c>
      <c r="AG236" s="3">
        <f>IF(ISERROR(VLOOKUP($A236,'SegEnds_NonXtal_BW#'!$A:$Z,23,FALSE)+VLOOKUP($A236,A:AL,34,FALSE)-50),"-",(VLOOKUP($A236,'SegEnds_NonXtal_BW#'!$A:$Z,23,FALSE)+VLOOKUP($A236,A:AL,34,FALSE)-50))</f>
        <v>287</v>
      </c>
      <c r="AH236" s="3">
        <v>309</v>
      </c>
      <c r="AI236" s="3">
        <f>IF(ISERROR((VLOOKUP($A236,'SegEnds_NonXtal_BW#'!$A:$Z,24,FALSE)+VLOOKUP($A236,A:AL,34,FALSE)-50)),"-",(VLOOKUP($A236,'SegEnds_NonXtal_BW#'!$A:$Z,24,FALSE)+VLOOKUP($A236,A:AL,34,FALSE)-50))</f>
        <v>315</v>
      </c>
      <c r="AJ236" s="3">
        <f>IF(ISERROR(VLOOKUP($A236,'SegEnds_NonXtal_BW#'!$A:$Z,25,FALSE)+VLOOKUP($A236,A:AL,37,FALSE)-50),"-",(VLOOKUP($A236,'SegEnds_NonXtal_BW#'!$A:$Z,25,FALSE)+VLOOKUP($A236,A:AL,37,FALSE)-50))</f>
        <v>316</v>
      </c>
      <c r="AK236" s="3">
        <v>319</v>
      </c>
      <c r="AL236" s="3">
        <f>IF(ISERROR((VLOOKUP($A236,'SegEnds_NonXtal_BW#'!$A:$Z,26,FALSE)+VLOOKUP($A236,A:AL,37,FALSE)-50)),"-",(VLOOKUP($A236,'SegEnds_NonXtal_BW#'!$A:$Z,26,FALSE)+VLOOKUP($A236,A:AL,37,FALSE)-50))</f>
        <v>328</v>
      </c>
      <c r="AM236" s="28" t="str">
        <f>VLOOKUP(A236,Classification!A:B,2,FALSE)</f>
        <v>A</v>
      </c>
      <c r="AN236" s="28" t="b">
        <f t="shared" si="156"/>
        <v>1</v>
      </c>
      <c r="AO236" s="3" t="str">
        <f>IF(ISERROR(MATCH(A236,'SegEnds_Xtal_Prot#'!B:B, 0)), "NoXtal", "Xtal")</f>
        <v>NoXtal</v>
      </c>
      <c r="AP236" s="3">
        <f t="shared" si="141"/>
        <v>1</v>
      </c>
      <c r="AQ236" s="3">
        <f t="shared" si="142"/>
        <v>1</v>
      </c>
      <c r="AR236" s="3">
        <f t="shared" si="143"/>
        <v>2</v>
      </c>
      <c r="AS236" s="3">
        <f t="shared" si="144"/>
        <v>1</v>
      </c>
      <c r="AT236" s="3">
        <f t="shared" si="145"/>
        <v>1</v>
      </c>
      <c r="AU236" s="3">
        <f t="shared" si="146"/>
        <v>1</v>
      </c>
      <c r="AV236" s="3">
        <f t="shared" si="147"/>
        <v>12</v>
      </c>
      <c r="AW236" s="3">
        <f t="shared" si="148"/>
        <v>5</v>
      </c>
      <c r="AX236" s="3">
        <f t="shared" si="149"/>
        <v>6</v>
      </c>
      <c r="AY236" s="3">
        <f t="shared" si="150"/>
        <v>5</v>
      </c>
      <c r="AZ236" s="3">
        <f t="shared" si="151"/>
        <v>1</v>
      </c>
      <c r="BA236" s="3">
        <f>IF(ISERROR(LEN(VLOOKUP(A236,Seqs!A:E,2,FALSE))-AL236),"-",LEN(VLOOKUP(A236,Seqs!A:E,2,FALSE))-AL236)</f>
        <v>41</v>
      </c>
      <c r="BB236" s="16">
        <f t="shared" si="152"/>
        <v>28</v>
      </c>
      <c r="BC236" s="9">
        <f t="shared" si="153"/>
        <v>20</v>
      </c>
      <c r="BD236" s="3">
        <f t="shared" si="154"/>
        <v>28</v>
      </c>
      <c r="BE236" s="3">
        <f t="shared" si="155"/>
        <v>51</v>
      </c>
    </row>
    <row r="237" spans="1:58" s="3" customFormat="1" x14ac:dyDescent="0.2">
      <c r="A237" s="3" t="s">
        <v>382</v>
      </c>
      <c r="B237" s="3" t="str">
        <f>LOWER(VLOOKUP(A237,Xtal_Templ!A:B,2,FALSE))</f>
        <v>oprk_human</v>
      </c>
      <c r="C237" s="3">
        <f>VLOOKUP($A237,'SegEnds_NonXtal_BW#'!$A:$Z,3,FALSE)+D237-50</f>
        <v>42</v>
      </c>
      <c r="D237" s="3">
        <v>62</v>
      </c>
      <c r="E237" s="3">
        <f>IF(ISERROR(VLOOKUP($A237,'SegEnds_NonXtal_BW#'!$A:$Z,4,FALSE)+VLOOKUP($A237,A:AL,4,FALSE)-50),"-",(VLOOKUP($A237,'SegEnds_NonXtal_BW#'!$A:$Z,4,FALSE)+VLOOKUP($A237,A:AL,4,FALSE)-50))</f>
        <v>72</v>
      </c>
      <c r="F237" s="3">
        <f t="shared" si="163"/>
        <v>73</v>
      </c>
      <c r="G237" s="3">
        <v>75</v>
      </c>
      <c r="H237" s="3">
        <f t="shared" si="164"/>
        <v>76</v>
      </c>
      <c r="I237" s="3">
        <f t="shared" si="164"/>
        <v>77</v>
      </c>
      <c r="J237" s="3">
        <v>90</v>
      </c>
      <c r="K237" s="3">
        <f>VLOOKUP($A237,'SegEnds_NonXtal_BW#'!$A:$Z,8,FALSE)+VLOOKUP($A237,A:AL,10,FALSE)-50</f>
        <v>106</v>
      </c>
      <c r="L237" s="3">
        <f t="shared" si="165"/>
        <v>108</v>
      </c>
      <c r="M237" s="3">
        <v>109</v>
      </c>
      <c r="N237" s="3">
        <f t="shared" si="166"/>
        <v>111</v>
      </c>
      <c r="O237" s="3">
        <f t="shared" si="162"/>
        <v>112</v>
      </c>
      <c r="P237" s="3">
        <v>141</v>
      </c>
      <c r="Q237" s="3">
        <f>VLOOKUP($A237,'SegEnds_NonXtal_BW#'!$A:$Z,12,FALSE)+VLOOKUP($A237,A:AL,16,FALSE)-50</f>
        <v>147</v>
      </c>
      <c r="R237" s="3">
        <f>IF(ISERROR(VLOOKUP($A237,'SegEnds_NonXtal_BW#'!$A:$Z,13,FALSE)+VLOOKUP($A237,A:AL,19,FALSE)-50),"-",VLOOKUP($A237,'SegEnds_NonXtal_BW#'!$A:$Z,13,FALSE)+VLOOKUP($A237,A:AL,19,FALSE)-50)</f>
        <v>148</v>
      </c>
      <c r="S237" s="3">
        <v>148</v>
      </c>
      <c r="T237" s="100">
        <f>IF(ISERROR(VLOOKUP($A237,'SegEnds_NonXtal_BW#'!$A:$Z,14,FALSE)+VLOOKUP($A237,A:AL,19,FALSE)-50),"-",(VLOOKUP($A237,'SegEnds_NonXtal_BW#'!$A:$Z,14,FALSE)+VLOOKUP($A237,A:AL,19,FALSE)-50))</f>
        <v>155</v>
      </c>
      <c r="U237" s="9">
        <f>IF(ISERROR(VLOOKUP($A237,'SegEnds_NonXtal_BW#'!$A:$Z,15,FALSE)+VLOOKUP($A237,A:AL,22,FALSE)-50),"-",VLOOKUP($A237,'SegEnds_NonXtal_BW#'!$A:$Z,15,FALSE)+VLOOKUP($A237,A:AL,22,FALSE)-50)</f>
        <v>156</v>
      </c>
      <c r="V237" s="3">
        <v>168</v>
      </c>
      <c r="W237" s="3">
        <f>IF(ISERROR(VLOOKUP($A237,'SegEnds_NonXtal_BW#'!$A:$Z,16,FALSE)+VLOOKUP($A237,A:AL,22,FALSE)-50),"-",(VLOOKUP($A237,'SegEnds_NonXtal_BW#'!$A:$Z,16,FALSE)+VLOOKUP($A237,A:AL,22,FALSE)-50))</f>
        <v>182</v>
      </c>
      <c r="X237" s="3">
        <f>IF(ISERROR(VLOOKUP($A237,'SegEnds_NonXtal_BW#'!$A:$Z,17,FALSE)+VLOOKUP($A237,A:AL,25,FALSE)-50),"-",(VLOOKUP($A237,'SegEnds_NonXtal_BW#'!$A:$Z,17,FALSE)+VLOOKUP($A237,A:AL,25,FALSE)-50))</f>
        <v>191</v>
      </c>
      <c r="Y237" s="3">
        <v>191</v>
      </c>
      <c r="Z237" s="3">
        <f t="shared" si="167"/>
        <v>193</v>
      </c>
      <c r="AA237" s="3">
        <f>IF(ISERROR(VLOOKUP($A237,'SegEnds_NonXtal_BW#'!$A:$Z,19,FALSE)+VLOOKUP($A237,A:AL,28,FALSE)-50),"-",(VLOOKUP($A237,'SegEnds_NonXtal_BW#'!$A:$Z,19,FALSE)+VLOOKUP($A237,A:AL,28,FALSE)-50))</f>
        <v>198</v>
      </c>
      <c r="AB237" s="3">
        <v>218</v>
      </c>
      <c r="AC237" s="3">
        <f>IF(ISERROR((VLOOKUP($A237,'SegEnds_NonXtal_BW#'!$A:$Z,20,FALSE)+VLOOKUP($A237,A:AL,28,FALSE)-50)),"-",(VLOOKUP($A237,'SegEnds_NonXtal_BW#'!$A:$Z,20,FALSE)+VLOOKUP($A237,A:AL,28,FALSE)-50))</f>
        <v>240</v>
      </c>
      <c r="AD237" s="3">
        <f>IF(ISERROR(VLOOKUP($A237,'SegEnds_NonXtal_BW#'!$A:$Z,21,FALSE)+VLOOKUP($A237,A:AL,31,FALSE)-50),"-",(VLOOKUP($A237,'SegEnds_NonXtal_BW#'!$A:$Z,21,FALSE)+VLOOKUP($A237,A:AL,31,FALSE)-50))</f>
        <v>246</v>
      </c>
      <c r="AE237" s="3">
        <v>272</v>
      </c>
      <c r="AF237" s="3">
        <f>IF(ISERROR((VLOOKUP($A237,'SegEnds_NonXtal_BW#'!$A:$Z,22,FALSE)+VLOOKUP($A237,A:AL,31,FALSE)-50)),"-",(VLOOKUP($A237,'SegEnds_NonXtal_BW#'!$A:$Z,22,FALSE)+VLOOKUP($A237,A:AL,31,FALSE)-50))</f>
        <v>283</v>
      </c>
      <c r="AG237" s="3">
        <f>IF(ISERROR(VLOOKUP($A237,'SegEnds_NonXtal_BW#'!$A:$Z,23,FALSE)+VLOOKUP($A237,A:AL,34,FALSE)-50),"-",(VLOOKUP($A237,'SegEnds_NonXtal_BW#'!$A:$Z,23,FALSE)+VLOOKUP($A237,A:AL,34,FALSE)-50))</f>
        <v>288</v>
      </c>
      <c r="AH237" s="3">
        <v>310</v>
      </c>
      <c r="AI237" s="3">
        <f>IF(ISERROR((VLOOKUP($A237,'SegEnds_NonXtal_BW#'!$A:$Z,24,FALSE)+VLOOKUP($A237,A:AL,34,FALSE)-50)),"-",(VLOOKUP($A237,'SegEnds_NonXtal_BW#'!$A:$Z,24,FALSE)+VLOOKUP($A237,A:AL,34,FALSE)-50))</f>
        <v>316</v>
      </c>
      <c r="AJ237" s="3">
        <f>IF(ISERROR(VLOOKUP($A237,'SegEnds_NonXtal_BW#'!$A:$Z,25,FALSE)+VLOOKUP($A237,A:AL,37,FALSE)-50),"-",(VLOOKUP($A237,'SegEnds_NonXtal_BW#'!$A:$Z,25,FALSE)+VLOOKUP($A237,A:AL,37,FALSE)-50))</f>
        <v>317</v>
      </c>
      <c r="AK237" s="3">
        <v>320</v>
      </c>
      <c r="AL237" s="3">
        <f>IF(ISERROR((VLOOKUP($A237,'SegEnds_NonXtal_BW#'!$A:$Z,26,FALSE)+VLOOKUP($A237,A:AL,37,FALSE)-50)),"-",(VLOOKUP($A237,'SegEnds_NonXtal_BW#'!$A:$Z,26,FALSE)+VLOOKUP($A237,A:AL,37,FALSE)-50))</f>
        <v>329</v>
      </c>
      <c r="AM237" s="28" t="str">
        <f>VLOOKUP(A237,Classification!A:B,2,FALSE)</f>
        <v>A</v>
      </c>
      <c r="AN237" s="28" t="b">
        <f t="shared" si="156"/>
        <v>1</v>
      </c>
      <c r="AO237" s="3" t="str">
        <f>IF(ISERROR(MATCH(A237,'SegEnds_Xtal_Prot#'!B:B, 0)), "NoXtal", "Xtal")</f>
        <v>NoXtal</v>
      </c>
      <c r="AP237" s="3">
        <f t="shared" si="141"/>
        <v>1</v>
      </c>
      <c r="AQ237" s="3">
        <f t="shared" si="142"/>
        <v>1</v>
      </c>
      <c r="AR237" s="3">
        <f t="shared" si="143"/>
        <v>2</v>
      </c>
      <c r="AS237" s="3">
        <f t="shared" si="144"/>
        <v>1</v>
      </c>
      <c r="AT237" s="3">
        <f t="shared" si="145"/>
        <v>1</v>
      </c>
      <c r="AU237" s="3">
        <f t="shared" si="146"/>
        <v>1</v>
      </c>
      <c r="AV237" s="3">
        <f t="shared" si="147"/>
        <v>9</v>
      </c>
      <c r="AW237" s="3">
        <f t="shared" si="148"/>
        <v>5</v>
      </c>
      <c r="AX237" s="3">
        <f t="shared" si="149"/>
        <v>6</v>
      </c>
      <c r="AY237" s="3">
        <f t="shared" si="150"/>
        <v>5</v>
      </c>
      <c r="AZ237" s="3">
        <f t="shared" si="151"/>
        <v>1</v>
      </c>
      <c r="BA237" s="3">
        <f>IF(ISERROR(LEN(VLOOKUP(A237,Seqs!A:E,2,FALSE))-AL237),"-",LEN(VLOOKUP(A237,Seqs!A:E,2,FALSE))-AL237)</f>
        <v>89</v>
      </c>
      <c r="BB237" s="16">
        <f t="shared" si="152"/>
        <v>28</v>
      </c>
      <c r="BC237" s="9">
        <f t="shared" si="153"/>
        <v>20</v>
      </c>
      <c r="BD237" s="3">
        <f t="shared" si="154"/>
        <v>28</v>
      </c>
      <c r="BE237" s="3">
        <f t="shared" si="155"/>
        <v>54</v>
      </c>
    </row>
    <row r="238" spans="1:58" s="3" customFormat="1" x14ac:dyDescent="0.2">
      <c r="A238" s="3" t="s">
        <v>383</v>
      </c>
      <c r="B238" s="3" t="str">
        <f>LOWER(VLOOKUP(A238,Xtal_Templ!A:B,2,FALSE))</f>
        <v>oprk_human</v>
      </c>
      <c r="C238" s="3">
        <f>VLOOKUP($A238,'SegEnds_NonXtal_BW#'!$A:$Z,3,FALSE)+D238-50</f>
        <v>45</v>
      </c>
      <c r="D238" s="3">
        <v>65</v>
      </c>
      <c r="E238" s="3">
        <f>IF(ISERROR(VLOOKUP($A238,'SegEnds_NonXtal_BW#'!$A:$Z,4,FALSE)+VLOOKUP($A238,A:AL,4,FALSE)-50),"-",(VLOOKUP($A238,'SegEnds_NonXtal_BW#'!$A:$Z,4,FALSE)+VLOOKUP($A238,A:AL,4,FALSE)-50))</f>
        <v>75</v>
      </c>
      <c r="F238" s="3">
        <f t="shared" si="163"/>
        <v>76</v>
      </c>
      <c r="G238" s="3">
        <v>78</v>
      </c>
      <c r="H238" s="3">
        <f t="shared" si="164"/>
        <v>79</v>
      </c>
      <c r="I238" s="3">
        <f t="shared" si="164"/>
        <v>80</v>
      </c>
      <c r="J238" s="3">
        <v>93</v>
      </c>
      <c r="K238" s="3">
        <f>VLOOKUP($A238,'SegEnds_NonXtal_BW#'!$A:$Z,8,FALSE)+VLOOKUP($A238,A:AL,10,FALSE)-50</f>
        <v>109</v>
      </c>
      <c r="L238" s="3">
        <f t="shared" si="165"/>
        <v>111</v>
      </c>
      <c r="M238" s="3">
        <v>112</v>
      </c>
      <c r="N238" s="3">
        <f t="shared" si="166"/>
        <v>114</v>
      </c>
      <c r="O238" s="3">
        <f t="shared" si="162"/>
        <v>115</v>
      </c>
      <c r="P238" s="3">
        <v>144</v>
      </c>
      <c r="Q238" s="3">
        <f>VLOOKUP($A238,'SegEnds_NonXtal_BW#'!$A:$Z,12,FALSE)+VLOOKUP($A238,A:AL,16,FALSE)-50</f>
        <v>150</v>
      </c>
      <c r="R238" s="3">
        <f>IF(ISERROR(VLOOKUP($A238,'SegEnds_NonXtal_BW#'!$A:$Z,13,FALSE)+VLOOKUP($A238,A:AL,19,FALSE)-50),"-",VLOOKUP($A238,'SegEnds_NonXtal_BW#'!$A:$Z,13,FALSE)+VLOOKUP($A238,A:AL,19,FALSE)-50)</f>
        <v>151</v>
      </c>
      <c r="S238" s="3">
        <v>151</v>
      </c>
      <c r="T238" s="100">
        <f>IF(ISERROR(VLOOKUP($A238,'SegEnds_NonXtal_BW#'!$A:$Z,14,FALSE)+VLOOKUP($A238,A:AL,19,FALSE)-50),"-",(VLOOKUP($A238,'SegEnds_NonXtal_BW#'!$A:$Z,14,FALSE)+VLOOKUP($A238,A:AL,19,FALSE)-50))</f>
        <v>158</v>
      </c>
      <c r="U238" s="9">
        <f>IF(ISERROR(VLOOKUP($A238,'SegEnds_NonXtal_BW#'!$A:$Z,15,FALSE)+VLOOKUP($A238,A:AL,22,FALSE)-50),"-",VLOOKUP($A238,'SegEnds_NonXtal_BW#'!$A:$Z,15,FALSE)+VLOOKUP($A238,A:AL,22,FALSE)-50)</f>
        <v>159</v>
      </c>
      <c r="V238" s="3">
        <v>171</v>
      </c>
      <c r="W238" s="3">
        <f>IF(ISERROR(VLOOKUP($A238,'SegEnds_NonXtal_BW#'!$A:$Z,16,FALSE)+VLOOKUP($A238,A:AL,22,FALSE)-50),"-",(VLOOKUP($A238,'SegEnds_NonXtal_BW#'!$A:$Z,16,FALSE)+VLOOKUP($A238,A:AL,22,FALSE)-50))</f>
        <v>185</v>
      </c>
      <c r="X238" s="3">
        <f>IF(ISERROR(VLOOKUP($A238,'SegEnds_NonXtal_BW#'!$A:$Z,17,FALSE)+VLOOKUP($A238,A:AL,25,FALSE)-50),"-",(VLOOKUP($A238,'SegEnds_NonXtal_BW#'!$A:$Z,17,FALSE)+VLOOKUP($A238,A:AL,25,FALSE)-50))</f>
        <v>198</v>
      </c>
      <c r="Y238" s="3">
        <v>198</v>
      </c>
      <c r="Z238" s="3">
        <f t="shared" si="167"/>
        <v>200</v>
      </c>
      <c r="AA238" s="3">
        <f>IF(ISERROR(VLOOKUP($A238,'SegEnds_NonXtal_BW#'!$A:$Z,19,FALSE)+VLOOKUP($A238,A:AL,28,FALSE)-50),"-",(VLOOKUP($A238,'SegEnds_NonXtal_BW#'!$A:$Z,19,FALSE)+VLOOKUP($A238,A:AL,28,FALSE)-50))</f>
        <v>203</v>
      </c>
      <c r="AB238" s="3">
        <v>223</v>
      </c>
      <c r="AC238" s="3">
        <f>IF(ISERROR((VLOOKUP($A238,'SegEnds_NonXtal_BW#'!$A:$Z,20,FALSE)+VLOOKUP($A238,A:AL,28,FALSE)-50)),"-",(VLOOKUP($A238,'SegEnds_NonXtal_BW#'!$A:$Z,20,FALSE)+VLOOKUP($A238,A:AL,28,FALSE)-50))</f>
        <v>241</v>
      </c>
      <c r="AD238" s="3">
        <f>IF(ISERROR(VLOOKUP($A238,'SegEnds_NonXtal_BW#'!$A:$Z,21,FALSE)+VLOOKUP($A238,A:AL,31,FALSE)-50),"-",(VLOOKUP($A238,'SegEnds_NonXtal_BW#'!$A:$Z,21,FALSE)+VLOOKUP($A238,A:AL,31,FALSE)-50))</f>
        <v>247</v>
      </c>
      <c r="AE238" s="3">
        <v>274</v>
      </c>
      <c r="AF238" s="3">
        <f>IF(ISERROR((VLOOKUP($A238,'SegEnds_NonXtal_BW#'!$A:$Z,22,FALSE)+VLOOKUP($A238,A:AL,31,FALSE)-50)),"-",(VLOOKUP($A238,'SegEnds_NonXtal_BW#'!$A:$Z,22,FALSE)+VLOOKUP($A238,A:AL,31,FALSE)-50))</f>
        <v>285</v>
      </c>
      <c r="AG238" s="3">
        <f>IF(ISERROR(VLOOKUP($A238,'SegEnds_NonXtal_BW#'!$A:$Z,23,FALSE)+VLOOKUP($A238,A:AL,34,FALSE)-50),"-",(VLOOKUP($A238,'SegEnds_NonXtal_BW#'!$A:$Z,23,FALSE)+VLOOKUP($A238,A:AL,34,FALSE)-50))</f>
        <v>290</v>
      </c>
      <c r="AH238" s="3">
        <v>308</v>
      </c>
      <c r="AI238" s="3">
        <f>IF(ISERROR((VLOOKUP($A238,'SegEnds_NonXtal_BW#'!$A:$Z,24,FALSE)+VLOOKUP($A238,A:AL,34,FALSE)-50)),"-",(VLOOKUP($A238,'SegEnds_NonXtal_BW#'!$A:$Z,24,FALSE)+VLOOKUP($A238,A:AL,34,FALSE)-50))</f>
        <v>314</v>
      </c>
      <c r="AJ238" s="3">
        <f>IF(ISERROR(VLOOKUP($A238,'SegEnds_NonXtal_BW#'!$A:$Z,25,FALSE)+VLOOKUP($A238,A:AL,37,FALSE)-50),"-",(VLOOKUP($A238,'SegEnds_NonXtal_BW#'!$A:$Z,25,FALSE)+VLOOKUP($A238,A:AL,37,FALSE)-50))</f>
        <v>315</v>
      </c>
      <c r="AK238" s="3">
        <v>318</v>
      </c>
      <c r="AL238" s="3">
        <f>IF(ISERROR((VLOOKUP($A238,'SegEnds_NonXtal_BW#'!$A:$Z,26,FALSE)+VLOOKUP($A238,A:AL,37,FALSE)-50)),"-",(VLOOKUP($A238,'SegEnds_NonXtal_BW#'!$A:$Z,26,FALSE)+VLOOKUP($A238,A:AL,37,FALSE)-50))</f>
        <v>327</v>
      </c>
      <c r="AM238" s="28" t="str">
        <f>VLOOKUP(A238,Classification!A:B,2,FALSE)</f>
        <v>A</v>
      </c>
      <c r="AN238" s="28" t="b">
        <f t="shared" si="156"/>
        <v>1</v>
      </c>
      <c r="AO238" s="3" t="str">
        <f>IF(ISERROR(MATCH(A238,'SegEnds_Xtal_Prot#'!B:B, 0)), "NoXtal", "Xtal")</f>
        <v>NoXtal</v>
      </c>
      <c r="AP238" s="3">
        <f t="shared" si="141"/>
        <v>1</v>
      </c>
      <c r="AQ238" s="3">
        <f t="shared" si="142"/>
        <v>1</v>
      </c>
      <c r="AR238" s="3">
        <f t="shared" si="143"/>
        <v>2</v>
      </c>
      <c r="AS238" s="3">
        <f t="shared" si="144"/>
        <v>1</v>
      </c>
      <c r="AT238" s="3">
        <f t="shared" si="145"/>
        <v>1</v>
      </c>
      <c r="AU238" s="3">
        <f t="shared" si="146"/>
        <v>1</v>
      </c>
      <c r="AV238" s="3">
        <f t="shared" si="147"/>
        <v>13</v>
      </c>
      <c r="AW238" s="3">
        <f t="shared" si="148"/>
        <v>3</v>
      </c>
      <c r="AX238" s="3">
        <f t="shared" si="149"/>
        <v>6</v>
      </c>
      <c r="AY238" s="3">
        <f t="shared" si="150"/>
        <v>5</v>
      </c>
      <c r="AZ238" s="3">
        <f t="shared" si="151"/>
        <v>1</v>
      </c>
      <c r="BA238" s="3">
        <f>IF(ISERROR(LEN(VLOOKUP(A238,Seqs!A:E,2,FALSE))-AL238),"-",LEN(VLOOKUP(A238,Seqs!A:E,2,FALSE))-AL238)</f>
        <v>61</v>
      </c>
      <c r="BB238" s="16">
        <f t="shared" si="152"/>
        <v>28</v>
      </c>
      <c r="BC238" s="9">
        <f t="shared" si="153"/>
        <v>20</v>
      </c>
      <c r="BD238" s="3">
        <f t="shared" si="154"/>
        <v>28</v>
      </c>
      <c r="BE238" s="3">
        <f t="shared" si="155"/>
        <v>51</v>
      </c>
    </row>
    <row r="239" spans="1:58" s="3" customFormat="1" x14ac:dyDescent="0.2">
      <c r="A239" s="3" t="s">
        <v>384</v>
      </c>
      <c r="B239" s="3" t="str">
        <f>LOWER(VLOOKUP(A239,Xtal_Templ!A:B,2,FALSE))</f>
        <v>oprd_human</v>
      </c>
      <c r="C239" s="3">
        <f>VLOOKUP($A239,'SegEnds_NonXtal_BW#'!$A:$Z,3,FALSE)+D239-50</f>
        <v>30</v>
      </c>
      <c r="D239" s="3">
        <v>58</v>
      </c>
      <c r="E239" s="3">
        <f>IF(ISERROR(VLOOKUP($A239,'SegEnds_NonXtal_BW#'!$A:$Z,4,FALSE)+VLOOKUP($A239,A:AL,4,FALSE)-50),"-",(VLOOKUP($A239,'SegEnds_NonXtal_BW#'!$A:$Z,4,FALSE)+VLOOKUP($A239,A:AL,4,FALSE)-50))</f>
        <v>68</v>
      </c>
      <c r="F239" s="3">
        <f t="shared" si="163"/>
        <v>69</v>
      </c>
      <c r="G239" s="3">
        <v>71</v>
      </c>
      <c r="H239" s="3">
        <f t="shared" si="164"/>
        <v>72</v>
      </c>
      <c r="I239" s="3">
        <f t="shared" si="164"/>
        <v>73</v>
      </c>
      <c r="J239" s="3">
        <v>86</v>
      </c>
      <c r="K239" s="3">
        <f>VLOOKUP($A239,'SegEnds_NonXtal_BW#'!$A:$Z,8,FALSE)+VLOOKUP($A239,A:AL,10,FALSE)-50</f>
        <v>102</v>
      </c>
      <c r="L239" s="3">
        <f t="shared" si="165"/>
        <v>104</v>
      </c>
      <c r="M239" s="3">
        <v>105</v>
      </c>
      <c r="N239" s="3">
        <f t="shared" si="166"/>
        <v>107</v>
      </c>
      <c r="O239" s="3">
        <f t="shared" si="162"/>
        <v>108</v>
      </c>
      <c r="P239" s="3">
        <v>137</v>
      </c>
      <c r="Q239" s="3">
        <f>VLOOKUP($A239,'SegEnds_NonXtal_BW#'!$A:$Z,12,FALSE)+VLOOKUP($A239,A:AL,16,FALSE)-50</f>
        <v>143</v>
      </c>
      <c r="R239" s="3">
        <f>IF(ISERROR(VLOOKUP($A239,'SegEnds_NonXtal_BW#'!$A:$Z,13,FALSE)+VLOOKUP($A239,A:AL,19,FALSE)-50),"-",VLOOKUP($A239,'SegEnds_NonXtal_BW#'!$A:$Z,13,FALSE)+VLOOKUP($A239,A:AL,19,FALSE)-50)</f>
        <v>144</v>
      </c>
      <c r="S239" s="3">
        <v>144</v>
      </c>
      <c r="T239" s="100">
        <f>IF(ISERROR(VLOOKUP($A239,'SegEnds_NonXtal_BW#'!$A:$Z,14,FALSE)+VLOOKUP($A239,A:AL,19,FALSE)-50),"-",(VLOOKUP($A239,'SegEnds_NonXtal_BW#'!$A:$Z,14,FALSE)+VLOOKUP($A239,A:AL,19,FALSE)-50))</f>
        <v>151</v>
      </c>
      <c r="U239" s="9">
        <f>IF(ISERROR(VLOOKUP($A239,'SegEnds_NonXtal_BW#'!$A:$Z,15,FALSE)+VLOOKUP($A239,A:AL,22,FALSE)-50),"-",VLOOKUP($A239,'SegEnds_NonXtal_BW#'!$A:$Z,15,FALSE)+VLOOKUP($A239,A:AL,22,FALSE)-50)</f>
        <v>152</v>
      </c>
      <c r="V239" s="3">
        <v>164</v>
      </c>
      <c r="W239" s="3">
        <f>IF(ISERROR(VLOOKUP($A239,'SegEnds_NonXtal_BW#'!$A:$Z,16,FALSE)+VLOOKUP($A239,A:AL,22,FALSE)-50),"-",(VLOOKUP($A239,'SegEnds_NonXtal_BW#'!$A:$Z,16,FALSE)+VLOOKUP($A239,A:AL,22,FALSE)-50))</f>
        <v>178</v>
      </c>
      <c r="X239" s="3">
        <f>IF(ISERROR(VLOOKUP($A239,'SegEnds_NonXtal_BW#'!$A:$Z,17,FALSE)+VLOOKUP($A239,A:AL,25,FALSE)-50),"-",(VLOOKUP($A239,'SegEnds_NonXtal_BW#'!$A:$Z,17,FALSE)+VLOOKUP($A239,A:AL,25,FALSE)-50))</f>
        <v>186</v>
      </c>
      <c r="Y239" s="3">
        <v>186</v>
      </c>
      <c r="Z239" s="3">
        <f t="shared" si="167"/>
        <v>188</v>
      </c>
      <c r="AA239" s="3">
        <f>IF(ISERROR(VLOOKUP($A239,'SegEnds_NonXtal_BW#'!$A:$Z,19,FALSE)+VLOOKUP($A239,A:AL,28,FALSE)-50),"-",(VLOOKUP($A239,'SegEnds_NonXtal_BW#'!$A:$Z,19,FALSE)+VLOOKUP($A239,A:AL,28,FALSE)-50))</f>
        <v>193</v>
      </c>
      <c r="AB239" s="3">
        <v>213</v>
      </c>
      <c r="AC239" s="3">
        <f>IF(ISERROR((VLOOKUP($A239,'SegEnds_NonXtal_BW#'!$A:$Z,20,FALSE)+VLOOKUP($A239,A:AL,28,FALSE)-50)),"-",(VLOOKUP($A239,'SegEnds_NonXtal_BW#'!$A:$Z,20,FALSE)+VLOOKUP($A239,A:AL,28,FALSE)-50))</f>
        <v>235</v>
      </c>
      <c r="AD239" s="3">
        <f>IF(ISERROR(VLOOKUP($A239,'SegEnds_NonXtal_BW#'!$A:$Z,21,FALSE)+VLOOKUP($A239,A:AL,31,FALSE)-50),"-",(VLOOKUP($A239,'SegEnds_NonXtal_BW#'!$A:$Z,21,FALSE)+VLOOKUP($A239,A:AL,31,FALSE)-50))</f>
        <v>242</v>
      </c>
      <c r="AE239" s="3">
        <v>263</v>
      </c>
      <c r="AF239" s="3">
        <f>IF(ISERROR((VLOOKUP($A239,'SegEnds_NonXtal_BW#'!$A:$Z,22,FALSE)+VLOOKUP($A239,A:AL,31,FALSE)-50)),"-",(VLOOKUP($A239,'SegEnds_NonXtal_BW#'!$A:$Z,22,FALSE)+VLOOKUP($A239,A:AL,31,FALSE)-50))</f>
        <v>274</v>
      </c>
      <c r="AG239" s="3">
        <f>IF(ISERROR(VLOOKUP($A239,'SegEnds_NonXtal_BW#'!$A:$Z,23,FALSE)+VLOOKUP($A239,A:AL,34,FALSE)-50),"-",(VLOOKUP($A239,'SegEnds_NonXtal_BW#'!$A:$Z,23,FALSE)+VLOOKUP($A239,A:AL,34,FALSE)-50))</f>
        <v>279</v>
      </c>
      <c r="AH239" s="3">
        <v>301</v>
      </c>
      <c r="AI239" s="3">
        <f>IF(ISERROR((VLOOKUP($A239,'SegEnds_NonXtal_BW#'!$A:$Z,24,FALSE)+VLOOKUP($A239,A:AL,34,FALSE)-50)),"-",(VLOOKUP($A239,'SegEnds_NonXtal_BW#'!$A:$Z,24,FALSE)+VLOOKUP($A239,A:AL,34,FALSE)-50))</f>
        <v>307</v>
      </c>
      <c r="AJ239" s="3">
        <f>IF(ISERROR(VLOOKUP($A239,'SegEnds_NonXtal_BW#'!$A:$Z,25,FALSE)+VLOOKUP($A239,A:AL,37,FALSE)-50),"-",(VLOOKUP($A239,'SegEnds_NonXtal_BW#'!$A:$Z,25,FALSE)+VLOOKUP($A239,A:AL,37,FALSE)-50))</f>
        <v>308</v>
      </c>
      <c r="AK239" s="3">
        <v>311</v>
      </c>
      <c r="AL239" s="3">
        <f>IF(ISERROR((VLOOKUP($A239,'SegEnds_NonXtal_BW#'!$A:$Z,26,FALSE)+VLOOKUP($A239,A:AL,37,FALSE)-50)),"-",(VLOOKUP($A239,'SegEnds_NonXtal_BW#'!$A:$Z,26,FALSE)+VLOOKUP($A239,A:AL,37,FALSE)-50))</f>
        <v>321</v>
      </c>
      <c r="AM239" s="28" t="str">
        <f>VLOOKUP(A239,Classification!A:B,2,FALSE)</f>
        <v>A</v>
      </c>
      <c r="AN239" s="28" t="b">
        <f t="shared" si="156"/>
        <v>1</v>
      </c>
      <c r="AO239" s="3" t="str">
        <f>IF(ISERROR(MATCH(A239,'SegEnds_Xtal_Prot#'!B:B, 0)), "NoXtal", "Xtal")</f>
        <v>NoXtal</v>
      </c>
      <c r="AP239" s="3">
        <f t="shared" si="141"/>
        <v>1</v>
      </c>
      <c r="AQ239" s="3">
        <f t="shared" si="142"/>
        <v>1</v>
      </c>
      <c r="AR239" s="3">
        <f t="shared" si="143"/>
        <v>2</v>
      </c>
      <c r="AS239" s="3">
        <f t="shared" si="144"/>
        <v>1</v>
      </c>
      <c r="AT239" s="3">
        <f t="shared" si="145"/>
        <v>1</v>
      </c>
      <c r="AU239" s="3">
        <f t="shared" si="146"/>
        <v>1</v>
      </c>
      <c r="AV239" s="3">
        <f t="shared" si="147"/>
        <v>8</v>
      </c>
      <c r="AW239" s="3">
        <f t="shared" si="148"/>
        <v>5</v>
      </c>
      <c r="AX239" s="3">
        <f t="shared" si="149"/>
        <v>7</v>
      </c>
      <c r="AY239" s="3">
        <f t="shared" si="150"/>
        <v>5</v>
      </c>
      <c r="AZ239" s="3">
        <f t="shared" si="151"/>
        <v>1</v>
      </c>
      <c r="BA239" s="3">
        <f>IF(ISERROR(LEN(VLOOKUP(A239,Seqs!A:E,2,FALSE))-AL239),"-",LEN(VLOOKUP(A239,Seqs!A:E,2,FALSE))-AL239)</f>
        <v>43</v>
      </c>
      <c r="BB239" s="16">
        <f t="shared" si="152"/>
        <v>28</v>
      </c>
      <c r="BC239" s="9">
        <f t="shared" si="153"/>
        <v>20</v>
      </c>
      <c r="BD239" s="3">
        <f t="shared" si="154"/>
        <v>28</v>
      </c>
      <c r="BE239" s="3">
        <f t="shared" si="155"/>
        <v>50</v>
      </c>
    </row>
    <row r="240" spans="1:58" s="3" customFormat="1" x14ac:dyDescent="0.2">
      <c r="A240" s="3" t="s">
        <v>385</v>
      </c>
      <c r="B240" s="3" t="str">
        <f>LOWER(VLOOKUP(A240,Xtal_Templ!A:B,2,FALSE))</f>
        <v>sucr1_rat</v>
      </c>
      <c r="C240" s="3">
        <f>VLOOKUP($A240,'SegEnds_NonXtal_BW#'!$A:$Z,3,FALSE)+D240-50</f>
        <v>11</v>
      </c>
      <c r="D240" s="3">
        <v>41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56</v>
      </c>
      <c r="J240" s="3">
        <v>69</v>
      </c>
      <c r="K240" s="3">
        <f>VLOOKUP($A240,'SegEnds_NonXtal_BW#'!$A:$Z,8,FALSE)+VLOOKUP($A240,A:AL,10,FALSE)-50</f>
        <v>85</v>
      </c>
      <c r="L240" s="3">
        <f t="shared" si="165"/>
        <v>87</v>
      </c>
      <c r="M240" s="3">
        <v>88</v>
      </c>
      <c r="N240" s="3">
        <f t="shared" si="166"/>
        <v>90</v>
      </c>
      <c r="O240" s="3">
        <f t="shared" si="162"/>
        <v>91</v>
      </c>
      <c r="P240" s="3">
        <v>120</v>
      </c>
      <c r="Q240" s="3">
        <f>VLOOKUP($A240,'SegEnds_NonXtal_BW#'!$A:$Z,12,FALSE)+VLOOKUP($A240,A:AL,16,FALSE)-50</f>
        <v>126</v>
      </c>
      <c r="R240" s="3">
        <f>IF(ISERROR(VLOOKUP($A240,'SegEnds_NonXtal_BW#'!$A:$Z,13,FALSE)+VLOOKUP($A240,A:AL,19,FALSE)-50),"-",VLOOKUP($A240,'SegEnds_NonXtal_BW#'!$A:$Z,13,FALSE)+VLOOKUP($A240,A:AL,19,FALSE)-50)</f>
        <v>127</v>
      </c>
      <c r="S240" s="3">
        <v>127</v>
      </c>
      <c r="T240" s="100">
        <f>IF(ISERROR(VLOOKUP($A240,'SegEnds_NonXtal_BW#'!$A:$Z,14,FALSE)+VLOOKUP($A240,A:AL,19,FALSE)-50),"-",(VLOOKUP($A240,'SegEnds_NonXtal_BW#'!$A:$Z,14,FALSE)+VLOOKUP($A240,A:AL,19,FALSE)-50))</f>
        <v>134</v>
      </c>
      <c r="U240" s="9">
        <f>IF(ISERROR(VLOOKUP($A240,'SegEnds_NonXtal_BW#'!$A:$Z,15,FALSE)+VLOOKUP($A240,A:AL,22,FALSE)-50),"-",VLOOKUP($A240,'SegEnds_NonXtal_BW#'!$A:$Z,15,FALSE)+VLOOKUP($A240,A:AL,22,FALSE)-50)</f>
        <v>135</v>
      </c>
      <c r="V240" s="3">
        <v>147</v>
      </c>
      <c r="W240" s="3">
        <f>IF(ISERROR(VLOOKUP($A240,'SegEnds_NonXtal_BW#'!$A:$Z,16,FALSE)+VLOOKUP($A240,A:AL,22,FALSE)-50),"-",(VLOOKUP($A240,'SegEnds_NonXtal_BW#'!$A:$Z,16,FALSE)+VLOOKUP($A240,A:AL,22,FALSE)-50))</f>
        <v>164</v>
      </c>
      <c r="X240" s="3">
        <f>IF(ISERROR(VLOOKUP($A240,'SegEnds_NonXtal_BW#'!$A:$Z,17,FALSE)+VLOOKUP($A240,A:AL,25,FALSE)-50),"-",(VLOOKUP($A240,'SegEnds_NonXtal_BW#'!$A:$Z,17,FALSE)+VLOOKUP($A240,A:AL,25,FALSE)-50))</f>
        <v>172</v>
      </c>
      <c r="Y240" s="3">
        <v>172</v>
      </c>
      <c r="Z240" s="3">
        <f t="shared" si="167"/>
        <v>174</v>
      </c>
      <c r="AA240" s="3">
        <f>IF(ISERROR(VLOOKUP($A240,'SegEnds_NonXtal_BW#'!$A:$Z,19,FALSE)+VLOOKUP($A240,A:AL,28,FALSE)-50),"-",(VLOOKUP($A240,'SegEnds_NonXtal_BW#'!$A:$Z,19,FALSE)+VLOOKUP($A240,A:AL,28,FALSE)-50))</f>
        <v>180</v>
      </c>
      <c r="AB240" s="3">
        <v>199</v>
      </c>
      <c r="AC240" s="3">
        <f>IF(ISERROR((VLOOKUP($A240,'SegEnds_NonXtal_BW#'!$A:$Z,20,FALSE)+VLOOKUP($A240,A:AL,28,FALSE)-50)),"-",(VLOOKUP($A240,'SegEnds_NonXtal_BW#'!$A:$Z,20,FALSE)+VLOOKUP($A240,A:AL,28,FALSE)-50))</f>
        <v>217</v>
      </c>
      <c r="AD240" s="3">
        <f>IF(ISERROR(VLOOKUP($A240,'SegEnds_NonXtal_BW#'!$A:$Z,21,FALSE)+VLOOKUP($A240,A:AL,31,FALSE)-50),"-",(VLOOKUP($A240,'SegEnds_NonXtal_BW#'!$A:$Z,21,FALSE)+VLOOKUP($A240,A:AL,31,FALSE)-50))</f>
        <v>221</v>
      </c>
      <c r="AE240" s="3">
        <v>247</v>
      </c>
      <c r="AF240" s="3">
        <f>IF(ISERROR((VLOOKUP($A240,'SegEnds_NonXtal_BW#'!$A:$Z,22,FALSE)+VLOOKUP($A240,A:AL,31,FALSE)-50)),"-",(VLOOKUP($A240,'SegEnds_NonXtal_BW#'!$A:$Z,22,FALSE)+VLOOKUP($A240,A:AL,31,FALSE)-50))</f>
        <v>261</v>
      </c>
      <c r="AG240" s="3">
        <f>IF(ISERROR(VLOOKUP($A240,'SegEnds_NonXtal_BW#'!$A:$Z,23,FALSE)+VLOOKUP($A240,A:AL,34,FALSE)-50),"-",(VLOOKUP($A240,'SegEnds_NonXtal_BW#'!$A:$Z,23,FALSE)+VLOOKUP($A240,A:AL,34,FALSE)-50))</f>
        <v>266</v>
      </c>
      <c r="AH240" s="3">
        <v>292</v>
      </c>
      <c r="AI240" s="3">
        <f>IF(ISERROR((VLOOKUP($A240,'SegEnds_NonXtal_BW#'!$A:$Z,24,FALSE)+VLOOKUP($A240,A:AL,34,FALSE)-50)),"-",(VLOOKUP($A240,'SegEnds_NonXtal_BW#'!$A:$Z,24,FALSE)+VLOOKUP($A240,A:AL,34,FALSE)-50))</f>
        <v>298</v>
      </c>
      <c r="AJ240" s="3">
        <f>IF(ISERROR(VLOOKUP($A240,'SegEnds_NonXtal_BW#'!$A:$Z,25,FALSE)+VLOOKUP($A240,A:AL,37,FALSE)-50),"-",(VLOOKUP($A240,'SegEnds_NonXtal_BW#'!$A:$Z,25,FALSE)+VLOOKUP($A240,A:AL,37,FALSE)-50))</f>
        <v>299</v>
      </c>
      <c r="AK240" s="3">
        <v>302</v>
      </c>
      <c r="AL240" s="3">
        <f>IF(ISERROR((VLOOKUP($A240,'SegEnds_NonXtal_BW#'!$A:$Z,26,FALSE)+VLOOKUP($A240,A:AL,37,FALSE)-50)),"-",(VLOOKUP($A240,'SegEnds_NonXtal_BW#'!$A:$Z,26,FALSE)+VLOOKUP($A240,A:AL,37,FALSE)-50))</f>
        <v>317</v>
      </c>
      <c r="AM240" s="28" t="str">
        <f>VLOOKUP(A240,Classification!A:B,2,FALSE)</f>
        <v>A</v>
      </c>
      <c r="AN240" s="28" t="b">
        <f t="shared" si="156"/>
        <v>1</v>
      </c>
      <c r="AO240" s="3" t="str">
        <f>IF(ISERROR(MATCH(A240,'SegEnds_Xtal_Prot#'!B:B, 0)), "NoXtal", "Xtal")</f>
        <v>NoXtal</v>
      </c>
      <c r="AP240" s="3" t="str">
        <f t="shared" si="141"/>
        <v>-</v>
      </c>
      <c r="AQ240" s="3" t="str">
        <f t="shared" si="142"/>
        <v>-</v>
      </c>
      <c r="AR240" s="3">
        <f t="shared" si="143"/>
        <v>2</v>
      </c>
      <c r="AS240" s="3">
        <f t="shared" si="144"/>
        <v>1</v>
      </c>
      <c r="AT240" s="3">
        <f t="shared" si="145"/>
        <v>1</v>
      </c>
      <c r="AU240" s="3">
        <f t="shared" si="146"/>
        <v>1</v>
      </c>
      <c r="AV240" s="3">
        <f t="shared" si="147"/>
        <v>8</v>
      </c>
      <c r="AW240" s="3">
        <f t="shared" si="148"/>
        <v>6</v>
      </c>
      <c r="AX240" s="3">
        <f t="shared" si="149"/>
        <v>4</v>
      </c>
      <c r="AY240" s="3">
        <f t="shared" si="150"/>
        <v>5</v>
      </c>
      <c r="AZ240" s="3">
        <f t="shared" si="151"/>
        <v>1</v>
      </c>
      <c r="BA240" s="3">
        <f>IF(ISERROR(LEN(VLOOKUP(A240,Seqs!A:E,2,FALSE))-AL240),"-",LEN(VLOOKUP(A240,Seqs!A:E,2,FALSE))-AL240)</f>
        <v>17</v>
      </c>
      <c r="BB240" s="16">
        <f t="shared" si="152"/>
        <v>28</v>
      </c>
      <c r="BC240" s="9">
        <f t="shared" si="153"/>
        <v>20</v>
      </c>
      <c r="BD240" s="3">
        <f t="shared" si="154"/>
        <v>28</v>
      </c>
      <c r="BE240" s="3">
        <f t="shared" si="155"/>
        <v>48</v>
      </c>
      <c r="BF240" s="3">
        <f t="shared" ref="BF240:BF249" si="168">AH240-AE240</f>
        <v>45</v>
      </c>
    </row>
    <row r="241" spans="1:58" s="3" customFormat="1" x14ac:dyDescent="0.2">
      <c r="A241" s="3" t="s">
        <v>1591</v>
      </c>
      <c r="B241" s="3" t="str">
        <f>LOWER(VLOOKUP(A241,Xtal_Templ!A:B,2,FALSE))</f>
        <v>sucr1_rat</v>
      </c>
      <c r="C241" s="3">
        <f>VLOOKUP($A241,'SegEnds_NonXtal_BW#'!$A:$Z,3,FALSE)+D241-50</f>
        <v>7</v>
      </c>
      <c r="D241" s="3">
        <v>37</v>
      </c>
      <c r="E241" s="3">
        <f>IF(ISERROR(VLOOKUP($A241,'SegEnds_NonXtal_BW#'!$A:$Z,4,FALSE)+VLOOKUP($A241,A:AL,4,FALSE)-50),"-",(VLOOKUP($A241,'SegEnds_NonXtal_BW#'!$A:$Z,4,FALSE)+VLOOKUP($A241,A:AL,4,FALSE)-50))</f>
        <v>48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52</v>
      </c>
      <c r="J241" s="3">
        <v>65</v>
      </c>
      <c r="K241" s="3">
        <f>VLOOKUP($A241,'SegEnds_NonXtal_BW#'!$A:$Z,8,FALSE)+VLOOKUP($A241,A:AL,10,FALSE)-50</f>
        <v>82</v>
      </c>
      <c r="L241" s="3">
        <f t="shared" ref="L241" si="169">M241-1</f>
        <v>83</v>
      </c>
      <c r="M241" s="3">
        <v>84</v>
      </c>
      <c r="N241" s="3">
        <f t="shared" ref="N241" si="170">M241+2</f>
        <v>86</v>
      </c>
      <c r="O241" s="3">
        <f t="shared" ref="O241" si="171">N241+1</f>
        <v>87</v>
      </c>
      <c r="P241" s="3">
        <v>116</v>
      </c>
      <c r="Q241" s="3">
        <f>VLOOKUP($A241,'SegEnds_NonXtal_BW#'!$A:$Z,12,FALSE)+VLOOKUP($A241,A:AL,16,FALSE)-50</f>
        <v>122</v>
      </c>
      <c r="R241" s="3">
        <f>IF(ISERROR(VLOOKUP($A241,'SegEnds_NonXtal_BW#'!$A:$Z,13,FALSE)+VLOOKUP($A241,A:AL,19,FALSE)-50),"-",VLOOKUP($A241,'SegEnds_NonXtal_BW#'!$A:$Z,13,FALSE)+VLOOKUP($A241,A:AL,19,FALSE)-50)</f>
        <v>123</v>
      </c>
      <c r="S241" s="3">
        <v>123</v>
      </c>
      <c r="T241" s="100">
        <f>IF(ISERROR(VLOOKUP($A241,'SegEnds_NonXtal_BW#'!$A:$Z,14,FALSE)+VLOOKUP($A241,A:AL,19,FALSE)-50),"-",(VLOOKUP($A241,'SegEnds_NonXtal_BW#'!$A:$Z,14,FALSE)+VLOOKUP($A241,A:AL,19,FALSE)-50))</f>
        <v>130</v>
      </c>
      <c r="U241" s="9">
        <f>IF(ISERROR(VLOOKUP($A241,'SegEnds_NonXtal_BW#'!$A:$Z,15,FALSE)+VLOOKUP($A241,A:AL,22,FALSE)-50),"-",VLOOKUP($A241,'SegEnds_NonXtal_BW#'!$A:$Z,15,FALSE)+VLOOKUP($A241,A:AL,22,FALSE)-50)</f>
        <v>131</v>
      </c>
      <c r="V241" s="3">
        <v>143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168</v>
      </c>
      <c r="Y241" s="3">
        <v>168</v>
      </c>
      <c r="Z241" s="3">
        <f t="shared" ref="Z241" si="172">Y241+2</f>
        <v>170</v>
      </c>
      <c r="AA241" s="3">
        <f>IF(ISERROR(VLOOKUP($A241,'SegEnds_NonXtal_BW#'!$A:$Z,19,FALSE)+VLOOKUP($A241,A:AL,28,FALSE)-50),"-",(VLOOKUP($A241,'SegEnds_NonXtal_BW#'!$A:$Z,19,FALSE)+VLOOKUP($A241,A:AL,28,FALSE)-50))</f>
        <v>176</v>
      </c>
      <c r="AB241" s="3">
        <v>195</v>
      </c>
      <c r="AC241" s="3">
        <f>IF(ISERROR((VLOOKUP($A241,'SegEnds_NonXtal_BW#'!$A:$Z,20,FALSE)+VLOOKUP($A241,A:AL,28,FALSE)-50)),"-",(VLOOKUP($A241,'SegEnds_NonXtal_BW#'!$A:$Z,20,FALSE)+VLOOKUP($A241,A:AL,28,FALSE)-50))</f>
        <v>213</v>
      </c>
      <c r="AD241" s="3">
        <f>IF(ISERROR(VLOOKUP($A241,'SegEnds_NonXtal_BW#'!$A:$Z,21,FALSE)+VLOOKUP($A241,A:AL,31,FALSE)-50),"-",(VLOOKUP($A241,'SegEnds_NonXtal_BW#'!$A:$Z,21,FALSE)+VLOOKUP($A241,A:AL,31,FALSE)-50))</f>
        <v>217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256</v>
      </c>
      <c r="AG241" s="3">
        <f>IF(ISERROR(VLOOKUP($A241,'SegEnds_NonXtal_BW#'!$A:$Z,23,FALSE)+VLOOKUP($A241,A:AL,34,FALSE)-50),"-",(VLOOKUP($A241,'SegEnds_NonXtal_BW#'!$A:$Z,23,FALSE)+VLOOKUP($A241,A:AL,34,FALSE)-50))</f>
        <v>263</v>
      </c>
      <c r="AH241" s="3">
        <v>287</v>
      </c>
      <c r="AI241" s="3">
        <f>IF(ISERROR((VLOOKUP($A241,'SegEnds_NonXtal_BW#'!$A:$Z,24,FALSE)+VLOOKUP($A241,A:AL,34,FALSE)-50)),"-",(VLOOKUP($A241,'SegEnds_NonXtal_BW#'!$A:$Z,24,FALSE)+VLOOKUP($A241,A:AL,34,FALSE)-50))</f>
        <v>293</v>
      </c>
      <c r="AJ241" s="3">
        <f>IF(ISERROR(VLOOKUP($A241,'SegEnds_NonXtal_BW#'!$A:$Z,25,FALSE)+VLOOKUP($A241,A:AL,37,FALSE)-50),"-",(VLOOKUP($A241,'SegEnds_NonXtal_BW#'!$A:$Z,25,FALSE)+VLOOKUP($A241,A:AL,37,FALSE)-50))</f>
        <v>294</v>
      </c>
      <c r="AK241" s="3">
        <v>297</v>
      </c>
      <c r="AL241" s="3">
        <f>IF(ISERROR((VLOOKUP($A241,'SegEnds_NonXtal_BW#'!$A:$Z,26,FALSE)+VLOOKUP($A241,A:AL,37,FALSE)-50)),"-",(VLOOKUP($A241,'SegEnds_NonXtal_BW#'!$A:$Z,26,FALSE)+VLOOKUP($A241,A:AL,37,FALSE)-50))</f>
        <v>312</v>
      </c>
      <c r="AM241" s="28" t="str">
        <f>VLOOKUP(A241,Classification!A:B,2,FALSE)</f>
        <v>A</v>
      </c>
      <c r="AN241" s="28" t="b">
        <f t="shared" ref="AN241" si="173">AND(IF(Y241="-",IF(AA241-W241&gt;3,TRUE,FALSE),TRUE),IF(M241="-",IF(O241-K241&gt;3,TRUE,FALSE),TRUE),IF(AG241-AF241&gt;1,TRUE,FALSE),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    <v>1</v>
      </c>
      <c r="AO241" s="3" t="str">
        <f>IF(ISERROR(MATCH(A241,'SegEnds_Xtal_Prot#'!B:B, 0)), "NoXtal", "Xtal")</f>
        <v>Xtal</v>
      </c>
      <c r="AP241" s="3" t="str">
        <f t="shared" ref="AP241" si="174">IF(ISERROR(F241-E241),"-",F241-E241)</f>
        <v>-</v>
      </c>
      <c r="AQ241" s="3" t="str">
        <f t="shared" ref="AQ241" si="175">IF(ISERROR(I241-H241),"-",I241-H241)</f>
        <v>-</v>
      </c>
      <c r="AR241" s="3">
        <f t="shared" ref="AR241" si="176">IF(ISERROR(L241-K241),"-",L241-K241)</f>
        <v>1</v>
      </c>
      <c r="AS241" s="3">
        <f t="shared" ref="AS241" si="177">IF(ISERROR(O241-N241),"-",O241-N241)</f>
        <v>1</v>
      </c>
      <c r="AT241" s="3">
        <f t="shared" ref="AT241" si="178">IF(ISERROR(R241-Q241),"-",R241-Q241)</f>
        <v>1</v>
      </c>
      <c r="AU241" s="3">
        <f t="shared" ref="AU241" si="179">IF(ISERROR(U241-T241),"-",U241-T241)</f>
        <v>1</v>
      </c>
      <c r="AV241" s="3">
        <f t="shared" ref="AV241" si="180">IF(ISERROR(X241-W241),"-",X241-W241)</f>
        <v>8</v>
      </c>
      <c r="AW241" s="3">
        <f t="shared" ref="AW241" si="181">IF(ISERROR(AA241-Z241),"-",AA241-Z241)</f>
        <v>6</v>
      </c>
      <c r="AX241" s="3">
        <f t="shared" ref="AX241" si="182">IF(ISERROR(AD241-AC241),"-",AD241-AC241)</f>
        <v>4</v>
      </c>
      <c r="AY241" s="3">
        <f t="shared" ref="AY241" si="183">IF(ISERROR(AG241-AF241),"-",AG241-AF241)</f>
        <v>7</v>
      </c>
      <c r="AZ241" s="3">
        <f t="shared" ref="AZ241" si="184">IF(ISERROR(AJ241-AI241),"-",AJ241-AI241)</f>
        <v>1</v>
      </c>
      <c r="BA241" s="3">
        <f>IF(ISERROR(LEN(VLOOKUP(A241,Seqs!A:E,2,FALSE))-AL241),"-",LEN(VLOOKUP(A241,Seqs!A:E,2,FALSE))-AL241)</f>
        <v>5</v>
      </c>
      <c r="BB241" s="16">
        <f t="shared" ref="BB241" si="185">J241-D241</f>
        <v>28</v>
      </c>
      <c r="BC241" s="9">
        <f t="shared" ref="BC241" si="186">IF(ISERROR(V241-S241),"-",V241-S241)</f>
        <v>20</v>
      </c>
      <c r="BD241" s="3">
        <f t="shared" ref="BD241" si="187">J241-D241</f>
        <v>28</v>
      </c>
      <c r="BE241" s="3">
        <f t="shared" ref="BE241" si="188">AE241-AB241</f>
        <v>48</v>
      </c>
      <c r="BF241" s="3">
        <f t="shared" ref="BF241" si="189">AH241-AE241</f>
        <v>44</v>
      </c>
    </row>
    <row r="242" spans="1:58" s="3" customFormat="1" x14ac:dyDescent="0.2">
      <c r="A242" s="3" t="s">
        <v>469</v>
      </c>
      <c r="B242" s="3" t="str">
        <f>LOWER(VLOOKUP(A242,Xtal_Templ!A:B,2,FALSE))</f>
        <v>ta2r_human</v>
      </c>
      <c r="C242" s="3">
        <f>VLOOKUP($A242,'SegEnds_NonXtal_BW#'!$A:$Z,3,FALSE)+D242-50</f>
        <v>27</v>
      </c>
      <c r="D242" s="3">
        <v>42</v>
      </c>
      <c r="E242" s="3">
        <f>IF(ISERROR(VLOOKUP($A242,'SegEnds_NonXtal_BW#'!$A:$Z,4,FALSE)+VLOOKUP($A242,A:AL,4,FALSE)-50),"-",(VLOOKUP($A242,'SegEnds_NonXtal_BW#'!$A:$Z,4,FALSE)+VLOOKUP($A242,A:AL,4,FALSE)-50))</f>
        <v>54</v>
      </c>
      <c r="F242" s="3" t="str">
        <f>IF(ISERROR(VLOOKUP($A242,'SegEnds_NonXtal_BW#'!$A:$Z,5,FALSE)+VLOOKUP($A242,A:AL,7,FALSE)-50),"-",(VLOOKUP($A242,'SegEnds_NonXtal_BW#'!$A:$Z,5,FALSE)+VLOOKUP($A242,A:AL,7,FALSE)-50))</f>
        <v>-</v>
      </c>
      <c r="G242" s="3" t="s">
        <v>23</v>
      </c>
      <c r="H242" s="3" t="str">
        <f>IF(ISERROR(VLOOKUP($A242,'SegEnds_NonXtal_BW#'!$A:$Z,6,FALSE)+VLOOKUP($A242,A:AL,7,FALSE)-50),"-",(VLOOKUP($A242,'SegEnds_NonXtal_BW#'!$A:$Z,6,FALSE)+VLOOKUP($A242,A:AL,7,FALSE)-50))</f>
        <v>-</v>
      </c>
      <c r="I242" s="3">
        <f>VLOOKUP($A242,'SegEnds_NonXtal_BW#'!$A:$Z,7,FALSE)+J242-50</f>
        <v>61</v>
      </c>
      <c r="J242" s="3">
        <v>74</v>
      </c>
      <c r="K242" s="3">
        <f>VLOOKUP($A242,'SegEnds_NonXtal_BW#'!$A:$Z,8,FALSE)+VLOOKUP($A242,A:AL,10,FALSE)-50</f>
        <v>91</v>
      </c>
      <c r="L242" s="3">
        <f t="shared" si="165"/>
        <v>94</v>
      </c>
      <c r="M242" s="3">
        <v>95</v>
      </c>
      <c r="N242" s="105">
        <v>98</v>
      </c>
      <c r="O242" s="105">
        <v>102</v>
      </c>
      <c r="P242" s="3">
        <v>130</v>
      </c>
      <c r="Q242" s="3">
        <f>VLOOKUP($A242,'SegEnds_NonXtal_BW#'!$A:$Z,12,FALSE)+VLOOKUP($A242,A:AL,16,FALSE)-50</f>
        <v>136</v>
      </c>
      <c r="R242" s="3">
        <f>IF(ISERROR(VLOOKUP($A242,'SegEnds_NonXtal_BW#'!$A:$Z,13,FALSE)+VLOOKUP($A242,A:AL,19,FALSE)-50),"-",VLOOKUP($A242,'SegEnds_NonXtal_BW#'!$A:$Z,13,FALSE)+VLOOKUP($A242,A:AL,19,FALSE)-50)</f>
        <v>137</v>
      </c>
      <c r="S242" s="3">
        <v>137</v>
      </c>
      <c r="T242" s="100">
        <f>IF(ISERROR(VLOOKUP($A242,'SegEnds_NonXtal_BW#'!$A:$Z,14,FALSE)+VLOOKUP($A242,A:AL,19,FALSE)-50),"-",(VLOOKUP($A242,'SegEnds_NonXtal_BW#'!$A:$Z,14,FALSE)+VLOOKUP($A242,A:AL,19,FALSE)-50))</f>
        <v>144</v>
      </c>
      <c r="U242" s="9">
        <f>IF(ISERROR(VLOOKUP($A242,'SegEnds_NonXtal_BW#'!$A:$Z,15,FALSE)+VLOOKUP($A242,A:AL,22,FALSE)-50),"-",VLOOKUP($A242,'SegEnds_NonXtal_BW#'!$A:$Z,15,FALSE)+VLOOKUP($A242,A:AL,22,FALSE)-50)</f>
        <v>145</v>
      </c>
      <c r="V242" s="3">
        <v>157</v>
      </c>
      <c r="W242" s="3">
        <f>IF(ISERROR(VLOOKUP($A242,'SegEnds_NonXtal_BW#'!$A:$Z,16,FALSE)+VLOOKUP($A242,A:AL,22,FALSE)-50),"-",(VLOOKUP($A242,'SegEnds_NonXtal_BW#'!$A:$Z,16,FALSE)+VLOOKUP($A242,A:AL,22,FALSE)-50))</f>
        <v>170</v>
      </c>
      <c r="X242" s="3">
        <f>Y242</f>
        <v>183</v>
      </c>
      <c r="Y242" s="3">
        <v>183</v>
      </c>
      <c r="Z242" s="3">
        <f t="shared" si="167"/>
        <v>185</v>
      </c>
      <c r="AA242" s="3">
        <f>IF(ISERROR(VLOOKUP($A242,'SegEnds_NonXtal_BW#'!$A:$Z,19,FALSE)+VLOOKUP($A242,A:AL,28,FALSE)-50),"-",(VLOOKUP($A242,'SegEnds_NonXtal_BW#'!$A:$Z,19,FALSE)+VLOOKUP($A242,A:AL,28,FALSE)-50))</f>
        <v>190</v>
      </c>
      <c r="AB242" s="3">
        <v>207</v>
      </c>
      <c r="AC242" s="3">
        <f>IF(ISERROR((VLOOKUP($A242,'SegEnds_NonXtal_BW#'!$A:$Z,20,FALSE)+VLOOKUP($A242,A:AL,28,FALSE)-50)),"-",(VLOOKUP($A242,'SegEnds_NonXtal_BW#'!$A:$Z,20,FALSE)+VLOOKUP($A242,A:AL,28,FALSE)-50))</f>
        <v>229</v>
      </c>
      <c r="AD242" s="3">
        <f>IF(ISERROR(VLOOKUP($A242,'SegEnds_NonXtal_BW#'!$A:$Z,21,FALSE)+VLOOKUP($A242,A:AL,31,FALSE)-50),"-",(VLOOKUP($A242,'SegEnds_NonXtal_BW#'!$A:$Z,21,FALSE)+VLOOKUP($A242,A:AL,31,FALSE)-50))</f>
        <v>234</v>
      </c>
      <c r="AE242" s="3">
        <v>260</v>
      </c>
      <c r="AF242" s="3">
        <f>IF(ISERROR((VLOOKUP($A242,'SegEnds_NonXtal_BW#'!$A:$Z,22,FALSE)+VLOOKUP($A242,A:AL,31,FALSE)-50)),"-",(VLOOKUP($A242,'SegEnds_NonXtal_BW#'!$A:$Z,22,FALSE)+VLOOKUP($A242,A:AL,31,FALSE)-50))</f>
        <v>271</v>
      </c>
      <c r="AG242" s="3">
        <f>IF(ISERROR(VLOOKUP($A242,'SegEnds_NonXtal_BW#'!$A:$Z,23,FALSE)+VLOOKUP($A242,A:AL,34,FALSE)-50),"-",(VLOOKUP($A242,'SegEnds_NonXtal_BW#'!$A:$Z,23,FALSE)+VLOOKUP($A242,A:AL,34,FALSE)-50))</f>
        <v>283</v>
      </c>
      <c r="AH242" s="3">
        <v>305</v>
      </c>
      <c r="AI242" s="3">
        <f>IF(ISERROR((VLOOKUP($A242,'SegEnds_NonXtal_BW#'!$A:$Z,24,FALSE)+VLOOKUP($A242,A:AL,34,FALSE)-50)),"-",(VLOOKUP($A242,'SegEnds_NonXtal_BW#'!$A:$Z,24,FALSE)+VLOOKUP($A242,A:AL,34,FALSE)-50))</f>
        <v>311</v>
      </c>
      <c r="AJ242" s="3">
        <f>IF(ISERROR(VLOOKUP($A242,'SegEnds_NonXtal_BW#'!$A:$Z,25,FALSE)+VLOOKUP($A242,A:AL,37,FALSE)-50),"-",(VLOOKUP($A242,'SegEnds_NonXtal_BW#'!$A:$Z,25,FALSE)+VLOOKUP($A242,A:AL,37,FALSE)-50))</f>
        <v>312</v>
      </c>
      <c r="AK242" s="3">
        <v>315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56"/>
        <v>1</v>
      </c>
      <c r="AO242" s="3" t="str">
        <f>IF(ISERROR(MATCH(A242,'SegEnds_Xtal_Prot#'!B:B, 0)), "NoXtal", "Xtal")</f>
        <v>Xtal</v>
      </c>
      <c r="AP242" s="3" t="str">
        <f t="shared" si="141"/>
        <v>-</v>
      </c>
      <c r="AQ242" s="3" t="str">
        <f t="shared" si="142"/>
        <v>-</v>
      </c>
      <c r="AR242" s="3">
        <f t="shared" si="143"/>
        <v>3</v>
      </c>
      <c r="AS242" s="3">
        <f t="shared" si="144"/>
        <v>4</v>
      </c>
      <c r="AT242" s="3">
        <f t="shared" si="145"/>
        <v>1</v>
      </c>
      <c r="AU242" s="3">
        <f t="shared" si="146"/>
        <v>1</v>
      </c>
      <c r="AV242" s="3">
        <f t="shared" si="147"/>
        <v>13</v>
      </c>
      <c r="AW242" s="3">
        <f t="shared" si="148"/>
        <v>5</v>
      </c>
      <c r="AX242" s="3">
        <f t="shared" si="149"/>
        <v>5</v>
      </c>
      <c r="AY242" s="3">
        <f t="shared" si="150"/>
        <v>12</v>
      </c>
      <c r="AZ242" s="3">
        <f t="shared" si="151"/>
        <v>1</v>
      </c>
      <c r="BA242" s="3">
        <f>IF(ISERROR(LEN(VLOOKUP(A242,Seqs!A:E,2,FALSE))-AL242),"-",LEN(VLOOKUP(A242,Seqs!A:E,2,FALSE))-AL242)</f>
        <v>12</v>
      </c>
      <c r="BB242" s="16">
        <f t="shared" si="152"/>
        <v>32</v>
      </c>
      <c r="BC242" s="9">
        <f t="shared" si="153"/>
        <v>20</v>
      </c>
      <c r="BD242" s="3">
        <f t="shared" si="154"/>
        <v>32</v>
      </c>
      <c r="BE242" s="3">
        <f t="shared" si="155"/>
        <v>53</v>
      </c>
      <c r="BF242" s="3">
        <f t="shared" si="168"/>
        <v>45</v>
      </c>
    </row>
    <row r="243" spans="1:58" s="3" customFormat="1" x14ac:dyDescent="0.2">
      <c r="A243" s="3" t="s">
        <v>386</v>
      </c>
      <c r="B243" s="3" t="str">
        <f>LOWER(VLOOKUP(A243,Xtal_Templ!A:B,2,FALSE))</f>
        <v>drd2_human</v>
      </c>
      <c r="C243" s="3">
        <f>VLOOKUP($A243,'SegEnds_NonXtal_BW#'!$A:$Z,3,FALSE)+D243-50</f>
        <v>20</v>
      </c>
      <c r="D243" s="3">
        <v>41</v>
      </c>
      <c r="E243" s="3">
        <f>IF(ISERROR(VLOOKUP($A243,'SegEnds_NonXtal_BW#'!$A:$Z,4,FALSE)+VLOOKUP($A243,A:AL,4,FALSE)-50),"-",(VLOOKUP($A243,'SegEnds_NonXtal_BW#'!$A:$Z,4,FALSE)+VLOOKUP($A243,A:AL,4,FALSE)-50))</f>
        <v>51</v>
      </c>
      <c r="F243" s="3">
        <f t="shared" ref="F243:F264" si="190">G243-2</f>
        <v>52</v>
      </c>
      <c r="G243" s="3">
        <v>54</v>
      </c>
      <c r="H243" s="3">
        <f t="shared" ref="H243:I264" si="191">G243+1</f>
        <v>55</v>
      </c>
      <c r="I243" s="3">
        <f t="shared" si="191"/>
        <v>56</v>
      </c>
      <c r="J243" s="3">
        <v>69</v>
      </c>
      <c r="K243" s="3">
        <f>VLOOKUP($A243,'SegEnds_NonXtal_BW#'!$A:$Z,8,FALSE)+VLOOKUP($A243,A:AL,10,FALSE)-50</f>
        <v>87</v>
      </c>
      <c r="L243" s="3">
        <f t="shared" si="165"/>
        <v>88</v>
      </c>
      <c r="M243" s="3">
        <v>89</v>
      </c>
      <c r="N243" s="3">
        <f t="shared" si="166"/>
        <v>91</v>
      </c>
      <c r="O243" s="3">
        <f t="shared" si="162"/>
        <v>92</v>
      </c>
      <c r="P243" s="3">
        <v>121</v>
      </c>
      <c r="Q243" s="3">
        <f>VLOOKUP($A243,'SegEnds_NonXtal_BW#'!$A:$Z,12,FALSE)+VLOOKUP($A243,A:AL,16,FALSE)-50</f>
        <v>127</v>
      </c>
      <c r="R243" s="3">
        <f>IF(ISERROR(VLOOKUP($A243,'SegEnds_NonXtal_BW#'!$A:$Z,13,FALSE)+VLOOKUP($A243,A:AL,19,FALSE)-50),"-",VLOOKUP($A243,'SegEnds_NonXtal_BW#'!$A:$Z,13,FALSE)+VLOOKUP($A243,A:AL,19,FALSE)-50)</f>
        <v>128</v>
      </c>
      <c r="S243" s="3">
        <v>128</v>
      </c>
      <c r="T243" s="100">
        <f>IF(ISERROR(VLOOKUP($A243,'SegEnds_NonXtal_BW#'!$A:$Z,14,FALSE)+VLOOKUP($A243,A:AL,19,FALSE)-50),"-",(VLOOKUP($A243,'SegEnds_NonXtal_BW#'!$A:$Z,14,FALSE)+VLOOKUP($A243,A:AL,19,FALSE)-50))</f>
        <v>135</v>
      </c>
      <c r="U243" s="9">
        <f>IF(ISERROR(VLOOKUP($A243,'SegEnds_NonXtal_BW#'!$A:$Z,15,FALSE)+VLOOKUP($A243,A:AL,22,FALSE)-50),"-",VLOOKUP($A243,'SegEnds_NonXtal_BW#'!$A:$Z,15,FALSE)+VLOOKUP($A243,A:AL,22,FALSE)-50)</f>
        <v>136</v>
      </c>
      <c r="V243" s="3">
        <v>148</v>
      </c>
      <c r="W243" s="3">
        <f>IF(ISERROR(VLOOKUP($A243,'SegEnds_NonXtal_BW#'!$A:$Z,16,FALSE)+VLOOKUP($A243,A:AL,22,FALSE)-50),"-",(VLOOKUP($A243,'SegEnds_NonXtal_BW#'!$A:$Z,16,FALSE)+VLOOKUP($A243,A:AL,22,FALSE)-50))</f>
        <v>160</v>
      </c>
      <c r="X243" s="3">
        <f>IF(ISERROR(VLOOKUP($A243,'SegEnds_NonXtal_BW#'!$A:$Z,17,FALSE)+VLOOKUP($A243,A:AL,25,FALSE)-50),"-",(VLOOKUP($A243,'SegEnds_NonXtal_BW#'!$A:$Z,17,FALSE)+VLOOKUP($A243,A:AL,25,FALSE)-50))</f>
        <v>182</v>
      </c>
      <c r="Y243" s="3">
        <v>182</v>
      </c>
      <c r="Z243" s="3">
        <f t="shared" si="167"/>
        <v>184</v>
      </c>
      <c r="AA243" s="3">
        <f>IF(ISERROR(VLOOKUP($A243,'SegEnds_NonXtal_BW#'!$A:$Z,19,FALSE)+VLOOKUP($A243,A:AL,28,FALSE)-50),"-",(VLOOKUP($A243,'SegEnds_NonXtal_BW#'!$A:$Z,19,FALSE)+VLOOKUP($A243,A:AL,28,FALSE)-50))</f>
        <v>187</v>
      </c>
      <c r="AB243" s="3">
        <v>202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239</v>
      </c>
      <c r="AE243" s="3">
        <v>266</v>
      </c>
      <c r="AF243" s="3">
        <f>IF(ISERROR((VLOOKUP($A243,'SegEnds_NonXtal_BW#'!$A:$Z,22,FALSE)+VLOOKUP($A243,A:AL,31,FALSE)-50)),"-",(VLOOKUP($A243,'SegEnds_NonXtal_BW#'!$A:$Z,22,FALSE)+VLOOKUP($A243,A:AL,31,FALSE)-50))</f>
        <v>277</v>
      </c>
      <c r="AG243" s="3">
        <f>IF(ISERROR(VLOOKUP($A243,'SegEnds_NonXtal_BW#'!$A:$Z,23,FALSE)+VLOOKUP($A243,A:AL,34,FALSE)-50),"-",(VLOOKUP($A243,'SegEnds_NonXtal_BW#'!$A:$Z,23,FALSE)+VLOOKUP($A243,A:AL,34,FALSE)-50))</f>
        <v>282</v>
      </c>
      <c r="AH243" s="3">
        <v>301</v>
      </c>
      <c r="AI243" s="3">
        <v>307</v>
      </c>
      <c r="AJ243" s="3">
        <f>IF(ISERROR(VLOOKUP($A243,'SegEnds_NonXtal_BW#'!$A:$Z,25,FALSE)+VLOOKUP($A243,A:AL,37,FALSE)-50),"-",(VLOOKUP($A243,'SegEnds_NonXtal_BW#'!$A:$Z,25,FALSE)+VLOOKUP($A243,A:AL,37,FALSE)-50))</f>
        <v>308</v>
      </c>
      <c r="AK243" s="3">
        <v>311</v>
      </c>
      <c r="AL243" s="3">
        <f>IF(ISERROR((VLOOKUP($A243,'SegEnds_NonXtal_BW#'!$A:$Z,26,FALSE)+VLOOKUP($A243,A:AL,37,FALSE)-50)),"-",(VLOOKUP($A243,'SegEnds_NonXtal_BW#'!$A:$Z,26,FALSE)+VLOOKUP($A243,A:AL,37,FALSE)-50))</f>
        <v>320</v>
      </c>
      <c r="AM243" s="28" t="str">
        <f>VLOOKUP(A243,Classification!A:B,2,FALSE)</f>
        <v>A</v>
      </c>
      <c r="AN243" s="28" t="b">
        <f t="shared" si="156"/>
        <v>1</v>
      </c>
      <c r="AO243" s="3" t="str">
        <f>IF(ISERROR(MATCH(A243,'SegEnds_Xtal_Prot#'!B:B, 0)), "NoXtal", "Xtal")</f>
        <v>NoXtal</v>
      </c>
      <c r="AP243" s="3">
        <f t="shared" si="141"/>
        <v>1</v>
      </c>
      <c r="AQ243" s="3">
        <f t="shared" si="142"/>
        <v>1</v>
      </c>
      <c r="AR243" s="3">
        <f t="shared" si="143"/>
        <v>1</v>
      </c>
      <c r="AS243" s="3">
        <f t="shared" si="144"/>
        <v>1</v>
      </c>
      <c r="AT243" s="3">
        <f t="shared" si="145"/>
        <v>1</v>
      </c>
      <c r="AU243" s="3">
        <f t="shared" si="146"/>
        <v>1</v>
      </c>
      <c r="AV243" s="3">
        <f t="shared" si="147"/>
        <v>22</v>
      </c>
      <c r="AW243" s="3">
        <f t="shared" si="148"/>
        <v>3</v>
      </c>
      <c r="AX243" s="3">
        <f t="shared" si="149"/>
        <v>6</v>
      </c>
      <c r="AY243" s="3">
        <f t="shared" si="150"/>
        <v>5</v>
      </c>
      <c r="AZ243" s="3">
        <f t="shared" si="151"/>
        <v>1</v>
      </c>
      <c r="BA243" s="3">
        <f>IF(ISERROR(LEN(VLOOKUP(A243,Seqs!A:E,2,FALSE))-AL243),"-",LEN(VLOOKUP(A243,Seqs!A:E,2,FALSE))-AL243)</f>
        <v>19</v>
      </c>
      <c r="BB243" s="16">
        <f t="shared" si="152"/>
        <v>28</v>
      </c>
      <c r="BC243" s="9">
        <f t="shared" si="153"/>
        <v>20</v>
      </c>
      <c r="BD243" s="3">
        <f t="shared" si="154"/>
        <v>28</v>
      </c>
      <c r="BE243" s="3">
        <f t="shared" si="155"/>
        <v>64</v>
      </c>
      <c r="BF243" s="3">
        <f t="shared" si="168"/>
        <v>35</v>
      </c>
    </row>
    <row r="244" spans="1:58" s="3" customFormat="1" x14ac:dyDescent="0.2">
      <c r="A244" s="3" t="s">
        <v>387</v>
      </c>
      <c r="B244" s="3" t="str">
        <f>LOWER(VLOOKUP(A244,Xtal_Templ!A:B,2,FALSE))</f>
        <v>ada2a_human</v>
      </c>
      <c r="C244" s="3">
        <f>VLOOKUP($A244,'SegEnds_NonXtal_BW#'!$A:$Z,3,FALSE)+D244-50</f>
        <v>43</v>
      </c>
      <c r="D244" s="3">
        <v>61</v>
      </c>
      <c r="E244" s="3">
        <f>IF(ISERROR(VLOOKUP($A244,'SegEnds_NonXtal_BW#'!$A:$Z,4,FALSE)+VLOOKUP($A244,A:AL,4,FALSE)-50),"-",(VLOOKUP($A244,'SegEnds_NonXtal_BW#'!$A:$Z,4,FALSE)+VLOOKUP($A244,A:AL,4,FALSE)-50))</f>
        <v>71</v>
      </c>
      <c r="F244" s="3">
        <f t="shared" si="190"/>
        <v>72</v>
      </c>
      <c r="G244" s="3">
        <v>74</v>
      </c>
      <c r="H244" s="3">
        <f t="shared" si="191"/>
        <v>75</v>
      </c>
      <c r="I244" s="3">
        <f t="shared" si="191"/>
        <v>76</v>
      </c>
      <c r="J244" s="3">
        <v>89</v>
      </c>
      <c r="K244" s="3">
        <f>VLOOKUP($A244,'SegEnds_NonXtal_BW#'!$A:$Z,8,FALSE)+VLOOKUP($A244,A:AL,10,FALSE)-50</f>
        <v>107</v>
      </c>
      <c r="L244" s="3">
        <f t="shared" si="165"/>
        <v>108</v>
      </c>
      <c r="M244" s="3">
        <v>109</v>
      </c>
      <c r="N244" s="3">
        <f t="shared" si="166"/>
        <v>111</v>
      </c>
      <c r="O244" s="3">
        <f t="shared" si="162"/>
        <v>112</v>
      </c>
      <c r="P244" s="3">
        <v>141</v>
      </c>
      <c r="Q244" s="3">
        <f>VLOOKUP($A244,'SegEnds_NonXtal_BW#'!$A:$Z,12,FALSE)+VLOOKUP($A244,A:AL,16,FALSE)-50</f>
        <v>147</v>
      </c>
      <c r="R244" s="3">
        <f>IF(ISERROR(VLOOKUP($A244,'SegEnds_NonXtal_BW#'!$A:$Z,13,FALSE)+VLOOKUP($A244,A:AL,19,FALSE)-50),"-",VLOOKUP($A244,'SegEnds_NonXtal_BW#'!$A:$Z,13,FALSE)+VLOOKUP($A244,A:AL,19,FALSE)-50)</f>
        <v>148</v>
      </c>
      <c r="S244" s="3">
        <v>148</v>
      </c>
      <c r="T244" s="100">
        <f>IF(ISERROR(VLOOKUP($A244,'SegEnds_NonXtal_BW#'!$A:$Z,14,FALSE)+VLOOKUP($A244,A:AL,19,FALSE)-50),"-",(VLOOKUP($A244,'SegEnds_NonXtal_BW#'!$A:$Z,14,FALSE)+VLOOKUP($A244,A:AL,19,FALSE)-50))</f>
        <v>155</v>
      </c>
      <c r="U244" s="9">
        <f>IF(ISERROR(VLOOKUP($A244,'SegEnds_NonXtal_BW#'!$A:$Z,15,FALSE)+VLOOKUP($A244,A:AL,22,FALSE)-50),"-",VLOOKUP($A244,'SegEnds_NonXtal_BW#'!$A:$Z,15,FALSE)+VLOOKUP($A244,A:AL,22,FALSE)-50)</f>
        <v>156</v>
      </c>
      <c r="V244" s="3">
        <v>168</v>
      </c>
      <c r="W244" s="3">
        <f>IF(ISERROR(VLOOKUP($A244,'SegEnds_NonXtal_BW#'!$A:$Z,16,FALSE)+VLOOKUP($A244,A:AL,22,FALSE)-50),"-",(VLOOKUP($A244,'SegEnds_NonXtal_BW#'!$A:$Z,16,FALSE)+VLOOKUP($A244,A:AL,22,FALSE)-50))</f>
        <v>180</v>
      </c>
      <c r="X244" s="3">
        <f>IF(ISERROR(VLOOKUP($A244,'SegEnds_NonXtal_BW#'!$A:$Z,17,FALSE)+VLOOKUP($A244,A:AL,25,FALSE)-50),"-",(VLOOKUP($A244,'SegEnds_NonXtal_BW#'!$A:$Z,17,FALSE)+VLOOKUP($A244,A:AL,25,FALSE)-50))</f>
        <v>201</v>
      </c>
      <c r="Y244" s="3">
        <v>201</v>
      </c>
      <c r="Z244" s="3">
        <f t="shared" si="167"/>
        <v>203</v>
      </c>
      <c r="AA244" s="3">
        <f>IF(ISERROR(VLOOKUP($A244,'SegEnds_NonXtal_BW#'!$A:$Z,19,FALSE)+VLOOKUP($A244,A:AL,28,FALSE)-50),"-",(VLOOKUP($A244,'SegEnds_NonXtal_BW#'!$A:$Z,19,FALSE)+VLOOKUP($A244,A:AL,28,FALSE)-50))</f>
        <v>206</v>
      </c>
      <c r="AB244" s="3">
        <v>221</v>
      </c>
      <c r="AC244" s="3">
        <f>IF(ISERROR((VLOOKUP($A244,'SegEnds_NonXtal_BW#'!$A:$Z,20,FALSE)+VLOOKUP($A244,A:AL,28,FALSE)-50)),"-",(VLOOKUP($A244,'SegEnds_NonXtal_BW#'!$A:$Z,20,FALSE)+VLOOKUP($A244,A:AL,28,FALSE)-50))</f>
        <v>244</v>
      </c>
      <c r="AD244" s="3">
        <f>IF(ISERROR(VLOOKUP($A244,'SegEnds_NonXtal_BW#'!$A:$Z,21,FALSE)+VLOOKUP($A244,A:AL,31,FALSE)-50),"-",(VLOOKUP($A244,'SegEnds_NonXtal_BW#'!$A:$Z,21,FALSE)+VLOOKUP($A244,A:AL,31,FALSE)-50))</f>
        <v>249</v>
      </c>
      <c r="AE244" s="3">
        <v>277</v>
      </c>
      <c r="AF244" s="3">
        <f>IF(ISERROR((VLOOKUP($A244,'SegEnds_NonXtal_BW#'!$A:$Z,22,FALSE)+VLOOKUP($A244,A:AL,31,FALSE)-50)),"-",(VLOOKUP($A244,'SegEnds_NonXtal_BW#'!$A:$Z,22,FALSE)+VLOOKUP($A244,A:AL,31,FALSE)-50))</f>
        <v>288</v>
      </c>
      <c r="AG244" s="3">
        <f>IF(ISERROR(VLOOKUP($A244,'SegEnds_NonXtal_BW#'!$A:$Z,23,FALSE)+VLOOKUP($A244,A:AL,34,FALSE)-50),"-",(VLOOKUP($A244,'SegEnds_NonXtal_BW#'!$A:$Z,23,FALSE)+VLOOKUP($A244,A:AL,34,FALSE)-50))</f>
        <v>293</v>
      </c>
      <c r="AH244" s="3">
        <v>312</v>
      </c>
      <c r="AI244" s="3">
        <f>IF(ISERROR((VLOOKUP($A244,'SegEnds_NonXtal_BW#'!$A:$Z,24,FALSE)+VLOOKUP($A244,A:AL,34,FALSE)-50)),"-",(VLOOKUP($A244,'SegEnds_NonXtal_BW#'!$A:$Z,24,FALSE)+VLOOKUP($A244,A:AL,34,FALSE)-50))</f>
        <v>318</v>
      </c>
      <c r="AJ244" s="3">
        <f>IF(ISERROR(VLOOKUP($A244,'SegEnds_NonXtal_BW#'!$A:$Z,25,FALSE)+VLOOKUP($A244,A:AL,37,FALSE)-50),"-",(VLOOKUP($A244,'SegEnds_NonXtal_BW#'!$A:$Z,25,FALSE)+VLOOKUP($A244,A:AL,37,FALSE)-50))</f>
        <v>319</v>
      </c>
      <c r="AK244" s="3">
        <v>322</v>
      </c>
      <c r="AL244" s="3">
        <f>IF(ISERROR((VLOOKUP($A244,'SegEnds_NonXtal_BW#'!$A:$Z,26,FALSE)+VLOOKUP($A244,A:AL,37,FALSE)-50)),"-",(VLOOKUP($A244,'SegEnds_NonXtal_BW#'!$A:$Z,26,FALSE)+VLOOKUP($A244,A:AL,37,FALSE)-50))</f>
        <v>332</v>
      </c>
      <c r="AM244" s="28" t="str">
        <f>VLOOKUP(A244,Classification!A:B,2,FALSE)</f>
        <v>A</v>
      </c>
      <c r="AN244" s="28" t="b">
        <f t="shared" si="156"/>
        <v>1</v>
      </c>
      <c r="AO244" s="3" t="str">
        <f>IF(ISERROR(MATCH(A244,'SegEnds_Xtal_Prot#'!B:B, 0)), "NoXtal", "Xtal")</f>
        <v>NoXtal</v>
      </c>
      <c r="AP244" s="3">
        <f t="shared" si="141"/>
        <v>1</v>
      </c>
      <c r="AQ244" s="3">
        <f t="shared" si="142"/>
        <v>1</v>
      </c>
      <c r="AR244" s="3">
        <f t="shared" si="143"/>
        <v>1</v>
      </c>
      <c r="AS244" s="3">
        <f t="shared" si="144"/>
        <v>1</v>
      </c>
      <c r="AT244" s="3">
        <f t="shared" si="145"/>
        <v>1</v>
      </c>
      <c r="AU244" s="3">
        <f t="shared" si="146"/>
        <v>1</v>
      </c>
      <c r="AV244" s="3">
        <f t="shared" si="147"/>
        <v>21</v>
      </c>
      <c r="AW244" s="3">
        <f t="shared" si="148"/>
        <v>3</v>
      </c>
      <c r="AX244" s="3">
        <f t="shared" si="149"/>
        <v>5</v>
      </c>
      <c r="AY244" s="3">
        <f t="shared" si="150"/>
        <v>5</v>
      </c>
      <c r="AZ244" s="3">
        <f t="shared" si="151"/>
        <v>1</v>
      </c>
      <c r="BA244" s="3">
        <f>IF(ISERROR(LEN(VLOOKUP(A244,Seqs!A:E,2,FALSE))-AL244),"-",LEN(VLOOKUP(A244,Seqs!A:E,2,FALSE))-AL244)</f>
        <v>19</v>
      </c>
      <c r="BB244" s="16">
        <f t="shared" si="152"/>
        <v>28</v>
      </c>
      <c r="BC244" s="9">
        <f t="shared" si="153"/>
        <v>20</v>
      </c>
      <c r="BD244" s="3">
        <f t="shared" si="154"/>
        <v>28</v>
      </c>
      <c r="BE244" s="3">
        <f t="shared" si="155"/>
        <v>56</v>
      </c>
      <c r="BF244" s="3">
        <f t="shared" si="168"/>
        <v>35</v>
      </c>
    </row>
    <row r="245" spans="1:58" s="3" customFormat="1" x14ac:dyDescent="0.2">
      <c r="A245" s="3" t="s">
        <v>388</v>
      </c>
      <c r="B245" s="3" t="str">
        <f>LOWER(VLOOKUP(A245,Xtal_Templ!A:B,2,FALSE))</f>
        <v>drd2_human</v>
      </c>
      <c r="C245" s="3">
        <f>VLOOKUP($A245,'SegEnds_NonXtal_BW#'!$A:$Z,3,FALSE)+D245-50</f>
        <v>28</v>
      </c>
      <c r="D245" s="3">
        <v>49</v>
      </c>
      <c r="E245" s="3">
        <f>IF(ISERROR(VLOOKUP($A245,'SegEnds_NonXtal_BW#'!$A:$Z,4,FALSE)+VLOOKUP($A245,A:AL,4,FALSE)-50),"-",(VLOOKUP($A245,'SegEnds_NonXtal_BW#'!$A:$Z,4,FALSE)+VLOOKUP($A245,A:AL,4,FALSE)-50))</f>
        <v>59</v>
      </c>
      <c r="F245" s="3">
        <f t="shared" si="190"/>
        <v>60</v>
      </c>
      <c r="G245" s="3">
        <v>62</v>
      </c>
      <c r="H245" s="3">
        <f t="shared" si="191"/>
        <v>63</v>
      </c>
      <c r="I245" s="3">
        <f t="shared" si="191"/>
        <v>64</v>
      </c>
      <c r="J245" s="3">
        <v>77</v>
      </c>
      <c r="K245" s="3">
        <f>VLOOKUP($A245,'SegEnds_NonXtal_BW#'!$A:$Z,8,FALSE)+VLOOKUP($A245,A:AL,10,FALSE)-50</f>
        <v>95</v>
      </c>
      <c r="L245" s="3">
        <f t="shared" si="165"/>
        <v>96</v>
      </c>
      <c r="M245" s="3">
        <v>97</v>
      </c>
      <c r="N245" s="3">
        <f t="shared" si="166"/>
        <v>99</v>
      </c>
      <c r="O245" s="3">
        <f t="shared" si="162"/>
        <v>100</v>
      </c>
      <c r="P245" s="3">
        <v>129</v>
      </c>
      <c r="Q245" s="3">
        <f>VLOOKUP($A245,'SegEnds_NonXtal_BW#'!$A:$Z,12,FALSE)+VLOOKUP($A245,A:AL,16,FALSE)-50</f>
        <v>135</v>
      </c>
      <c r="R245" s="3">
        <f>IF(ISERROR(VLOOKUP($A245,'SegEnds_NonXtal_BW#'!$A:$Z,13,FALSE)+VLOOKUP($A245,A:AL,19,FALSE)-50),"-",VLOOKUP($A245,'SegEnds_NonXtal_BW#'!$A:$Z,13,FALSE)+VLOOKUP($A245,A:AL,19,FALSE)-50)</f>
        <v>136</v>
      </c>
      <c r="S245" s="3">
        <v>136</v>
      </c>
      <c r="T245" s="100">
        <f>IF(ISERROR(VLOOKUP($A245,'SegEnds_NonXtal_BW#'!$A:$Z,14,FALSE)+VLOOKUP($A245,A:AL,19,FALSE)-50),"-",(VLOOKUP($A245,'SegEnds_NonXtal_BW#'!$A:$Z,14,FALSE)+VLOOKUP($A245,A:AL,19,FALSE)-50))</f>
        <v>143</v>
      </c>
      <c r="U245" s="9">
        <f>IF(ISERROR(VLOOKUP($A245,'SegEnds_NonXtal_BW#'!$A:$Z,15,FALSE)+VLOOKUP($A245,A:AL,22,FALSE)-50),"-",VLOOKUP($A245,'SegEnds_NonXtal_BW#'!$A:$Z,15,FALSE)+VLOOKUP($A245,A:AL,22,FALSE)-50)</f>
        <v>144</v>
      </c>
      <c r="V245" s="3">
        <v>156</v>
      </c>
      <c r="W245" s="3">
        <f>IF(ISERROR(VLOOKUP($A245,'SegEnds_NonXtal_BW#'!$A:$Z,16,FALSE)+VLOOKUP($A245,A:AL,22,FALSE)-50),"-",(VLOOKUP($A245,'SegEnds_NonXtal_BW#'!$A:$Z,16,FALSE)+VLOOKUP($A245,A:AL,22,FALSE)-50))</f>
        <v>168</v>
      </c>
      <c r="X245" s="3">
        <f>IF(ISERROR(VLOOKUP($A245,'SegEnds_NonXtal_BW#'!$A:$Z,17,FALSE)+VLOOKUP($A245,A:AL,25,FALSE)-50),"-",(VLOOKUP($A245,'SegEnds_NonXtal_BW#'!$A:$Z,17,FALSE)+VLOOKUP($A245,A:AL,25,FALSE)-50))</f>
        <v>189</v>
      </c>
      <c r="Y245" s="3">
        <v>189</v>
      </c>
      <c r="Z245" s="3">
        <f t="shared" si="167"/>
        <v>191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240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271</v>
      </c>
      <c r="AF245" s="3">
        <f>IF(ISERROR((VLOOKUP($A245,'SegEnds_NonXtal_BW#'!$A:$Z,22,FALSE)+VLOOKUP($A245,A:AL,31,FALSE)-50)),"-",(VLOOKUP($A245,'SegEnds_NonXtal_BW#'!$A:$Z,22,FALSE)+VLOOKUP($A245,A:AL,31,FALSE)-50))</f>
        <v>282</v>
      </c>
      <c r="AG245" s="3">
        <f>IF(ISERROR(VLOOKUP($A245,'SegEnds_NonXtal_BW#'!$A:$Z,23,FALSE)+VLOOKUP($A245,A:AL,34,FALSE)-50),"-",(VLOOKUP($A245,'SegEnds_NonXtal_BW#'!$A:$Z,23,FALSE)+VLOOKUP($A245,A:AL,34,FALSE)-50))</f>
        <v>287</v>
      </c>
      <c r="AH245" s="3">
        <v>306</v>
      </c>
      <c r="AI245" s="3">
        <f>IF(ISERROR((VLOOKUP($A245,'SegEnds_NonXtal_BW#'!$A:$Z,24,FALSE)+VLOOKUP($A245,A:AL,34,FALSE)-50)),"-",(VLOOKUP($A245,'SegEnds_NonXtal_BW#'!$A:$Z,24,FALSE)+VLOOKUP($A245,A:AL,34,FALSE)-50))</f>
        <v>312</v>
      </c>
      <c r="AJ245" s="3">
        <f>IF(ISERROR(VLOOKUP($A245,'SegEnds_NonXtal_BW#'!$A:$Z,25,FALSE)+VLOOKUP($A245,A:AL,37,FALSE)-50),"-",(VLOOKUP($A245,'SegEnds_NonXtal_BW#'!$A:$Z,25,FALSE)+VLOOKUP($A245,A:AL,37,FALSE)-50))</f>
        <v>313</v>
      </c>
      <c r="AK245" s="3">
        <v>316</v>
      </c>
      <c r="AL245" s="3">
        <f>IF(ISERROR((VLOOKUP($A245,'SegEnds_NonXtal_BW#'!$A:$Z,26,FALSE)+VLOOKUP($A245,A:AL,37,FALSE)-50)),"-",(VLOOKUP($A245,'SegEnds_NonXtal_BW#'!$A:$Z,26,FALSE)+VLOOKUP($A245,A:AL,37,FALSE)-50))</f>
        <v>325</v>
      </c>
      <c r="AM245" s="28" t="str">
        <f>VLOOKUP(A245,Classification!A:B,2,FALSE)</f>
        <v>A</v>
      </c>
      <c r="AN245" s="28" t="b">
        <f t="shared" si="156"/>
        <v>1</v>
      </c>
      <c r="AO245" s="3" t="str">
        <f>IF(ISERROR(MATCH(A245,'SegEnds_Xtal_Prot#'!B:B, 0)), "NoXtal", "Xtal")</f>
        <v>NoXtal</v>
      </c>
      <c r="AP245" s="3">
        <f t="shared" si="141"/>
        <v>1</v>
      </c>
      <c r="AQ245" s="3">
        <f t="shared" si="142"/>
        <v>1</v>
      </c>
      <c r="AR245" s="3">
        <f t="shared" si="143"/>
        <v>1</v>
      </c>
      <c r="AS245" s="3">
        <f t="shared" si="144"/>
        <v>1</v>
      </c>
      <c r="AT245" s="3">
        <f t="shared" si="145"/>
        <v>1</v>
      </c>
      <c r="AU245" s="3">
        <f t="shared" si="146"/>
        <v>1</v>
      </c>
      <c r="AV245" s="3">
        <f t="shared" si="147"/>
        <v>21</v>
      </c>
      <c r="AW245" s="3">
        <f t="shared" si="148"/>
        <v>3</v>
      </c>
      <c r="AX245" s="3">
        <f t="shared" si="149"/>
        <v>4</v>
      </c>
      <c r="AY245" s="3">
        <f t="shared" si="150"/>
        <v>5</v>
      </c>
      <c r="AZ245" s="3">
        <f t="shared" si="151"/>
        <v>1</v>
      </c>
      <c r="BA245" s="3">
        <f>IF(ISERROR(LEN(VLOOKUP(A245,Seqs!A:E,2,FALSE))-AL245),"-",LEN(VLOOKUP(A245,Seqs!A:E,2,FALSE))-AL245)</f>
        <v>18</v>
      </c>
      <c r="BB245" s="16">
        <f t="shared" si="152"/>
        <v>28</v>
      </c>
      <c r="BC245" s="9">
        <f t="shared" si="153"/>
        <v>20</v>
      </c>
      <c r="BD245" s="3">
        <f t="shared" si="154"/>
        <v>28</v>
      </c>
      <c r="BE245" s="3">
        <f t="shared" si="155"/>
        <v>62</v>
      </c>
      <c r="BF245" s="3">
        <f t="shared" si="168"/>
        <v>35</v>
      </c>
    </row>
    <row r="246" spans="1:58" s="3" customFormat="1" x14ac:dyDescent="0.2">
      <c r="A246" s="3" t="s">
        <v>389</v>
      </c>
      <c r="B246" s="3" t="str">
        <f>LOWER(VLOOKUP(A246,Xtal_Templ!A:B,2,FALSE))</f>
        <v>5ht1b_human</v>
      </c>
      <c r="C246" s="3">
        <f>VLOOKUP($A246,'SegEnds_NonXtal_BW#'!$A:$Z,3,FALSE)+D246-50</f>
        <v>30</v>
      </c>
      <c r="D246" s="3">
        <v>52</v>
      </c>
      <c r="E246" s="3">
        <f>IF(ISERROR(VLOOKUP($A246,'SegEnds_NonXtal_BW#'!$A:$Z,4,FALSE)+VLOOKUP($A246,A:AL,4,FALSE)-50),"-",(VLOOKUP($A246,'SegEnds_NonXtal_BW#'!$A:$Z,4,FALSE)+VLOOKUP($A246,A:AL,4,FALSE)-50))</f>
        <v>62</v>
      </c>
      <c r="F246" s="3">
        <f t="shared" si="190"/>
        <v>63</v>
      </c>
      <c r="G246" s="3">
        <v>65</v>
      </c>
      <c r="H246" s="3">
        <f t="shared" si="191"/>
        <v>66</v>
      </c>
      <c r="I246" s="3">
        <f t="shared" si="191"/>
        <v>67</v>
      </c>
      <c r="J246" s="3">
        <v>80</v>
      </c>
      <c r="K246" s="3">
        <f>VLOOKUP($A246,'SegEnds_NonXtal_BW#'!$A:$Z,8,FALSE)+VLOOKUP($A246,A:AL,10,FALSE)-50</f>
        <v>98</v>
      </c>
      <c r="L246" s="3">
        <f t="shared" si="165"/>
        <v>99</v>
      </c>
      <c r="M246" s="3">
        <v>100</v>
      </c>
      <c r="N246" s="3">
        <f t="shared" si="166"/>
        <v>102</v>
      </c>
      <c r="O246" s="3">
        <f t="shared" si="162"/>
        <v>103</v>
      </c>
      <c r="P246" s="3">
        <v>132</v>
      </c>
      <c r="Q246" s="3">
        <f>VLOOKUP($A246,'SegEnds_NonXtal_BW#'!$A:$Z,12,FALSE)+VLOOKUP($A246,A:AL,16,FALSE)-50</f>
        <v>138</v>
      </c>
      <c r="R246" s="3">
        <f>IF(ISERROR(VLOOKUP($A246,'SegEnds_NonXtal_BW#'!$A:$Z,13,FALSE)+VLOOKUP($A246,A:AL,19,FALSE)-50),"-",VLOOKUP($A246,'SegEnds_NonXtal_BW#'!$A:$Z,13,FALSE)+VLOOKUP($A246,A:AL,19,FALSE)-50)</f>
        <v>139</v>
      </c>
      <c r="S246" s="3">
        <v>139</v>
      </c>
      <c r="T246" s="100">
        <f>IF(ISERROR(VLOOKUP($A246,'SegEnds_NonXtal_BW#'!$A:$Z,14,FALSE)+VLOOKUP($A246,A:AL,19,FALSE)-50),"-",(VLOOKUP($A246,'SegEnds_NonXtal_BW#'!$A:$Z,14,FALSE)+VLOOKUP($A246,A:AL,19,FALSE)-50))</f>
        <v>146</v>
      </c>
      <c r="U246" s="9">
        <f>IF(ISERROR(VLOOKUP($A246,'SegEnds_NonXtal_BW#'!$A:$Z,15,FALSE)+VLOOKUP($A246,A:AL,22,FALSE)-50),"-",VLOOKUP($A246,'SegEnds_NonXtal_BW#'!$A:$Z,15,FALSE)+VLOOKUP($A246,A:AL,22,FALSE)-50)</f>
        <v>147</v>
      </c>
      <c r="V246" s="3">
        <v>159</v>
      </c>
      <c r="W246" s="3">
        <f>IF(ISERROR(VLOOKUP($A246,'SegEnds_NonXtal_BW#'!$A:$Z,16,FALSE)+VLOOKUP($A246,A:AL,22,FALSE)-50),"-",(VLOOKUP($A246,'SegEnds_NonXtal_BW#'!$A:$Z,16,FALSE)+VLOOKUP($A246,A:AL,22,FALSE)-50))</f>
        <v>172</v>
      </c>
      <c r="X246" s="3">
        <f>IF(ISERROR(VLOOKUP($A246,'SegEnds_NonXtal_BW#'!$A:$Z,17,FALSE)+VLOOKUP($A246,A:AL,25,FALSE)-50),"-",(VLOOKUP($A246,'SegEnds_NonXtal_BW#'!$A:$Z,17,FALSE)+VLOOKUP($A246,A:AL,25,FALSE)-50))</f>
        <v>192</v>
      </c>
      <c r="Y246" s="3">
        <v>192</v>
      </c>
      <c r="Z246" s="3">
        <f t="shared" si="167"/>
        <v>194</v>
      </c>
      <c r="AA246" s="3">
        <f>IF(ISERROR(VLOOKUP($A246,'SegEnds_NonXtal_BW#'!$A:$Z,19,FALSE)+VLOOKUP($A246,A:AL,28,FALSE)-50),"-",(VLOOKUP($A246,'SegEnds_NonXtal_BW#'!$A:$Z,19,FALSE)+VLOOKUP($A246,A:AL,28,FALSE)-50))</f>
        <v>196</v>
      </c>
      <c r="AB246" s="3">
        <v>211</v>
      </c>
      <c r="AC246" s="3">
        <f>IF(ISERROR((VLOOKUP($A246,'SegEnds_NonXtal_BW#'!$A:$Z,20,FALSE)+VLOOKUP($A246,A:AL,28,FALSE)-50)),"-",(VLOOKUP($A246,'SegEnds_NonXtal_BW#'!$A:$Z,20,FALSE)+VLOOKUP($A246,A:AL,28,FALSE)-50))</f>
        <v>234</v>
      </c>
      <c r="AD246" s="3">
        <f>IF(ISERROR(VLOOKUP($A246,'SegEnds_NonXtal_BW#'!$A:$Z,21,FALSE)+VLOOKUP($A246,A:AL,31,FALSE)-50),"-",(VLOOKUP($A246,'SegEnds_NonXtal_BW#'!$A:$Z,21,FALSE)+VLOOKUP($A246,A:AL,31,FALSE)-50))</f>
        <v>239</v>
      </c>
      <c r="AE246" s="3">
        <v>267</v>
      </c>
      <c r="AF246" s="3">
        <f>IF(ISERROR((VLOOKUP($A246,'SegEnds_NonXtal_BW#'!$A:$Z,22,FALSE)+VLOOKUP($A246,A:AL,31,FALSE)-50)),"-",(VLOOKUP($A246,'SegEnds_NonXtal_BW#'!$A:$Z,22,FALSE)+VLOOKUP($A246,A:AL,31,FALSE)-50))</f>
        <v>278</v>
      </c>
      <c r="AG246" s="3">
        <f>IF(ISERROR(VLOOKUP($A246,'SegEnds_NonXtal_BW#'!$A:$Z,23,FALSE)+VLOOKUP($A246,A:AL,34,FALSE)-50),"-",(VLOOKUP($A246,'SegEnds_NonXtal_BW#'!$A:$Z,23,FALSE)+VLOOKUP($A246,A:AL,34,FALSE)-50))</f>
        <v>283</v>
      </c>
      <c r="AH246" s="3">
        <v>302</v>
      </c>
      <c r="AI246" s="3">
        <f>IF(ISERROR((VLOOKUP($A246,'SegEnds_NonXtal_BW#'!$A:$Z,24,FALSE)+VLOOKUP($A246,A:AL,34,FALSE)-50)),"-",(VLOOKUP($A246,'SegEnds_NonXtal_BW#'!$A:$Z,24,FALSE)+VLOOKUP($A246,A:AL,34,FALSE)-50))</f>
        <v>308</v>
      </c>
      <c r="AJ246" s="3">
        <f>IF(ISERROR(VLOOKUP($A246,'SegEnds_NonXtal_BW#'!$A:$Z,25,FALSE)+VLOOKUP($A246,A:AL,37,FALSE)-50),"-",(VLOOKUP($A246,'SegEnds_NonXtal_BW#'!$A:$Z,25,FALSE)+VLOOKUP($A246,A:AL,37,FALSE)-50))</f>
        <v>309</v>
      </c>
      <c r="AK246" s="3">
        <v>312</v>
      </c>
      <c r="AL246" s="3">
        <f>IF(ISERROR((VLOOKUP($A246,'SegEnds_NonXtal_BW#'!$A:$Z,26,FALSE)+VLOOKUP($A246,A:AL,37,FALSE)-50)),"-",(VLOOKUP($A246,'SegEnds_NonXtal_BW#'!$A:$Z,26,FALSE)+VLOOKUP($A246,A:AL,37,FALSE)-50))</f>
        <v>320</v>
      </c>
      <c r="AM246" s="28" t="str">
        <f>VLOOKUP(A246,Classification!A:B,2,FALSE)</f>
        <v>A</v>
      </c>
      <c r="AN246" s="28" t="b">
        <f t="shared" si="156"/>
        <v>1</v>
      </c>
      <c r="AO246" s="3" t="str">
        <f>IF(ISERROR(MATCH(A246,'SegEnds_Xtal_Prot#'!B:B, 0)), "NoXtal", "Xtal")</f>
        <v>NoXtal</v>
      </c>
      <c r="AP246" s="3">
        <f t="shared" si="141"/>
        <v>1</v>
      </c>
      <c r="AQ246" s="3">
        <f t="shared" si="142"/>
        <v>1</v>
      </c>
      <c r="AR246" s="3">
        <f t="shared" si="143"/>
        <v>1</v>
      </c>
      <c r="AS246" s="3">
        <f t="shared" si="144"/>
        <v>1</v>
      </c>
      <c r="AT246" s="3">
        <f t="shared" si="145"/>
        <v>1</v>
      </c>
      <c r="AU246" s="3">
        <f t="shared" si="146"/>
        <v>1</v>
      </c>
      <c r="AV246" s="3">
        <f t="shared" si="147"/>
        <v>20</v>
      </c>
      <c r="AW246" s="3">
        <f t="shared" si="148"/>
        <v>2</v>
      </c>
      <c r="AX246" s="3">
        <f t="shared" si="149"/>
        <v>5</v>
      </c>
      <c r="AY246" s="3">
        <f t="shared" si="150"/>
        <v>5</v>
      </c>
      <c r="AZ246" s="3">
        <f t="shared" si="151"/>
        <v>1</v>
      </c>
      <c r="BA246" s="3">
        <f>IF(ISERROR(LEN(VLOOKUP(A246,Seqs!A:E,2,FALSE))-AL246),"-",LEN(VLOOKUP(A246,Seqs!A:E,2,FALSE))-AL246)</f>
        <v>17</v>
      </c>
      <c r="BB246" s="16">
        <f t="shared" si="152"/>
        <v>28</v>
      </c>
      <c r="BC246" s="9">
        <f t="shared" si="153"/>
        <v>20</v>
      </c>
      <c r="BD246" s="3">
        <f t="shared" si="154"/>
        <v>28</v>
      </c>
      <c r="BE246" s="3">
        <f t="shared" si="155"/>
        <v>56</v>
      </c>
      <c r="BF246" s="3">
        <f t="shared" si="168"/>
        <v>35</v>
      </c>
    </row>
    <row r="247" spans="1:58" s="3" customFormat="1" x14ac:dyDescent="0.2">
      <c r="A247" s="3" t="s">
        <v>390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90"/>
        <v>61</v>
      </c>
      <c r="G247" s="3">
        <v>63</v>
      </c>
      <c r="H247" s="3">
        <f t="shared" si="191"/>
        <v>64</v>
      </c>
      <c r="I247" s="3">
        <f t="shared" si="191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65"/>
        <v>97</v>
      </c>
      <c r="M247" s="3">
        <v>98</v>
      </c>
      <c r="N247" s="3">
        <f t="shared" si="166"/>
        <v>100</v>
      </c>
      <c r="O247" s="3">
        <f t="shared" si="162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67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240</v>
      </c>
      <c r="AD247" s="3">
        <f>IF(ISERROR(VLOOKUP($A247,'SegEnds_NonXtal_BW#'!$A:$Z,21,FALSE)+VLOOKUP($A247,A:AL,31,FALSE)-50),"-",(VLOOKUP($A247,'SegEnds_NonXtal_BW#'!$A:$Z,21,FALSE)+VLOOKUP($A247,A:AL,31,FALSE)-50))</f>
        <v>246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56"/>
        <v>1</v>
      </c>
      <c r="AO247" s="3" t="str">
        <f>IF(ISERROR(MATCH(A247,'SegEnds_Xtal_Prot#'!B:B, 0)), "NoXtal", "Xtal")</f>
        <v>NoXtal</v>
      </c>
      <c r="AP247" s="3">
        <f t="shared" si="141"/>
        <v>1</v>
      </c>
      <c r="AQ247" s="3">
        <f t="shared" si="142"/>
        <v>1</v>
      </c>
      <c r="AR247" s="3">
        <f t="shared" si="143"/>
        <v>1</v>
      </c>
      <c r="AS247" s="3">
        <f t="shared" si="144"/>
        <v>1</v>
      </c>
      <c r="AT247" s="3">
        <f t="shared" si="145"/>
        <v>1</v>
      </c>
      <c r="AU247" s="3">
        <f t="shared" si="146"/>
        <v>1</v>
      </c>
      <c r="AV247" s="3">
        <f t="shared" si="147"/>
        <v>20</v>
      </c>
      <c r="AW247" s="3">
        <f t="shared" si="148"/>
        <v>2</v>
      </c>
      <c r="AX247" s="3">
        <f t="shared" si="149"/>
        <v>6</v>
      </c>
      <c r="AY247" s="3">
        <f t="shared" si="150"/>
        <v>5</v>
      </c>
      <c r="AZ247" s="3">
        <f t="shared" si="151"/>
        <v>1</v>
      </c>
      <c r="BA247" s="3">
        <f>IF(ISERROR(LEN(VLOOKUP(A247,Seqs!A:E,2,FALSE))-AL247),"-",LEN(VLOOKUP(A247,Seqs!A:E,2,FALSE))-AL247)</f>
        <v>19</v>
      </c>
      <c r="BB247" s="16">
        <f t="shared" si="152"/>
        <v>28</v>
      </c>
      <c r="BC247" s="9">
        <f t="shared" si="153"/>
        <v>20</v>
      </c>
      <c r="BD247" s="3">
        <f t="shared" si="154"/>
        <v>28</v>
      </c>
      <c r="BE247" s="3">
        <f t="shared" si="155"/>
        <v>64</v>
      </c>
      <c r="BF247" s="3">
        <f t="shared" si="168"/>
        <v>35</v>
      </c>
    </row>
    <row r="248" spans="1:58" s="3" customFormat="1" x14ac:dyDescent="0.2">
      <c r="A248" s="3" t="s">
        <v>391</v>
      </c>
      <c r="B248" s="3" t="str">
        <f>LOWER(VLOOKUP(A248,Xtal_Templ!A:B,2,FALSE))</f>
        <v>5ht1b_human</v>
      </c>
      <c r="C248" s="3">
        <f>VLOOKUP($A248,'SegEnds_NonXtal_BW#'!$A:$Z,3,FALSE)+D248-50</f>
        <v>27</v>
      </c>
      <c r="D248" s="3">
        <v>49</v>
      </c>
      <c r="E248" s="3">
        <f>IF(ISERROR(VLOOKUP($A248,'SegEnds_NonXtal_BW#'!$A:$Z,4,FALSE)+VLOOKUP($A248,A:AL,4,FALSE)-50),"-",(VLOOKUP($A248,'SegEnds_NonXtal_BW#'!$A:$Z,4,FALSE)+VLOOKUP($A248,A:AL,4,FALSE)-50))</f>
        <v>59</v>
      </c>
      <c r="F248" s="3">
        <f t="shared" si="190"/>
        <v>60</v>
      </c>
      <c r="G248" s="3">
        <v>62</v>
      </c>
      <c r="H248" s="3">
        <f t="shared" si="191"/>
        <v>63</v>
      </c>
      <c r="I248" s="3">
        <f t="shared" si="191"/>
        <v>64</v>
      </c>
      <c r="J248" s="3">
        <v>77</v>
      </c>
      <c r="K248" s="3">
        <f>VLOOKUP($A248,'SegEnds_NonXtal_BW#'!$A:$Z,8,FALSE)+VLOOKUP($A248,A:AL,10,FALSE)-50</f>
        <v>95</v>
      </c>
      <c r="L248" s="3">
        <f t="shared" si="165"/>
        <v>96</v>
      </c>
      <c r="M248" s="3">
        <v>97</v>
      </c>
      <c r="N248" s="3">
        <f t="shared" si="166"/>
        <v>99</v>
      </c>
      <c r="O248" s="3">
        <f t="shared" si="162"/>
        <v>100</v>
      </c>
      <c r="P248" s="3">
        <v>129</v>
      </c>
      <c r="Q248" s="3">
        <f>VLOOKUP($A248,'SegEnds_NonXtal_BW#'!$A:$Z,12,FALSE)+VLOOKUP($A248,A:AL,16,FALSE)-50</f>
        <v>135</v>
      </c>
      <c r="R248" s="3">
        <f>IF(ISERROR(VLOOKUP($A248,'SegEnds_NonXtal_BW#'!$A:$Z,13,FALSE)+VLOOKUP($A248,A:AL,19,FALSE)-50),"-",VLOOKUP($A248,'SegEnds_NonXtal_BW#'!$A:$Z,13,FALSE)+VLOOKUP($A248,A:AL,19,FALSE)-50)</f>
        <v>136</v>
      </c>
      <c r="S248" s="3">
        <v>136</v>
      </c>
      <c r="T248" s="100">
        <f>IF(ISERROR(VLOOKUP($A248,'SegEnds_NonXtal_BW#'!$A:$Z,14,FALSE)+VLOOKUP($A248,A:AL,19,FALSE)-50),"-",(VLOOKUP($A248,'SegEnds_NonXtal_BW#'!$A:$Z,14,FALSE)+VLOOKUP($A248,A:AL,19,FALSE)-50))</f>
        <v>143</v>
      </c>
      <c r="U248" s="9">
        <f>IF(ISERROR(VLOOKUP($A248,'SegEnds_NonXtal_BW#'!$A:$Z,15,FALSE)+VLOOKUP($A248,A:AL,22,FALSE)-50),"-",VLOOKUP($A248,'SegEnds_NonXtal_BW#'!$A:$Z,15,FALSE)+VLOOKUP($A248,A:AL,22,FALSE)-50)</f>
        <v>144</v>
      </c>
      <c r="V248" s="3">
        <v>156</v>
      </c>
      <c r="W248" s="3">
        <f>IF(ISERROR(VLOOKUP($A248,'SegEnds_NonXtal_BW#'!$A:$Z,16,FALSE)+VLOOKUP($A248,A:AL,22,FALSE)-50),"-",(VLOOKUP($A248,'SegEnds_NonXtal_BW#'!$A:$Z,16,FALSE)+VLOOKUP($A248,A:AL,22,FALSE)-50))</f>
        <v>169</v>
      </c>
      <c r="X248" s="3">
        <f>IF(ISERROR(VLOOKUP($A248,'SegEnds_NonXtal_BW#'!$A:$Z,17,FALSE)+VLOOKUP($A248,A:AL,25,FALSE)-50),"-",(VLOOKUP($A248,'SegEnds_NonXtal_BW#'!$A:$Z,17,FALSE)+VLOOKUP($A248,A:AL,25,FALSE)-50))</f>
        <v>189</v>
      </c>
      <c r="Y248" s="3">
        <v>189</v>
      </c>
      <c r="Z248" s="3">
        <f t="shared" si="167"/>
        <v>191</v>
      </c>
      <c r="AA248" s="3">
        <f>IF(ISERROR(VLOOKUP($A248,'SegEnds_NonXtal_BW#'!$A:$Z,19,FALSE)+VLOOKUP($A248,A:AL,28,FALSE)-50),"-",(VLOOKUP($A248,'SegEnds_NonXtal_BW#'!$A:$Z,19,FALSE)+VLOOKUP($A248,A:AL,28,FALSE)-50))</f>
        <v>193</v>
      </c>
      <c r="AB248" s="3">
        <v>208</v>
      </c>
      <c r="AC248" s="3">
        <f>IF(ISERROR((VLOOKUP($A248,'SegEnds_NonXtal_BW#'!$A:$Z,20,FALSE)+VLOOKUP($A248,A:AL,28,FALSE)-50)),"-",(VLOOKUP($A248,'SegEnds_NonXtal_BW#'!$A:$Z,20,FALSE)+VLOOKUP($A248,A:AL,28,FALSE)-50))</f>
        <v>239</v>
      </c>
      <c r="AD248" s="3">
        <f>IF(ISERROR(VLOOKUP($A248,'SegEnds_NonXtal_BW#'!$A:$Z,21,FALSE)+VLOOKUP($A248,A:AL,31,FALSE)-50),"-",(VLOOKUP($A248,'SegEnds_NonXtal_BW#'!$A:$Z,21,FALSE)+VLOOKUP($A248,A:AL,31,FALSE)-50))</f>
        <v>245</v>
      </c>
      <c r="AE248" s="3">
        <v>272</v>
      </c>
      <c r="AF248" s="3">
        <f>IF(ISERROR((VLOOKUP($A248,'SegEnds_NonXtal_BW#'!$A:$Z,22,FALSE)+VLOOKUP($A248,A:AL,31,FALSE)-50)),"-",(VLOOKUP($A248,'SegEnds_NonXtal_BW#'!$A:$Z,22,FALSE)+VLOOKUP($A248,A:AL,31,FALSE)-50))</f>
        <v>283</v>
      </c>
      <c r="AG248" s="3">
        <f>IF(ISERROR(VLOOKUP($A248,'SegEnds_NonXtal_BW#'!$A:$Z,23,FALSE)+VLOOKUP($A248,A:AL,34,FALSE)-50),"-",(VLOOKUP($A248,'SegEnds_NonXtal_BW#'!$A:$Z,23,FALSE)+VLOOKUP($A248,A:AL,34,FALSE)-50))</f>
        <v>288</v>
      </c>
      <c r="AH248" s="3">
        <v>307</v>
      </c>
      <c r="AI248" s="3">
        <f>IF(ISERROR((VLOOKUP($A248,'SegEnds_NonXtal_BW#'!$A:$Z,24,FALSE)+VLOOKUP($A248,A:AL,34,FALSE)-50)),"-",(VLOOKUP($A248,'SegEnds_NonXtal_BW#'!$A:$Z,24,FALSE)+VLOOKUP($A248,A:AL,34,FALSE)-50))</f>
        <v>313</v>
      </c>
      <c r="AJ248" s="3">
        <f>IF(ISERROR(VLOOKUP($A248,'SegEnds_NonXtal_BW#'!$A:$Z,25,FALSE)+VLOOKUP($A248,A:AL,37,FALSE)-50),"-",(VLOOKUP($A248,'SegEnds_NonXtal_BW#'!$A:$Z,25,FALSE)+VLOOKUP($A248,A:AL,37,FALSE)-50))</f>
        <v>314</v>
      </c>
      <c r="AK248" s="3">
        <v>317</v>
      </c>
      <c r="AL248" s="3">
        <f>IF(ISERROR((VLOOKUP($A248,'SegEnds_NonXtal_BW#'!$A:$Z,26,FALSE)+VLOOKUP($A248,A:AL,37,FALSE)-50)),"-",(VLOOKUP($A248,'SegEnds_NonXtal_BW#'!$A:$Z,26,FALSE)+VLOOKUP($A248,A:AL,37,FALSE)-50))</f>
        <v>325</v>
      </c>
      <c r="AM248" s="28" t="str">
        <f>VLOOKUP(A248,Classification!A:B,2,FALSE)</f>
        <v>A</v>
      </c>
      <c r="AN248" s="28" t="b">
        <f t="shared" si="156"/>
        <v>1</v>
      </c>
      <c r="AO248" s="3" t="str">
        <f>IF(ISERROR(MATCH(A248,'SegEnds_Xtal_Prot#'!B:B, 0)), "NoXtal", "Xtal")</f>
        <v>NoXtal</v>
      </c>
      <c r="AP248" s="3">
        <f t="shared" si="141"/>
        <v>1</v>
      </c>
      <c r="AQ248" s="3">
        <f t="shared" si="142"/>
        <v>1</v>
      </c>
      <c r="AR248" s="3">
        <f t="shared" si="143"/>
        <v>1</v>
      </c>
      <c r="AS248" s="3">
        <f t="shared" si="144"/>
        <v>1</v>
      </c>
      <c r="AT248" s="3">
        <f t="shared" si="145"/>
        <v>1</v>
      </c>
      <c r="AU248" s="3">
        <f t="shared" si="146"/>
        <v>1</v>
      </c>
      <c r="AV248" s="3">
        <f t="shared" si="147"/>
        <v>20</v>
      </c>
      <c r="AW248" s="3">
        <f t="shared" si="148"/>
        <v>2</v>
      </c>
      <c r="AX248" s="3">
        <f t="shared" si="149"/>
        <v>6</v>
      </c>
      <c r="AY248" s="3">
        <f t="shared" si="150"/>
        <v>5</v>
      </c>
      <c r="AZ248" s="3">
        <f t="shared" si="151"/>
        <v>1</v>
      </c>
      <c r="BA248" s="3">
        <f>IF(ISERROR(LEN(VLOOKUP(A248,Seqs!A:E,2,FALSE))-AL248),"-",LEN(VLOOKUP(A248,Seqs!A:E,2,FALSE))-AL248)</f>
        <v>17</v>
      </c>
      <c r="BB248" s="16">
        <f t="shared" si="152"/>
        <v>28</v>
      </c>
      <c r="BC248" s="9">
        <f t="shared" si="153"/>
        <v>20</v>
      </c>
      <c r="BD248" s="3">
        <f t="shared" si="154"/>
        <v>28</v>
      </c>
      <c r="BE248" s="3">
        <f t="shared" si="155"/>
        <v>64</v>
      </c>
      <c r="BF248" s="3">
        <f t="shared" si="168"/>
        <v>35</v>
      </c>
    </row>
    <row r="249" spans="1:58" s="3" customFormat="1" x14ac:dyDescent="0.2">
      <c r="A249" s="3" t="s">
        <v>392</v>
      </c>
      <c r="B249" s="3" t="str">
        <f>LOWER(VLOOKUP(A249,Xtal_Templ!A:B,2,FALSE))</f>
        <v>5ht1b_human</v>
      </c>
      <c r="C249" s="3">
        <f>VLOOKUP($A249,'SegEnds_NonXtal_BW#'!$A:$Z,3,FALSE)+D249-50</f>
        <v>28</v>
      </c>
      <c r="D249" s="3">
        <v>50</v>
      </c>
      <c r="E249" s="3">
        <f>IF(ISERROR(VLOOKUP($A249,'SegEnds_NonXtal_BW#'!$A:$Z,4,FALSE)+VLOOKUP($A249,A:AL,4,FALSE)-50),"-",(VLOOKUP($A249,'SegEnds_NonXtal_BW#'!$A:$Z,4,FALSE)+VLOOKUP($A249,A:AL,4,FALSE)-50))</f>
        <v>60</v>
      </c>
      <c r="F249" s="3">
        <f t="shared" si="190"/>
        <v>61</v>
      </c>
      <c r="G249" s="3">
        <v>63</v>
      </c>
      <c r="H249" s="3">
        <f t="shared" si="191"/>
        <v>64</v>
      </c>
      <c r="I249" s="3">
        <f t="shared" si="191"/>
        <v>65</v>
      </c>
      <c r="J249" s="3">
        <v>78</v>
      </c>
      <c r="K249" s="3">
        <f>VLOOKUP($A249,'SegEnds_NonXtal_BW#'!$A:$Z,8,FALSE)+VLOOKUP($A249,A:AL,10,FALSE)-50</f>
        <v>96</v>
      </c>
      <c r="L249" s="3">
        <f t="shared" si="165"/>
        <v>97</v>
      </c>
      <c r="M249" s="3">
        <v>98</v>
      </c>
      <c r="N249" s="3">
        <f t="shared" si="166"/>
        <v>100</v>
      </c>
      <c r="O249" s="3">
        <f t="shared" si="162"/>
        <v>101</v>
      </c>
      <c r="P249" s="3">
        <v>130</v>
      </c>
      <c r="Q249" s="3">
        <f>VLOOKUP($A249,'SegEnds_NonXtal_BW#'!$A:$Z,12,FALSE)+VLOOKUP($A249,A:AL,16,FALSE)-50</f>
        <v>136</v>
      </c>
      <c r="R249" s="3">
        <f>IF(ISERROR(VLOOKUP($A249,'SegEnds_NonXtal_BW#'!$A:$Z,13,FALSE)+VLOOKUP($A249,A:AL,19,FALSE)-50),"-",VLOOKUP($A249,'SegEnds_NonXtal_BW#'!$A:$Z,13,FALSE)+VLOOKUP($A249,A:AL,19,FALSE)-50)</f>
        <v>137</v>
      </c>
      <c r="S249" s="3">
        <v>137</v>
      </c>
      <c r="T249" s="100">
        <f>IF(ISERROR(VLOOKUP($A249,'SegEnds_NonXtal_BW#'!$A:$Z,14,FALSE)+VLOOKUP($A249,A:AL,19,FALSE)-50),"-",(VLOOKUP($A249,'SegEnds_NonXtal_BW#'!$A:$Z,14,FALSE)+VLOOKUP($A249,A:AL,19,FALSE)-50))</f>
        <v>144</v>
      </c>
      <c r="U249" s="9">
        <f>IF(ISERROR(VLOOKUP($A249,'SegEnds_NonXtal_BW#'!$A:$Z,15,FALSE)+VLOOKUP($A249,A:AL,22,FALSE)-50),"-",VLOOKUP($A249,'SegEnds_NonXtal_BW#'!$A:$Z,15,FALSE)+VLOOKUP($A249,A:AL,22,FALSE)-50)</f>
        <v>145</v>
      </c>
      <c r="V249" s="3">
        <v>157</v>
      </c>
      <c r="W249" s="3">
        <f>IF(ISERROR(VLOOKUP($A249,'SegEnds_NonXtal_BW#'!$A:$Z,16,FALSE)+VLOOKUP($A249,A:AL,22,FALSE)-50),"-",(VLOOKUP($A249,'SegEnds_NonXtal_BW#'!$A:$Z,16,FALSE)+VLOOKUP($A249,A:AL,22,FALSE)-50))</f>
        <v>170</v>
      </c>
      <c r="X249" s="3">
        <f>IF(ISERROR(VLOOKUP($A249,'SegEnds_NonXtal_BW#'!$A:$Z,17,FALSE)+VLOOKUP($A249,A:AL,25,FALSE)-50),"-",(VLOOKUP($A249,'SegEnds_NonXtal_BW#'!$A:$Z,17,FALSE)+VLOOKUP($A249,A:AL,25,FALSE)-50))</f>
        <v>190</v>
      </c>
      <c r="Y249" s="3">
        <v>190</v>
      </c>
      <c r="Z249" s="3">
        <f t="shared" si="167"/>
        <v>192</v>
      </c>
      <c r="AA249" s="3">
        <f>IF(ISERROR(VLOOKUP($A249,'SegEnds_NonXtal_BW#'!$A:$Z,19,FALSE)+VLOOKUP($A249,A:AL,28,FALSE)-50),"-",(VLOOKUP($A249,'SegEnds_NonXtal_BW#'!$A:$Z,19,FALSE)+VLOOKUP($A249,A:AL,28,FALSE)-50))</f>
        <v>194</v>
      </c>
      <c r="AB249" s="3">
        <v>209</v>
      </c>
      <c r="AC249" s="3">
        <f>IF(ISERROR((VLOOKUP($A249,'SegEnds_NonXtal_BW#'!$A:$Z,20,FALSE)+VLOOKUP($A249,A:AL,28,FALSE)-50)),"-",(VLOOKUP($A249,'SegEnds_NonXtal_BW#'!$A:$Z,20,FALSE)+VLOOKUP($A249,A:AL,28,FALSE)-50))</f>
        <v>240</v>
      </c>
      <c r="AD249" s="3">
        <f>IF(ISERROR(VLOOKUP($A249,'SegEnds_NonXtal_BW#'!$A:$Z,21,FALSE)+VLOOKUP($A249,A:AL,31,FALSE)-50),"-",(VLOOKUP($A249,'SegEnds_NonXtal_BW#'!$A:$Z,21,FALSE)+VLOOKUP($A249,A:AL,31,FALSE)-50))</f>
        <v>246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326</v>
      </c>
      <c r="AM249" s="28" t="str">
        <f>VLOOKUP(A249,Classification!A:B,2,FALSE)</f>
        <v>A</v>
      </c>
      <c r="AN249" s="28" t="b">
        <f t="shared" si="156"/>
        <v>1</v>
      </c>
      <c r="AO249" s="3" t="str">
        <f>IF(ISERROR(MATCH(A249,'SegEnds_Xtal_Prot#'!B:B, 0)), "NoXtal", "Xtal")</f>
        <v>NoXtal</v>
      </c>
      <c r="AP249" s="3">
        <f t="shared" si="141"/>
        <v>1</v>
      </c>
      <c r="AQ249" s="3">
        <f t="shared" si="142"/>
        <v>1</v>
      </c>
      <c r="AR249" s="3">
        <f t="shared" si="143"/>
        <v>1</v>
      </c>
      <c r="AS249" s="3">
        <f t="shared" si="144"/>
        <v>1</v>
      </c>
      <c r="AT249" s="3">
        <f t="shared" si="145"/>
        <v>1</v>
      </c>
      <c r="AU249" s="3">
        <f t="shared" si="146"/>
        <v>1</v>
      </c>
      <c r="AV249" s="3">
        <f t="shared" si="147"/>
        <v>20</v>
      </c>
      <c r="AW249" s="3">
        <f t="shared" si="148"/>
        <v>2</v>
      </c>
      <c r="AX249" s="3">
        <f t="shared" si="149"/>
        <v>6</v>
      </c>
      <c r="AY249" s="3">
        <f t="shared" si="150"/>
        <v>5</v>
      </c>
      <c r="AZ249" s="3">
        <f t="shared" si="151"/>
        <v>1</v>
      </c>
      <c r="BA249" s="3">
        <f>IF(ISERROR(LEN(VLOOKUP(A249,Seqs!A:E,2,FALSE))-AL249),"-",LEN(VLOOKUP(A249,Seqs!A:E,2,FALSE))-AL249)</f>
        <v>22</v>
      </c>
      <c r="BB249" s="16">
        <f t="shared" si="152"/>
        <v>28</v>
      </c>
      <c r="BC249" s="9">
        <f t="shared" si="153"/>
        <v>20</v>
      </c>
      <c r="BD249" s="3">
        <f t="shared" si="154"/>
        <v>28</v>
      </c>
      <c r="BE249" s="3">
        <f t="shared" si="155"/>
        <v>64</v>
      </c>
      <c r="BF249" s="3">
        <f t="shared" si="168"/>
        <v>35</v>
      </c>
    </row>
    <row r="250" spans="1:58" s="3" customFormat="1" x14ac:dyDescent="0.2">
      <c r="A250" s="3" t="s">
        <v>393</v>
      </c>
      <c r="B250" s="3" t="str">
        <f>LOWER(VLOOKUP(A250,Xtal_Templ!A:B,2,FALSE))</f>
        <v>oprx_human</v>
      </c>
      <c r="C250" s="3">
        <f>VLOOKUP($A250,'SegEnds_NonXtal_BW#'!$A:$Z,3,FALSE)+D250-50</f>
        <v>22</v>
      </c>
      <c r="D250" s="3">
        <v>43</v>
      </c>
      <c r="E250" s="3">
        <f>IF(ISERROR(VLOOKUP($A250,'SegEnds_NonXtal_BW#'!$A:$Z,4,FALSE)+VLOOKUP($A250,A:AL,4,FALSE)-50),"-",(VLOOKUP($A250,'SegEnds_NonXtal_BW#'!$A:$Z,4,FALSE)+VLOOKUP($A250,A:AL,4,FALSE)-50))</f>
        <v>53</v>
      </c>
      <c r="F250" s="3">
        <f t="shared" si="190"/>
        <v>54</v>
      </c>
      <c r="G250" s="3">
        <v>56</v>
      </c>
      <c r="H250" s="3">
        <f t="shared" si="191"/>
        <v>57</v>
      </c>
      <c r="I250" s="3">
        <f t="shared" si="191"/>
        <v>58</v>
      </c>
      <c r="J250" s="3">
        <v>71</v>
      </c>
      <c r="K250" s="3">
        <f>VLOOKUP($A250,'SegEnds_NonXtal_BW#'!$A:$Z,8,FALSE)+VLOOKUP($A250,A:AL,10,FALSE)-50</f>
        <v>88</v>
      </c>
      <c r="L250" s="3">
        <f t="shared" si="165"/>
        <v>90</v>
      </c>
      <c r="M250" s="3">
        <v>91</v>
      </c>
      <c r="N250" s="3">
        <f t="shared" si="166"/>
        <v>93</v>
      </c>
      <c r="O250" s="3">
        <f t="shared" si="162"/>
        <v>94</v>
      </c>
      <c r="P250" s="3">
        <v>123</v>
      </c>
      <c r="Q250" s="3">
        <f>VLOOKUP($A250,'SegEnds_NonXtal_BW#'!$A:$Z,12,FALSE)+VLOOKUP($A250,A:AL,16,FALSE)-50</f>
        <v>129</v>
      </c>
      <c r="R250" s="3">
        <f>IF(ISERROR(VLOOKUP($A250,'SegEnds_NonXtal_BW#'!$A:$Z,13,FALSE)+VLOOKUP($A250,A:AL,19,FALSE)-50),"-",VLOOKUP($A250,'SegEnds_NonXtal_BW#'!$A:$Z,13,FALSE)+VLOOKUP($A250,A:AL,19,FALSE)-50)</f>
        <v>130</v>
      </c>
      <c r="S250" s="3">
        <v>130</v>
      </c>
      <c r="T250" s="100">
        <f>IF(ISERROR(VLOOKUP($A250,'SegEnds_NonXtal_BW#'!$A:$Z,14,FALSE)+VLOOKUP($A250,A:AL,19,FALSE)-50),"-",(VLOOKUP($A250,'SegEnds_NonXtal_BW#'!$A:$Z,14,FALSE)+VLOOKUP($A250,A:AL,19,FALSE)-50))</f>
        <v>137</v>
      </c>
      <c r="U250" s="9">
        <f>IF(ISERROR(VLOOKUP($A250,'SegEnds_NonXtal_BW#'!$A:$Z,15,FALSE)+VLOOKUP($A250,A:AL,22,FALSE)-50),"-",VLOOKUP($A250,'SegEnds_NonXtal_BW#'!$A:$Z,15,FALSE)+VLOOKUP($A250,A:AL,22,FALSE)-50)</f>
        <v>138</v>
      </c>
      <c r="V250" s="3">
        <v>150</v>
      </c>
      <c r="W250" s="3">
        <f>IF(ISERROR(VLOOKUP($A250,'SegEnds_NonXtal_BW#'!$A:$Z,16,FALSE)+VLOOKUP($A250,A:AL,22,FALSE)-50),"-",(VLOOKUP($A250,'SegEnds_NonXtal_BW#'!$A:$Z,16,FALSE)+VLOOKUP($A250,A:AL,22,FALSE)-50))</f>
        <v>164</v>
      </c>
      <c r="X250" s="3">
        <f>IF(ISERROR(VLOOKUP($A250,'SegEnds_NonXtal_BW#'!$A:$Z,17,FALSE)+VLOOKUP($A250,A:AL,25,FALSE)-50),"-",(VLOOKUP($A250,'SegEnds_NonXtal_BW#'!$A:$Z,17,FALSE)+VLOOKUP($A250,A:AL,25,FALSE)-50))</f>
        <v>179</v>
      </c>
      <c r="Y250" s="3">
        <v>179</v>
      </c>
      <c r="Z250" s="3">
        <f t="shared" si="167"/>
        <v>181</v>
      </c>
      <c r="AA250" s="3">
        <f>IF(ISERROR(VLOOKUP($A250,'SegEnds_NonXtal_BW#'!$A:$Z,19,FALSE)+VLOOKUP($A250,A:AL,28,FALSE)-50),"-",(VLOOKUP($A250,'SegEnds_NonXtal_BW#'!$A:$Z,19,FALSE)+VLOOKUP($A250,A:AL,28,FALSE)-50))</f>
        <v>183</v>
      </c>
      <c r="AB250" s="3">
        <v>203</v>
      </c>
      <c r="AC250" s="3">
        <f>IF(ISERROR((VLOOKUP($A250,'SegEnds_NonXtal_BW#'!$A:$Z,20,FALSE)+VLOOKUP($A250,A:AL,28,FALSE)-50)),"-",(VLOOKUP($A250,'SegEnds_NonXtal_BW#'!$A:$Z,20,FALSE)+VLOOKUP($A250,A:AL,28,FALSE)-50))</f>
        <v>229</v>
      </c>
      <c r="AD250" s="3">
        <f>IF(ISERROR(VLOOKUP($A250,'SegEnds_NonXtal_BW#'!$A:$Z,21,FALSE)+VLOOKUP($A250,A:AL,31,FALSE)-50),"-",(VLOOKUP($A250,'SegEnds_NonXtal_BW#'!$A:$Z,21,FALSE)+VLOOKUP($A250,A:AL,31,FALSE)-50))</f>
        <v>255</v>
      </c>
      <c r="AE250" s="3">
        <v>281</v>
      </c>
      <c r="AF250" s="3">
        <f>IF(ISERROR((VLOOKUP($A250,'SegEnds_NonXtal_BW#'!$A:$Z,22,FALSE)+VLOOKUP($A250,A:AL,31,FALSE)-50)),"-",(VLOOKUP($A250,'SegEnds_NonXtal_BW#'!$A:$Z,22,FALSE)+VLOOKUP($A250,A:AL,31,FALSE)-50))</f>
        <v>292</v>
      </c>
      <c r="AG250" s="3">
        <f>IF(ISERROR(VLOOKUP($A250,'SegEnds_NonXtal_BW#'!$A:$Z,23,FALSE)+VLOOKUP($A250,A:AL,34,FALSE)-50),"-",(VLOOKUP($A250,'SegEnds_NonXtal_BW#'!$A:$Z,23,FALSE)+VLOOKUP($A250,A:AL,34,FALSE)-50))</f>
        <v>298</v>
      </c>
      <c r="AH250" s="3">
        <v>317</v>
      </c>
      <c r="AI250" s="3">
        <f>IF(ISERROR((VLOOKUP($A250,'SegEnds_NonXtal_BW#'!$A:$Z,24,FALSE)+VLOOKUP($A250,A:AL,34,FALSE)-50)),"-",(VLOOKUP($A250,'SegEnds_NonXtal_BW#'!$A:$Z,24,FALSE)+VLOOKUP($A250,A:AL,34,FALSE)-50))</f>
        <v>323</v>
      </c>
      <c r="AJ250" s="3">
        <f>IF(ISERROR(VLOOKUP($A250,'SegEnds_NonXtal_BW#'!$A:$Z,25,FALSE)+VLOOKUP($A250,A:AL,37,FALSE)-50),"-",(VLOOKUP($A250,'SegEnds_NonXtal_BW#'!$A:$Z,25,FALSE)+VLOOKUP($A250,A:AL,37,FALSE)-50))</f>
        <v>324</v>
      </c>
      <c r="AK250" s="3">
        <v>327</v>
      </c>
      <c r="AL250" s="3">
        <f>IF(ISERROR((VLOOKUP($A250,'SegEnds_NonXtal_BW#'!$A:$Z,26,FALSE)+VLOOKUP($A250,A:AL,37,FALSE)-50)),"-",(VLOOKUP($A250,'SegEnds_NonXtal_BW#'!$A:$Z,26,FALSE)+VLOOKUP($A250,A:AL,37,FALSE)-50))</f>
        <v>336</v>
      </c>
      <c r="AM250" s="28" t="str">
        <f>VLOOKUP(A250,Classification!A:B,2,FALSE)</f>
        <v>A</v>
      </c>
      <c r="AN250" s="28" t="b">
        <f t="shared" si="156"/>
        <v>1</v>
      </c>
      <c r="AO250" s="3" t="str">
        <f>IF(ISERROR(MATCH(A250,'SegEnds_Xtal_Prot#'!B:B, 0)), "NoXtal", "Xtal")</f>
        <v>NoXtal</v>
      </c>
      <c r="AP250" s="3">
        <f t="shared" si="141"/>
        <v>1</v>
      </c>
      <c r="AQ250" s="3">
        <f t="shared" si="142"/>
        <v>1</v>
      </c>
      <c r="AR250" s="3">
        <f t="shared" si="143"/>
        <v>2</v>
      </c>
      <c r="AS250" s="3">
        <f t="shared" si="144"/>
        <v>1</v>
      </c>
      <c r="AT250" s="3">
        <f t="shared" si="145"/>
        <v>1</v>
      </c>
      <c r="AU250" s="3">
        <f t="shared" si="146"/>
        <v>1</v>
      </c>
      <c r="AV250" s="3">
        <f t="shared" si="147"/>
        <v>15</v>
      </c>
      <c r="AW250" s="3">
        <f t="shared" si="148"/>
        <v>2</v>
      </c>
      <c r="AX250" s="3">
        <f t="shared" si="149"/>
        <v>26</v>
      </c>
      <c r="AY250" s="3">
        <f t="shared" si="150"/>
        <v>6</v>
      </c>
      <c r="AZ250" s="3">
        <f t="shared" si="151"/>
        <v>1</v>
      </c>
      <c r="BA250" s="3">
        <f>IF(ISERROR(LEN(VLOOKUP(A250,Seqs!A:E,2,FALSE))-AL250),"-",LEN(VLOOKUP(A250,Seqs!A:E,2,FALSE))-AL250)</f>
        <v>62</v>
      </c>
      <c r="BB250" s="16">
        <f t="shared" si="152"/>
        <v>28</v>
      </c>
      <c r="BC250" s="9">
        <f t="shared" si="153"/>
        <v>20</v>
      </c>
      <c r="BD250" s="3">
        <f t="shared" si="154"/>
        <v>28</v>
      </c>
      <c r="BE250" s="3">
        <f t="shared" si="155"/>
        <v>78</v>
      </c>
    </row>
    <row r="251" spans="1:58" s="3" customFormat="1" x14ac:dyDescent="0.2">
      <c r="A251" s="3" t="s">
        <v>394</v>
      </c>
      <c r="B251" s="3" t="str">
        <f>LOWER(VLOOKUP(A251,Xtal_Templ!A:B,2,FALSE))</f>
        <v>aa2ar_human</v>
      </c>
      <c r="C251" s="3">
        <f>VLOOKUP($A251,'SegEnds_NonXtal_BW#'!$A:$Z,3,FALSE)+D251-50</f>
        <v>409</v>
      </c>
      <c r="D251" s="3">
        <v>432</v>
      </c>
      <c r="E251" s="3">
        <f>IF(ISERROR(VLOOKUP($A251,'SegEnds_NonXtal_BW#'!$A:$Z,4,FALSE)+VLOOKUP($A251,A:AL,4,FALSE)-50),"-",(VLOOKUP($A251,'SegEnds_NonXtal_BW#'!$A:$Z,4,FALSE)+VLOOKUP($A251,A:AL,4,FALSE)-50))</f>
        <v>442</v>
      </c>
      <c r="F251" s="3">
        <f t="shared" si="190"/>
        <v>444</v>
      </c>
      <c r="G251" s="3">
        <v>446</v>
      </c>
      <c r="H251" s="3">
        <f t="shared" si="191"/>
        <v>447</v>
      </c>
      <c r="I251" s="3">
        <f t="shared" si="191"/>
        <v>448</v>
      </c>
      <c r="J251" s="3">
        <v>460</v>
      </c>
      <c r="K251" s="3">
        <f>VLOOKUP($A251,'SegEnds_NonXtal_BW#'!$A:$Z,8,FALSE)+VLOOKUP($A251,A:AL,10,FALSE)-50</f>
        <v>477</v>
      </c>
      <c r="L251" s="3">
        <f t="shared" si="165"/>
        <v>487</v>
      </c>
      <c r="M251" s="3">
        <v>488</v>
      </c>
      <c r="N251" s="3">
        <f t="shared" si="166"/>
        <v>490</v>
      </c>
      <c r="O251" s="3">
        <f t="shared" si="162"/>
        <v>491</v>
      </c>
      <c r="P251" s="3">
        <v>519</v>
      </c>
      <c r="Q251" s="3">
        <f>VLOOKUP($A251,'SegEnds_NonXtal_BW#'!$A:$Z,12,FALSE)+VLOOKUP($A251,A:AL,16,FALSE)-50</f>
        <v>525</v>
      </c>
      <c r="R251" s="3">
        <f>IF(ISERROR(VLOOKUP($A251,'SegEnds_NonXtal_BW#'!$A:$Z,13,FALSE)+VLOOKUP($A251,A:AL,19,FALSE)-50),"-",VLOOKUP($A251,'SegEnds_NonXtal_BW#'!$A:$Z,13,FALSE)+VLOOKUP($A251,A:AL,19,FALSE)-50)</f>
        <v>526</v>
      </c>
      <c r="S251" s="3">
        <v>526</v>
      </c>
      <c r="T251" s="100">
        <f>IF(ISERROR(VLOOKUP($A251,'SegEnds_NonXtal_BW#'!$A:$Z,14,FALSE)+VLOOKUP($A251,A:AL,19,FALSE)-50),"-",(VLOOKUP($A251,'SegEnds_NonXtal_BW#'!$A:$Z,14,FALSE)+VLOOKUP($A251,A:AL,19,FALSE)-50))</f>
        <v>533</v>
      </c>
      <c r="U251" s="9">
        <f>IF(ISERROR(VLOOKUP($A251,'SegEnds_NonXtal_BW#'!$A:$Z,15,FALSE)+VLOOKUP($A251,A:AL,22,FALSE)-50),"-",VLOOKUP($A251,'SegEnds_NonXtal_BW#'!$A:$Z,15,FALSE)+VLOOKUP($A251,A:AL,22,FALSE)-50)</f>
        <v>534</v>
      </c>
      <c r="V251" s="3">
        <v>546</v>
      </c>
      <c r="W251" s="3">
        <f>IF(ISERROR(VLOOKUP($A251,'SegEnds_NonXtal_BW#'!$A:$Z,16,FALSE)+VLOOKUP($A251,A:AL,22,FALSE)-50),"-",(VLOOKUP($A251,'SegEnds_NonXtal_BW#'!$A:$Z,16,FALSE)+VLOOKUP($A251,A:AL,22,FALSE)-50))</f>
        <v>559</v>
      </c>
      <c r="X251" s="3">
        <f>IF(ISERROR(VLOOKUP($A251,'SegEnds_NonXtal_BW#'!$A:$Z,17,FALSE)+VLOOKUP($A251,A:AL,25,FALSE)-50),"-",(VLOOKUP($A251,'SegEnds_NonXtal_BW#'!$A:$Z,17,FALSE)+VLOOKUP($A251,A:AL,25,FALSE)-50))</f>
        <v>569</v>
      </c>
      <c r="Y251" s="3">
        <v>569</v>
      </c>
      <c r="Z251" s="3">
        <f t="shared" si="167"/>
        <v>571</v>
      </c>
      <c r="AA251" s="3">
        <f>IF(ISERROR(VLOOKUP($A251,'SegEnds_NonXtal_BW#'!$A:$Z,19,FALSE)+VLOOKUP($A251,A:AL,28,FALSE)-50),"-",(VLOOKUP($A251,'SegEnds_NonXtal_BW#'!$A:$Z,19,FALSE)+VLOOKUP($A251,A:AL,28,FALSE)-50))</f>
        <v>577</v>
      </c>
      <c r="AB251" s="3">
        <v>593</v>
      </c>
      <c r="AC251" s="3">
        <f>IF(ISERROR((VLOOKUP($A251,'SegEnds_NonXtal_BW#'!$A:$Z,20,FALSE)+VLOOKUP($A251,A:AL,28,FALSE)-50)),"-",(VLOOKUP($A251,'SegEnds_NonXtal_BW#'!$A:$Z,20,FALSE)+VLOOKUP($A251,A:AL,28,FALSE)-50))</f>
        <v>610</v>
      </c>
      <c r="AD251" s="3">
        <f>IF(ISERROR(VLOOKUP($A251,'SegEnds_NonXtal_BW#'!$A:$Z,21,FALSE)+VLOOKUP($A251,A:AL,31,FALSE)-50),"-",(VLOOKUP($A251,'SegEnds_NonXtal_BW#'!$A:$Z,21,FALSE)+VLOOKUP($A251,A:AL,31,FALSE)-50))</f>
        <v>615</v>
      </c>
      <c r="AE251" s="3">
        <v>639</v>
      </c>
      <c r="AF251" s="3">
        <f>IF(ISERROR((VLOOKUP($A251,'SegEnds_NonXtal_BW#'!$A:$Z,22,FALSE)+VLOOKUP($A251,A:AL,31,FALSE)-50)),"-",(VLOOKUP($A251,'SegEnds_NonXtal_BW#'!$A:$Z,22,FALSE)+VLOOKUP($A251,A:AL,31,FALSE)-50))</f>
        <v>650</v>
      </c>
      <c r="AG251" s="3">
        <f>IF(ISERROR(VLOOKUP($A251,'SegEnds_NonXtal_BW#'!$A:$Z,23,FALSE)+VLOOKUP($A251,A:AL,34,FALSE)-50),"-",(VLOOKUP($A251,'SegEnds_NonXtal_BW#'!$A:$Z,23,FALSE)+VLOOKUP($A251,A:AL,34,FALSE)-50))</f>
        <v>656</v>
      </c>
      <c r="AH251" s="3">
        <v>675</v>
      </c>
      <c r="AI251" s="3">
        <f>IF(ISERROR((VLOOKUP($A251,'SegEnds_NonXtal_BW#'!$A:$Z,24,FALSE)+VLOOKUP($A251,A:AL,34,FALSE)-50)),"-",(VLOOKUP($A251,'SegEnds_NonXtal_BW#'!$A:$Z,24,FALSE)+VLOOKUP($A251,A:AL,34,FALSE)-50))</f>
        <v>681</v>
      </c>
      <c r="AJ251" s="3">
        <f>IF(ISERROR(VLOOKUP($A251,'SegEnds_NonXtal_BW#'!$A:$Z,25,FALSE)+VLOOKUP($A251,A:AL,37,FALSE)-50),"-",(VLOOKUP($A251,'SegEnds_NonXtal_BW#'!$A:$Z,25,FALSE)+VLOOKUP($A251,A:AL,37,FALSE)-50))</f>
        <v>682</v>
      </c>
      <c r="AK251" s="3">
        <v>685</v>
      </c>
      <c r="AL251" s="3">
        <f>IF(ISERROR((VLOOKUP($A251,'SegEnds_NonXtal_BW#'!$A:$Z,26,FALSE)+VLOOKUP($A251,A:AL,37,FALSE)-50)),"-",(VLOOKUP($A251,'SegEnds_NonXtal_BW#'!$A:$Z,26,FALSE)+VLOOKUP($A251,A:AL,37,FALSE)-50))</f>
        <v>704</v>
      </c>
      <c r="AM251" s="28" t="str">
        <f>VLOOKUP(A251,Classification!A:B,2,FALSE)</f>
        <v>A</v>
      </c>
      <c r="AN251" s="28" t="b">
        <f t="shared" si="156"/>
        <v>1</v>
      </c>
      <c r="AO251" s="3" t="str">
        <f>IF(ISERROR(MATCH(A251,'SegEnds_Xtal_Prot#'!B:B, 0)), "NoXtal", "Xtal")</f>
        <v>NoXtal</v>
      </c>
      <c r="AP251" s="3">
        <f t="shared" si="141"/>
        <v>2</v>
      </c>
      <c r="AQ251" s="3">
        <f t="shared" si="142"/>
        <v>1</v>
      </c>
      <c r="AR251" s="3">
        <f t="shared" si="143"/>
        <v>10</v>
      </c>
      <c r="AS251" s="3">
        <f t="shared" si="144"/>
        <v>1</v>
      </c>
      <c r="AT251" s="3">
        <f t="shared" si="145"/>
        <v>1</v>
      </c>
      <c r="AU251" s="3">
        <f t="shared" si="146"/>
        <v>1</v>
      </c>
      <c r="AV251" s="3">
        <f t="shared" si="147"/>
        <v>10</v>
      </c>
      <c r="AW251" s="3">
        <f t="shared" si="148"/>
        <v>6</v>
      </c>
      <c r="AX251" s="3">
        <f t="shared" si="149"/>
        <v>5</v>
      </c>
      <c r="AY251" s="3">
        <f t="shared" si="150"/>
        <v>6</v>
      </c>
      <c r="AZ251" s="3">
        <f t="shared" si="151"/>
        <v>1</v>
      </c>
      <c r="BA251" s="3">
        <f>IF(ISERROR(LEN(VLOOKUP(A251,Seqs!A:E,2,FALSE))-AL251),"-",LEN(VLOOKUP(A251,Seqs!A:E,2,FALSE))-AL251)</f>
        <v>60</v>
      </c>
      <c r="BB251" s="16">
        <f t="shared" si="152"/>
        <v>28</v>
      </c>
      <c r="BC251" s="9">
        <f t="shared" si="153"/>
        <v>20</v>
      </c>
      <c r="BD251" s="3">
        <f t="shared" si="154"/>
        <v>28</v>
      </c>
      <c r="BE251" s="3">
        <f t="shared" si="155"/>
        <v>46</v>
      </c>
    </row>
    <row r="252" spans="1:58" s="3" customFormat="1" x14ac:dyDescent="0.2">
      <c r="A252" s="3" t="s">
        <v>398</v>
      </c>
      <c r="B252" s="3" t="str">
        <f>LOWER(VLOOKUP(A252,Xtal_Templ!A:B,2,FALSE))</f>
        <v>oxyr_human</v>
      </c>
      <c r="C252" s="3">
        <f>VLOOKUP($A252,'SegEnds_NonXtal_BW#'!$A:$Z,3,FALSE)+D252-50</f>
        <v>33</v>
      </c>
      <c r="D252" s="3">
        <v>55</v>
      </c>
      <c r="E252" s="3">
        <f>IF(ISERROR(VLOOKUP($A252,'SegEnds_NonXtal_BW#'!$A:$Z,4,FALSE)+VLOOKUP($A252,A:AL,4,FALSE)-50),"-",(VLOOKUP($A252,'SegEnds_NonXtal_BW#'!$A:$Z,4,FALSE)+VLOOKUP($A252,A:AL,4,FALSE)-50))</f>
        <v>65</v>
      </c>
      <c r="F252" s="3">
        <f t="shared" si="190"/>
        <v>67</v>
      </c>
      <c r="G252" s="3">
        <v>69</v>
      </c>
      <c r="H252" s="3">
        <f t="shared" si="191"/>
        <v>70</v>
      </c>
      <c r="I252" s="3">
        <f t="shared" si="191"/>
        <v>71</v>
      </c>
      <c r="J252" s="3">
        <v>85</v>
      </c>
      <c r="K252" s="3">
        <f>VLOOKUP($A252,'SegEnds_NonXtal_BW#'!$A:$Z,8,FALSE)+VLOOKUP($A252,A:AL,10,FALSE)-50</f>
        <v>101</v>
      </c>
      <c r="L252" s="3">
        <f t="shared" si="165"/>
        <v>102</v>
      </c>
      <c r="M252" s="3">
        <v>103</v>
      </c>
      <c r="N252" s="3">
        <f t="shared" si="166"/>
        <v>105</v>
      </c>
      <c r="O252" s="3">
        <f t="shared" si="162"/>
        <v>106</v>
      </c>
      <c r="P252" s="3">
        <v>137</v>
      </c>
      <c r="Q252" s="3">
        <f>VLOOKUP($A252,'SegEnds_NonXtal_BW#'!$A:$Z,12,FALSE)+VLOOKUP($A252,A:AL,16,FALSE)-50</f>
        <v>143</v>
      </c>
      <c r="R252" s="105">
        <v>144</v>
      </c>
      <c r="S252" s="3">
        <v>144</v>
      </c>
      <c r="T252" s="100">
        <f>IF(ISERROR(VLOOKUP($A252,'SegEnds_NonXtal_BW#'!$A:$Z,14,FALSE)+VLOOKUP($A252,A:AL,19,FALSE)-50),"-",(VLOOKUP($A252,'SegEnds_NonXtal_BW#'!$A:$Z,14,FALSE)+VLOOKUP($A252,A:AL,19,FALSE)-50))</f>
        <v>151</v>
      </c>
      <c r="U252" s="9">
        <f>IF(ISERROR(VLOOKUP($A252,'SegEnds_NonXtal_BW#'!$A:$Z,15,FALSE)+VLOOKUP($A252,A:AL,22,FALSE)-50),"-",VLOOKUP($A252,'SegEnds_NonXtal_BW#'!$A:$Z,15,FALSE)+VLOOKUP($A252,A:AL,22,FALSE)-50)</f>
        <v>152</v>
      </c>
      <c r="V252" s="3">
        <v>164</v>
      </c>
      <c r="W252" s="3">
        <f>IF(ISERROR(VLOOKUP($A252,'SegEnds_NonXtal_BW#'!$A:$Z,16,FALSE)+VLOOKUP($A252,A:AL,22,FALSE)-50),"-",(VLOOKUP($A252,'SegEnds_NonXtal_BW#'!$A:$Z,16,FALSE)+VLOOKUP($A252,A:AL,22,FALSE)-50))</f>
        <v>178</v>
      </c>
      <c r="X252" s="3">
        <f>IF(ISERROR(VLOOKUP($A252,'SegEnds_NonXtal_BW#'!$A:$Z,17,FALSE)+VLOOKUP($A252,A:AL,25,FALSE)-50),"-",(VLOOKUP($A252,'SegEnds_NonXtal_BW#'!$A:$Z,17,FALSE)+VLOOKUP($A252,A:AL,25,FALSE)-50))</f>
        <v>192</v>
      </c>
      <c r="Y252" s="3">
        <v>192</v>
      </c>
      <c r="Z252" s="3">
        <f t="shared" si="167"/>
        <v>194</v>
      </c>
      <c r="AA252" s="3">
        <f>IF(ISERROR(VLOOKUP($A252,'SegEnds_NonXtal_BW#'!$A:$Z,19,FALSE)+VLOOKUP($A252,A:AL,28,FALSE)-50),"-",(VLOOKUP($A252,'SegEnds_NonXtal_BW#'!$A:$Z,19,FALSE)+VLOOKUP($A252,A:AL,28,FALSE)-50))</f>
        <v>200</v>
      </c>
      <c r="AB252" s="3">
        <v>217</v>
      </c>
      <c r="AC252" s="3">
        <f>IF(ISERROR((VLOOKUP($A252,'SegEnds_NonXtal_BW#'!$A:$Z,20,FALSE)+VLOOKUP($A252,A:AL,28,FALSE)-50)),"-",(VLOOKUP($A252,'SegEnds_NonXtal_BW#'!$A:$Z,20,FALSE)+VLOOKUP($A252,A:AL,28,FALSE)-50))</f>
        <v>243</v>
      </c>
      <c r="AD252" s="3">
        <f>IF(ISERROR(VLOOKUP($A252,'SegEnds_NonXtal_BW#'!$A:$Z,21,FALSE)+VLOOKUP($A252,A:AL,31,FALSE)-50),"-",(VLOOKUP($A252,'SegEnds_NonXtal_BW#'!$A:$Z,21,FALSE)+VLOOKUP($A252,A:AL,31,FALSE)-50))</f>
        <v>260</v>
      </c>
      <c r="AE252" s="3">
        <v>286</v>
      </c>
      <c r="AF252" s="3">
        <f>IF(ISERROR((VLOOKUP($A252,'SegEnds_NonXtal_BW#'!$A:$Z,22,FALSE)+VLOOKUP($A252,A:AL,31,FALSE)-50)),"-",(VLOOKUP($A252,'SegEnds_NonXtal_BW#'!$A:$Z,22,FALSE)+VLOOKUP($A252,A:AL,31,FALSE)-50))</f>
        <v>297</v>
      </c>
      <c r="AG252" s="3">
        <f>IF(ISERROR(VLOOKUP($A252,'SegEnds_NonXtal_BW#'!$A:$Z,23,FALSE)+VLOOKUP($A252,A:AL,34,FALSE)-50),"-",(VLOOKUP($A252,'SegEnds_NonXtal_BW#'!$A:$Z,23,FALSE)+VLOOKUP($A252,A:AL,34,FALSE)-50))</f>
        <v>303</v>
      </c>
      <c r="AH252" s="3">
        <v>322</v>
      </c>
      <c r="AI252" s="3">
        <f>IF(ISERROR((VLOOKUP($A252,'SegEnds_NonXtal_BW#'!$A:$Z,24,FALSE)+VLOOKUP($A252,A:AL,34,FALSE)-50)),"-",(VLOOKUP($A252,'SegEnds_NonXtal_BW#'!$A:$Z,24,FALSE)+VLOOKUP($A252,A:AL,34,FALSE)-50))</f>
        <v>328</v>
      </c>
      <c r="AJ252" s="3">
        <f>IF(ISERROR(VLOOKUP($A252,'SegEnds_NonXtal_BW#'!$A:$Z,25,FALSE)+VLOOKUP($A252,A:AL,37,FALSE)-50),"-",(VLOOKUP($A252,'SegEnds_NonXtal_BW#'!$A:$Z,25,FALSE)+VLOOKUP($A252,A:AL,37,FALSE)-50))</f>
        <v>329</v>
      </c>
      <c r="AK252" s="3">
        <v>332</v>
      </c>
      <c r="AL252" s="3">
        <f>IF(ISERROR((VLOOKUP($A252,'SegEnds_NonXtal_BW#'!$A:$Z,26,FALSE)+VLOOKUP($A252,A:AL,37,FALSE)-50)),"-",(VLOOKUP($A252,'SegEnds_NonXtal_BW#'!$A:$Z,26,FALSE)+VLOOKUP($A252,A:AL,37,FALSE)-50))</f>
        <v>345</v>
      </c>
      <c r="AM252" s="28" t="str">
        <f>VLOOKUP(A252,Classification!A:B,2,FALSE)</f>
        <v>A</v>
      </c>
      <c r="AN252" s="28" t="b">
        <f t="shared" si="156"/>
        <v>1</v>
      </c>
      <c r="AO252" s="3" t="str">
        <f>IF(ISERROR(MATCH(A252,'SegEnds_Xtal_Prot#'!B:B, 0)), "NoXtal", "Xtal")</f>
        <v>NoXtal</v>
      </c>
      <c r="AP252" s="3">
        <f t="shared" si="141"/>
        <v>2</v>
      </c>
      <c r="AQ252" s="3">
        <f t="shared" si="142"/>
        <v>1</v>
      </c>
      <c r="AR252" s="3">
        <f t="shared" si="143"/>
        <v>1</v>
      </c>
      <c r="AS252" s="3">
        <f t="shared" si="144"/>
        <v>1</v>
      </c>
      <c r="AT252" s="3">
        <f t="shared" si="145"/>
        <v>1</v>
      </c>
      <c r="AU252" s="3">
        <f t="shared" si="146"/>
        <v>1</v>
      </c>
      <c r="AV252" s="3">
        <f t="shared" si="147"/>
        <v>14</v>
      </c>
      <c r="AW252" s="3">
        <f t="shared" si="148"/>
        <v>6</v>
      </c>
      <c r="AX252" s="3">
        <f t="shared" si="149"/>
        <v>17</v>
      </c>
      <c r="AY252" s="3">
        <f t="shared" si="150"/>
        <v>6</v>
      </c>
      <c r="AZ252" s="3">
        <f t="shared" si="151"/>
        <v>1</v>
      </c>
      <c r="BA252" s="3">
        <f>IF(ISERROR(LEN(VLOOKUP(A252,Seqs!A:E,2,FALSE))-AL252),"-",LEN(VLOOKUP(A252,Seqs!A:E,2,FALSE))-AL252)</f>
        <v>26</v>
      </c>
      <c r="BB252" s="16">
        <f t="shared" si="152"/>
        <v>30</v>
      </c>
      <c r="BC252" s="9">
        <f t="shared" si="153"/>
        <v>20</v>
      </c>
      <c r="BD252" s="3">
        <f t="shared" si="154"/>
        <v>30</v>
      </c>
      <c r="BE252" s="3">
        <f t="shared" si="155"/>
        <v>69</v>
      </c>
    </row>
    <row r="253" spans="1:58" s="3" customFormat="1" x14ac:dyDescent="0.2">
      <c r="A253" s="3" t="s">
        <v>399</v>
      </c>
      <c r="B253" s="3" t="str">
        <f>LOWER(VLOOKUP(A253,Xtal_Templ!A:B,2,FALSE))</f>
        <v>ccr5_human</v>
      </c>
      <c r="C253" s="3">
        <f>VLOOKUP($A253,'SegEnds_NonXtal_BW#'!$A:$Z,3,FALSE)+D253-50</f>
        <v>23</v>
      </c>
      <c r="D253" s="3">
        <v>49</v>
      </c>
      <c r="E253" s="3">
        <f>IF(ISERROR(VLOOKUP($A253,'SegEnds_NonXtal_BW#'!$A:$Z,4,FALSE)+VLOOKUP($A253,A:AL,4,FALSE)-50),"-",(VLOOKUP($A253,'SegEnds_NonXtal_BW#'!$A:$Z,4,FALSE)+VLOOKUP($A253,A:AL,4,FALSE)-50))</f>
        <v>59</v>
      </c>
      <c r="F253" s="3">
        <f t="shared" si="190"/>
        <v>60</v>
      </c>
      <c r="G253" s="3">
        <v>62</v>
      </c>
      <c r="H253" s="3">
        <f t="shared" si="191"/>
        <v>63</v>
      </c>
      <c r="I253" s="3">
        <f t="shared" si="191"/>
        <v>64</v>
      </c>
      <c r="J253" s="3">
        <v>77</v>
      </c>
      <c r="K253" s="3">
        <f>VLOOKUP($A253,'SegEnds_NonXtal_BW#'!$A:$Z,8,FALSE)+VLOOKUP($A253,A:AL,10,FALSE)-50</f>
        <v>93</v>
      </c>
      <c r="L253" s="3">
        <f t="shared" si="165"/>
        <v>94</v>
      </c>
      <c r="M253" s="3">
        <v>95</v>
      </c>
      <c r="N253" s="3">
        <f t="shared" si="166"/>
        <v>97</v>
      </c>
      <c r="O253" s="3">
        <f t="shared" si="162"/>
        <v>98</v>
      </c>
      <c r="P253" s="3">
        <v>127</v>
      </c>
      <c r="Q253" s="3">
        <f>VLOOKUP($A253,'SegEnds_NonXtal_BW#'!$A:$Z,12,FALSE)+VLOOKUP($A253,A:AL,16,FALSE)-50</f>
        <v>133</v>
      </c>
      <c r="R253" s="3">
        <f>IF(ISERROR(VLOOKUP($A253,'SegEnds_NonXtal_BW#'!$A:$Z,13,FALSE)+VLOOKUP($A253,A:AL,19,FALSE)-50),"-",VLOOKUP($A253,'SegEnds_NonXtal_BW#'!$A:$Z,13,FALSE)+VLOOKUP($A253,A:AL,19,FALSE)-50)</f>
        <v>134</v>
      </c>
      <c r="S253" s="3">
        <v>134</v>
      </c>
      <c r="T253" s="100">
        <f>IF(ISERROR(VLOOKUP($A253,'SegEnds_NonXtal_BW#'!$A:$Z,14,FALSE)+VLOOKUP($A253,A:AL,19,FALSE)-50),"-",(VLOOKUP($A253,'SegEnds_NonXtal_BW#'!$A:$Z,14,FALSE)+VLOOKUP($A253,A:AL,19,FALSE)-50))</f>
        <v>141</v>
      </c>
      <c r="U253" s="9">
        <f>IF(ISERROR(VLOOKUP($A253,'SegEnds_NonXtal_BW#'!$A:$Z,15,FALSE)+VLOOKUP($A253,A:AL,22,FALSE)-50),"-",VLOOKUP($A253,'SegEnds_NonXtal_BW#'!$A:$Z,15,FALSE)+VLOOKUP($A253,A:AL,22,FALSE)-50)</f>
        <v>142</v>
      </c>
      <c r="V253" s="3">
        <v>154</v>
      </c>
      <c r="W253" s="3">
        <f>IF(ISERROR(VLOOKUP($A253,'SegEnds_NonXtal_BW#'!$A:$Z,16,FALSE)+VLOOKUP($A253,A:AL,22,FALSE)-50),"-",(VLOOKUP($A253,'SegEnds_NonXtal_BW#'!$A:$Z,16,FALSE)+VLOOKUP($A253,A:AL,22,FALSE)-50))</f>
        <v>168</v>
      </c>
      <c r="X253" s="3">
        <f>IF(ISERROR(VLOOKUP($A253,'SegEnds_NonXtal_BW#'!$A:$Z,17,FALSE)+VLOOKUP($A253,A:AL,25,FALSE)-50),"-",(VLOOKUP($A253,'SegEnds_NonXtal_BW#'!$A:$Z,17,FALSE)+VLOOKUP($A253,A:AL,25,FALSE)-50))</f>
        <v>175</v>
      </c>
      <c r="Y253" s="3">
        <v>175</v>
      </c>
      <c r="Z253" s="3">
        <f t="shared" si="167"/>
        <v>177</v>
      </c>
      <c r="AA253" s="3">
        <f>IF(ISERROR(VLOOKUP($A253,'SegEnds_NonXtal_BW#'!$A:$Z,19,FALSE)+VLOOKUP($A253,A:AL,28,FALSE)-50),"-",(VLOOKUP($A253,'SegEnds_NonXtal_BW#'!$A:$Z,19,FALSE)+VLOOKUP($A253,A:AL,28,FALSE)-50))</f>
        <v>182</v>
      </c>
      <c r="AB253" s="3">
        <v>197</v>
      </c>
      <c r="AC253" s="3">
        <f>IF(ISERROR((VLOOKUP($A253,'SegEnds_NonXtal_BW#'!$A:$Z,20,FALSE)+VLOOKUP($A253,A:AL,28,FALSE)-50)),"-",(VLOOKUP($A253,'SegEnds_NonXtal_BW#'!$A:$Z,20,FALSE)+VLOOKUP($A253,A:AL,28,FALSE)-50))</f>
        <v>215</v>
      </c>
      <c r="AD253" s="3">
        <f>IF(ISERROR(VLOOKUP($A253,'SegEnds_NonXtal_BW#'!$A:$Z,21,FALSE)+VLOOKUP($A253,A:AL,31,FALSE)-50),"-",(VLOOKUP($A253,'SegEnds_NonXtal_BW#'!$A:$Z,21,FALSE)+VLOOKUP($A253,A:AL,31,FALSE)-50))</f>
        <v>218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254</v>
      </c>
      <c r="AG253" s="3">
        <f>IF(ISERROR(VLOOKUP($A253,'SegEnds_NonXtal_BW#'!$A:$Z,23,FALSE)+VLOOKUP($A253,A:AL,34,FALSE)-50),"-",(VLOOKUP($A253,'SegEnds_NonXtal_BW#'!$A:$Z,23,FALSE)+VLOOKUP($A253,A:AL,34,FALSE)-50))</f>
        <v>258</v>
      </c>
      <c r="AH253" s="3">
        <v>284</v>
      </c>
      <c r="AI253" s="3">
        <f>IF(ISERROR((VLOOKUP($A253,'SegEnds_NonXtal_BW#'!$A:$Z,24,FALSE)+VLOOKUP($A253,A:AL,34,FALSE)-50)),"-",(VLOOKUP($A253,'SegEnds_NonXtal_BW#'!$A:$Z,24,FALSE)+VLOOKUP($A253,A:AL,34,FALSE)-50))</f>
        <v>290</v>
      </c>
      <c r="AJ253" s="3">
        <f>IF(ISERROR(VLOOKUP($A253,'SegEnds_NonXtal_BW#'!$A:$Z,25,FALSE)+VLOOKUP($A253,A:AL,37,FALSE)-50),"-",(VLOOKUP($A253,'SegEnds_NonXtal_BW#'!$A:$Z,25,FALSE)+VLOOKUP($A253,A:AL,37,FALSE)-50))</f>
        <v>291</v>
      </c>
      <c r="AK253" s="3">
        <v>294</v>
      </c>
      <c r="AL253" s="3">
        <f>IF(ISERROR((VLOOKUP($A253,'SegEnds_NonXtal_BW#'!$A:$Z,26,FALSE)+VLOOKUP($A253,A:AL,37,FALSE)-50)),"-",(VLOOKUP($A253,'SegEnds_NonXtal_BW#'!$A:$Z,26,FALSE)+VLOOKUP($A253,A:AL,37,FALSE)-50))</f>
        <v>303</v>
      </c>
      <c r="AM253" s="28" t="str">
        <f>VLOOKUP(A253,Classification!A:B,2,FALSE)</f>
        <v>A</v>
      </c>
      <c r="AN253" s="28" t="b">
        <f t="shared" si="156"/>
        <v>1</v>
      </c>
      <c r="AO253" s="3" t="str">
        <f>IF(ISERROR(MATCH(A253,'SegEnds_Xtal_Prot#'!B:B, 0)), "NoXtal", "Xtal")</f>
        <v>NoXtal</v>
      </c>
      <c r="AP253" s="3">
        <f t="shared" si="141"/>
        <v>1</v>
      </c>
      <c r="AQ253" s="3">
        <f t="shared" si="142"/>
        <v>1</v>
      </c>
      <c r="AR253" s="3">
        <f t="shared" si="143"/>
        <v>1</v>
      </c>
      <c r="AS253" s="3">
        <f t="shared" si="144"/>
        <v>1</v>
      </c>
      <c r="AT253" s="3">
        <f t="shared" si="145"/>
        <v>1</v>
      </c>
      <c r="AU253" s="3">
        <f t="shared" si="146"/>
        <v>1</v>
      </c>
      <c r="AV253" s="3">
        <f t="shared" si="147"/>
        <v>7</v>
      </c>
      <c r="AW253" s="3">
        <f t="shared" si="148"/>
        <v>5</v>
      </c>
      <c r="AX253" s="3">
        <f t="shared" si="149"/>
        <v>3</v>
      </c>
      <c r="AY253" s="3">
        <f t="shared" si="150"/>
        <v>4</v>
      </c>
      <c r="AZ253" s="3">
        <f t="shared" si="151"/>
        <v>1</v>
      </c>
      <c r="BA253" s="3">
        <f>IF(ISERROR(LEN(VLOOKUP(A253,Seqs!A:E,2,FALSE))-AL253),"-",LEN(VLOOKUP(A253,Seqs!A:E,2,FALSE))-AL253)</f>
        <v>30</v>
      </c>
      <c r="BB253" s="16">
        <f t="shared" si="152"/>
        <v>28</v>
      </c>
      <c r="BC253" s="9">
        <f t="shared" si="153"/>
        <v>20</v>
      </c>
      <c r="BD253" s="3">
        <f t="shared" si="154"/>
        <v>28</v>
      </c>
      <c r="BE253" s="3">
        <f t="shared" si="155"/>
        <v>43</v>
      </c>
    </row>
    <row r="254" spans="1:58" s="3" customFormat="1" x14ac:dyDescent="0.2">
      <c r="A254" s="3" t="s">
        <v>178</v>
      </c>
      <c r="B254" s="3" t="str">
        <f>LOWER(VLOOKUP(A254,Xtal_Templ!A:B,2,FALSE))</f>
        <v>ccr5_human</v>
      </c>
      <c r="C254" s="3">
        <f>VLOOKUP($A254,'SegEnds_NonXtal_BW#'!$A:$Z,3,FALSE)+D254-50</f>
        <v>30</v>
      </c>
      <c r="D254" s="3">
        <v>56</v>
      </c>
      <c r="E254" s="3">
        <f>IF(ISERROR(VLOOKUP($A254,'SegEnds_NonXtal_BW#'!$A:$Z,4,FALSE)+VLOOKUP($A254,A:AL,4,FALSE)-50),"-",(VLOOKUP($A254,'SegEnds_NonXtal_BW#'!$A:$Z,4,FALSE)+VLOOKUP($A254,A:AL,4,FALSE)-50))</f>
        <v>66</v>
      </c>
      <c r="F254" s="3">
        <f t="shared" si="190"/>
        <v>67</v>
      </c>
      <c r="G254" s="3">
        <v>69</v>
      </c>
      <c r="H254" s="3">
        <f t="shared" si="191"/>
        <v>70</v>
      </c>
      <c r="I254" s="3">
        <f t="shared" si="191"/>
        <v>71</v>
      </c>
      <c r="J254" s="3">
        <v>84</v>
      </c>
      <c r="K254" s="3">
        <f>VLOOKUP($A254,'SegEnds_NonXtal_BW#'!$A:$Z,8,FALSE)+VLOOKUP($A254,A:AL,10,FALSE)-50</f>
        <v>97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102</v>
      </c>
      <c r="P254" s="3">
        <v>128</v>
      </c>
      <c r="Q254" s="3">
        <f>VLOOKUP($A254,'SegEnds_NonXtal_BW#'!$A:$Z,12,FALSE)+VLOOKUP($A254,A:AL,16,FALSE)-50</f>
        <v>134</v>
      </c>
      <c r="R254" s="3">
        <f>IF(ISERROR(VLOOKUP($A254,'SegEnds_NonXtal_BW#'!$A:$Z,13,FALSE)+VLOOKUP($A254,A:AL,19,FALSE)-50),"-",VLOOKUP($A254,'SegEnds_NonXtal_BW#'!$A:$Z,13,FALSE)+VLOOKUP($A254,A:AL,19,FALSE)-50)</f>
        <v>135</v>
      </c>
      <c r="S254" s="3">
        <v>135</v>
      </c>
      <c r="T254" s="100">
        <f>IF(ISERROR(VLOOKUP($A254,'SegEnds_NonXtal_BW#'!$A:$Z,14,FALSE)+VLOOKUP($A254,A:AL,19,FALSE)-50),"-",(VLOOKUP($A254,'SegEnds_NonXtal_BW#'!$A:$Z,14,FALSE)+VLOOKUP($A254,A:AL,19,FALSE)-50))</f>
        <v>143</v>
      </c>
      <c r="U254" s="9">
        <f>IF(ISERROR(VLOOKUP($A254,'SegEnds_NonXtal_BW#'!$A:$Z,15,FALSE)+VLOOKUP($A254,A:AL,22,FALSE)-50),"-",VLOOKUP($A254,'SegEnds_NonXtal_BW#'!$A:$Z,15,FALSE)+VLOOKUP($A254,A:AL,22,FALSE)-50)</f>
        <v>144</v>
      </c>
      <c r="V254" s="3">
        <v>156</v>
      </c>
      <c r="W254" s="3">
        <f>IF(ISERROR(VLOOKUP($A254,'SegEnds_NonXtal_BW#'!$A:$Z,16,FALSE)+VLOOKUP($A254,A:AL,22,FALSE)-50),"-",(VLOOKUP($A254,'SegEnds_NonXtal_BW#'!$A:$Z,16,FALSE)+VLOOKUP($A254,A:AL,22,FALSE)-50))</f>
        <v>170</v>
      </c>
      <c r="X254" s="3">
        <f>IF(ISERROR(VLOOKUP($A254,'SegEnds_NonXtal_BW#'!$A:$Z,17,FALSE)+VLOOKUP($A254,A:AL,25,FALSE)-50),"-",(VLOOKUP($A254,'SegEnds_NonXtal_BW#'!$A:$Z,17,FALSE)+VLOOKUP($A254,A:AL,25,FALSE)-50))</f>
        <v>181</v>
      </c>
      <c r="Y254" s="3">
        <v>181</v>
      </c>
      <c r="Z254" s="3">
        <f t="shared" si="167"/>
        <v>183</v>
      </c>
      <c r="AA254" s="3">
        <f>IF(ISERROR(VLOOKUP($A254,'SegEnds_NonXtal_BW#'!$A:$Z,19,FALSE)+VLOOKUP($A254,A:AL,28,FALSE)-50),"-",(VLOOKUP($A254,'SegEnds_NonXtal_BW#'!$A:$Z,19,FALSE)+VLOOKUP($A254,A:AL,28,FALSE)-50))</f>
        <v>192</v>
      </c>
      <c r="AB254" s="3">
        <v>212</v>
      </c>
      <c r="AC254" s="3">
        <f>IF(ISERROR((VLOOKUP($A254,'SegEnds_NonXtal_BW#'!$A:$Z,20,FALSE)+VLOOKUP($A254,A:AL,28,FALSE)-50)),"-",(VLOOKUP($A254,'SegEnds_NonXtal_BW#'!$A:$Z,20,FALSE)+VLOOKUP($A254,A:AL,28,FALSE)-50))</f>
        <v>229</v>
      </c>
      <c r="AD254" s="3">
        <f>IF(ISERROR(VLOOKUP($A254,'SegEnds_NonXtal_BW#'!$A:$Z,21,FALSE)+VLOOKUP($A254,A:AL,31,FALSE)-50),"-",(VLOOKUP($A254,'SegEnds_NonXtal_BW#'!$A:$Z,21,FALSE)+VLOOKUP($A254,A:AL,31,FALSE)-50))</f>
        <v>233</v>
      </c>
      <c r="AE254" s="3">
        <v>253</v>
      </c>
      <c r="AF254" s="3">
        <f>IF(ISERROR((VLOOKUP($A254,'SegEnds_NonXtal_BW#'!$A:$Z,22,FALSE)+VLOOKUP($A254,A:AL,31,FALSE)-50)),"-",(VLOOKUP($A254,'SegEnds_NonXtal_BW#'!$A:$Z,22,FALSE)+VLOOKUP($A254,A:AL,31,FALSE)-50))</f>
        <v>267</v>
      </c>
      <c r="AG254" s="3">
        <f>IF(ISERROR(VLOOKUP($A254,'SegEnds_NonXtal_BW#'!$A:$Z,23,FALSE)+VLOOKUP($A254,A:AL,34,FALSE)-50),"-",(VLOOKUP($A254,'SegEnds_NonXtal_BW#'!$A:$Z,23,FALSE)+VLOOKUP($A254,A:AL,34,FALSE)-50))</f>
        <v>271</v>
      </c>
      <c r="AH254" s="3">
        <v>297</v>
      </c>
      <c r="AI254" s="3">
        <f>IF(ISERROR((VLOOKUP($A254,'SegEnds_NonXtal_BW#'!$A:$Z,24,FALSE)+VLOOKUP($A254,A:AL,34,FALSE)-50)),"-",(VLOOKUP($A254,'SegEnds_NonXtal_BW#'!$A:$Z,24,FALSE)+VLOOKUP($A254,A:AL,34,FALSE)-50))</f>
        <v>303</v>
      </c>
      <c r="AJ254" s="3">
        <f>IF(ISERROR(VLOOKUP($A254,'SegEnds_NonXtal_BW#'!$A:$Z,25,FALSE)+VLOOKUP($A254,A:AL,37,FALSE)-50),"-",(VLOOKUP($A254,'SegEnds_NonXtal_BW#'!$A:$Z,25,FALSE)+VLOOKUP($A254,A:AL,37,FALSE)-50))</f>
        <v>304</v>
      </c>
      <c r="AK254" s="3">
        <v>307</v>
      </c>
      <c r="AL254" s="3">
        <f>IF(ISERROR((VLOOKUP($A254,'SegEnds_NonXtal_BW#'!$A:$Z,26,FALSE)+VLOOKUP($A254,A:AL,37,FALSE)-50)),"-",(VLOOKUP($A254,'SegEnds_NonXtal_BW#'!$A:$Z,26,FALSE)+VLOOKUP($A254,A:AL,37,FALSE)-50))</f>
        <v>316</v>
      </c>
      <c r="AM254" s="28" t="str">
        <f>VLOOKUP(A254,Classification!A:B,2,FALSE)</f>
        <v>A</v>
      </c>
      <c r="AN254" s="28" t="b">
        <f t="shared" si="156"/>
        <v>1</v>
      </c>
      <c r="AO254" s="3" t="str">
        <f>IF(ISERROR(MATCH(A254,'SegEnds_Xtal_Prot#'!B:B, 0)), "NoXtal", "Xtal")</f>
        <v>NoXtal</v>
      </c>
      <c r="AP254" s="3">
        <f t="shared" si="141"/>
        <v>1</v>
      </c>
      <c r="AQ254" s="3">
        <f t="shared" si="142"/>
        <v>1</v>
      </c>
      <c r="AR254" s="3" t="str">
        <f t="shared" si="143"/>
        <v>-</v>
      </c>
      <c r="AS254" s="3" t="str">
        <f t="shared" si="144"/>
        <v>-</v>
      </c>
      <c r="AT254" s="3">
        <f t="shared" si="145"/>
        <v>1</v>
      </c>
      <c r="AU254" s="3">
        <f t="shared" si="146"/>
        <v>1</v>
      </c>
      <c r="AV254" s="3">
        <f t="shared" si="147"/>
        <v>11</v>
      </c>
      <c r="AW254" s="3">
        <f t="shared" si="148"/>
        <v>9</v>
      </c>
      <c r="AX254" s="3">
        <f t="shared" si="149"/>
        <v>4</v>
      </c>
      <c r="AY254" s="3">
        <f t="shared" si="150"/>
        <v>4</v>
      </c>
      <c r="AZ254" s="3">
        <f t="shared" si="151"/>
        <v>1</v>
      </c>
      <c r="BA254" s="3">
        <f>IF(ISERROR(LEN(VLOOKUP(A254,Seqs!A:E,2,FALSE))-AL254),"-",LEN(VLOOKUP(A254,Seqs!A:E,2,FALSE))-AL254)</f>
        <v>28</v>
      </c>
      <c r="BB254" s="16">
        <f t="shared" si="152"/>
        <v>28</v>
      </c>
      <c r="BC254" s="9">
        <f t="shared" si="153"/>
        <v>21</v>
      </c>
      <c r="BD254" s="3">
        <f t="shared" si="154"/>
        <v>28</v>
      </c>
      <c r="BE254" s="3">
        <f t="shared" si="155"/>
        <v>41</v>
      </c>
      <c r="BF254" s="3">
        <f t="shared" ref="BF254:BF259" si="192">AH254-AE254</f>
        <v>44</v>
      </c>
    </row>
    <row r="255" spans="1:58" s="3" customFormat="1" x14ac:dyDescent="0.2">
      <c r="A255" s="3" t="s">
        <v>191</v>
      </c>
      <c r="B255" s="3" t="str">
        <f>LOWER(VLOOKUP(A255,Xtal_Templ!A:B,2,FALSE))</f>
        <v>drd2_human</v>
      </c>
      <c r="C255" s="3">
        <f>VLOOKUP($A255,'SegEnds_NonXtal_BW#'!$A:$Z,3,FALSE)+D255-50</f>
        <v>31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90"/>
        <v>63</v>
      </c>
      <c r="G255" s="3">
        <v>65</v>
      </c>
      <c r="H255" s="3">
        <f t="shared" si="191"/>
        <v>66</v>
      </c>
      <c r="I255" s="3">
        <f t="shared" si="191"/>
        <v>67</v>
      </c>
      <c r="J255" s="3">
        <v>80</v>
      </c>
      <c r="K255" s="3">
        <f>VLOOKUP($A255,'SegEnds_NonXtal_BW#'!$A:$Z,8,FALSE)+VLOOKUP($A255,A:AL,10,FALSE)-50</f>
        <v>98</v>
      </c>
      <c r="L255" s="3">
        <f>M255-1</f>
        <v>99</v>
      </c>
      <c r="M255" s="3">
        <v>100</v>
      </c>
      <c r="N255" s="3">
        <f>M255+2</f>
        <v>102</v>
      </c>
      <c r="O255" s="3">
        <f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172</v>
      </c>
      <c r="X255" s="3">
        <f>IF(ISERROR(VLOOKUP($A255,'SegEnds_NonXtal_BW#'!$A:$Z,17,FALSE)+VLOOKUP($A255,A:AL,25,FALSE)-50),"-",(VLOOKUP($A255,'SegEnds_NonXtal_BW#'!$A:$Z,17,FALSE)+VLOOKUP($A255,A:AL,25,FALSE)-50))</f>
        <v>182</v>
      </c>
      <c r="Y255" s="3">
        <v>182</v>
      </c>
      <c r="Z255" s="3">
        <f t="shared" si="167"/>
        <v>184</v>
      </c>
      <c r="AA255" s="3">
        <f>IF(ISERROR(VLOOKUP($A255,'SegEnds_NonXtal_BW#'!$A:$Z,19,FALSE)+VLOOKUP($A255,A:AL,28,FALSE)-50),"-",(VLOOKUP($A255,'SegEnds_NonXtal_BW#'!$A:$Z,19,FALSE)+VLOOKUP($A255,A:AL,28,FALSE)-50))</f>
        <v>186</v>
      </c>
      <c r="AB255" s="3">
        <v>201</v>
      </c>
      <c r="AC255" s="3">
        <f>IF(ISERROR((VLOOKUP($A255,'SegEnds_NonXtal_BW#'!$A:$Z,20,FALSE)+VLOOKUP($A255,A:AL,28,FALSE)-50)),"-",(VLOOKUP($A255,'SegEnds_NonXtal_BW#'!$A:$Z,20,FALSE)+VLOOKUP($A255,A:AL,28,FALSE)-50))</f>
        <v>226</v>
      </c>
      <c r="AD255" s="3">
        <f>IF(ISERROR(VLOOKUP($A255,'SegEnds_NonXtal_BW#'!$A:$Z,21,FALSE)+VLOOKUP($A255,A:AL,31,FALSE)-50),"-",(VLOOKUP($A255,'SegEnds_NonXtal_BW#'!$A:$Z,21,FALSE)+VLOOKUP($A255,A:AL,31,FALSE)-50))</f>
        <v>362</v>
      </c>
      <c r="AE255" s="3">
        <v>388</v>
      </c>
      <c r="AF255" s="3">
        <f>IF(ISERROR((VLOOKUP($A255,'SegEnds_NonXtal_BW#'!$A:$Z,22,FALSE)+VLOOKUP($A255,A:AL,31,FALSE)-50)),"-",(VLOOKUP($A255,'SegEnds_NonXtal_BW#'!$A:$Z,22,FALSE)+VLOOKUP($A255,A:AL,31,FALSE)-50))</f>
        <v>399</v>
      </c>
      <c r="AG255" s="3">
        <f>IF(ISERROR(VLOOKUP($A255,'SegEnds_NonXtal_BW#'!$A:$Z,23,FALSE)+VLOOKUP($A255,A:AL,34,FALSE)-50),"-",(VLOOKUP($A255,'SegEnds_NonXtal_BW#'!$A:$Z,23,FALSE)+VLOOKUP($A255,A:AL,34,FALSE)-50))</f>
        <v>404</v>
      </c>
      <c r="AH255" s="3">
        <v>423</v>
      </c>
      <c r="AI255" s="3">
        <f>IF(ISERROR((VLOOKUP($A255,'SegEnds_NonXtal_BW#'!$A:$Z,24,FALSE)+VLOOKUP($A255,A:AL,34,FALSE)-50)),"-",(VLOOKUP($A255,'SegEnds_NonXtal_BW#'!$A:$Z,24,FALSE)+VLOOKUP($A255,A:AL,34,FALSE)-50))</f>
        <v>429</v>
      </c>
      <c r="AJ255" s="3">
        <f>IF(ISERROR(VLOOKUP($A255,'SegEnds_NonXtal_BW#'!$A:$Z,25,FALSE)+VLOOKUP($A255,A:AL,37,FALSE)-50),"-",(VLOOKUP($A255,'SegEnds_NonXtal_BW#'!$A:$Z,25,FALSE)+VLOOKUP($A255,A:AL,37,FALSE)-50))</f>
        <v>430</v>
      </c>
      <c r="AK255" s="3">
        <v>433</v>
      </c>
      <c r="AL255" s="3">
        <f>IF(ISERROR((VLOOKUP($A255,'SegEnds_NonXtal_BW#'!$A:$Z,26,FALSE)+VLOOKUP($A255,A:AL,37,FALSE)-50)),"-",(VLOOKUP($A255,'SegEnds_NonXtal_BW#'!$A:$Z,26,FALSE)+VLOOKUP($A255,A:AL,37,FALSE)-50))</f>
        <v>442</v>
      </c>
      <c r="AM255" s="28" t="str">
        <f>VLOOKUP(A255,Classification!A:B,2,FALSE)</f>
        <v>A</v>
      </c>
      <c r="AN255" s="28" t="b">
        <f t="shared" si="156"/>
        <v>1</v>
      </c>
      <c r="AO255" s="3" t="str">
        <f>IF(ISERROR(MATCH(A255,'SegEnds_Xtal_Prot#'!B:B, 0)), "NoXtal", "Xtal")</f>
        <v>Xtal</v>
      </c>
      <c r="AP255" s="3">
        <f t="shared" si="141"/>
        <v>1</v>
      </c>
      <c r="AQ255" s="3">
        <f t="shared" si="142"/>
        <v>1</v>
      </c>
      <c r="AR255" s="3">
        <f t="shared" si="143"/>
        <v>1</v>
      </c>
      <c r="AS255" s="3">
        <f t="shared" si="144"/>
        <v>1</v>
      </c>
      <c r="AT255" s="3">
        <f t="shared" si="145"/>
        <v>1</v>
      </c>
      <c r="AU255" s="3">
        <f t="shared" si="146"/>
        <v>1</v>
      </c>
      <c r="AV255" s="3">
        <f t="shared" si="147"/>
        <v>10</v>
      </c>
      <c r="AW255" s="3">
        <f t="shared" si="148"/>
        <v>2</v>
      </c>
      <c r="AX255" s="3">
        <f t="shared" si="149"/>
        <v>136</v>
      </c>
      <c r="AY255" s="3">
        <f t="shared" si="150"/>
        <v>5</v>
      </c>
      <c r="AZ255" s="3">
        <f t="shared" si="151"/>
        <v>1</v>
      </c>
      <c r="BA255" s="3">
        <f>IF(ISERROR(LEN(VLOOKUP(A255,Seqs!A:E,2,FALSE))-AL255),"-",LEN(VLOOKUP(A255,Seqs!A:E,2,FALSE))-AL255)</f>
        <v>1</v>
      </c>
      <c r="BB255" s="16">
        <f t="shared" si="152"/>
        <v>28</v>
      </c>
      <c r="BC255" s="9">
        <f t="shared" si="153"/>
        <v>21</v>
      </c>
      <c r="BD255" s="3">
        <f t="shared" si="154"/>
        <v>28</v>
      </c>
      <c r="BE255" s="3">
        <f t="shared" si="155"/>
        <v>187</v>
      </c>
      <c r="BF255" s="3">
        <f t="shared" si="192"/>
        <v>35</v>
      </c>
    </row>
    <row r="256" spans="1:58" s="3" customFormat="1" x14ac:dyDescent="0.2">
      <c r="A256" s="3" t="s">
        <v>247</v>
      </c>
      <c r="B256" s="3" t="str">
        <f>LOWER(VLOOKUP(A256,Xtal_Templ!A:B,2,FALSE))</f>
        <v>ox1r_human</v>
      </c>
      <c r="C256" s="3">
        <f>VLOOKUP($A256,'SegEnds_NonXtal_BW#'!$A:$Z,3,FALSE)+D256-50</f>
        <v>18</v>
      </c>
      <c r="D256" s="3">
        <v>36</v>
      </c>
      <c r="E256" s="3">
        <f>IF(ISERROR(VLOOKUP($A256,'SegEnds_NonXtal_BW#'!$A:$Z,4,FALSE)+VLOOKUP($A256,A:AL,4,FALSE)-50),"-",(VLOOKUP($A256,'SegEnds_NonXtal_BW#'!$A:$Z,4,FALSE)+VLOOKUP($A256,A:AL,4,FALSE)-50))</f>
        <v>46</v>
      </c>
      <c r="F256" s="3">
        <f t="shared" si="190"/>
        <v>47</v>
      </c>
      <c r="G256" s="3">
        <v>49</v>
      </c>
      <c r="H256" s="3">
        <f t="shared" si="191"/>
        <v>50</v>
      </c>
      <c r="I256" s="3">
        <f t="shared" si="191"/>
        <v>51</v>
      </c>
      <c r="J256" s="3">
        <v>64</v>
      </c>
      <c r="K256" s="3">
        <f>VLOOKUP($A256,'SegEnds_NonXtal_BW#'!$A:$Z,8,FALSE)+VLOOKUP($A256,A:AL,10,FALSE)-50</f>
        <v>82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88</v>
      </c>
      <c r="P256" s="3">
        <v>120</v>
      </c>
      <c r="Q256" s="3">
        <f>VLOOKUP($A256,'SegEnds_NonXtal_BW#'!$A:$Z,12,FALSE)+VLOOKUP($A256,A:AL,16,FALSE)-50</f>
        <v>126</v>
      </c>
      <c r="R256" s="3">
        <f>IF(ISERROR(VLOOKUP($A256,'SegEnds_NonXtal_BW#'!$A:$Z,13,FALSE)+VLOOKUP($A256,A:AL,19,FALSE)-50),"-",VLOOKUP($A256,'SegEnds_NonXtal_BW#'!$A:$Z,13,FALSE)+VLOOKUP($A256,A:AL,19,FALSE)-50)</f>
        <v>127</v>
      </c>
      <c r="S256" s="3">
        <v>127</v>
      </c>
      <c r="T256" s="100">
        <f>IF(ISERROR(VLOOKUP($A256,'SegEnds_NonXtal_BW#'!$A:$Z,14,FALSE)+VLOOKUP($A256,A:AL,19,FALSE)-50),"-",(VLOOKUP($A256,'SegEnds_NonXtal_BW#'!$A:$Z,14,FALSE)+VLOOKUP($A256,A:AL,19,FALSE)-50))</f>
        <v>135</v>
      </c>
      <c r="U256" s="9">
        <f>IF(ISERROR(VLOOKUP($A256,'SegEnds_NonXtal_BW#'!$A:$Z,15,FALSE)+VLOOKUP($A256,A:AL,22,FALSE)-50),"-",VLOOKUP($A256,'SegEnds_NonXtal_BW#'!$A:$Z,15,FALSE)+VLOOKUP($A256,A:AL,22,FALSE)-50)</f>
        <v>136</v>
      </c>
      <c r="V256" s="3">
        <v>148</v>
      </c>
      <c r="W256" s="3">
        <f>IF(ISERROR(VLOOKUP($A256,'SegEnds_NonXtal_BW#'!$A:$Z,16,FALSE)+VLOOKUP($A256,A:AL,22,FALSE)-50),"-",(VLOOKUP($A256,'SegEnds_NonXtal_BW#'!$A:$Z,16,FALSE)+VLOOKUP($A256,A:AL,22,FALSE)-50))</f>
        <v>162</v>
      </c>
      <c r="X256" s="3">
        <f>IF(ISERROR(VLOOKUP($A256,'SegEnds_NonXtal_BW#'!$A:$Z,17,FALSE)+VLOOKUP($A256,A:AL,25,FALSE)-50),"-",(VLOOKUP($A256,'SegEnds_NonXtal_BW#'!$A:$Z,17,FALSE)+VLOOKUP($A256,A:AL,25,FALSE)-50))</f>
        <v>171</v>
      </c>
      <c r="Y256" s="3">
        <v>171</v>
      </c>
      <c r="Z256" s="3">
        <f t="shared" si="167"/>
        <v>173</v>
      </c>
      <c r="AA256" s="3">
        <f>IF(ISERROR(VLOOKUP($A256,'SegEnds_NonXtal_BW#'!$A:$Z,19,FALSE)+VLOOKUP($A256,A:AL,28,FALSE)-50),"-",(VLOOKUP($A256,'SegEnds_NonXtal_BW#'!$A:$Z,19,FALSE)+VLOOKUP($A256,A:AL,28,FALSE)-50))</f>
        <v>174</v>
      </c>
      <c r="AB256" s="3">
        <v>189</v>
      </c>
      <c r="AC256" s="3">
        <f>IF(ISERROR((VLOOKUP($A256,'SegEnds_NonXtal_BW#'!$A:$Z,20,FALSE)+VLOOKUP($A256,A:AL,28,FALSE)-50)),"-",(VLOOKUP($A256,'SegEnds_NonXtal_BW#'!$A:$Z,20,FALSE)+VLOOKUP($A256,A:AL,28,FALSE)-50))</f>
        <v>215</v>
      </c>
      <c r="AD256" s="3">
        <f>IF(ISERROR(VLOOKUP($A256,'SegEnds_NonXtal_BW#'!$A:$Z,21,FALSE)+VLOOKUP($A256,A:AL,31,FALSE)-50),"-",(VLOOKUP($A256,'SegEnds_NonXtal_BW#'!$A:$Z,21,FALSE)+VLOOKUP($A256,A:AL,31,FALSE)-50))</f>
        <v>273</v>
      </c>
      <c r="AE256" s="3">
        <v>299</v>
      </c>
      <c r="AF256" s="3">
        <f>IF(ISERROR((VLOOKUP($A256,'SegEnds_NonXtal_BW#'!$A:$Z,22,FALSE)+VLOOKUP($A256,A:AL,31,FALSE)-50)),"-",(VLOOKUP($A256,'SegEnds_NonXtal_BW#'!$A:$Z,22,FALSE)+VLOOKUP($A256,A:AL,31,FALSE)-50))</f>
        <v>310</v>
      </c>
      <c r="AG256" s="3">
        <f>IF(ISERROR(VLOOKUP($A256,'SegEnds_NonXtal_BW#'!$A:$Z,23,FALSE)+VLOOKUP($A256,A:AL,34,FALSE)-50),"-",(VLOOKUP($A256,'SegEnds_NonXtal_BW#'!$A:$Z,23,FALSE)+VLOOKUP($A256,A:AL,34,FALSE)-50))</f>
        <v>316</v>
      </c>
      <c r="AH256" s="3">
        <v>335</v>
      </c>
      <c r="AI256" s="3">
        <f>IF(ISERROR((VLOOKUP($A256,'SegEnds_NonXtal_BW#'!$A:$Z,24,FALSE)+VLOOKUP($A256,A:AL,34,FALSE)-50)),"-",(VLOOKUP($A256,'SegEnds_NonXtal_BW#'!$A:$Z,24,FALSE)+VLOOKUP($A256,A:AL,34,FALSE)-50))</f>
        <v>341</v>
      </c>
      <c r="AJ256" s="3">
        <f>IF(ISERROR(VLOOKUP($A256,'SegEnds_NonXtal_BW#'!$A:$Z,25,FALSE)+VLOOKUP($A256,A:AL,37,FALSE)-50),"-",(VLOOKUP($A256,'SegEnds_NonXtal_BW#'!$A:$Z,25,FALSE)+VLOOKUP($A256,A:AL,37,FALSE)-50))</f>
        <v>342</v>
      </c>
      <c r="AK256" s="3">
        <v>345</v>
      </c>
      <c r="AL256" s="3">
        <f>IF(ISERROR((VLOOKUP($A256,'SegEnds_NonXtal_BW#'!$A:$Z,26,FALSE)+VLOOKUP($A256,A:AL,37,FALSE)-50)),"-",(VLOOKUP($A256,'SegEnds_NonXtal_BW#'!$A:$Z,26,FALSE)+VLOOKUP($A256,A:AL,37,FALSE)-50))</f>
        <v>358</v>
      </c>
      <c r="AM256" s="28" t="str">
        <f>VLOOKUP(A256,Classification!A:B,2,FALSE)</f>
        <v>A</v>
      </c>
      <c r="AN256" s="28" t="b">
        <f t="shared" si="156"/>
        <v>1</v>
      </c>
      <c r="AO256" s="3" t="str">
        <f>IF(ISERROR(MATCH(A256,'SegEnds_Xtal_Prot#'!B:B, 0)), "NoXtal", "Xtal")</f>
        <v>NoXtal</v>
      </c>
      <c r="AP256" s="3">
        <f t="shared" si="141"/>
        <v>1</v>
      </c>
      <c r="AQ256" s="3">
        <f t="shared" si="142"/>
        <v>1</v>
      </c>
      <c r="AR256" s="3" t="str">
        <f t="shared" si="143"/>
        <v>-</v>
      </c>
      <c r="AS256" s="3" t="str">
        <f t="shared" si="144"/>
        <v>-</v>
      </c>
      <c r="AT256" s="3">
        <f t="shared" si="145"/>
        <v>1</v>
      </c>
      <c r="AU256" s="3">
        <f t="shared" si="146"/>
        <v>1</v>
      </c>
      <c r="AV256" s="3">
        <f t="shared" si="147"/>
        <v>9</v>
      </c>
      <c r="AW256" s="3">
        <f t="shared" si="148"/>
        <v>1</v>
      </c>
      <c r="AX256" s="3">
        <f t="shared" si="149"/>
        <v>58</v>
      </c>
      <c r="AY256" s="3">
        <f t="shared" si="150"/>
        <v>6</v>
      </c>
      <c r="AZ256" s="3">
        <f t="shared" si="151"/>
        <v>1</v>
      </c>
      <c r="BA256" s="3">
        <f>IF(ISERROR(LEN(VLOOKUP(A256,Seqs!A:E,2,FALSE))-AL256),"-",LEN(VLOOKUP(A256,Seqs!A:E,2,FALSE))-AL256)</f>
        <v>17</v>
      </c>
      <c r="BB256" s="16">
        <f t="shared" si="152"/>
        <v>28</v>
      </c>
      <c r="BC256" s="9">
        <f t="shared" si="153"/>
        <v>21</v>
      </c>
      <c r="BD256" s="3">
        <f t="shared" si="154"/>
        <v>28</v>
      </c>
      <c r="BE256" s="3">
        <f t="shared" si="155"/>
        <v>110</v>
      </c>
      <c r="BF256" s="3">
        <f t="shared" si="192"/>
        <v>36</v>
      </c>
    </row>
    <row r="257" spans="1:58" s="3" customFormat="1" x14ac:dyDescent="0.2">
      <c r="A257" s="3" t="s">
        <v>279</v>
      </c>
      <c r="B257" s="3" t="str">
        <f>LOWER(VLOOKUP(A257,Xtal_Templ!A:B,2,FALSE))</f>
        <v>hrh1_human</v>
      </c>
      <c r="C257" s="3">
        <f>VLOOKUP($A257,'SegEnds_NonXtal_BW#'!$A:$Z,3,FALSE)+D257-50</f>
        <v>36</v>
      </c>
      <c r="D257" s="3">
        <v>52</v>
      </c>
      <c r="E257" s="3">
        <f>IF(ISERROR(VLOOKUP($A257,'SegEnds_NonXtal_BW#'!$A:$Z,4,FALSE)+VLOOKUP($A257,A:AL,4,FALSE)-50),"-",(VLOOKUP($A257,'SegEnds_NonXtal_BW#'!$A:$Z,4,FALSE)+VLOOKUP($A257,A:AL,4,FALSE)-50))</f>
        <v>62</v>
      </c>
      <c r="F257" s="3">
        <f t="shared" si="190"/>
        <v>63</v>
      </c>
      <c r="G257" s="3">
        <v>65</v>
      </c>
      <c r="H257" s="3">
        <f t="shared" si="191"/>
        <v>66</v>
      </c>
      <c r="I257" s="3">
        <f t="shared" si="191"/>
        <v>67</v>
      </c>
      <c r="J257" s="3">
        <v>80</v>
      </c>
      <c r="K257" s="3">
        <f>VLOOKUP($A257,'SegEnds_NonXtal_BW#'!$A:$Z,8,FALSE)+VLOOKUP($A257,A:AL,10,FALSE)-50</f>
        <v>97</v>
      </c>
      <c r="L257" s="3">
        <f t="shared" ref="L257:L264" si="193">M257-1</f>
        <v>99</v>
      </c>
      <c r="M257" s="3">
        <v>100</v>
      </c>
      <c r="N257" s="3">
        <f t="shared" ref="N257:N264" si="194">M257+2</f>
        <v>102</v>
      </c>
      <c r="O257" s="3">
        <f t="shared" ref="O257:O264" si="195">N257+1</f>
        <v>103</v>
      </c>
      <c r="P257" s="3">
        <v>132</v>
      </c>
      <c r="Q257" s="3">
        <f>VLOOKUP($A257,'SegEnds_NonXtal_BW#'!$A:$Z,12,FALSE)+VLOOKUP($A257,A:AL,16,FALSE)-50</f>
        <v>138</v>
      </c>
      <c r="R257" s="3">
        <f>IF(ISERROR(VLOOKUP($A257,'SegEnds_NonXtal_BW#'!$A:$Z,13,FALSE)+VLOOKUP($A257,A:AL,19,FALSE)-50),"-",VLOOKUP($A257,'SegEnds_NonXtal_BW#'!$A:$Z,13,FALSE)+VLOOKUP($A257,A:AL,19,FALSE)-50)</f>
        <v>139</v>
      </c>
      <c r="S257" s="3">
        <v>139</v>
      </c>
      <c r="T257" s="100">
        <f>IF(ISERROR(VLOOKUP($A257,'SegEnds_NonXtal_BW#'!$A:$Z,14,FALSE)+VLOOKUP($A257,A:AL,19,FALSE)-50),"-",(VLOOKUP($A257,'SegEnds_NonXtal_BW#'!$A:$Z,14,FALSE)+VLOOKUP($A257,A:AL,19,FALSE)-50))</f>
        <v>147</v>
      </c>
      <c r="U257" s="9">
        <f>IF(ISERROR(VLOOKUP($A257,'SegEnds_NonXtal_BW#'!$A:$Z,15,FALSE)+VLOOKUP($A257,A:AL,22,FALSE)-50),"-",VLOOKUP($A257,'SegEnds_NonXtal_BW#'!$A:$Z,15,FALSE)+VLOOKUP($A257,A:AL,22,FALSE)-50)</f>
        <v>148</v>
      </c>
      <c r="V257" s="3">
        <v>160</v>
      </c>
      <c r="W257" s="3">
        <f>IF(ISERROR(VLOOKUP($A257,'SegEnds_NonXtal_BW#'!$A:$Z,16,FALSE)+VLOOKUP($A257,A:AL,22,FALSE)-50),"-",(VLOOKUP($A257,'SegEnds_NonXtal_BW#'!$A:$Z,16,FALSE)+VLOOKUP($A257,A:AL,22,FALSE)-50))</f>
        <v>173</v>
      </c>
      <c r="X257" s="3">
        <f>IF(ISERROR(VLOOKUP($A257,'SegEnds_NonXtal_BW#'!$A:$Z,17,FALSE)+VLOOKUP($A257,A:AL,25,FALSE)-50),"-",(VLOOKUP($A257,'SegEnds_NonXtal_BW#'!$A:$Z,17,FALSE)+VLOOKUP($A257,A:AL,25,FALSE)-50))</f>
        <v>188</v>
      </c>
      <c r="Y257" s="3">
        <v>188</v>
      </c>
      <c r="Z257" s="3">
        <f t="shared" si="167"/>
        <v>190</v>
      </c>
      <c r="AA257" s="3">
        <f>IF(ISERROR(VLOOKUP($A257,'SegEnds_NonXtal_BW#'!$A:$Z,19,FALSE)+VLOOKUP($A257,A:AL,28,FALSE)-50),"-",(VLOOKUP($A257,'SegEnds_NonXtal_BW#'!$A:$Z,19,FALSE)+VLOOKUP($A257,A:AL,28,FALSE)-50))</f>
        <v>195</v>
      </c>
      <c r="AB257" s="3">
        <v>210</v>
      </c>
      <c r="AC257" s="3">
        <f>IF(ISERROR((VLOOKUP($A257,'SegEnds_NonXtal_BW#'!$A:$Z,20,FALSE)+VLOOKUP($A257,A:AL,28,FALSE)-50)),"-",(VLOOKUP($A257,'SegEnds_NonXtal_BW#'!$A:$Z,20,FALSE)+VLOOKUP($A257,A:AL,28,FALSE)-50))</f>
        <v>235</v>
      </c>
      <c r="AD257" s="3">
        <f>IF(ISERROR(VLOOKUP($A257,'SegEnds_NonXtal_BW#'!$A:$Z,21,FALSE)+VLOOKUP($A257,A:AL,31,FALSE)-50),"-",(VLOOKUP($A257,'SegEnds_NonXtal_BW#'!$A:$Z,21,FALSE)+VLOOKUP($A257,A:AL,31,FALSE)-50))</f>
        <v>347</v>
      </c>
      <c r="AE257" s="3">
        <v>373</v>
      </c>
      <c r="AF257" s="3">
        <f>IF(ISERROR((VLOOKUP($A257,'SegEnds_NonXtal_BW#'!$A:$Z,22,FALSE)+VLOOKUP($A257,A:AL,31,FALSE)-50)),"-",(VLOOKUP($A257,'SegEnds_NonXtal_BW#'!$A:$Z,22,FALSE)+VLOOKUP($A257,A:AL,31,FALSE)-50))</f>
        <v>384</v>
      </c>
      <c r="AG257" s="3">
        <f>IF(ISERROR(VLOOKUP($A257,'SegEnds_NonXtal_BW#'!$A:$Z,23,FALSE)+VLOOKUP($A257,A:AL,34,FALSE)-50),"-",(VLOOKUP($A257,'SegEnds_NonXtal_BW#'!$A:$Z,23,FALSE)+VLOOKUP($A257,A:AL,34,FALSE)-50))</f>
        <v>390</v>
      </c>
      <c r="AH257" s="3">
        <v>409</v>
      </c>
      <c r="AI257" s="3">
        <f>IF(ISERROR((VLOOKUP($A257,'SegEnds_NonXtal_BW#'!$A:$Z,24,FALSE)+VLOOKUP($A257,A:AL,34,FALSE)-50)),"-",(VLOOKUP($A257,'SegEnds_NonXtal_BW#'!$A:$Z,24,FALSE)+VLOOKUP($A257,A:AL,34,FALSE)-50))</f>
        <v>415</v>
      </c>
      <c r="AJ257" s="3">
        <f>IF(ISERROR(VLOOKUP($A257,'SegEnds_NonXtal_BW#'!$A:$Z,25,FALSE)+VLOOKUP($A257,A:AL,37,FALSE)-50),"-",(VLOOKUP($A257,'SegEnds_NonXtal_BW#'!$A:$Z,25,FALSE)+VLOOKUP($A257,A:AL,37,FALSE)-50))</f>
        <v>416</v>
      </c>
      <c r="AK257" s="3">
        <v>419</v>
      </c>
      <c r="AL257" s="3">
        <f>IF(ISERROR((VLOOKUP($A257,'SegEnds_NonXtal_BW#'!$A:$Z,26,FALSE)+VLOOKUP($A257,A:AL,37,FALSE)-50)),"-",(VLOOKUP($A257,'SegEnds_NonXtal_BW#'!$A:$Z,26,FALSE)+VLOOKUP($A257,A:AL,37,FALSE)-50))</f>
        <v>428</v>
      </c>
      <c r="AM257" s="28" t="str">
        <f>VLOOKUP(A257,Classification!A:B,2,FALSE)</f>
        <v>A</v>
      </c>
      <c r="AN257" s="28" t="b">
        <f t="shared" si="156"/>
        <v>1</v>
      </c>
      <c r="AO257" s="3" t="str">
        <f>IF(ISERROR(MATCH(A257,'SegEnds_Xtal_Prot#'!B:B, 0)), "NoXtal", "Xtal")</f>
        <v>NoXtal</v>
      </c>
      <c r="AP257" s="3">
        <f t="shared" si="141"/>
        <v>1</v>
      </c>
      <c r="AQ257" s="3">
        <f t="shared" si="142"/>
        <v>1</v>
      </c>
      <c r="AR257" s="3">
        <f t="shared" si="143"/>
        <v>2</v>
      </c>
      <c r="AS257" s="3">
        <f t="shared" si="144"/>
        <v>1</v>
      </c>
      <c r="AT257" s="3">
        <f t="shared" si="145"/>
        <v>1</v>
      </c>
      <c r="AU257" s="3">
        <f t="shared" si="146"/>
        <v>1</v>
      </c>
      <c r="AV257" s="3">
        <f t="shared" si="147"/>
        <v>15</v>
      </c>
      <c r="AW257" s="3">
        <f t="shared" si="148"/>
        <v>5</v>
      </c>
      <c r="AX257" s="3">
        <f t="shared" si="149"/>
        <v>112</v>
      </c>
      <c r="AY257" s="3">
        <f t="shared" si="150"/>
        <v>6</v>
      </c>
      <c r="AZ257" s="3">
        <f t="shared" si="151"/>
        <v>1</v>
      </c>
      <c r="BA257" s="3">
        <f>IF(ISERROR(LEN(VLOOKUP(A257,Seqs!A:E,2,FALSE))-AL257),"-",LEN(VLOOKUP(A257,Seqs!A:E,2,FALSE))-AL257)</f>
        <v>17</v>
      </c>
      <c r="BB257" s="16">
        <f t="shared" si="152"/>
        <v>28</v>
      </c>
      <c r="BC257" s="9">
        <f t="shared" si="153"/>
        <v>21</v>
      </c>
      <c r="BD257" s="3">
        <f t="shared" si="154"/>
        <v>28</v>
      </c>
      <c r="BE257" s="3">
        <f t="shared" si="155"/>
        <v>163</v>
      </c>
      <c r="BF257" s="3">
        <f t="shared" si="192"/>
        <v>36</v>
      </c>
    </row>
    <row r="258" spans="1:58" s="3" customFormat="1" x14ac:dyDescent="0.2">
      <c r="A258" s="3" t="s">
        <v>280</v>
      </c>
      <c r="B258" s="3" t="str">
        <f>LOWER(VLOOKUP(A258,Xtal_Templ!A:B,2,FALSE))</f>
        <v>acm3_rat</v>
      </c>
      <c r="C258" s="3">
        <f>VLOOKUP($A258,'SegEnds_NonXtal_BW#'!$A:$Z,3,FALSE)+D258-50</f>
        <v>11</v>
      </c>
      <c r="D258" s="3">
        <v>33</v>
      </c>
      <c r="E258" s="3">
        <f>IF(ISERROR(VLOOKUP($A258,'SegEnds_NonXtal_BW#'!$A:$Z,4,FALSE)+VLOOKUP($A258,A:AL,4,FALSE)-50),"-",(VLOOKUP($A258,'SegEnds_NonXtal_BW#'!$A:$Z,4,FALSE)+VLOOKUP($A258,A:AL,4,FALSE)-50))</f>
        <v>43</v>
      </c>
      <c r="F258" s="3">
        <f t="shared" si="190"/>
        <v>44</v>
      </c>
      <c r="G258" s="3">
        <v>46</v>
      </c>
      <c r="H258" s="3">
        <f t="shared" si="191"/>
        <v>47</v>
      </c>
      <c r="I258" s="3">
        <f t="shared" si="191"/>
        <v>48</v>
      </c>
      <c r="J258" s="3">
        <v>61</v>
      </c>
      <c r="K258" s="3">
        <f>VLOOKUP($A258,'SegEnds_NonXtal_BW#'!$A:$Z,8,FALSE)+VLOOKUP($A258,A:AL,10,FALSE)-50</f>
        <v>77</v>
      </c>
      <c r="L258" s="3">
        <f t="shared" si="193"/>
        <v>79</v>
      </c>
      <c r="M258" s="3">
        <v>80</v>
      </c>
      <c r="N258" s="3">
        <f t="shared" si="194"/>
        <v>82</v>
      </c>
      <c r="O258" s="3">
        <f t="shared" si="195"/>
        <v>83</v>
      </c>
      <c r="P258" s="3">
        <v>112</v>
      </c>
      <c r="Q258" s="3">
        <f>VLOOKUP($A258,'SegEnds_NonXtal_BW#'!$A:$Z,12,FALSE)+VLOOKUP($A258,A:AL,16,FALSE)-50</f>
        <v>118</v>
      </c>
      <c r="R258" s="3">
        <f>IF(ISERROR(VLOOKUP($A258,'SegEnds_NonXtal_BW#'!$A:$Z,13,FALSE)+VLOOKUP($A258,A:AL,19,FALSE)-50),"-",VLOOKUP($A258,'SegEnds_NonXtal_BW#'!$A:$Z,13,FALSE)+VLOOKUP($A258,A:AL,19,FALSE)-50)</f>
        <v>119</v>
      </c>
      <c r="S258" s="3">
        <v>119</v>
      </c>
      <c r="T258" s="100">
        <f>IF(ISERROR(VLOOKUP($A258,'SegEnds_NonXtal_BW#'!$A:$Z,14,FALSE)+VLOOKUP($A258,A:AL,19,FALSE)-50),"-",(VLOOKUP($A258,'SegEnds_NonXtal_BW#'!$A:$Z,14,FALSE)+VLOOKUP($A258,A:AL,19,FALSE)-50))</f>
        <v>127</v>
      </c>
      <c r="U258" s="9">
        <f>IF(ISERROR(VLOOKUP($A258,'SegEnds_NonXtal_BW#'!$A:$Z,15,FALSE)+VLOOKUP($A258,A:AL,22,FALSE)-50),"-",VLOOKUP($A258,'SegEnds_NonXtal_BW#'!$A:$Z,15,FALSE)+VLOOKUP($A258,A:AL,22,FALSE)-50)</f>
        <v>128</v>
      </c>
      <c r="V258" s="3">
        <v>140</v>
      </c>
      <c r="W258" s="3">
        <f>IF(ISERROR(VLOOKUP($A258,'SegEnds_NonXtal_BW#'!$A:$Z,16,FALSE)+VLOOKUP($A258,A:AL,22,FALSE)-50),"-",(VLOOKUP($A258,'SegEnds_NonXtal_BW#'!$A:$Z,16,FALSE)+VLOOKUP($A258,A:AL,22,FALSE)-50))</f>
        <v>153</v>
      </c>
      <c r="X258" s="3">
        <f>IF(ISERROR(VLOOKUP($A258,'SegEnds_NonXtal_BW#'!$A:$Z,17,FALSE)+VLOOKUP($A258,A:AL,25,FALSE)-50),"-",(VLOOKUP($A258,'SegEnds_NonXtal_BW#'!$A:$Z,17,FALSE)+VLOOKUP($A258,A:AL,25,FALSE)-50))</f>
        <v>164</v>
      </c>
      <c r="Y258" s="3">
        <v>164</v>
      </c>
      <c r="Z258" s="3">
        <f t="shared" si="167"/>
        <v>166</v>
      </c>
      <c r="AA258" s="3">
        <f>IF(ISERROR(VLOOKUP($A258,'SegEnds_NonXtal_BW#'!$A:$Z,19,FALSE)+VLOOKUP($A258,A:AL,28,FALSE)-50),"-",(VLOOKUP($A258,'SegEnds_NonXtal_BW#'!$A:$Z,19,FALSE)+VLOOKUP($A258,A:AL,28,FALSE)-50))</f>
        <v>171</v>
      </c>
      <c r="AB258" s="3">
        <v>186</v>
      </c>
      <c r="AC258" s="3">
        <f>IF(ISERROR((VLOOKUP($A258,'SegEnds_NonXtal_BW#'!$A:$Z,20,FALSE)+VLOOKUP($A258,A:AL,28,FALSE)-50)),"-",(VLOOKUP($A258,'SegEnds_NonXtal_BW#'!$A:$Z,20,FALSE)+VLOOKUP($A258,A:AL,28,FALSE)-50))</f>
        <v>212</v>
      </c>
      <c r="AD258" s="3">
        <f>IF(ISERROR(VLOOKUP($A258,'SegEnds_NonXtal_BW#'!$A:$Z,21,FALSE)+VLOOKUP($A258,A:AL,31,FALSE)-50),"-",(VLOOKUP($A258,'SegEnds_NonXtal_BW#'!$A:$Z,21,FALSE)+VLOOKUP($A258,A:AL,31,FALSE)-50))</f>
        <v>292</v>
      </c>
      <c r="AE258" s="3">
        <v>318</v>
      </c>
      <c r="AF258" s="3">
        <f>IF(ISERROR((VLOOKUP($A258,'SegEnds_NonXtal_BW#'!$A:$Z,22,FALSE)+VLOOKUP($A258,A:AL,31,FALSE)-50)),"-",(VLOOKUP($A258,'SegEnds_NonXtal_BW#'!$A:$Z,22,FALSE)+VLOOKUP($A258,A:AL,31,FALSE)-50))</f>
        <v>329</v>
      </c>
      <c r="AG258" s="3">
        <f>IF(ISERROR(VLOOKUP($A258,'SegEnds_NonXtal_BW#'!$A:$Z,23,FALSE)+VLOOKUP($A258,A:AL,34,FALSE)-50),"-",(VLOOKUP($A258,'SegEnds_NonXtal_BW#'!$A:$Z,23,FALSE)+VLOOKUP($A258,A:AL,34,FALSE)-50))</f>
        <v>336</v>
      </c>
      <c r="AH258" s="3">
        <v>355</v>
      </c>
      <c r="AI258" s="3">
        <f>IF(ISERROR((VLOOKUP($A258,'SegEnds_NonXtal_BW#'!$A:$Z,24,FALSE)+VLOOKUP($A258,A:AL,34,FALSE)-50)),"-",(VLOOKUP($A258,'SegEnds_NonXtal_BW#'!$A:$Z,24,FALSE)+VLOOKUP($A258,A:AL,34,FALSE)-50))</f>
        <v>361</v>
      </c>
      <c r="AJ258" s="3">
        <f>IF(ISERROR(VLOOKUP($A258,'SegEnds_NonXtal_BW#'!$A:$Z,25,FALSE)+VLOOKUP($A258,A:AL,37,FALSE)-50),"-",(VLOOKUP($A258,'SegEnds_NonXtal_BW#'!$A:$Z,25,FALSE)+VLOOKUP($A258,A:AL,37,FALSE)-50))</f>
        <v>362</v>
      </c>
      <c r="AK258" s="3">
        <v>365</v>
      </c>
      <c r="AL258" s="3">
        <f>IF(ISERROR((VLOOKUP($A258,'SegEnds_NonXtal_BW#'!$A:$Z,26,FALSE)+VLOOKUP($A258,A:AL,37,FALSE)-50)),"-",(VLOOKUP($A258,'SegEnds_NonXtal_BW#'!$A:$Z,26,FALSE)+VLOOKUP($A258,A:AL,37,FALSE)-50))</f>
        <v>375</v>
      </c>
      <c r="AM258" s="28" t="str">
        <f>VLOOKUP(A258,Classification!A:B,2,FALSE)</f>
        <v>A</v>
      </c>
      <c r="AN258" s="28" t="b">
        <f t="shared" si="156"/>
        <v>1</v>
      </c>
      <c r="AO258" s="3" t="str">
        <f>IF(ISERROR(MATCH(A258,'SegEnds_Xtal_Prot#'!B:B, 0)), "NoXtal", "Xtal")</f>
        <v>NoXtal</v>
      </c>
      <c r="AP258" s="3">
        <f t="shared" si="141"/>
        <v>1</v>
      </c>
      <c r="AQ258" s="3">
        <f t="shared" si="142"/>
        <v>1</v>
      </c>
      <c r="AR258" s="3">
        <f t="shared" si="143"/>
        <v>2</v>
      </c>
      <c r="AS258" s="3">
        <f t="shared" si="144"/>
        <v>1</v>
      </c>
      <c r="AT258" s="3">
        <f t="shared" si="145"/>
        <v>1</v>
      </c>
      <c r="AU258" s="3">
        <f t="shared" si="146"/>
        <v>1</v>
      </c>
      <c r="AV258" s="3">
        <f t="shared" si="147"/>
        <v>11</v>
      </c>
      <c r="AW258" s="3">
        <f t="shared" si="148"/>
        <v>5</v>
      </c>
      <c r="AX258" s="3">
        <f t="shared" si="149"/>
        <v>80</v>
      </c>
      <c r="AY258" s="3">
        <f t="shared" si="150"/>
        <v>7</v>
      </c>
      <c r="AZ258" s="3">
        <f t="shared" si="151"/>
        <v>1</v>
      </c>
      <c r="BA258" s="3">
        <f>IF(ISERROR(LEN(VLOOKUP(A258,Seqs!A:E,2,FALSE))-AL258),"-",LEN(VLOOKUP(A258,Seqs!A:E,2,FALSE))-AL258)</f>
        <v>15</v>
      </c>
      <c r="BB258" s="16">
        <f t="shared" si="152"/>
        <v>28</v>
      </c>
      <c r="BC258" s="9">
        <f t="shared" si="153"/>
        <v>21</v>
      </c>
      <c r="BD258" s="3">
        <f t="shared" si="154"/>
        <v>28</v>
      </c>
      <c r="BE258" s="3">
        <f t="shared" si="155"/>
        <v>132</v>
      </c>
      <c r="BF258" s="3">
        <f t="shared" si="192"/>
        <v>37</v>
      </c>
    </row>
    <row r="259" spans="1:58" s="3" customFormat="1" x14ac:dyDescent="0.2">
      <c r="A259" s="3" t="s">
        <v>347</v>
      </c>
      <c r="B259" s="3" t="str">
        <f>LOWER(VLOOKUP(A259,Xtal_Templ!A:B,2,FALSE))</f>
        <v>p2ry1_human</v>
      </c>
      <c r="C259" s="3">
        <f>VLOOKUP($A259,'SegEnds_NonXtal_BW#'!$A:$Z,3,FALSE)+D259-50</f>
        <v>24</v>
      </c>
      <c r="D259" s="3">
        <v>44</v>
      </c>
      <c r="E259" s="3">
        <f>IF(ISERROR(VLOOKUP($A259,'SegEnds_NonXtal_BW#'!$A:$Z,4,FALSE)+VLOOKUP($A259,A:AL,4,FALSE)-50),"-",(VLOOKUP($A259,'SegEnds_NonXtal_BW#'!$A:$Z,4,FALSE)+VLOOKUP($A259,A:AL,4,FALSE)-50))</f>
        <v>54</v>
      </c>
      <c r="F259" s="3">
        <f t="shared" si="190"/>
        <v>55</v>
      </c>
      <c r="G259" s="3">
        <v>57</v>
      </c>
      <c r="H259" s="3">
        <f t="shared" si="191"/>
        <v>58</v>
      </c>
      <c r="I259" s="3">
        <f t="shared" si="191"/>
        <v>59</v>
      </c>
      <c r="J259" s="3">
        <v>72</v>
      </c>
      <c r="K259" s="3">
        <f>VLOOKUP($A259,'SegEnds_NonXtal_BW#'!$A:$Z,8,FALSE)+VLOOKUP($A259,A:AL,10,FALSE)-50</f>
        <v>88</v>
      </c>
      <c r="L259" s="3">
        <f t="shared" si="193"/>
        <v>91</v>
      </c>
      <c r="M259" s="3">
        <v>92</v>
      </c>
      <c r="N259" s="3">
        <f t="shared" si="194"/>
        <v>94</v>
      </c>
      <c r="O259" s="3">
        <f t="shared" si="195"/>
        <v>95</v>
      </c>
      <c r="P259" s="3">
        <v>124</v>
      </c>
      <c r="Q259" s="3">
        <f>VLOOKUP($A259,'SegEnds_NonXtal_BW#'!$A:$Z,12,FALSE)+VLOOKUP($A259,A:AL,16,FALSE)-50</f>
        <v>130</v>
      </c>
      <c r="R259" s="3">
        <f>IF(ISERROR(VLOOKUP($A259,'SegEnds_NonXtal_BW#'!$A:$Z,13,FALSE)+VLOOKUP($A259,A:AL,19,FALSE)-50),"-",VLOOKUP($A259,'SegEnds_NonXtal_BW#'!$A:$Z,13,FALSE)+VLOOKUP($A259,A:AL,19,FALSE)-50)</f>
        <v>131</v>
      </c>
      <c r="S259" s="3">
        <v>131</v>
      </c>
      <c r="T259" s="100">
        <f>IF(ISERROR(VLOOKUP($A259,'SegEnds_NonXtal_BW#'!$A:$Z,14,FALSE)+VLOOKUP($A259,A:AL,19,FALSE)-50),"-",(VLOOKUP($A259,'SegEnds_NonXtal_BW#'!$A:$Z,14,FALSE)+VLOOKUP($A259,A:AL,19,FALSE)-50))</f>
        <v>139</v>
      </c>
      <c r="U259" s="9">
        <f>IF(ISERROR(VLOOKUP($A259,'SegEnds_NonXtal_BW#'!$A:$Z,15,FALSE)+VLOOKUP($A259,A:AL,22,FALSE)-50),"-",VLOOKUP($A259,'SegEnds_NonXtal_BW#'!$A:$Z,15,FALSE)+VLOOKUP($A259,A:AL,22,FALSE)-50)</f>
        <v>140</v>
      </c>
      <c r="V259" s="3">
        <v>152</v>
      </c>
      <c r="W259" s="3">
        <f>IF(ISERROR(VLOOKUP($A259,'SegEnds_NonXtal_BW#'!$A:$Z,16,FALSE)+VLOOKUP($A259,A:AL,22,FALSE)-50),"-",(VLOOKUP($A259,'SegEnds_NonXtal_BW#'!$A:$Z,16,FALSE)+VLOOKUP($A259,A:AL,22,FALSE)-50))</f>
        <v>166</v>
      </c>
      <c r="X259" s="3">
        <f>IF(ISERROR(VLOOKUP($A259,'SegEnds_NonXtal_BW#'!$A:$Z,17,FALSE)+VLOOKUP($A259,A:AL,25,FALSE)-50),"-",(VLOOKUP($A259,'SegEnds_NonXtal_BW#'!$A:$Z,17,FALSE)+VLOOKUP($A259,A:AL,25,FALSE)-50))</f>
        <v>177</v>
      </c>
      <c r="Y259" s="3">
        <v>177</v>
      </c>
      <c r="Z259" s="3">
        <f t="shared" si="167"/>
        <v>179</v>
      </c>
      <c r="AA259" s="3">
        <f>IF(ISERROR(VLOOKUP($A259,'SegEnds_NonXtal_BW#'!$A:$Z,19,FALSE)+VLOOKUP($A259,A:AL,28,FALSE)-50),"-",(VLOOKUP($A259,'SegEnds_NonXtal_BW#'!$A:$Z,19,FALSE)+VLOOKUP($A259,A:AL,28,FALSE)-50))</f>
        <v>186</v>
      </c>
      <c r="AB259" s="3">
        <v>204</v>
      </c>
      <c r="AC259" s="3">
        <f>IF(ISERROR((VLOOKUP($A259,'SegEnds_NonXtal_BW#'!$A:$Z,20,FALSE)+VLOOKUP($A259,A:AL,28,FALSE)-50)),"-",(VLOOKUP($A259,'SegEnds_NonXtal_BW#'!$A:$Z,20,FALSE)+VLOOKUP($A259,A:AL,28,FALSE)-50))</f>
        <v>226</v>
      </c>
      <c r="AD259" s="3">
        <f>IF(ISERROR(VLOOKUP($A259,'SegEnds_NonXtal_BW#'!$A:$Z,21,FALSE)+VLOOKUP($A259,A:AL,31,FALSE)-50),"-",(VLOOKUP($A259,'SegEnds_NonXtal_BW#'!$A:$Z,21,FALSE)+VLOOKUP($A259,A:AL,31,FALSE)-50))</f>
        <v>233</v>
      </c>
      <c r="AE259" s="3">
        <v>254</v>
      </c>
      <c r="AF259" s="3">
        <f>IF(ISERROR((VLOOKUP($A259,'SegEnds_NonXtal_BW#'!$A:$Z,22,FALSE)+VLOOKUP($A259,A:AL,31,FALSE)-50)),"-",(VLOOKUP($A259,'SegEnds_NonXtal_BW#'!$A:$Z,22,FALSE)+VLOOKUP($A259,A:AL,31,FALSE)-50))</f>
        <v>268</v>
      </c>
      <c r="AG259" s="3">
        <f>IF(ISERROR(VLOOKUP($A259,'SegEnds_NonXtal_BW#'!$A:$Z,23,FALSE)+VLOOKUP($A259,A:AL,34,FALSE)-50),"-",(VLOOKUP($A259,'SegEnds_NonXtal_BW#'!$A:$Z,23,FALSE)+VLOOKUP($A259,A:AL,34,FALSE)-50))</f>
        <v>272</v>
      </c>
      <c r="AH259" s="3">
        <v>298</v>
      </c>
      <c r="AI259" s="3">
        <f>IF(ISERROR((VLOOKUP($A259,'SegEnds_NonXtal_BW#'!$A:$Z,24,FALSE)+VLOOKUP($A259,A:AL,34,FALSE)-50)),"-",(VLOOKUP($A259,'SegEnds_NonXtal_BW#'!$A:$Z,24,FALSE)+VLOOKUP($A259,A:AL,34,FALSE)-50))</f>
        <v>304</v>
      </c>
      <c r="AJ259" s="3">
        <f>IF(ISERROR(VLOOKUP($A259,'SegEnds_NonXtal_BW#'!$A:$Z,25,FALSE)+VLOOKUP($A259,A:AL,37,FALSE)-50),"-",(VLOOKUP($A259,'SegEnds_NonXtal_BW#'!$A:$Z,25,FALSE)+VLOOKUP($A259,A:AL,37,FALSE)-50))</f>
        <v>305</v>
      </c>
      <c r="AK259" s="3">
        <v>308</v>
      </c>
      <c r="AL259" s="3">
        <f>IF(ISERROR((VLOOKUP($A259,'SegEnds_NonXtal_BW#'!$A:$Z,26,FALSE)+VLOOKUP($A259,A:AL,37,FALSE)-50)),"-",(VLOOKUP($A259,'SegEnds_NonXtal_BW#'!$A:$Z,26,FALSE)+VLOOKUP($A259,A:AL,37,FALSE)-50))</f>
        <v>317</v>
      </c>
      <c r="AM259" s="28" t="str">
        <f>VLOOKUP(A259,Classification!A:B,2,FALSE)</f>
        <v>A</v>
      </c>
      <c r="AN259" s="28" t="b">
        <f t="shared" si="156"/>
        <v>1</v>
      </c>
      <c r="AO259" s="3" t="str">
        <f>IF(ISERROR(MATCH(A259,'SegEnds_Xtal_Prot#'!B:B, 0)), "NoXtal", "Xtal")</f>
        <v>NoXtal</v>
      </c>
      <c r="AP259" s="3">
        <f t="shared" si="141"/>
        <v>1</v>
      </c>
      <c r="AQ259" s="3">
        <f t="shared" si="142"/>
        <v>1</v>
      </c>
      <c r="AR259" s="3">
        <f t="shared" si="143"/>
        <v>3</v>
      </c>
      <c r="AS259" s="3">
        <f t="shared" si="144"/>
        <v>1</v>
      </c>
      <c r="AT259" s="3">
        <f t="shared" si="145"/>
        <v>1</v>
      </c>
      <c r="AU259" s="3">
        <f t="shared" si="146"/>
        <v>1</v>
      </c>
      <c r="AV259" s="3">
        <f t="shared" si="147"/>
        <v>11</v>
      </c>
      <c r="AW259" s="3">
        <f t="shared" si="148"/>
        <v>7</v>
      </c>
      <c r="AX259" s="3">
        <f t="shared" si="149"/>
        <v>7</v>
      </c>
      <c r="AY259" s="3">
        <f t="shared" si="150"/>
        <v>4</v>
      </c>
      <c r="AZ259" s="3">
        <f t="shared" si="151"/>
        <v>1</v>
      </c>
      <c r="BA259" s="3">
        <f>IF(ISERROR(LEN(VLOOKUP(A259,Seqs!A:E,2,FALSE))-AL259),"-",LEN(VLOOKUP(A259,Seqs!A:E,2,FALSE))-AL259)</f>
        <v>11</v>
      </c>
      <c r="BB259" s="16">
        <f t="shared" si="152"/>
        <v>28</v>
      </c>
      <c r="BC259" s="9">
        <f t="shared" si="153"/>
        <v>21</v>
      </c>
      <c r="BD259" s="3">
        <f t="shared" si="154"/>
        <v>28</v>
      </c>
      <c r="BE259" s="3">
        <f t="shared" si="155"/>
        <v>50</v>
      </c>
      <c r="BF259" s="3">
        <f t="shared" si="192"/>
        <v>44</v>
      </c>
    </row>
    <row r="260" spans="1:58" s="3" customFormat="1" x14ac:dyDescent="0.2">
      <c r="A260" s="3" t="s">
        <v>174</v>
      </c>
      <c r="B260" s="3" t="str">
        <f>LOWER(VLOOKUP(A260,Xtal_Templ!A:B,2,FALSE))</f>
        <v>ccr6_human</v>
      </c>
      <c r="C260" s="3">
        <f>VLOOKUP($A260,'SegEnds_NonXtal_BW#'!$A:$Z,3,FALSE)+D260-50</f>
        <v>39</v>
      </c>
      <c r="D260" s="3">
        <v>64</v>
      </c>
      <c r="E260" s="3">
        <f>IF(ISERROR(VLOOKUP($A260,'SegEnds_NonXtal_BW#'!$A:$Z,4,FALSE)+VLOOKUP($A260,A:AL,4,FALSE)-50),"-",(VLOOKUP($A260,'SegEnds_NonXtal_BW#'!$A:$Z,4,FALSE)+VLOOKUP($A260,A:AL,4,FALSE)-50))</f>
        <v>74</v>
      </c>
      <c r="F260" s="3">
        <f t="shared" si="190"/>
        <v>75</v>
      </c>
      <c r="G260" s="3">
        <v>77</v>
      </c>
      <c r="H260" s="3">
        <f t="shared" si="191"/>
        <v>78</v>
      </c>
      <c r="I260" s="3">
        <f t="shared" si="191"/>
        <v>79</v>
      </c>
      <c r="J260" s="3">
        <v>92</v>
      </c>
      <c r="K260" s="3">
        <f>VLOOKUP($A260,'SegEnds_NonXtal_BW#'!$A:$Z,8,FALSE)+VLOOKUP($A260,A:AL,10,FALSE)-50</f>
        <v>109</v>
      </c>
      <c r="L260" s="3">
        <f t="shared" si="193"/>
        <v>110</v>
      </c>
      <c r="M260" s="3">
        <v>111</v>
      </c>
      <c r="N260" s="3">
        <f t="shared" si="194"/>
        <v>113</v>
      </c>
      <c r="O260" s="3">
        <f t="shared" si="195"/>
        <v>114</v>
      </c>
      <c r="P260" s="3">
        <v>143</v>
      </c>
      <c r="Q260" s="3">
        <f>VLOOKUP($A260,'SegEnds_NonXtal_BW#'!$A:$Z,12,FALSE)+VLOOKUP($A260,A:AL,16,FALSE)-50</f>
        <v>149</v>
      </c>
      <c r="R260" s="3">
        <f>IF(ISERROR(VLOOKUP($A260,'SegEnds_NonXtal_BW#'!$A:$Z,13,FALSE)+VLOOKUP($A260,A:AL,19,FALSE)-50),"-",VLOOKUP($A260,'SegEnds_NonXtal_BW#'!$A:$Z,13,FALSE)+VLOOKUP($A260,A:AL,19,FALSE)-50)</f>
        <v>150</v>
      </c>
      <c r="S260" s="3">
        <v>150</v>
      </c>
      <c r="T260" s="100">
        <f>IF(ISERROR(VLOOKUP($A260,'SegEnds_NonXtal_BW#'!$A:$Z,14,FALSE)+VLOOKUP($A260,A:AL,19,FALSE)-50),"-",(VLOOKUP($A260,'SegEnds_NonXtal_BW#'!$A:$Z,14,FALSE)+VLOOKUP($A260,A:AL,19,FALSE)-50))</f>
        <v>156</v>
      </c>
      <c r="U260" s="9">
        <f>IF(ISERROR(VLOOKUP($A260,'SegEnds_NonXtal_BW#'!$A:$Z,15,FALSE)+VLOOKUP($A260,A:AL,22,FALSE)-50),"-",VLOOKUP($A260,'SegEnds_NonXtal_BW#'!$A:$Z,15,FALSE)+VLOOKUP($A260,A:AL,22,FALSE)-50)</f>
        <v>160</v>
      </c>
      <c r="V260" s="3">
        <v>172</v>
      </c>
      <c r="W260" s="3">
        <f>IF(ISERROR(VLOOKUP($A260,'SegEnds_NonXtal_BW#'!$A:$Z,16,FALSE)+VLOOKUP($A260,A:AL,22,FALSE)-50),"-",(VLOOKUP($A260,'SegEnds_NonXtal_BW#'!$A:$Z,16,FALSE)+VLOOKUP($A260,A:AL,22,FALSE)-50))</f>
        <v>186</v>
      </c>
      <c r="X260" s="3">
        <f>IF(ISERROR(VLOOKUP($A260,'SegEnds_NonXtal_BW#'!$A:$Z,17,FALSE)+VLOOKUP($A260,A:AL,25,FALSE)-50),"-",(VLOOKUP($A260,'SegEnds_NonXtal_BW#'!$A:$Z,17,FALSE)+VLOOKUP($A260,A:AL,25,FALSE)-50))</f>
        <v>197</v>
      </c>
      <c r="Y260" s="3">
        <v>197</v>
      </c>
      <c r="Z260" s="3">
        <f t="shared" si="167"/>
        <v>199</v>
      </c>
      <c r="AA260" s="3">
        <f>IF(ISERROR(VLOOKUP($A260,'SegEnds_NonXtal_BW#'!$A:$Z,19,FALSE)+VLOOKUP($A260,A:AL,28,FALSE)-50),"-",(VLOOKUP($A260,'SegEnds_NonXtal_BW#'!$A:$Z,19,FALSE)+VLOOKUP($A260,A:AL,28,FALSE)-50))</f>
        <v>207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247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287</v>
      </c>
      <c r="AH260" s="3">
        <v>313</v>
      </c>
      <c r="AI260" s="3">
        <f>IF(ISERROR((VLOOKUP($A260,'SegEnds_NonXtal_BW#'!$A:$Z,24,FALSE)+VLOOKUP($A260,A:AL,34,FALSE)-50)),"-",(VLOOKUP($A260,'SegEnds_NonXtal_BW#'!$A:$Z,24,FALSE)+VLOOKUP($A260,A:AL,34,FALSE)-50))</f>
        <v>319</v>
      </c>
      <c r="AJ260" s="3">
        <f>IF(ISERROR(VLOOKUP($A260,'SegEnds_NonXtal_BW#'!$A:$Z,25,FALSE)+VLOOKUP($A260,A:AL,37,FALSE)-50),"-",(VLOOKUP($A260,'SegEnds_NonXtal_BW#'!$A:$Z,25,FALSE)+VLOOKUP($A260,A:AL,37,FALSE)-50))</f>
        <v>320</v>
      </c>
      <c r="AK260" s="3">
        <v>323</v>
      </c>
      <c r="AL260" s="3">
        <f>IF(ISERROR((VLOOKUP($A260,'SegEnds_NonXtal_BW#'!$A:$Z,26,FALSE)+VLOOKUP($A260,A:AL,37,FALSE)-50)),"-",(VLOOKUP($A260,'SegEnds_NonXtal_BW#'!$A:$Z,26,FALSE)+VLOOKUP($A260,A:AL,37,FALSE)-50))</f>
        <v>335</v>
      </c>
      <c r="AM260" s="28" t="str">
        <f>VLOOKUP(A260,Classification!A:B,2,FALSE)</f>
        <v>A</v>
      </c>
      <c r="AN260" s="28" t="b">
        <f t="shared" si="156"/>
        <v>1</v>
      </c>
      <c r="AO260" s="3" t="str">
        <f>IF(ISERROR(MATCH(A260,'SegEnds_Xtal_Prot#'!B:B, 0)), "NoXtal", "Xtal")</f>
        <v>Xtal</v>
      </c>
      <c r="AP260" s="3">
        <f t="shared" si="141"/>
        <v>1</v>
      </c>
      <c r="AQ260" s="3">
        <f t="shared" si="142"/>
        <v>1</v>
      </c>
      <c r="AR260" s="3">
        <f t="shared" si="143"/>
        <v>1</v>
      </c>
      <c r="AS260" s="3">
        <f t="shared" si="144"/>
        <v>1</v>
      </c>
      <c r="AT260" s="3">
        <f t="shared" si="145"/>
        <v>1</v>
      </c>
      <c r="AU260" s="3">
        <f t="shared" si="146"/>
        <v>4</v>
      </c>
      <c r="AV260" s="3">
        <f t="shared" si="147"/>
        <v>11</v>
      </c>
      <c r="AW260" s="3">
        <f t="shared" si="148"/>
        <v>8</v>
      </c>
      <c r="AX260" s="3">
        <f t="shared" si="149"/>
        <v>3</v>
      </c>
      <c r="AY260" s="3">
        <f t="shared" si="150"/>
        <v>3</v>
      </c>
      <c r="AZ260" s="3">
        <f t="shared" si="151"/>
        <v>1</v>
      </c>
      <c r="BA260" s="3">
        <f>IF(ISERROR(LEN(VLOOKUP(A260,Seqs!A:E,2,FALSE))-AL260),"-",LEN(VLOOKUP(A260,Seqs!A:E,2,FALSE))-AL260)</f>
        <v>39</v>
      </c>
      <c r="BB260" s="16">
        <f t="shared" si="152"/>
        <v>28</v>
      </c>
      <c r="BC260" s="9">
        <f t="shared" si="153"/>
        <v>22</v>
      </c>
      <c r="BD260" s="3">
        <f t="shared" si="154"/>
        <v>28</v>
      </c>
      <c r="BE260" s="3">
        <f t="shared" si="155"/>
        <v>43</v>
      </c>
    </row>
    <row r="261" spans="1:58" s="3" customFormat="1" x14ac:dyDescent="0.2">
      <c r="A261" s="3" t="s">
        <v>175</v>
      </c>
      <c r="B261" s="3" t="str">
        <f>LOWER(VLOOKUP(A261,Xtal_Templ!A:B,2,FALSE))</f>
        <v>ccr7_human</v>
      </c>
      <c r="C261" s="3">
        <f>VLOOKUP($A261,'SegEnds_NonXtal_BW#'!$A:$Z,3,FALSE)+D261-50</f>
        <v>55</v>
      </c>
      <c r="D261" s="3">
        <v>76</v>
      </c>
      <c r="E261" s="3">
        <f>IF(ISERROR(VLOOKUP($A261,'SegEnds_NonXtal_BW#'!$A:$Z,4,FALSE)+VLOOKUP($A261,A:AL,4,FALSE)-50),"-",(VLOOKUP($A261,'SegEnds_NonXtal_BW#'!$A:$Z,4,FALSE)+VLOOKUP($A261,A:AL,4,FALSE)-50))</f>
        <v>86</v>
      </c>
      <c r="F261" s="3">
        <f t="shared" si="190"/>
        <v>87</v>
      </c>
      <c r="G261" s="3">
        <v>89</v>
      </c>
      <c r="H261" s="3">
        <f t="shared" si="191"/>
        <v>90</v>
      </c>
      <c r="I261" s="3">
        <f t="shared" si="191"/>
        <v>91</v>
      </c>
      <c r="J261" s="3">
        <v>104</v>
      </c>
      <c r="K261" s="3">
        <f>VLOOKUP($A261,'SegEnds_NonXtal_BW#'!$A:$Z,8,FALSE)+VLOOKUP($A261,A:AL,10,FALSE)-50</f>
        <v>120</v>
      </c>
      <c r="L261" s="3">
        <f t="shared" si="193"/>
        <v>121</v>
      </c>
      <c r="M261" s="3">
        <v>122</v>
      </c>
      <c r="N261" s="3">
        <f t="shared" si="194"/>
        <v>124</v>
      </c>
      <c r="O261" s="3">
        <f t="shared" si="195"/>
        <v>125</v>
      </c>
      <c r="P261" s="3">
        <v>154</v>
      </c>
      <c r="Q261" s="3">
        <f>VLOOKUP($A261,'SegEnds_NonXtal_BW#'!$A:$Z,12,FALSE)+VLOOKUP($A261,A:AL,16,FALSE)-50</f>
        <v>160</v>
      </c>
      <c r="R261" s="3">
        <f>IF(ISERROR(VLOOKUP($A261,'SegEnds_NonXtal_BW#'!$A:$Z,13,FALSE)+VLOOKUP($A261,A:AL,19,FALSE)-50),"-",VLOOKUP($A261,'SegEnds_NonXtal_BW#'!$A:$Z,13,FALSE)+VLOOKUP($A261,A:AL,19,FALSE)-50)</f>
        <v>161</v>
      </c>
      <c r="S261" s="3">
        <v>161</v>
      </c>
      <c r="T261" s="100">
        <f>IF(ISERROR(VLOOKUP($A261,'SegEnds_NonXtal_BW#'!$A:$Z,14,FALSE)+VLOOKUP($A261,A:AL,19,FALSE)-50),"-",(VLOOKUP($A261,'SegEnds_NonXtal_BW#'!$A:$Z,14,FALSE)+VLOOKUP($A261,A:AL,19,FALSE)-50))</f>
        <v>169</v>
      </c>
      <c r="U261" s="9">
        <f>IF(ISERROR(VLOOKUP($A261,'SegEnds_NonXtal_BW#'!$A:$Z,15,FALSE)+VLOOKUP($A261,A:AL,22,FALSE)-50),"-",VLOOKUP($A261,'SegEnds_NonXtal_BW#'!$A:$Z,15,FALSE)+VLOOKUP($A261,A:AL,22,FALSE)-50)</f>
        <v>171</v>
      </c>
      <c r="V261" s="3">
        <v>183</v>
      </c>
      <c r="W261" s="3">
        <f>IF(ISERROR(VLOOKUP($A261,'SegEnds_NonXtal_BW#'!$A:$Z,16,FALSE)+VLOOKUP($A261,A:AL,22,FALSE)-50),"-",(VLOOKUP($A261,'SegEnds_NonXtal_BW#'!$A:$Z,16,FALSE)+VLOOKUP($A261,A:AL,22,FALSE)-50))</f>
        <v>197</v>
      </c>
      <c r="X261" s="3">
        <f>IF(ISERROR(VLOOKUP($A261,'SegEnds_NonXtal_BW#'!$A:$Z,17,FALSE)+VLOOKUP($A261,A:AL,25,FALSE)-50),"-",(VLOOKUP($A261,'SegEnds_NonXtal_BW#'!$A:$Z,17,FALSE)+VLOOKUP($A261,A:AL,25,FALSE)-50))</f>
        <v>210</v>
      </c>
      <c r="Y261" s="3">
        <v>210</v>
      </c>
      <c r="Z261" s="3">
        <f t="shared" si="167"/>
        <v>212</v>
      </c>
      <c r="AA261" s="3">
        <f>IF(ISERROR(VLOOKUP($A261,'SegEnds_NonXtal_BW#'!$A:$Z,19,FALSE)+VLOOKUP($A261,A:AL,28,FALSE)-50),"-",(VLOOKUP($A261,'SegEnds_NonXtal_BW#'!$A:$Z,19,FALSE)+VLOOKUP($A261,A:AL,28,FALSE)-50))</f>
        <v>218</v>
      </c>
      <c r="AB261" s="3">
        <v>235</v>
      </c>
      <c r="AC261" s="3">
        <f>IF(ISERROR((VLOOKUP($A261,'SegEnds_NonXtal_BW#'!$A:$Z,20,FALSE)+VLOOKUP($A261,A:AL,28,FALSE)-50)),"-",(VLOOKUP($A261,'SegEnds_NonXtal_BW#'!$A:$Z,20,FALSE)+VLOOKUP($A261,A:AL,28,FALSE)-50))</f>
        <v>253</v>
      </c>
      <c r="AD261" s="3">
        <f>IF(ISERROR(VLOOKUP($A261,'SegEnds_NonXtal_BW#'!$A:$Z,21,FALSE)+VLOOKUP($A261,A:AL,31,FALSE)-50),"-",(VLOOKUP($A261,'SegEnds_NonXtal_BW#'!$A:$Z,21,FALSE)+VLOOKUP($A261,A:AL,31,FALSE)-50))</f>
        <v>256</v>
      </c>
      <c r="AE261" s="3">
        <v>278</v>
      </c>
      <c r="AF261" s="3">
        <f>IF(ISERROR((VLOOKUP($A261,'SegEnds_NonXtal_BW#'!$A:$Z,22,FALSE)+VLOOKUP($A261,A:AL,31,FALSE)-50)),"-",(VLOOKUP($A261,'SegEnds_NonXtal_BW#'!$A:$Z,22,FALSE)+VLOOKUP($A261,A:AL,31,FALSE)-50))</f>
        <v>293</v>
      </c>
      <c r="AG261" s="3">
        <f>IF(ISERROR(VLOOKUP($A261,'SegEnds_NonXtal_BW#'!$A:$Z,23,FALSE)+VLOOKUP($A261,A:AL,34,FALSE)-50),"-",(VLOOKUP($A261,'SegEnds_NonXtal_BW#'!$A:$Z,23,FALSE)+VLOOKUP($A261,A:AL,34,FALSE)-50))</f>
        <v>297</v>
      </c>
      <c r="AH261" s="3">
        <v>323</v>
      </c>
      <c r="AI261" s="3">
        <f>IF(ISERROR((VLOOKUP($A261,'SegEnds_NonXtal_BW#'!$A:$Z,24,FALSE)+VLOOKUP($A261,A:AL,34,FALSE)-50)),"-",(VLOOKUP($A261,'SegEnds_NonXtal_BW#'!$A:$Z,24,FALSE)+VLOOKUP($A261,A:AL,34,FALSE)-50))</f>
        <v>329</v>
      </c>
      <c r="AJ261" s="3">
        <f>IF(ISERROR(VLOOKUP($A261,'SegEnds_NonXtal_BW#'!$A:$Z,25,FALSE)+VLOOKUP($A261,A:AL,37,FALSE)-50),"-",(VLOOKUP($A261,'SegEnds_NonXtal_BW#'!$A:$Z,25,FALSE)+VLOOKUP($A261,A:AL,37,FALSE)-50))</f>
        <v>330</v>
      </c>
      <c r="AK261" s="3">
        <v>333</v>
      </c>
      <c r="AL261" s="3">
        <f>IF(ISERROR((VLOOKUP($A261,'SegEnds_NonXtal_BW#'!$A:$Z,26,FALSE)+VLOOKUP($A261,A:AL,37,FALSE)-50)),"-",(VLOOKUP($A261,'SegEnds_NonXtal_BW#'!$A:$Z,26,FALSE)+VLOOKUP($A261,A:AL,37,FALSE)-50))</f>
        <v>342</v>
      </c>
      <c r="AM261" s="28" t="str">
        <f>VLOOKUP(A261,Classification!A:B,2,FALSE)</f>
        <v>A</v>
      </c>
      <c r="AN261" s="28" t="b">
        <f t="shared" si="156"/>
        <v>1</v>
      </c>
      <c r="AO261" s="3" t="str">
        <f>IF(ISERROR(MATCH(A261,'SegEnds_Xtal_Prot#'!B:B, 0)), "NoXtal", "Xtal")</f>
        <v>Xtal</v>
      </c>
      <c r="AP261" s="3">
        <f t="shared" si="141"/>
        <v>1</v>
      </c>
      <c r="AQ261" s="3">
        <f t="shared" si="142"/>
        <v>1</v>
      </c>
      <c r="AR261" s="3">
        <f t="shared" si="143"/>
        <v>1</v>
      </c>
      <c r="AS261" s="3">
        <f t="shared" si="144"/>
        <v>1</v>
      </c>
      <c r="AT261" s="3">
        <f t="shared" si="145"/>
        <v>1</v>
      </c>
      <c r="AU261" s="3">
        <f t="shared" si="146"/>
        <v>2</v>
      </c>
      <c r="AV261" s="3">
        <f t="shared" si="147"/>
        <v>13</v>
      </c>
      <c r="AW261" s="3">
        <f t="shared" si="148"/>
        <v>6</v>
      </c>
      <c r="AX261" s="3">
        <f t="shared" si="149"/>
        <v>3</v>
      </c>
      <c r="AY261" s="3">
        <f t="shared" si="150"/>
        <v>4</v>
      </c>
      <c r="AZ261" s="3">
        <f t="shared" si="151"/>
        <v>1</v>
      </c>
      <c r="BA261" s="3">
        <f>IF(ISERROR(LEN(VLOOKUP(A261,Seqs!A:E,2,FALSE))-AL261),"-",LEN(VLOOKUP(A261,Seqs!A:E,2,FALSE))-AL261)</f>
        <v>36</v>
      </c>
      <c r="BB261" s="16">
        <f t="shared" si="152"/>
        <v>28</v>
      </c>
      <c r="BC261" s="9">
        <f t="shared" si="153"/>
        <v>22</v>
      </c>
      <c r="BD261" s="3">
        <f t="shared" si="154"/>
        <v>28</v>
      </c>
      <c r="BE261" s="3">
        <f t="shared" si="155"/>
        <v>43</v>
      </c>
    </row>
    <row r="262" spans="1:58" s="3" customFormat="1" x14ac:dyDescent="0.2">
      <c r="A262" s="3" t="s">
        <v>177</v>
      </c>
      <c r="B262" s="3" t="str">
        <f>LOWER(VLOOKUP(A262,Xtal_Templ!A:B,2,FALSE))</f>
        <v>ccr9_human</v>
      </c>
      <c r="C262" s="3">
        <f>VLOOKUP($A262,'SegEnds_NonXtal_BW#'!$A:$Z,3,FALSE)+D262-50</f>
        <v>43</v>
      </c>
      <c r="D262" s="3">
        <v>66</v>
      </c>
      <c r="E262" s="3">
        <f>IF(ISERROR(VLOOKUP($A262,'SegEnds_NonXtal_BW#'!$A:$Z,4,FALSE)+VLOOKUP($A262,A:AL,4,FALSE)-50),"-",(VLOOKUP($A262,'SegEnds_NonXtal_BW#'!$A:$Z,4,FALSE)+VLOOKUP($A262,A:AL,4,FALSE)-50))</f>
        <v>76</v>
      </c>
      <c r="F262" s="3">
        <f t="shared" si="190"/>
        <v>77</v>
      </c>
      <c r="G262" s="3">
        <v>79</v>
      </c>
      <c r="H262" s="3">
        <f t="shared" si="191"/>
        <v>80</v>
      </c>
      <c r="I262" s="3">
        <f t="shared" si="191"/>
        <v>81</v>
      </c>
      <c r="J262" s="3">
        <v>94</v>
      </c>
      <c r="K262" s="3">
        <f>VLOOKUP($A262,'SegEnds_NonXtal_BW#'!$A:$Z,8,FALSE)+VLOOKUP($A262,A:AL,10,FALSE)-50</f>
        <v>110</v>
      </c>
      <c r="L262" s="3">
        <f t="shared" si="193"/>
        <v>111</v>
      </c>
      <c r="M262" s="3">
        <v>112</v>
      </c>
      <c r="N262" s="3">
        <f t="shared" si="194"/>
        <v>114</v>
      </c>
      <c r="O262" s="3">
        <f t="shared" si="195"/>
        <v>115</v>
      </c>
      <c r="P262" s="3">
        <v>144</v>
      </c>
      <c r="Q262" s="3">
        <f>VLOOKUP($A262,'SegEnds_NonXtal_BW#'!$A:$Z,12,FALSE)+VLOOKUP($A262,A:AL,16,FALSE)-50</f>
        <v>150</v>
      </c>
      <c r="R262" s="3">
        <f>IF(ISERROR(VLOOKUP($A262,'SegEnds_NonXtal_BW#'!$A:$Z,13,FALSE)+VLOOKUP($A262,A:AL,19,FALSE)-50),"-",VLOOKUP($A262,'SegEnds_NonXtal_BW#'!$A:$Z,13,FALSE)+VLOOKUP($A262,A:AL,19,FALSE)-50)</f>
        <v>151</v>
      </c>
      <c r="S262" s="3">
        <v>151</v>
      </c>
      <c r="T262" s="100">
        <f>IF(ISERROR(VLOOKUP($A262,'SegEnds_NonXtal_BW#'!$A:$Z,14,FALSE)+VLOOKUP($A262,A:AL,19,FALSE)-50),"-",(VLOOKUP($A262,'SegEnds_NonXtal_BW#'!$A:$Z,14,FALSE)+VLOOKUP($A262,A:AL,19,FALSE)-50))</f>
        <v>157</v>
      </c>
      <c r="U262" s="9">
        <f>IF(ISERROR(VLOOKUP($A262,'SegEnds_NonXtal_BW#'!$A:$Z,15,FALSE)+VLOOKUP($A262,A:AL,22,FALSE)-50),"-",VLOOKUP($A262,'SegEnds_NonXtal_BW#'!$A:$Z,15,FALSE)+VLOOKUP($A262,A:AL,22,FALSE)-50)</f>
        <v>158</v>
      </c>
      <c r="V262" s="3">
        <v>173</v>
      </c>
      <c r="W262" s="3">
        <f>IF(ISERROR(VLOOKUP($A262,'SegEnds_NonXtal_BW#'!$A:$Z,16,FALSE)+VLOOKUP($A262,A:AL,22,FALSE)-50),"-",(VLOOKUP($A262,'SegEnds_NonXtal_BW#'!$A:$Z,16,FALSE)+VLOOKUP($A262,A:AL,22,FALSE)-50))</f>
        <v>187</v>
      </c>
      <c r="X262" s="3">
        <f>IF(ISERROR(VLOOKUP($A262,'SegEnds_NonXtal_BW#'!$A:$Z,17,FALSE)+VLOOKUP($A262,A:AL,25,FALSE)-50),"-",(VLOOKUP($A262,'SegEnds_NonXtal_BW#'!$A:$Z,17,FALSE)+VLOOKUP($A262,A:AL,25,FALSE)-50))</f>
        <v>198</v>
      </c>
      <c r="Y262" s="3">
        <v>198</v>
      </c>
      <c r="Z262" s="3">
        <f t="shared" si="167"/>
        <v>200</v>
      </c>
      <c r="AA262" s="3">
        <f>IF(ISERROR(VLOOKUP($A262,'SegEnds_NonXtal_BW#'!$A:$Z,19,FALSE)+VLOOKUP($A262,A:AL,28,FALSE)-50),"-",(VLOOKUP($A262,'SegEnds_NonXtal_BW#'!$A:$Z,19,FALSE)+VLOOKUP($A262,A:AL,28,FALSE)-50))</f>
        <v>209</v>
      </c>
      <c r="AB262" s="3">
        <v>226</v>
      </c>
      <c r="AC262" s="3">
        <f>IF(ISERROR((VLOOKUP($A262,'SegEnds_NonXtal_BW#'!$A:$Z,20,FALSE)+VLOOKUP($A262,A:AL,28,FALSE)-50)),"-",(VLOOKUP($A262,'SegEnds_NonXtal_BW#'!$A:$Z,20,FALSE)+VLOOKUP($A262,A:AL,28,FALSE)-50))</f>
        <v>244</v>
      </c>
      <c r="AD262" s="3">
        <f>IF(ISERROR(VLOOKUP($A262,'SegEnds_NonXtal_BW#'!$A:$Z,21,FALSE)+VLOOKUP($A262,A:AL,31,FALSE)-50),"-",(VLOOKUP($A262,'SegEnds_NonXtal_BW#'!$A:$Z,21,FALSE)+VLOOKUP($A262,A:AL,31,FALSE)-50))</f>
        <v>247</v>
      </c>
      <c r="AE262" s="3">
        <v>269</v>
      </c>
      <c r="AF262" s="3">
        <f>IF(ISERROR((VLOOKUP($A262,'SegEnds_NonXtal_BW#'!$A:$Z,22,FALSE)+VLOOKUP($A262,A:AL,31,FALSE)-50)),"-",(VLOOKUP($A262,'SegEnds_NonXtal_BW#'!$A:$Z,22,FALSE)+VLOOKUP($A262,A:AL,31,FALSE)-50))</f>
        <v>284</v>
      </c>
      <c r="AG262" s="3">
        <f>IF(ISERROR(VLOOKUP($A262,'SegEnds_NonXtal_BW#'!$A:$Z,23,FALSE)+VLOOKUP($A262,A:AL,34,FALSE)-50),"-",(VLOOKUP($A262,'SegEnds_NonXtal_BW#'!$A:$Z,23,FALSE)+VLOOKUP($A262,A:AL,34,FALSE)-50))</f>
        <v>288</v>
      </c>
      <c r="AH262" s="3">
        <v>314</v>
      </c>
      <c r="AI262" s="3">
        <f>IF(ISERROR((VLOOKUP($A262,'SegEnds_NonXtal_BW#'!$A:$Z,24,FALSE)+VLOOKUP($A262,A:AL,34,FALSE)-50)),"-",(VLOOKUP($A262,'SegEnds_NonXtal_BW#'!$A:$Z,24,FALSE)+VLOOKUP($A262,A:AL,34,FALSE)-50))</f>
        <v>320</v>
      </c>
      <c r="AJ262" s="3">
        <f>IF(ISERROR(VLOOKUP($A262,'SegEnds_NonXtal_BW#'!$A:$Z,25,FALSE)+VLOOKUP($A262,A:AL,37,FALSE)-50),"-",(VLOOKUP($A262,'SegEnds_NonXtal_BW#'!$A:$Z,25,FALSE)+VLOOKUP($A262,A:AL,37,FALSE)-50))</f>
        <v>321</v>
      </c>
      <c r="AK262" s="3">
        <v>324</v>
      </c>
      <c r="AL262" s="3">
        <f>IF(ISERROR((VLOOKUP($A262,'SegEnds_NonXtal_BW#'!$A:$Z,26,FALSE)+VLOOKUP($A262,A:AL,37,FALSE)-50)),"-",(VLOOKUP($A262,'SegEnds_NonXtal_BW#'!$A:$Z,26,FALSE)+VLOOKUP($A262,A:AL,37,FALSE)-50))</f>
        <v>341</v>
      </c>
      <c r="AM262" s="28" t="str">
        <f>VLOOKUP(A262,Classification!A:B,2,FALSE)</f>
        <v>A</v>
      </c>
      <c r="AN262" s="28" t="b">
        <f t="shared" si="156"/>
        <v>1</v>
      </c>
      <c r="AO262" s="3" t="str">
        <f>IF(ISERROR(MATCH(A262,'SegEnds_Xtal_Prot#'!B:B, 0)), "NoXtal", "Xtal")</f>
        <v>Xtal</v>
      </c>
      <c r="AP262" s="3">
        <f t="shared" ref="AP262:AP329" si="196">IF(ISERROR(F262-E262),"-",F262-E262)</f>
        <v>1</v>
      </c>
      <c r="AQ262" s="3">
        <f t="shared" ref="AQ262:AQ329" si="197">IF(ISERROR(I262-H262),"-",I262-H262)</f>
        <v>1</v>
      </c>
      <c r="AR262" s="3">
        <f t="shared" ref="AR262:AR329" si="198">IF(ISERROR(L262-K262),"-",L262-K262)</f>
        <v>1</v>
      </c>
      <c r="AS262" s="3">
        <f t="shared" ref="AS262:AS329" si="199">IF(ISERROR(O262-N262),"-",O262-N262)</f>
        <v>1</v>
      </c>
      <c r="AT262" s="3">
        <f t="shared" ref="AT262:AT329" si="200">IF(ISERROR(R262-Q262),"-",R262-Q262)</f>
        <v>1</v>
      </c>
      <c r="AU262" s="3">
        <f t="shared" ref="AU262:AU329" si="201">IF(ISERROR(U262-T262),"-",U262-T262)</f>
        <v>1</v>
      </c>
      <c r="AV262" s="3">
        <f t="shared" ref="AV262:AV329" si="202">IF(ISERROR(X262-W262),"-",X262-W262)</f>
        <v>11</v>
      </c>
      <c r="AW262" s="3">
        <f t="shared" ref="AW262:AW329" si="203">IF(ISERROR(AA262-Z262),"-",AA262-Z262)</f>
        <v>9</v>
      </c>
      <c r="AX262" s="3">
        <f t="shared" ref="AX262:AX329" si="204">IF(ISERROR(AD262-AC262),"-",AD262-AC262)</f>
        <v>3</v>
      </c>
      <c r="AY262" s="3">
        <f t="shared" ref="AY262:AY329" si="205">IF(ISERROR(AG262-AF262),"-",AG262-AF262)</f>
        <v>4</v>
      </c>
      <c r="AZ262" s="3">
        <f t="shared" ref="AZ262:AZ329" si="206">IF(ISERROR(AJ262-AI262),"-",AJ262-AI262)</f>
        <v>1</v>
      </c>
      <c r="BA262" s="3">
        <f>IF(ISERROR(LEN(VLOOKUP(A262,Seqs!A:E,2,FALSE))-AL262),"-",LEN(VLOOKUP(A262,Seqs!A:E,2,FALSE))-AL262)</f>
        <v>28</v>
      </c>
      <c r="BB262" s="16">
        <f t="shared" ref="BB262:BB329" si="207">J262-D262</f>
        <v>28</v>
      </c>
      <c r="BC262" s="9">
        <f t="shared" ref="BC262:BC329" si="208">IF(ISERROR(V262-S262),"-",V262-S262)</f>
        <v>22</v>
      </c>
      <c r="BD262" s="3">
        <f t="shared" ref="BD262:BD329" si="209">J262-D262</f>
        <v>28</v>
      </c>
      <c r="BE262" s="3">
        <f t="shared" ref="BE262:BE329" si="210">AE262-AB262</f>
        <v>43</v>
      </c>
    </row>
    <row r="263" spans="1:58" s="3" customFormat="1" x14ac:dyDescent="0.2">
      <c r="A263" s="3" t="s">
        <v>189</v>
      </c>
      <c r="B263" s="3" t="str">
        <f>LOWER(VLOOKUP(A263,Xtal_Templ!A:B,2,FALSE))</f>
        <v>ccr9_human</v>
      </c>
      <c r="C263" s="3">
        <f>VLOOKUP($A263,'SegEnds_NonXtal_BW#'!$A:$Z,3,FALSE)+D263-50</f>
        <v>26</v>
      </c>
      <c r="D263" s="3">
        <v>49</v>
      </c>
      <c r="E263" s="3">
        <f>IF(ISERROR(VLOOKUP($A263,'SegEnds_NonXtal_BW#'!$A:$Z,4,FALSE)+VLOOKUP($A263,A:AL,4,FALSE)-50),"-",(VLOOKUP($A263,'SegEnds_NonXtal_BW#'!$A:$Z,4,FALSE)+VLOOKUP($A263,A:AL,4,FALSE)-50))</f>
        <v>59</v>
      </c>
      <c r="F263" s="3">
        <f t="shared" si="190"/>
        <v>60</v>
      </c>
      <c r="G263" s="3">
        <v>62</v>
      </c>
      <c r="H263" s="3">
        <f t="shared" si="191"/>
        <v>63</v>
      </c>
      <c r="I263" s="3">
        <f t="shared" si="191"/>
        <v>64</v>
      </c>
      <c r="J263" s="3">
        <v>77</v>
      </c>
      <c r="K263" s="3">
        <f>VLOOKUP($A263,'SegEnds_NonXtal_BW#'!$A:$Z,8,FALSE)+VLOOKUP($A263,A:AL,10,FALSE)-50</f>
        <v>93</v>
      </c>
      <c r="L263" s="3">
        <f t="shared" si="193"/>
        <v>94</v>
      </c>
      <c r="M263" s="3">
        <v>95</v>
      </c>
      <c r="N263" s="3">
        <f t="shared" si="194"/>
        <v>97</v>
      </c>
      <c r="O263" s="3">
        <f t="shared" si="195"/>
        <v>98</v>
      </c>
      <c r="P263" s="3">
        <v>127</v>
      </c>
      <c r="Q263" s="3">
        <f>VLOOKUP($A263,'SegEnds_NonXtal_BW#'!$A:$Z,12,FALSE)+VLOOKUP($A263,A:AL,16,FALSE)-50</f>
        <v>133</v>
      </c>
      <c r="R263" s="3">
        <f>IF(ISERROR(VLOOKUP($A263,'SegEnds_NonXtal_BW#'!$A:$Z,13,FALSE)+VLOOKUP($A263,A:AL,19,FALSE)-50),"-",VLOOKUP($A263,'SegEnds_NonXtal_BW#'!$A:$Z,13,FALSE)+VLOOKUP($A263,A:AL,19,FALSE)-50)</f>
        <v>134</v>
      </c>
      <c r="S263" s="3">
        <v>134</v>
      </c>
      <c r="T263" s="100">
        <f>IF(ISERROR(VLOOKUP($A263,'SegEnds_NonXtal_BW#'!$A:$Z,14,FALSE)+VLOOKUP($A263,A:AL,19,FALSE)-50),"-",(VLOOKUP($A263,'SegEnds_NonXtal_BW#'!$A:$Z,14,FALSE)+VLOOKUP($A263,A:AL,19,FALSE)-50))</f>
        <v>143</v>
      </c>
      <c r="U263" s="9">
        <f>IF(ISERROR(VLOOKUP($A263,'SegEnds_NonXtal_BW#'!$A:$Z,15,FALSE)+VLOOKUP($A263,A:AL,22,FALSE)-50),"-",VLOOKUP($A263,'SegEnds_NonXtal_BW#'!$A:$Z,15,FALSE)+VLOOKUP($A263,A:AL,22,FALSE)-50)</f>
        <v>144</v>
      </c>
      <c r="V263" s="3">
        <v>156</v>
      </c>
      <c r="W263" s="3">
        <f>IF(ISERROR(VLOOKUP($A263,'SegEnds_NonXtal_BW#'!$A:$Z,16,FALSE)+VLOOKUP($A263,A:AL,22,FALSE)-50),"-",(VLOOKUP($A263,'SegEnds_NonXtal_BW#'!$A:$Z,16,FALSE)+VLOOKUP($A263,A:AL,22,FALSE)-50))</f>
        <v>170</v>
      </c>
      <c r="X263" s="3">
        <f>IF(ISERROR(VLOOKUP($A263,'SegEnds_NonXtal_BW#'!$A:$Z,17,FALSE)+VLOOKUP($A263,A:AL,25,FALSE)-50),"-",(VLOOKUP($A263,'SegEnds_NonXtal_BW#'!$A:$Z,17,FALSE)+VLOOKUP($A263,A:AL,25,FALSE)-50))</f>
        <v>180</v>
      </c>
      <c r="Y263" s="3">
        <v>180</v>
      </c>
      <c r="Z263" s="3">
        <f t="shared" si="167"/>
        <v>182</v>
      </c>
      <c r="AA263" s="3">
        <f>IF(ISERROR(VLOOKUP($A263,'SegEnds_NonXtal_BW#'!$A:$Z,19,FALSE)+VLOOKUP($A263,A:AL,28,FALSE)-50),"-",(VLOOKUP($A263,'SegEnds_NonXtal_BW#'!$A:$Z,19,FALSE)+VLOOKUP($A263,A:AL,28,FALSE)-50))</f>
        <v>186</v>
      </c>
      <c r="AB263" s="3">
        <v>203</v>
      </c>
      <c r="AC263" s="3">
        <f>IF(ISERROR((VLOOKUP($A263,'SegEnds_NonXtal_BW#'!$A:$Z,20,FALSE)+VLOOKUP($A263,A:AL,28,FALSE)-50)),"-",(VLOOKUP($A263,'SegEnds_NonXtal_BW#'!$A:$Z,20,FALSE)+VLOOKUP($A263,A:AL,28,FALSE)-50))</f>
        <v>221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259</v>
      </c>
      <c r="AH263" s="3">
        <v>285</v>
      </c>
      <c r="AI263" s="3">
        <f>IF(ISERROR((VLOOKUP($A263,'SegEnds_NonXtal_BW#'!$A:$Z,24,FALSE)+VLOOKUP($A263,A:AL,34,FALSE)-50)),"-",(VLOOKUP($A263,'SegEnds_NonXtal_BW#'!$A:$Z,24,FALSE)+VLOOKUP($A263,A:AL,34,FALSE)-50))</f>
        <v>291</v>
      </c>
      <c r="AJ263" s="3">
        <f>IF(ISERROR(VLOOKUP($A263,'SegEnds_NonXtal_BW#'!$A:$Z,25,FALSE)+VLOOKUP($A263,A:AL,37,FALSE)-50),"-",(VLOOKUP($A263,'SegEnds_NonXtal_BW#'!$A:$Z,25,FALSE)+VLOOKUP($A263,A:AL,37,FALSE)-50))</f>
        <v>292</v>
      </c>
      <c r="AK263" s="3">
        <v>295</v>
      </c>
      <c r="AL263" s="3">
        <f>IF(ISERROR((VLOOKUP($A263,'SegEnds_NonXtal_BW#'!$A:$Z,26,FALSE)+VLOOKUP($A263,A:AL,37,FALSE)-50)),"-",(VLOOKUP($A263,'SegEnds_NonXtal_BW#'!$A:$Z,26,FALSE)+VLOOKUP($A263,A:AL,37,FALSE)-50))</f>
        <v>312</v>
      </c>
      <c r="AM263" s="28" t="str">
        <f>VLOOKUP(A263,Classification!A:B,2,FALSE)</f>
        <v>A</v>
      </c>
      <c r="AN263" s="28" t="b">
        <f t="shared" ref="AN263:AN330" si="211">AND(IF(Y263="-",IF(AA263-W263&gt;3,TRUE,FALSE),TRUE),IF(M263="-",IF(O263-K263&gt;3,TRUE,FALSE),TRUE),IF(AG263-AF263&gt;1,TRUE,FALSE),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    <v>1</v>
      </c>
      <c r="AO263" s="3" t="str">
        <f>IF(ISERROR(MATCH(A263,'SegEnds_Xtal_Prot#'!B:B, 0)), "NoXtal", "Xtal")</f>
        <v>NoXtal</v>
      </c>
      <c r="AP263" s="3">
        <f t="shared" si="196"/>
        <v>1</v>
      </c>
      <c r="AQ263" s="3">
        <f t="shared" si="197"/>
        <v>1</v>
      </c>
      <c r="AR263" s="3">
        <f t="shared" si="198"/>
        <v>1</v>
      </c>
      <c r="AS263" s="3">
        <f t="shared" si="199"/>
        <v>1</v>
      </c>
      <c r="AT263" s="3">
        <f t="shared" si="200"/>
        <v>1</v>
      </c>
      <c r="AU263" s="3">
        <f t="shared" si="201"/>
        <v>1</v>
      </c>
      <c r="AV263" s="3">
        <f t="shared" si="202"/>
        <v>10</v>
      </c>
      <c r="AW263" s="3">
        <f t="shared" si="203"/>
        <v>4</v>
      </c>
      <c r="AX263" s="3">
        <f t="shared" si="204"/>
        <v>4</v>
      </c>
      <c r="AY263" s="3">
        <f t="shared" si="205"/>
        <v>2</v>
      </c>
      <c r="AZ263" s="3">
        <f t="shared" si="206"/>
        <v>1</v>
      </c>
      <c r="BA263" s="3">
        <f>IF(ISERROR(LEN(VLOOKUP(A263,Seqs!A:E,2,FALSE))-AL263),"-",LEN(VLOOKUP(A263,Seqs!A:E,2,FALSE))-AL263)</f>
        <v>30</v>
      </c>
      <c r="BB263" s="16">
        <f t="shared" si="207"/>
        <v>28</v>
      </c>
      <c r="BC263" s="9">
        <f t="shared" si="208"/>
        <v>22</v>
      </c>
      <c r="BD263" s="3">
        <f t="shared" si="209"/>
        <v>28</v>
      </c>
      <c r="BE263" s="3">
        <f t="shared" si="210"/>
        <v>43</v>
      </c>
    </row>
    <row r="264" spans="1:58" s="3" customFormat="1" x14ac:dyDescent="0.2">
      <c r="A264" s="3" t="s">
        <v>192</v>
      </c>
      <c r="B264" s="3" t="str">
        <f>LOWER(VLOOKUP(A264,Xtal_Templ!A:B,2,FALSE))</f>
        <v>drd3_human</v>
      </c>
      <c r="C264" s="3">
        <f>VLOOKUP($A264,'SegEnds_NonXtal_BW#'!$A:$Z,3,FALSE)+D264-50</f>
        <v>26</v>
      </c>
      <c r="D264" s="3">
        <v>47</v>
      </c>
      <c r="E264" s="3">
        <f>IF(ISERROR(VLOOKUP($A264,'SegEnds_NonXtal_BW#'!$A:$Z,4,FALSE)+VLOOKUP($A264,A:AL,4,FALSE)-50),"-",(VLOOKUP($A264,'SegEnds_NonXtal_BW#'!$A:$Z,4,FALSE)+VLOOKUP($A264,A:AL,4,FALSE)-50))</f>
        <v>57</v>
      </c>
      <c r="F264" s="3">
        <f t="shared" si="190"/>
        <v>58</v>
      </c>
      <c r="G264" s="3">
        <v>60</v>
      </c>
      <c r="H264" s="3">
        <f t="shared" si="191"/>
        <v>61</v>
      </c>
      <c r="I264" s="3">
        <f t="shared" si="191"/>
        <v>62</v>
      </c>
      <c r="J264" s="3">
        <v>75</v>
      </c>
      <c r="K264" s="3">
        <f>VLOOKUP($A264,'SegEnds_NonXtal_BW#'!$A:$Z,8,FALSE)+VLOOKUP($A264,A:AL,10,FALSE)-50</f>
        <v>92</v>
      </c>
      <c r="L264" s="3">
        <f t="shared" si="193"/>
        <v>95</v>
      </c>
      <c r="M264" s="3">
        <v>96</v>
      </c>
      <c r="N264" s="3">
        <f t="shared" si="194"/>
        <v>98</v>
      </c>
      <c r="O264" s="3">
        <f t="shared" si="195"/>
        <v>99</v>
      </c>
      <c r="P264" s="3">
        <v>128</v>
      </c>
      <c r="Q264" s="3">
        <f>VLOOKUP($A264,'SegEnds_NonXtal_BW#'!$A:$Z,12,FALSE)+VLOOKUP($A264,A:AL,16,FALSE)-50</f>
        <v>134</v>
      </c>
      <c r="R264" s="3">
        <f>IF(ISERROR(VLOOKUP($A264,'SegEnds_NonXtal_BW#'!$A:$Z,13,FALSE)+VLOOKUP($A264,A:AL,19,FALSE)-50),"-",VLOOKUP($A264,'SegEnds_NonXtal_BW#'!$A:$Z,13,FALSE)+VLOOKUP($A264,A:AL,19,FALSE)-50)</f>
        <v>135</v>
      </c>
      <c r="S264" s="3">
        <v>135</v>
      </c>
      <c r="T264" s="100">
        <f>IF(ISERROR(VLOOKUP($A264,'SegEnds_NonXtal_BW#'!$A:$Z,14,FALSE)+VLOOKUP($A264,A:AL,19,FALSE)-50),"-",(VLOOKUP($A264,'SegEnds_NonXtal_BW#'!$A:$Z,14,FALSE)+VLOOKUP($A264,A:AL,19,FALSE)-50))</f>
        <v>143</v>
      </c>
      <c r="U264" s="9">
        <f>IF(ISERROR(VLOOKUP($A264,'SegEnds_NonXtal_BW#'!$A:$Z,15,FALSE)+VLOOKUP($A264,A:AL,22,FALSE)-50),"-",VLOOKUP($A264,'SegEnds_NonXtal_BW#'!$A:$Z,15,FALSE)+VLOOKUP($A264,A:AL,22,FALSE)-50)</f>
        <v>146</v>
      </c>
      <c r="V264" s="3">
        <v>158</v>
      </c>
      <c r="W264" s="3">
        <f>IF(ISERROR(VLOOKUP($A264,'SegEnds_NonXtal_BW#'!$A:$Z,16,FALSE)+VLOOKUP($A264,A:AL,22,FALSE)-50),"-",(VLOOKUP($A264,'SegEnds_NonXtal_BW#'!$A:$Z,16,FALSE)+VLOOKUP($A264,A:AL,22,FALSE)-50))</f>
        <v>171</v>
      </c>
      <c r="X264" s="3">
        <f>IF(ISERROR(VLOOKUP($A264,'SegEnds_NonXtal_BW#'!$A:$Z,17,FALSE)+VLOOKUP($A264,A:AL,25,FALSE)-50),"-",(VLOOKUP($A264,'SegEnds_NonXtal_BW#'!$A:$Z,17,FALSE)+VLOOKUP($A264,A:AL,25,FALSE)-50))</f>
        <v>181</v>
      </c>
      <c r="Y264" s="3">
        <v>181</v>
      </c>
      <c r="Z264" s="3">
        <f t="shared" si="167"/>
        <v>183</v>
      </c>
      <c r="AA264" s="3">
        <f>IF(ISERROR(VLOOKUP($A264,'SegEnds_NonXtal_BW#'!$A:$Z,19,FALSE)+VLOOKUP($A264,A:AL,28,FALSE)-50),"-",(VLOOKUP($A264,'SegEnds_NonXtal_BW#'!$A:$Z,19,FALSE)+VLOOKUP($A264,A:AL,28,FALSE)-50))</f>
        <v>185</v>
      </c>
      <c r="AB264" s="3">
        <v>200</v>
      </c>
      <c r="AC264" s="3">
        <f>IF(ISERROR((VLOOKUP($A264,'SegEnds_NonXtal_BW#'!$A:$Z,20,FALSE)+VLOOKUP($A264,A:AL,28,FALSE)-50)),"-",(VLOOKUP($A264,'SegEnds_NonXtal_BW#'!$A:$Z,20,FALSE)+VLOOKUP($A264,A:AL,28,FALSE)-50))</f>
        <v>226</v>
      </c>
      <c r="AD264" s="3">
        <f>IF(ISERROR(VLOOKUP($A264,'SegEnds_NonXtal_BW#'!$A:$Z,21,FALSE)+VLOOKUP($A264,A:AL,31,FALSE)-50),"-",(VLOOKUP($A264,'SegEnds_NonXtal_BW#'!$A:$Z,21,FALSE)+VLOOKUP($A264,A:AL,31,FALSE)-50))</f>
        <v>318</v>
      </c>
      <c r="AE264" s="3">
        <v>344</v>
      </c>
      <c r="AF264" s="3">
        <f>IF(ISERROR((VLOOKUP($A264,'SegEnds_NonXtal_BW#'!$A:$Z,22,FALSE)+VLOOKUP($A264,A:AL,31,FALSE)-50)),"-",(VLOOKUP($A264,'SegEnds_NonXtal_BW#'!$A:$Z,22,FALSE)+VLOOKUP($A264,A:AL,31,FALSE)-50))</f>
        <v>354</v>
      </c>
      <c r="AG264" s="3">
        <f>IF(ISERROR(VLOOKUP($A264,'SegEnds_NonXtal_BW#'!$A:$Z,23,FALSE)+VLOOKUP($A264,A:AL,34,FALSE)-50),"-",(VLOOKUP($A264,'SegEnds_NonXtal_BW#'!$A:$Z,23,FALSE)+VLOOKUP($A264,A:AL,34,FALSE)-50))</f>
        <v>361</v>
      </c>
      <c r="AH264" s="3">
        <v>380</v>
      </c>
      <c r="AI264" s="3">
        <f>IF(ISERROR((VLOOKUP($A264,'SegEnds_NonXtal_BW#'!$A:$Z,24,FALSE)+VLOOKUP($A264,A:AL,34,FALSE)-50)),"-",(VLOOKUP($A264,'SegEnds_NonXtal_BW#'!$A:$Z,24,FALSE)+VLOOKUP($A264,A:AL,34,FALSE)-50))</f>
        <v>386</v>
      </c>
      <c r="AJ264" s="3">
        <f>IF(ISERROR(VLOOKUP($A264,'SegEnds_NonXtal_BW#'!$A:$Z,25,FALSE)+VLOOKUP($A264,A:AL,37,FALSE)-50),"-",(VLOOKUP($A264,'SegEnds_NonXtal_BW#'!$A:$Z,25,FALSE)+VLOOKUP($A264,A:AL,37,FALSE)-50))</f>
        <v>387</v>
      </c>
      <c r="AK264" s="3">
        <v>390</v>
      </c>
      <c r="AL264" s="3">
        <f>IF(ISERROR((VLOOKUP($A264,'SegEnds_NonXtal_BW#'!$A:$Z,26,FALSE)+VLOOKUP($A264,A:AL,37,FALSE)-50)),"-",(VLOOKUP($A264,'SegEnds_NonXtal_BW#'!$A:$Z,26,FALSE)+VLOOKUP($A264,A:AL,37,FALSE)-50))</f>
        <v>399</v>
      </c>
      <c r="AM264" s="28" t="str">
        <f>VLOOKUP(A264,Classification!A:B,2,FALSE)</f>
        <v>A</v>
      </c>
      <c r="AN264" s="28" t="b">
        <f t="shared" si="211"/>
        <v>1</v>
      </c>
      <c r="AO264" s="3" t="str">
        <f>IF(ISERROR(MATCH(A264,'SegEnds_Xtal_Prot#'!B:B, 0)), "NoXtal", "Xtal")</f>
        <v>Xtal</v>
      </c>
      <c r="AP264" s="3">
        <f t="shared" si="196"/>
        <v>1</v>
      </c>
      <c r="AQ264" s="3">
        <f t="shared" si="197"/>
        <v>1</v>
      </c>
      <c r="AR264" s="3">
        <f t="shared" si="198"/>
        <v>3</v>
      </c>
      <c r="AS264" s="3">
        <f t="shared" si="199"/>
        <v>1</v>
      </c>
      <c r="AT264" s="3">
        <f t="shared" si="200"/>
        <v>1</v>
      </c>
      <c r="AU264" s="3">
        <f t="shared" si="201"/>
        <v>3</v>
      </c>
      <c r="AV264" s="3">
        <f t="shared" si="202"/>
        <v>10</v>
      </c>
      <c r="AW264" s="3">
        <f t="shared" si="203"/>
        <v>2</v>
      </c>
      <c r="AX264" s="3">
        <f t="shared" si="204"/>
        <v>92</v>
      </c>
      <c r="AY264" s="3">
        <f t="shared" si="205"/>
        <v>7</v>
      </c>
      <c r="AZ264" s="3">
        <f t="shared" si="206"/>
        <v>1</v>
      </c>
      <c r="BA264" s="3">
        <f>IF(ISERROR(LEN(VLOOKUP(A264,Seqs!A:E,2,FALSE))-AL264),"-",LEN(VLOOKUP(A264,Seqs!A:E,2,FALSE))-AL264)</f>
        <v>1</v>
      </c>
      <c r="BB264" s="16">
        <f t="shared" si="207"/>
        <v>28</v>
      </c>
      <c r="BC264" s="9">
        <f t="shared" si="208"/>
        <v>23</v>
      </c>
      <c r="BD264" s="3">
        <f t="shared" si="209"/>
        <v>28</v>
      </c>
      <c r="BE264" s="3">
        <f t="shared" si="210"/>
        <v>144</v>
      </c>
      <c r="BF264" s="3">
        <f>AH264-AE264</f>
        <v>36</v>
      </c>
    </row>
    <row r="265" spans="1:58" s="3" customFormat="1" x14ac:dyDescent="0.2">
      <c r="A265" s="3" t="s">
        <v>142</v>
      </c>
      <c r="B265" s="3" t="str">
        <f>LOWER(VLOOKUP(A265,Xtal_Templ!A:B,2,FALSE))</f>
        <v>fpr2_human</v>
      </c>
      <c r="C265" s="3">
        <f>VLOOKUP($A265,'SegEnds_NonXtal_BW#'!$A:$Z,3,FALSE)+D265-50</f>
        <v>51</v>
      </c>
      <c r="D265" s="3">
        <v>76</v>
      </c>
      <c r="E265" s="3">
        <f>IF(ISERROR(VLOOKUP($A265,'SegEnds_NonXtal_BW#'!$A:$Z,4,FALSE)+VLOOKUP($A265,A:AL,4,FALSE)-50),"-",(VLOOKUP($A265,'SegEnds_NonXtal_BW#'!$A:$Z,4,FALSE)+VLOOKUP($A265,A:AL,4,FALSE)-50))</f>
        <v>87</v>
      </c>
      <c r="F265" s="3" t="str">
        <f>IF(ISERROR(VLOOKUP($A265,'SegEnds_NonXtal_BW#'!$A:$Z,5,FALSE)+VLOOKUP($A265,A:AL,7,FALSE)-50),"-",(VLOOKUP($A265,'SegEnds_NonXtal_BW#'!$A:$Z,5,FALSE)+VLOOKUP($A265,A:AL,7,FALSE)-50))</f>
        <v>-</v>
      </c>
      <c r="G265" s="3" t="s">
        <v>23</v>
      </c>
      <c r="H265" s="3" t="str">
        <f>IF(ISERROR(VLOOKUP($A265,'SegEnds_NonXtal_BW#'!$A:$Z,6,FALSE)+VLOOKUP($A265,A:AL,7,FALSE)-50),"-",(VLOOKUP($A265,'SegEnds_NonXtal_BW#'!$A:$Z,6,FALSE)+VLOOKUP($A265,A:AL,7,FALSE)-50))</f>
        <v>-</v>
      </c>
      <c r="I265" s="3">
        <f>VLOOKUP($A265,'SegEnds_NonXtal_BW#'!$A:$Z,7,FALSE)+J265-50</f>
        <v>93</v>
      </c>
      <c r="J265" s="3">
        <v>106</v>
      </c>
      <c r="K265" s="3">
        <f>VLOOKUP($A265,'SegEnds_NonXtal_BW#'!$A:$Z,8,FALSE)+VLOOKUP($A265,A:AL,10,FALSE)-50</f>
        <v>122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128</v>
      </c>
      <c r="P265" s="3">
        <v>154</v>
      </c>
      <c r="Q265" s="3">
        <f>VLOOKUP($A265,'SegEnds_NonXtal_BW#'!$A:$Z,12,FALSE)+VLOOKUP($A265,A:AL,16,FALSE)-50</f>
        <v>160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162</v>
      </c>
      <c r="V265" s="3">
        <v>174</v>
      </c>
      <c r="W265" s="3">
        <f>IF(ISERROR(VLOOKUP($A265,'SegEnds_NonXtal_BW#'!$A:$Z,16,FALSE)+VLOOKUP($A265,A:AL,22,FALSE)-50),"-",(VLOOKUP($A265,'SegEnds_NonXtal_BW#'!$A:$Z,16,FALSE)+VLOOKUP($A265,A:AL,22,FALSE)-50))</f>
        <v>188</v>
      </c>
      <c r="X265" s="3">
        <f>IF(ISERROR(VLOOKUP($A265,'SegEnds_NonXtal_BW#'!$A:$Z,17,FALSE)+VLOOKUP($A265,A:AL,25,FALSE)-50),"-",(VLOOKUP($A265,'SegEnds_NonXtal_BW#'!$A:$Z,17,FALSE)+VLOOKUP($A265,A:AL,25,FALSE)-50))</f>
        <v>195</v>
      </c>
      <c r="Y265" s="3">
        <v>195</v>
      </c>
      <c r="Z265" s="3">
        <f t="shared" si="167"/>
        <v>197</v>
      </c>
      <c r="AA265" s="3">
        <f>IF(ISERROR(VLOOKUP($A265,'SegEnds_NonXtal_BW#'!$A:$Z,19,FALSE)+VLOOKUP($A265,A:AL,28,FALSE)-50),"-",(VLOOKUP($A265,'SegEnds_NonXtal_BW#'!$A:$Z,19,FALSE)+VLOOKUP($A265,A:AL,28,FALSE)-50))</f>
        <v>203</v>
      </c>
      <c r="AB265" s="3">
        <v>218</v>
      </c>
      <c r="AC265" s="3">
        <f>IF(ISERROR((VLOOKUP($A265,'SegEnds_NonXtal_BW#'!$A:$Z,20,FALSE)+VLOOKUP($A265,A:AL,28,FALSE)-50)),"-",(VLOOKUP($A265,'SegEnds_NonXtal_BW#'!$A:$Z,20,FALSE)+VLOOKUP($A265,A:AL,28,FALSE)-50))</f>
        <v>232</v>
      </c>
      <c r="AD265" s="3">
        <f>IF(ISERROR(VLOOKUP($A265,'SegEnds_NonXtal_BW#'!$A:$Z,21,FALSE)+VLOOKUP($A265,A:AL,31,FALSE)-50),"-",(VLOOKUP($A265,'SegEnds_NonXtal_BW#'!$A:$Z,21,FALSE)+VLOOKUP($A265,A:AL,31,FALSE)-50))</f>
        <v>239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275</v>
      </c>
      <c r="AH265" s="3">
        <v>301</v>
      </c>
      <c r="AI265" s="3">
        <f>IF(ISERROR((VLOOKUP($A265,'SegEnds_NonXtal_BW#'!$A:$Z,24,FALSE)+VLOOKUP($A265,A:AL,34,FALSE)-50)),"-",(VLOOKUP($A265,'SegEnds_NonXtal_BW#'!$A:$Z,24,FALSE)+VLOOKUP($A265,A:AL,34,FALSE)-50))</f>
        <v>307</v>
      </c>
      <c r="AJ265" s="3">
        <f>IF(ISERROR(VLOOKUP($A265,'SegEnds_NonXtal_BW#'!$A:$Z,25,FALSE)+VLOOKUP($A265,A:AL,37,FALSE)-50),"-",(VLOOKUP($A265,'SegEnds_NonXtal_BW#'!$A:$Z,25,FALSE)+VLOOKUP($A265,A:AL,37,FALSE)-50))</f>
        <v>308</v>
      </c>
      <c r="AK265" s="3">
        <v>311</v>
      </c>
      <c r="AL265" s="3">
        <f>IF(ISERROR((VLOOKUP($A265,'SegEnds_NonXtal_BW#'!$A:$Z,26,FALSE)+VLOOKUP($A265,A:AL,37,FALSE)-50)),"-",(VLOOKUP($A265,'SegEnds_NonXtal_BW#'!$A:$Z,26,FALSE)+VLOOKUP($A265,A:AL,37,FALSE)-50))</f>
        <v>319</v>
      </c>
      <c r="AM265" s="28" t="str">
        <f>VLOOKUP(A265,Classification!A:B,2,FALSE)</f>
        <v>A</v>
      </c>
      <c r="AN265" s="28" t="b">
        <f t="shared" si="211"/>
        <v>1</v>
      </c>
      <c r="AO265" s="3" t="str">
        <f>IF(ISERROR(MATCH(A265,'SegEnds_Xtal_Prot#'!B:B, 0)), "NoXtal", "Xtal")</f>
        <v>NoXtal</v>
      </c>
      <c r="AP265" s="3" t="str">
        <f t="shared" si="196"/>
        <v>-</v>
      </c>
      <c r="AQ265" s="3" t="str">
        <f t="shared" si="197"/>
        <v>-</v>
      </c>
      <c r="AR265" s="3" t="str">
        <f t="shared" si="198"/>
        <v>-</v>
      </c>
      <c r="AS265" s="3" t="str">
        <f t="shared" si="199"/>
        <v>-</v>
      </c>
      <c r="AT265" s="3" t="str">
        <f t="shared" si="200"/>
        <v>-</v>
      </c>
      <c r="AU265" s="3" t="str">
        <f t="shared" si="201"/>
        <v>-</v>
      </c>
      <c r="AV265" s="3">
        <f t="shared" si="202"/>
        <v>7</v>
      </c>
      <c r="AW265" s="3">
        <f t="shared" si="203"/>
        <v>6</v>
      </c>
      <c r="AX265" s="3">
        <f t="shared" si="204"/>
        <v>7</v>
      </c>
      <c r="AY265" s="3">
        <f t="shared" si="205"/>
        <v>6</v>
      </c>
      <c r="AZ265" s="3">
        <f t="shared" si="206"/>
        <v>1</v>
      </c>
      <c r="BA265" s="3">
        <f>IF(ISERROR(LEN(VLOOKUP(A265,Seqs!A:E,2,FALSE))-AL265),"-",LEN(VLOOKUP(A265,Seqs!A:E,2,FALSE))-AL265)</f>
        <v>17</v>
      </c>
      <c r="BB265" s="16">
        <f t="shared" si="207"/>
        <v>30</v>
      </c>
      <c r="BC265" s="9" t="str">
        <f t="shared" si="208"/>
        <v>-</v>
      </c>
      <c r="BD265" s="3">
        <f t="shared" si="209"/>
        <v>30</v>
      </c>
      <c r="BE265" s="3">
        <f t="shared" si="210"/>
        <v>37</v>
      </c>
      <c r="BF265" s="3">
        <f>AH265-AE265</f>
        <v>46</v>
      </c>
    </row>
    <row r="266" spans="1:58" s="3" customFormat="1" x14ac:dyDescent="0.2">
      <c r="A266" s="3" t="s">
        <v>144</v>
      </c>
      <c r="B266" s="3" t="str">
        <f>LOWER(VLOOKUP(A266,Xtal_Templ!A:B,2,FALSE))</f>
        <v>ccr7_human</v>
      </c>
      <c r="C266" s="3">
        <f>VLOOKUP($A266,'SegEnds_NonXtal_BW#'!$A:$Z,3,FALSE)+D266-50</f>
        <v>41</v>
      </c>
      <c r="D266" s="3">
        <v>62</v>
      </c>
      <c r="E266" s="3">
        <f>IF(ISERROR(VLOOKUP($A266,'SegEnds_NonXtal_BW#'!$A:$Z,4,FALSE)+VLOOKUP($A266,A:AL,4,FALSE)-50),"-",(VLOOKUP($A266,'SegEnds_NonXtal_BW#'!$A:$Z,4,FALSE)+VLOOKUP($A266,A:AL,4,FALSE)-50))</f>
        <v>72</v>
      </c>
      <c r="F266" s="3">
        <f>G266-2</f>
        <v>73</v>
      </c>
      <c r="G266" s="3">
        <v>75</v>
      </c>
      <c r="H266" s="3">
        <f t="shared" ref="H266:I268" si="212">G266+1</f>
        <v>76</v>
      </c>
      <c r="I266" s="3">
        <f t="shared" si="212"/>
        <v>77</v>
      </c>
      <c r="J266" s="3">
        <v>90</v>
      </c>
      <c r="K266" s="3">
        <f>VLOOKUP($A266,'SegEnds_NonXtal_BW#'!$A:$Z,8,FALSE)+VLOOKUP($A266,A:AL,10,FALSE)-50</f>
        <v>106</v>
      </c>
      <c r="L266" s="3">
        <f>IF(ISERROR(VLOOKUP($A266,'SegEnds_NonXtal_BW#'!$A:$Z,9,FALSE)+VLOOKUP($A266,A:AL,13,FALSE)-50),"-",(VLOOKUP($A266,'SegEnds_NonXtal_BW#'!$A:$Z,9,FALSE)+VLOOKUP($A266,A:AL,13,FALSE)-50))</f>
        <v>109</v>
      </c>
      <c r="M266" s="3">
        <v>110</v>
      </c>
      <c r="N266" s="3">
        <f>IF(ISERROR(VLOOKUP($A266,'SegEnds_NonXtal_BW#'!$A:$Z,10,FALSE)+VLOOKUP($A266,A:AL,13,FALSE)-50),"-",(VLOOKUP($A266,'SegEnds_NonXtal_BW#'!$A:$Z,10,FALSE)+VLOOKUP($A266,A:AL,13,FALSE)-50))</f>
        <v>112</v>
      </c>
      <c r="O266" s="3">
        <f>VLOOKUP($A266,'SegEnds_NonXtal_BW#'!$A:$Z,11,FALSE)+VLOOKUP($A266,A:AL,16,FALSE)-50</f>
        <v>113</v>
      </c>
      <c r="P266" s="3">
        <v>142</v>
      </c>
      <c r="Q266" s="3">
        <f>VLOOKUP($A266,'SegEnds_NonXtal_BW#'!$A:$Z,12,FALSE)+VLOOKUP($A266,A:AL,16,FALSE)-50</f>
        <v>148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157</v>
      </c>
      <c r="V266" s="3">
        <v>169</v>
      </c>
      <c r="W266" s="3">
        <f>IF(ISERROR(VLOOKUP($A266,'SegEnds_NonXtal_BW#'!$A:$Z,16,FALSE)+VLOOKUP($A266,A:AL,22,FALSE)-50),"-",(VLOOKUP($A266,'SegEnds_NonXtal_BW#'!$A:$Z,16,FALSE)+VLOOKUP($A266,A:AL,22,FALSE)-50))</f>
        <v>183</v>
      </c>
      <c r="X266" s="3">
        <f>IF(ISERROR(VLOOKUP($A266,'SegEnds_NonXtal_BW#'!$A:$Z,17,FALSE)+VLOOKUP($A266,A:AL,25,FALSE)-50),"-",(VLOOKUP($A266,'SegEnds_NonXtal_BW#'!$A:$Z,17,FALSE)+VLOOKUP($A266,A:AL,25,FALSE)-50))</f>
        <v>196</v>
      </c>
      <c r="Y266" s="3">
        <v>196</v>
      </c>
      <c r="Z266" s="3">
        <f t="shared" si="167"/>
        <v>198</v>
      </c>
      <c r="AA266" s="3">
        <f>IF(ISERROR(VLOOKUP($A266,'SegEnds_NonXtal_BW#'!$A:$Z,19,FALSE)+VLOOKUP($A266,A:AL,28,FALSE)-50),"-",(VLOOKUP($A266,'SegEnds_NonXtal_BW#'!$A:$Z,19,FALSE)+VLOOKUP($A266,A:AL,28,FALSE)-50))</f>
        <v>207</v>
      </c>
      <c r="AB266" s="3">
        <v>224</v>
      </c>
      <c r="AC266" s="3">
        <f>IF(ISERROR((VLOOKUP($A266,'SegEnds_NonXtal_BW#'!$A:$Z,20,FALSE)+VLOOKUP($A266,A:AL,28,FALSE)-50)),"-",(VLOOKUP($A266,'SegEnds_NonXtal_BW#'!$A:$Z,20,FALSE)+VLOOKUP($A266,A:AL,28,FALSE)-50))</f>
        <v>242</v>
      </c>
      <c r="AD266" s="3">
        <f>IF(ISERROR(VLOOKUP($A266,'SegEnds_NonXtal_BW#'!$A:$Z,21,FALSE)+VLOOKUP($A266,A:AL,31,FALSE)-50),"-",(VLOOKUP($A266,'SegEnds_NonXtal_BW#'!$A:$Z,21,FALSE)+VLOOKUP($A266,A:AL,31,FALSE)-50))</f>
        <v>245</v>
      </c>
      <c r="AE266" s="3">
        <v>267</v>
      </c>
      <c r="AF266" s="3">
        <f>IF(ISERROR((VLOOKUP($A266,'SegEnds_NonXtal_BW#'!$A:$Z,22,FALSE)+VLOOKUP($A266,A:AL,31,FALSE)-50)),"-",(VLOOKUP($A266,'SegEnds_NonXtal_BW#'!$A:$Z,22,FALSE)+VLOOKUP($A266,A:AL,31,FALSE)-50))</f>
        <v>281</v>
      </c>
      <c r="AG266" s="3">
        <f>IF(ISERROR(VLOOKUP($A266,'SegEnds_NonXtal_BW#'!$A:$Z,23,FALSE)+VLOOKUP($A266,A:AL,34,FALSE)-50),"-",(VLOOKUP($A266,'SegEnds_NonXtal_BW#'!$A:$Z,23,FALSE)+VLOOKUP($A266,A:AL,34,FALSE)-50))</f>
        <v>286</v>
      </c>
      <c r="AH266" s="3">
        <v>312</v>
      </c>
      <c r="AI266" s="3">
        <f>IF(ISERROR((VLOOKUP($A266,'SegEnds_NonXtal_BW#'!$A:$Z,24,FALSE)+VLOOKUP($A266,A:AL,34,FALSE)-50)),"-",(VLOOKUP($A266,'SegEnds_NonXtal_BW#'!$A:$Z,24,FALSE)+VLOOKUP($A266,A:AL,34,FALSE)-50))</f>
        <v>318</v>
      </c>
      <c r="AJ266" s="3">
        <f>IF(ISERROR(VLOOKUP($A266,'SegEnds_NonXtal_BW#'!$A:$Z,25,FALSE)+VLOOKUP($A266,A:AL,37,FALSE)-50),"-",(VLOOKUP($A266,'SegEnds_NonXtal_BW#'!$A:$Z,25,FALSE)+VLOOKUP($A266,A:AL,37,FALSE)-50))</f>
        <v>319</v>
      </c>
      <c r="AK266" s="3">
        <v>322</v>
      </c>
      <c r="AL266" s="3">
        <f>IF(ISERROR((VLOOKUP($A266,'SegEnds_NonXtal_BW#'!$A:$Z,26,FALSE)+VLOOKUP($A266,A:AL,37,FALSE)-50)),"-",(VLOOKUP($A266,'SegEnds_NonXtal_BW#'!$A:$Z,26,FALSE)+VLOOKUP($A266,A:AL,37,FALSE)-50))</f>
        <v>331</v>
      </c>
      <c r="AM266" s="28" t="str">
        <f>VLOOKUP(A266,Classification!A:B,2,FALSE)</f>
        <v>A</v>
      </c>
      <c r="AN266" s="28" t="b">
        <f t="shared" si="211"/>
        <v>1</v>
      </c>
      <c r="AO266" s="3" t="str">
        <f>IF(ISERROR(MATCH(A266,'SegEnds_Xtal_Prot#'!B:B, 0)), "NoXtal", "Xtal")</f>
        <v>NoXtal</v>
      </c>
      <c r="AP266" s="3">
        <f t="shared" si="196"/>
        <v>1</v>
      </c>
      <c r="AQ266" s="3">
        <f t="shared" si="197"/>
        <v>1</v>
      </c>
      <c r="AR266" s="3">
        <f t="shared" si="198"/>
        <v>3</v>
      </c>
      <c r="AS266" s="3">
        <f t="shared" si="199"/>
        <v>1</v>
      </c>
      <c r="AT266" s="3" t="str">
        <f t="shared" si="200"/>
        <v>-</v>
      </c>
      <c r="AU266" s="3" t="str">
        <f t="shared" si="201"/>
        <v>-</v>
      </c>
      <c r="AV266" s="3">
        <f t="shared" si="202"/>
        <v>13</v>
      </c>
      <c r="AW266" s="3">
        <f t="shared" si="203"/>
        <v>9</v>
      </c>
      <c r="AX266" s="3">
        <f t="shared" si="204"/>
        <v>3</v>
      </c>
      <c r="AY266" s="3">
        <f t="shared" si="205"/>
        <v>5</v>
      </c>
      <c r="AZ266" s="3">
        <f t="shared" si="206"/>
        <v>1</v>
      </c>
      <c r="BA266" s="3">
        <f>IF(ISERROR(LEN(VLOOKUP(A266,Seqs!A:E,2,FALSE))-AL266),"-",LEN(VLOOKUP(A266,Seqs!A:E,2,FALSE))-AL266)</f>
        <v>31</v>
      </c>
      <c r="BB266" s="16">
        <f t="shared" si="207"/>
        <v>28</v>
      </c>
      <c r="BC266" s="9" t="str">
        <f t="shared" si="208"/>
        <v>-</v>
      </c>
      <c r="BD266" s="3">
        <f t="shared" si="209"/>
        <v>28</v>
      </c>
      <c r="BE266" s="3">
        <f t="shared" si="210"/>
        <v>43</v>
      </c>
      <c r="BF266" s="3">
        <f>AH266-AE266</f>
        <v>45</v>
      </c>
    </row>
    <row r="267" spans="1:58" s="3" customFormat="1" x14ac:dyDescent="0.2">
      <c r="A267" s="3" t="s">
        <v>145</v>
      </c>
      <c r="B267" s="3" t="str">
        <f>LOWER(VLOOKUP(A267,Xtal_Templ!A:B,2,FALSE))</f>
        <v>ccr9_human</v>
      </c>
      <c r="C267" s="3">
        <f>VLOOKUP($A267,'SegEnds_NonXtal_BW#'!$A:$Z,3,FALSE)+D267-50</f>
        <v>36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212"/>
        <v>73</v>
      </c>
      <c r="I267" s="3">
        <f t="shared" si="212"/>
        <v>74</v>
      </c>
      <c r="J267" s="3">
        <v>87</v>
      </c>
      <c r="K267" s="3">
        <f>VLOOKUP($A267,'SegEnds_NonXtal_BW#'!$A:$Z,8,FALSE)+VLOOKUP($A267,A:AL,10,FALSE)-50</f>
        <v>103</v>
      </c>
      <c r="L267" s="3">
        <f>IF(ISERROR(VLOOKUP($A267,'SegEnds_NonXtal_BW#'!$A:$Z,9,FALSE)+VLOOKUP($A267,A:AL,13,FALSE)-50),"-",(VLOOKUP($A267,'SegEnds_NonXtal_BW#'!$A:$Z,9,FALSE)+VLOOKUP($A267,A:AL,13,FALSE)-50))</f>
        <v>104</v>
      </c>
      <c r="M267" s="3">
        <v>105</v>
      </c>
      <c r="N267" s="3">
        <f>IF(ISERROR(VLOOKUP($A267,'SegEnds_NonXtal_BW#'!$A:$Z,10,FALSE)+VLOOKUP($A267,A:AL,13,FALSE)-50),"-",(VLOOKUP($A267,'SegEnds_NonXtal_BW#'!$A:$Z,10,FALSE)+VLOOKUP($A267,A:AL,13,FALSE)-50))</f>
        <v>107</v>
      </c>
      <c r="O267" s="3">
        <f>VLOOKUP($A267,'SegEnds_NonXtal_BW#'!$A:$Z,11,FALSE)+VLOOKUP($A267,A:AL,16,FALSE)-50</f>
        <v>108</v>
      </c>
      <c r="P267" s="3">
        <v>137</v>
      </c>
      <c r="Q267" s="3">
        <f>VLOOKUP($A267,'SegEnds_NonXtal_BW#'!$A:$Z,12,FALSE)+VLOOKUP($A267,A:AL,16,FALSE)-50</f>
        <v>143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150</v>
      </c>
      <c r="V267" s="3">
        <v>162</v>
      </c>
      <c r="W267" s="3">
        <f>IF(ISERROR(VLOOKUP($A267,'SegEnds_NonXtal_BW#'!$A:$Z,16,FALSE)+VLOOKUP($A267,A:AL,22,FALSE)-50),"-",(VLOOKUP($A267,'SegEnds_NonXtal_BW#'!$A:$Z,16,FALSE)+VLOOKUP($A267,A:AL,22,FALSE)-50))</f>
        <v>176</v>
      </c>
      <c r="X267" s="3">
        <f>IF(ISERROR(VLOOKUP($A267,'SegEnds_NonXtal_BW#'!$A:$Z,17,FALSE)+VLOOKUP($A267,A:AL,25,FALSE)-50),"-",(VLOOKUP($A267,'SegEnds_NonXtal_BW#'!$A:$Z,17,FALSE)+VLOOKUP($A267,A:AL,25,FALSE)-50))</f>
        <v>184</v>
      </c>
      <c r="Y267" s="3">
        <v>184</v>
      </c>
      <c r="Z267" s="3">
        <f t="shared" si="167"/>
        <v>186</v>
      </c>
      <c r="AA267" s="3">
        <f>IF(ISERROR(VLOOKUP($A267,'SegEnds_NonXtal_BW#'!$A:$Z,19,FALSE)+VLOOKUP($A267,A:AL,28,FALSE)-50),"-",(VLOOKUP($A267,'SegEnds_NonXtal_BW#'!$A:$Z,19,FALSE)+VLOOKUP($A267,A:AL,28,FALSE)-50))</f>
        <v>195</v>
      </c>
      <c r="AB267" s="3">
        <v>212</v>
      </c>
      <c r="AC267" s="3">
        <f>IF(ISERROR((VLOOKUP($A267,'SegEnds_NonXtal_BW#'!$A:$Z,20,FALSE)+VLOOKUP($A267,A:AL,28,FALSE)-50)),"-",(VLOOKUP($A267,'SegEnds_NonXtal_BW#'!$A:$Z,20,FALSE)+VLOOKUP($A267,A:AL,28,FALSE)-50))</f>
        <v>230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255</v>
      </c>
      <c r="AF267" s="3">
        <f>IF(ISERROR((VLOOKUP($A267,'SegEnds_NonXtal_BW#'!$A:$Z,22,FALSE)+VLOOKUP($A267,A:AL,31,FALSE)-50)),"-",(VLOOKUP($A267,'SegEnds_NonXtal_BW#'!$A:$Z,22,FALSE)+VLOOKUP($A267,A:AL,31,FALSE)-50))</f>
        <v>269</v>
      </c>
      <c r="AG267" s="3">
        <f>IF(ISERROR(VLOOKUP($A267,'SegEnds_NonXtal_BW#'!$A:$Z,23,FALSE)+VLOOKUP($A267,A:AL,34,FALSE)-50),"-",(VLOOKUP($A267,'SegEnds_NonXtal_BW#'!$A:$Z,23,FALSE)+VLOOKUP($A267,A:AL,34,FALSE)-50))</f>
        <v>274</v>
      </c>
      <c r="AH267" s="3">
        <v>300</v>
      </c>
      <c r="AI267" s="3">
        <f>IF(ISERROR((VLOOKUP($A267,'SegEnds_NonXtal_BW#'!$A:$Z,24,FALSE)+VLOOKUP($A267,A:AL,34,FALSE)-50)),"-",(VLOOKUP($A267,'SegEnds_NonXtal_BW#'!$A:$Z,24,FALSE)+VLOOKUP($A267,A:AL,34,FALSE)-50))</f>
        <v>306</v>
      </c>
      <c r="AJ267" s="3">
        <f>IF(ISERROR(VLOOKUP($A267,'SegEnds_NonXtal_BW#'!$A:$Z,25,FALSE)+VLOOKUP($A267,A:AL,37,FALSE)-50),"-",(VLOOKUP($A267,'SegEnds_NonXtal_BW#'!$A:$Z,25,FALSE)+VLOOKUP($A267,A:AL,37,FALSE)-50))</f>
        <v>307</v>
      </c>
      <c r="AK267" s="3">
        <v>310</v>
      </c>
      <c r="AL267" s="3">
        <f>IF(ISERROR((VLOOKUP($A267,'SegEnds_NonXtal_BW#'!$A:$Z,26,FALSE)+VLOOKUP($A267,A:AL,37,FALSE)-50)),"-",(VLOOKUP($A267,'SegEnds_NonXtal_BW#'!$A:$Z,26,FALSE)+VLOOKUP($A267,A:AL,37,FALSE)-50))</f>
        <v>327</v>
      </c>
      <c r="AM267" s="28" t="str">
        <f>VLOOKUP(A267,Classification!A:B,2,FALSE)</f>
        <v>A</v>
      </c>
      <c r="AN267" s="28" t="b">
        <f t="shared" si="211"/>
        <v>1</v>
      </c>
      <c r="AO267" s="3" t="str">
        <f>IF(ISERROR(MATCH(A267,'SegEnds_Xtal_Prot#'!B:B, 0)), "NoXtal", "Xtal")</f>
        <v>NoXtal</v>
      </c>
      <c r="AP267" s="3">
        <f t="shared" si="196"/>
        <v>1</v>
      </c>
      <c r="AQ267" s="3">
        <f t="shared" si="197"/>
        <v>1</v>
      </c>
      <c r="AR267" s="3">
        <f t="shared" si="198"/>
        <v>1</v>
      </c>
      <c r="AS267" s="3">
        <f t="shared" si="199"/>
        <v>1</v>
      </c>
      <c r="AT267" s="3" t="str">
        <f t="shared" si="200"/>
        <v>-</v>
      </c>
      <c r="AU267" s="3" t="str">
        <f t="shared" si="201"/>
        <v>-</v>
      </c>
      <c r="AV267" s="3">
        <f t="shared" si="202"/>
        <v>8</v>
      </c>
      <c r="AW267" s="3">
        <f t="shared" si="203"/>
        <v>9</v>
      </c>
      <c r="AX267" s="3">
        <f t="shared" si="204"/>
        <v>3</v>
      </c>
      <c r="AY267" s="3">
        <f t="shared" si="205"/>
        <v>5</v>
      </c>
      <c r="AZ267" s="3">
        <f t="shared" si="206"/>
        <v>1</v>
      </c>
      <c r="BA267" s="3">
        <f>IF(ISERROR(LEN(VLOOKUP(A267,Seqs!A:E,2,FALSE))-AL267),"-",LEN(VLOOKUP(A267,Seqs!A:E,2,FALSE))-AL267)</f>
        <v>23</v>
      </c>
      <c r="BB267" s="16">
        <f t="shared" si="207"/>
        <v>28</v>
      </c>
      <c r="BC267" s="9" t="str">
        <f t="shared" si="208"/>
        <v>-</v>
      </c>
      <c r="BD267" s="3">
        <f t="shared" si="209"/>
        <v>28</v>
      </c>
      <c r="BE267" s="3">
        <f t="shared" si="210"/>
        <v>43</v>
      </c>
    </row>
    <row r="268" spans="1:58" s="3" customFormat="1" x14ac:dyDescent="0.2">
      <c r="A268" s="3" t="s">
        <v>169</v>
      </c>
      <c r="B268" s="3" t="str">
        <f>LOWER(VLOOKUP(A268,Xtal_Templ!A:B,2,FALSE))</f>
        <v>ccr7_human</v>
      </c>
      <c r="C268" s="3">
        <f>VLOOKUP($A268,'SegEnds_NonXtal_BW#'!$A:$Z,3,FALSE)+D268-50</f>
        <v>38</v>
      </c>
      <c r="D268" s="3">
        <v>59</v>
      </c>
      <c r="E268" s="3">
        <f>IF(ISERROR(VLOOKUP($A268,'SegEnds_NonXtal_BW#'!$A:$Z,4,FALSE)+VLOOKUP($A268,A:AL,4,FALSE)-50),"-",(VLOOKUP($A268,'SegEnds_NonXtal_BW#'!$A:$Z,4,FALSE)+VLOOKUP($A268,A:AL,4,FALSE)-50))</f>
        <v>69</v>
      </c>
      <c r="F268" s="3">
        <f>G268-2</f>
        <v>70</v>
      </c>
      <c r="G268" s="3">
        <v>72</v>
      </c>
      <c r="H268" s="3">
        <f t="shared" si="212"/>
        <v>73</v>
      </c>
      <c r="I268" s="3">
        <f t="shared" si="212"/>
        <v>74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105</v>
      </c>
      <c r="M268" s="3">
        <v>106</v>
      </c>
      <c r="N268" s="3">
        <f>M268+2</f>
        <v>108</v>
      </c>
      <c r="O268" s="3">
        <f>N268+1</f>
        <v>109</v>
      </c>
      <c r="P268" s="3">
        <v>138</v>
      </c>
      <c r="Q268" s="3">
        <f>VLOOKUP($A268,'SegEnds_NonXtal_BW#'!$A:$Z,12,FALSE)+VLOOKUP($A268,A:AL,16,FALSE)-50</f>
        <v>144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154</v>
      </c>
      <c r="V268" s="3">
        <v>166</v>
      </c>
      <c r="W268" s="3">
        <f>IF(ISERROR(VLOOKUP($A268,'SegEnds_NonXtal_BW#'!$A:$Z,16,FALSE)+VLOOKUP($A268,A:AL,22,FALSE)-50),"-",(VLOOKUP($A268,'SegEnds_NonXtal_BW#'!$A:$Z,16,FALSE)+VLOOKUP($A268,A:AL,22,FALSE)-50))</f>
        <v>180</v>
      </c>
      <c r="X268" s="3">
        <f>IF(ISERROR(VLOOKUP($A268,'SegEnds_NonXtal_BW#'!$A:$Z,17,FALSE)+VLOOKUP($A268,A:AL,25,FALSE)-50),"-",(VLOOKUP($A268,'SegEnds_NonXtal_BW#'!$A:$Z,17,FALSE)+VLOOKUP($A268,A:AL,25,FALSE)-50))</f>
        <v>191</v>
      </c>
      <c r="Y268" s="3">
        <v>191</v>
      </c>
      <c r="Z268" s="3">
        <f t="shared" si="167"/>
        <v>193</v>
      </c>
      <c r="AA268" s="3">
        <f>IF(ISERROR(VLOOKUP($A268,'SegEnds_NonXtal_BW#'!$A:$Z,19,FALSE)+VLOOKUP($A268,A:AL,28,FALSE)-50),"-",(VLOOKUP($A268,'SegEnds_NonXtal_BW#'!$A:$Z,19,FALSE)+VLOOKUP($A268,A:AL,28,FALSE)-50))</f>
        <v>202</v>
      </c>
      <c r="AB268" s="3">
        <v>219</v>
      </c>
      <c r="AC268" s="3">
        <f>IF(ISERROR((VLOOKUP($A268,'SegEnds_NonXtal_BW#'!$A:$Z,20,FALSE)+VLOOKUP($A268,A:AL,28,FALSE)-50)),"-",(VLOOKUP($A268,'SegEnds_NonXtal_BW#'!$A:$Z,20,FALSE)+VLOOKUP($A268,A:AL,28,FALSE)-50))</f>
        <v>237</v>
      </c>
      <c r="AD268" s="3">
        <f>IF(ISERROR(VLOOKUP($A268,'SegEnds_NonXtal_BW#'!$A:$Z,21,FALSE)+VLOOKUP($A268,A:AL,31,FALSE)-50),"-",(VLOOKUP($A268,'SegEnds_NonXtal_BW#'!$A:$Z,21,FALSE)+VLOOKUP($A268,A:AL,31,FALSE)-50))</f>
        <v>240</v>
      </c>
      <c r="AE268" s="3">
        <v>262</v>
      </c>
      <c r="AF268" s="3">
        <f>IF(ISERROR((VLOOKUP($A268,'SegEnds_NonXtal_BW#'!$A:$Z,22,FALSE)+VLOOKUP($A268,A:AL,31,FALSE)-50)),"-",(VLOOKUP($A268,'SegEnds_NonXtal_BW#'!$A:$Z,22,FALSE)+VLOOKUP($A268,A:AL,31,FALSE)-50))</f>
        <v>277</v>
      </c>
      <c r="AG268" s="3">
        <f>IF(ISERROR(VLOOKUP($A268,'SegEnds_NonXtal_BW#'!$A:$Z,23,FALSE)+VLOOKUP($A268,A:AL,34,FALSE)-50),"-",(VLOOKUP($A268,'SegEnds_NonXtal_BW#'!$A:$Z,23,FALSE)+VLOOKUP($A268,A:AL,34,FALSE)-50))</f>
        <v>281</v>
      </c>
      <c r="AH268" s="3">
        <v>307</v>
      </c>
      <c r="AI268" s="3">
        <f>IF(ISERROR((VLOOKUP($A268,'SegEnds_NonXtal_BW#'!$A:$Z,24,FALSE)+VLOOKUP($A268,A:AL,34,FALSE)-50)),"-",(VLOOKUP($A268,'SegEnds_NonXtal_BW#'!$A:$Z,24,FALSE)+VLOOKUP($A268,A:AL,34,FALSE)-50))</f>
        <v>313</v>
      </c>
      <c r="AJ268" s="3">
        <f>IF(ISERROR(VLOOKUP($A268,'SegEnds_NonXtal_BW#'!$A:$Z,25,FALSE)+VLOOKUP($A268,A:AL,37,FALSE)-50),"-",(VLOOKUP($A268,'SegEnds_NonXtal_BW#'!$A:$Z,25,FALSE)+VLOOKUP($A268,A:AL,37,FALSE)-50))</f>
        <v>314</v>
      </c>
      <c r="AK268" s="3">
        <v>317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211"/>
        <v>1</v>
      </c>
      <c r="AO268" s="3" t="str">
        <f>IF(ISERROR(MATCH(A268,'SegEnds_Xtal_Prot#'!B:B, 0)), "NoXtal", "Xtal")</f>
        <v>NoXtal</v>
      </c>
      <c r="AP268" s="3">
        <f t="shared" si="196"/>
        <v>1</v>
      </c>
      <c r="AQ268" s="3">
        <f t="shared" si="197"/>
        <v>1</v>
      </c>
      <c r="AR268" s="3">
        <f t="shared" si="198"/>
        <v>1</v>
      </c>
      <c r="AS268" s="3">
        <f t="shared" si="199"/>
        <v>1</v>
      </c>
      <c r="AT268" s="3" t="str">
        <f t="shared" si="200"/>
        <v>-</v>
      </c>
      <c r="AU268" s="3" t="str">
        <f t="shared" si="201"/>
        <v>-</v>
      </c>
      <c r="AV268" s="3">
        <f t="shared" si="202"/>
        <v>11</v>
      </c>
      <c r="AW268" s="3">
        <f t="shared" si="203"/>
        <v>9</v>
      </c>
      <c r="AX268" s="3">
        <f t="shared" si="204"/>
        <v>3</v>
      </c>
      <c r="AY268" s="3">
        <f t="shared" si="205"/>
        <v>4</v>
      </c>
      <c r="AZ268" s="3">
        <f t="shared" si="206"/>
        <v>1</v>
      </c>
      <c r="BA268" s="3">
        <f>IF(ISERROR(LEN(VLOOKUP(A268,Seqs!A:E,2,FALSE))-AL268),"-",LEN(VLOOKUP(A268,Seqs!A:E,2,FALSE))-AL268)</f>
        <v>36</v>
      </c>
      <c r="BB268" s="16">
        <f t="shared" si="207"/>
        <v>29</v>
      </c>
      <c r="BC268" s="9" t="str">
        <f t="shared" si="208"/>
        <v>-</v>
      </c>
      <c r="BD268" s="3">
        <f t="shared" si="209"/>
        <v>29</v>
      </c>
      <c r="BE268" s="3">
        <f t="shared" si="210"/>
        <v>43</v>
      </c>
    </row>
    <row r="269" spans="1:58" s="3" customFormat="1" x14ac:dyDescent="0.2">
      <c r="A269" s="3" t="s">
        <v>213</v>
      </c>
      <c r="B269" s="3" t="str">
        <f>LOWER(VLOOKUP(A269,Xtal_Templ!A:B,2,FALSE))</f>
        <v>par2_human</v>
      </c>
      <c r="C269" s="3">
        <f>VLOOKUP($A269,'SegEnds_NonXtal_BW#'!$A:$Z,3,FALSE)+D269-50</f>
        <v>38</v>
      </c>
      <c r="D269" s="3">
        <v>60</v>
      </c>
      <c r="E269" s="3">
        <f>IF(ISERROR(VLOOKUP($A269,'SegEnds_NonXtal_BW#'!$A:$Z,4,FALSE)+VLOOKUP($A269,A:AL,4,FALSE)-50),"-",(VLOOKUP($A269,'SegEnds_NonXtal_BW#'!$A:$Z,4,FALSE)+VLOOKUP($A269,A:AL,4,FALSE)-50))</f>
        <v>70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75</v>
      </c>
      <c r="J269" s="3">
        <v>88</v>
      </c>
      <c r="K269" s="3">
        <f>VLOOKUP($A269,'SegEnds_NonXtal_BW#'!$A:$Z,8,FALSE)+VLOOKUP($A269,A:AL,10,FALSE)-50</f>
        <v>104</v>
      </c>
      <c r="L269" s="3">
        <f>M269-1</f>
        <v>107</v>
      </c>
      <c r="M269" s="3">
        <v>108</v>
      </c>
      <c r="N269" s="3">
        <f>M269+2</f>
        <v>110</v>
      </c>
      <c r="O269" s="3">
        <f>N269+1</f>
        <v>111</v>
      </c>
      <c r="P269" s="3">
        <v>140</v>
      </c>
      <c r="Q269" s="3">
        <f>VLOOKUP($A269,'SegEnds_NonXtal_BW#'!$A:$Z,12,FALSE)+VLOOKUP($A269,A:AL,16,FALSE)-50</f>
        <v>146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155</v>
      </c>
      <c r="V269" s="3">
        <v>167</v>
      </c>
      <c r="W269" s="3">
        <f>IF(ISERROR(VLOOKUP($A269,'SegEnds_NonXtal_BW#'!$A:$Z,16,FALSE)+VLOOKUP($A269,A:AL,22,FALSE)-50),"-",(VLOOKUP($A269,'SegEnds_NonXtal_BW#'!$A:$Z,16,FALSE)+VLOOKUP($A269,A:AL,22,FALSE)-50))</f>
        <v>179</v>
      </c>
      <c r="X269" s="3">
        <f>IF(ISERROR(VLOOKUP($A269,'SegEnds_NonXtal_BW#'!$A:$Z,17,FALSE)+VLOOKUP($A269,A:AL,25,FALSE)-50),"-",(VLOOKUP($A269,'SegEnds_NonXtal_BW#'!$A:$Z,17,FALSE)+VLOOKUP($A269,A:AL,25,FALSE)-50))</f>
        <v>186</v>
      </c>
      <c r="Y269" s="3">
        <v>186</v>
      </c>
      <c r="Z269" s="3">
        <f t="shared" si="167"/>
        <v>188</v>
      </c>
      <c r="AA269" s="3">
        <f>IF(ISERROR(VLOOKUP($A269,'SegEnds_NonXtal_BW#'!$A:$Z,19,FALSE)+VLOOKUP($A269,A:AL,28,FALSE)-50),"-",(VLOOKUP($A269,'SegEnds_NonXtal_BW#'!$A:$Z,19,FALSE)+VLOOKUP($A269,A:AL,28,FALSE)-50))</f>
        <v>192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228</v>
      </c>
      <c r="AD269" s="3">
        <f>IF(ISERROR(VLOOKUP($A269,'SegEnds_NonXtal_BW#'!$A:$Z,21,FALSE)+VLOOKUP($A269,A:AL,31,FALSE)-50),"-",(VLOOKUP($A269,'SegEnds_NonXtal_BW#'!$A:$Z,21,FALSE)+VLOOKUP($A269,A:AL,31,FALSE)-50))</f>
        <v>233</v>
      </c>
      <c r="AE269" s="3">
        <v>257</v>
      </c>
      <c r="AF269" s="3">
        <f>IF(ISERROR((VLOOKUP($A269,'SegEnds_NonXtal_BW#'!$A:$Z,22,FALSE)+VLOOKUP($A269,A:AL,31,FALSE)-50)),"-",(VLOOKUP($A269,'SegEnds_NonXtal_BW#'!$A:$Z,22,FALSE)+VLOOKUP($A269,A:AL,31,FALSE)-50))</f>
        <v>271</v>
      </c>
      <c r="AG269" s="3">
        <f>IF(ISERROR(VLOOKUP($A269,'SegEnds_NonXtal_BW#'!$A:$Z,23,FALSE)+VLOOKUP($A269,A:AL,34,FALSE)-50),"-",(VLOOKUP($A269,'SegEnds_NonXtal_BW#'!$A:$Z,23,FALSE)+VLOOKUP($A269,A:AL,34,FALSE)-50))</f>
        <v>279</v>
      </c>
      <c r="AH269" s="3">
        <v>305</v>
      </c>
      <c r="AI269" s="3">
        <f>IF(ISERROR((VLOOKUP($A269,'SegEnds_NonXtal_BW#'!$A:$Z,24,FALSE)+VLOOKUP($A269,A:AL,34,FALSE)-50)),"-",(VLOOKUP($A269,'SegEnds_NonXtal_BW#'!$A:$Z,24,FALSE)+VLOOKUP($A269,A:AL,34,FALSE)-50))</f>
        <v>311</v>
      </c>
      <c r="AJ269" s="3">
        <f>IF(ISERROR(VLOOKUP($A269,'SegEnds_NonXtal_BW#'!$A:$Z,25,FALSE)+VLOOKUP($A269,A:AL,37,FALSE)-50),"-",(VLOOKUP($A269,'SegEnds_NonXtal_BW#'!$A:$Z,25,FALSE)+VLOOKUP($A269,A:AL,37,FALSE)-50))</f>
        <v>312</v>
      </c>
      <c r="AK269" s="3">
        <v>315</v>
      </c>
      <c r="AL269" s="3">
        <f>IF(ISERROR((VLOOKUP($A269,'SegEnds_NonXtal_BW#'!$A:$Z,26,FALSE)+VLOOKUP($A269,A:AL,37,FALSE)-50)),"-",(VLOOKUP($A269,'SegEnds_NonXtal_BW#'!$A:$Z,26,FALSE)+VLOOKUP($A269,A:AL,37,FALSE)-50))</f>
        <v>326</v>
      </c>
      <c r="AM269" s="28" t="str">
        <f>VLOOKUP(A269,Classification!A:B,2,FALSE)</f>
        <v>A</v>
      </c>
      <c r="AN269" s="28" t="b">
        <f t="shared" si="211"/>
        <v>1</v>
      </c>
      <c r="AO269" s="3" t="str">
        <f>IF(ISERROR(MATCH(A269,'SegEnds_Xtal_Prot#'!B:B, 0)), "NoXtal", "Xtal")</f>
        <v>NoXtal</v>
      </c>
      <c r="AP269" s="3" t="str">
        <f t="shared" si="196"/>
        <v>-</v>
      </c>
      <c r="AQ269" s="3" t="str">
        <f t="shared" si="197"/>
        <v>-</v>
      </c>
      <c r="AR269" s="3">
        <f t="shared" si="198"/>
        <v>3</v>
      </c>
      <c r="AS269" s="3">
        <f t="shared" si="199"/>
        <v>1</v>
      </c>
      <c r="AT269" s="3" t="str">
        <f t="shared" si="200"/>
        <v>-</v>
      </c>
      <c r="AU269" s="3" t="str">
        <f t="shared" si="201"/>
        <v>-</v>
      </c>
      <c r="AV269" s="3">
        <f t="shared" si="202"/>
        <v>7</v>
      </c>
      <c r="AW269" s="3">
        <f t="shared" si="203"/>
        <v>4</v>
      </c>
      <c r="AX269" s="3">
        <f t="shared" si="204"/>
        <v>5</v>
      </c>
      <c r="AY269" s="3">
        <f t="shared" si="205"/>
        <v>8</v>
      </c>
      <c r="AZ269" s="3">
        <f t="shared" si="206"/>
        <v>1</v>
      </c>
      <c r="BA269" s="3">
        <f>IF(ISERROR(LEN(VLOOKUP(A269,Seqs!A:E,2,FALSE))-AL269),"-",LEN(VLOOKUP(A269,Seqs!A:E,2,FALSE))-AL269)</f>
        <v>54</v>
      </c>
      <c r="BB269" s="16">
        <f t="shared" si="207"/>
        <v>28</v>
      </c>
      <c r="BC269" s="9" t="str">
        <f t="shared" si="208"/>
        <v>-</v>
      </c>
      <c r="BD269" s="3">
        <f t="shared" si="209"/>
        <v>28</v>
      </c>
      <c r="BE269" s="3">
        <f t="shared" si="210"/>
        <v>46</v>
      </c>
    </row>
    <row r="270" spans="1:58" s="3" customFormat="1" x14ac:dyDescent="0.2">
      <c r="A270" s="3" t="s">
        <v>214</v>
      </c>
      <c r="B270" s="3" t="str">
        <f>LOWER(VLOOKUP(A270,Xtal_Templ!A:B,2,FALSE))</f>
        <v>mtr1a_human</v>
      </c>
      <c r="C270" s="3">
        <f>VLOOKUP($A270,'SegEnds_NonXtal_BW#'!$A:$Z,3,FALSE)+D270-50</f>
        <v>99</v>
      </c>
      <c r="D270" s="3">
        <v>121</v>
      </c>
      <c r="E270" s="3">
        <f>IF(ISERROR(VLOOKUP($A270,'SegEnds_NonXtal_BW#'!$A:$Z,4,FALSE)+VLOOKUP($A270,A:AL,4,FALSE)-50),"-",(VLOOKUP($A270,'SegEnds_NonXtal_BW#'!$A:$Z,4,FALSE)+VLOOKUP($A270,A:AL,4,FALSE)-50))</f>
        <v>131</v>
      </c>
      <c r="F270" s="3">
        <f>G270-2</f>
        <v>132</v>
      </c>
      <c r="G270" s="3">
        <v>134</v>
      </c>
      <c r="H270" s="3">
        <f>G270+1</f>
        <v>135</v>
      </c>
      <c r="I270" s="3">
        <f>H270+1</f>
        <v>136</v>
      </c>
      <c r="J270" s="3">
        <v>149</v>
      </c>
      <c r="K270" s="3">
        <f>VLOOKUP($A270,'SegEnds_NonXtal_BW#'!$A:$Z,8,FALSE)+VLOOKUP($A270,A:AL,10,FALSE)-50</f>
        <v>167</v>
      </c>
      <c r="L270" s="3" t="str">
        <f>IF(ISERROR(VLOOKUP($A270,'SegEnds_NonXtal_BW#'!$A:$Z,9,FALSE)+VLOOKUP($A270,A:AL,13,FALSE)-50),"-",(VLOOKUP($A270,'SegEnds_NonXtal_BW#'!$A:$Z,9,FALSE)+VLOOKUP($A270,A:AL,13,FALSE)-50))</f>
        <v>-</v>
      </c>
      <c r="M270" s="3" t="s">
        <v>23</v>
      </c>
      <c r="N270" s="3" t="str">
        <f>IF(ISERROR(VLOOKUP($A270,'SegEnds_NonXtal_BW#'!$A:$Z,10,FALSE)+VLOOKUP($A270,A:AL,13,FALSE)-50),"-",(VLOOKUP($A270,'SegEnds_NonXtal_BW#'!$A:$Z,10,FALSE)+VLOOKUP($A270,A:AL,13,FALSE)-50))</f>
        <v>-</v>
      </c>
      <c r="O270" s="3">
        <f>VLOOKUP($A270,'SegEnds_NonXtal_BW#'!$A:$Z,11,FALSE)+VLOOKUP($A270,A:AL,16,FALSE)-50</f>
        <v>177</v>
      </c>
      <c r="P270" s="3">
        <v>209</v>
      </c>
      <c r="Q270" s="3">
        <f>VLOOKUP($A270,'SegEnds_NonXtal_BW#'!$A:$Z,12,FALSE)+VLOOKUP($A270,A:AL,16,FALSE)-50</f>
        <v>215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222</v>
      </c>
      <c r="V270" s="3">
        <v>234</v>
      </c>
      <c r="W270" s="3">
        <f>IF(ISERROR(VLOOKUP($A270,'SegEnds_NonXtal_BW#'!$A:$Z,16,FALSE)+VLOOKUP($A270,A:AL,22,FALSE)-50),"-",(VLOOKUP($A270,'SegEnds_NonXtal_BW#'!$A:$Z,16,FALSE)+VLOOKUP($A270,A:AL,22,FALSE)-50))</f>
        <v>248</v>
      </c>
      <c r="X270" s="3">
        <f>IF(ISERROR(VLOOKUP($A270,'SegEnds_NonXtal_BW#'!$A:$Z,17,FALSE)+VLOOKUP($A270,A:AL,25,FALSE)-50),"-",(VLOOKUP($A270,'SegEnds_NonXtal_BW#'!$A:$Z,17,FALSE)+VLOOKUP($A270,A:AL,25,FALSE)-50))</f>
        <v>262</v>
      </c>
      <c r="Y270" s="3">
        <v>262</v>
      </c>
      <c r="Z270" s="3">
        <f t="shared" si="167"/>
        <v>264</v>
      </c>
      <c r="AA270" s="3">
        <f>IF(ISERROR(VLOOKUP($A270,'SegEnds_NonXtal_BW#'!$A:$Z,19,FALSE)+VLOOKUP($A270,A:AL,28,FALSE)-50),"-",(VLOOKUP($A270,'SegEnds_NonXtal_BW#'!$A:$Z,19,FALSE)+VLOOKUP($A270,A:AL,28,FALSE)-50))</f>
        <v>274</v>
      </c>
      <c r="AB270" s="3">
        <v>289</v>
      </c>
      <c r="AC270" s="3">
        <f>IF(ISERROR((VLOOKUP($A270,'SegEnds_NonXtal_BW#'!$A:$Z,20,FALSE)+VLOOKUP($A270,A:AL,28,FALSE)-50)),"-",(VLOOKUP($A270,'SegEnds_NonXtal_BW#'!$A:$Z,20,FALSE)+VLOOKUP($A270,A:AL,28,FALSE)-50))</f>
        <v>312</v>
      </c>
      <c r="AD270" s="3">
        <f>IF(ISERROR(VLOOKUP($A270,'SegEnds_NonXtal_BW#'!$A:$Z,21,FALSE)+VLOOKUP($A270,A:AL,31,FALSE)-50),"-",(VLOOKUP($A270,'SegEnds_NonXtal_BW#'!$A:$Z,21,FALSE)+VLOOKUP($A270,A:AL,31,FALSE)-50))</f>
        <v>318</v>
      </c>
      <c r="AE270" s="3">
        <v>346</v>
      </c>
      <c r="AF270" s="3">
        <f>IF(ISERROR((VLOOKUP($A270,'SegEnds_NonXtal_BW#'!$A:$Z,22,FALSE)+VLOOKUP($A270,A:AL,31,FALSE)-50)),"-",(VLOOKUP($A270,'SegEnds_NonXtal_BW#'!$A:$Z,22,FALSE)+VLOOKUP($A270,A:AL,31,FALSE)-50))</f>
        <v>357</v>
      </c>
      <c r="AG270" s="3">
        <f>IF(ISERROR(VLOOKUP($A270,'SegEnds_NonXtal_BW#'!$A:$Z,23,FALSE)+VLOOKUP($A270,A:AL,34,FALSE)-50),"-",(VLOOKUP($A270,'SegEnds_NonXtal_BW#'!$A:$Z,23,FALSE)+VLOOKUP($A270,A:AL,34,FALSE)-50))</f>
        <v>365</v>
      </c>
      <c r="AH270" s="3">
        <v>384</v>
      </c>
      <c r="AI270" s="3">
        <f>IF(ISERROR((VLOOKUP($A270,'SegEnds_NonXtal_BW#'!$A:$Z,24,FALSE)+VLOOKUP($A270,A:AL,34,FALSE)-50)),"-",(VLOOKUP($A270,'SegEnds_NonXtal_BW#'!$A:$Z,24,FALSE)+VLOOKUP($A270,A:AL,34,FALSE)-50))</f>
        <v>390</v>
      </c>
      <c r="AJ270" s="3">
        <f>IF(ISERROR(VLOOKUP($A270,'SegEnds_NonXtal_BW#'!$A:$Z,25,FALSE)+VLOOKUP($A270,A:AL,37,FALSE)-50),"-",(VLOOKUP($A270,'SegEnds_NonXtal_BW#'!$A:$Z,25,FALSE)+VLOOKUP($A270,A:AL,37,FALSE)-50))</f>
        <v>391</v>
      </c>
      <c r="AK270" s="3">
        <v>394</v>
      </c>
      <c r="AL270" s="3">
        <f>IF(ISERROR((VLOOKUP($A270,'SegEnds_NonXtal_BW#'!$A:$Z,26,FALSE)+VLOOKUP($A270,A:AL,37,FALSE)-50)),"-",(VLOOKUP($A270,'SegEnds_NonXtal_BW#'!$A:$Z,26,FALSE)+VLOOKUP($A270,A:AL,37,FALSE)-50))</f>
        <v>407</v>
      </c>
      <c r="AM270" s="28" t="str">
        <f>VLOOKUP(A270,Classification!A:B,2,FALSE)</f>
        <v>A</v>
      </c>
      <c r="AN270" s="28" t="b">
        <f t="shared" si="211"/>
        <v>1</v>
      </c>
      <c r="AO270" s="3" t="str">
        <f>IF(ISERROR(MATCH(A270,'SegEnds_Xtal_Prot#'!B:B, 0)), "NoXtal", "Xtal")</f>
        <v>NoXtal</v>
      </c>
      <c r="AP270" s="3">
        <f t="shared" si="196"/>
        <v>1</v>
      </c>
      <c r="AQ270" s="3">
        <f t="shared" si="197"/>
        <v>1</v>
      </c>
      <c r="AR270" s="3" t="str">
        <f t="shared" si="198"/>
        <v>-</v>
      </c>
      <c r="AS270" s="3" t="str">
        <f t="shared" si="199"/>
        <v>-</v>
      </c>
      <c r="AT270" s="3" t="str">
        <f t="shared" si="200"/>
        <v>-</v>
      </c>
      <c r="AU270" s="3" t="str">
        <f t="shared" si="201"/>
        <v>-</v>
      </c>
      <c r="AV270" s="3">
        <f t="shared" si="202"/>
        <v>14</v>
      </c>
      <c r="AW270" s="3">
        <f t="shared" si="203"/>
        <v>10</v>
      </c>
      <c r="AX270" s="3">
        <f t="shared" si="204"/>
        <v>6</v>
      </c>
      <c r="AY270" s="3">
        <f t="shared" si="205"/>
        <v>8</v>
      </c>
      <c r="AZ270" s="3">
        <f t="shared" si="206"/>
        <v>1</v>
      </c>
      <c r="BA270" s="3">
        <f>IF(ISERROR(LEN(VLOOKUP(A270,Seqs!A:E,2,FALSE))-AL270),"-",LEN(VLOOKUP(A270,Seqs!A:E,2,FALSE))-AL270)</f>
        <v>87</v>
      </c>
      <c r="BB270" s="16">
        <f t="shared" si="207"/>
        <v>28</v>
      </c>
      <c r="BC270" s="9" t="str">
        <f t="shared" si="208"/>
        <v>-</v>
      </c>
      <c r="BD270" s="3">
        <f t="shared" si="209"/>
        <v>28</v>
      </c>
      <c r="BE270" s="3">
        <f t="shared" si="210"/>
        <v>57</v>
      </c>
    </row>
    <row r="271" spans="1:58" s="3" customFormat="1" x14ac:dyDescent="0.2">
      <c r="A271" s="3" t="s">
        <v>218</v>
      </c>
      <c r="B271" s="3" t="str">
        <f>LOWER(VLOOKUP(A271,Xtal_Templ!A:B,2,FALSE))</f>
        <v>ccr6_human</v>
      </c>
      <c r="C271" s="3">
        <f>VLOOKUP($A271,'SegEnds_NonXtal_BW#'!$A:$Z,3,FALSE)+D271-50</f>
        <v>20</v>
      </c>
      <c r="D271" s="3">
        <v>45</v>
      </c>
      <c r="E271" s="3">
        <f>IF(ISERROR(VLOOKUP($A271,'SegEnds_NonXtal_BW#'!$A:$Z,4,FALSE)+VLOOKUP($A271,A:AL,4,FALSE)-50),"-",(VLOOKUP($A271,'SegEnds_NonXtal_BW#'!$A:$Z,4,FALSE)+VLOOKUP($A271,A:AL,4,FALSE)-50))</f>
        <v>55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65</v>
      </c>
      <c r="J271" s="3">
        <v>78</v>
      </c>
      <c r="K271" s="3">
        <f>VLOOKUP($A271,'SegEnds_NonXtal_BW#'!$A:$Z,8,FALSE)+VLOOKUP($A271,A:AL,10,FALSE)-50</f>
        <v>91</v>
      </c>
      <c r="L271" s="3">
        <f>M271-1</f>
        <v>94</v>
      </c>
      <c r="M271" s="3">
        <v>95</v>
      </c>
      <c r="N271" s="3">
        <f>M271+2</f>
        <v>97</v>
      </c>
      <c r="O271" s="3">
        <f>N271+1</f>
        <v>98</v>
      </c>
      <c r="P271" s="3">
        <v>127</v>
      </c>
      <c r="Q271" s="3">
        <f>VLOOKUP($A271,'SegEnds_NonXtal_BW#'!$A:$Z,12,FALSE)+VLOOKUP($A271,A:AL,16,FALSE)-50</f>
        <v>133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140</v>
      </c>
      <c r="V271" s="3">
        <v>152</v>
      </c>
      <c r="W271" s="3">
        <f>IF(ISERROR(VLOOKUP($A271,'SegEnds_NonXtal_BW#'!$A:$Z,16,FALSE)+VLOOKUP($A271,A:AL,22,FALSE)-50),"-",(VLOOKUP($A271,'SegEnds_NonXtal_BW#'!$A:$Z,16,FALSE)+VLOOKUP($A271,A:AL,22,FALSE)-50))</f>
        <v>166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180</v>
      </c>
      <c r="AB271" s="3">
        <v>199</v>
      </c>
      <c r="AC271" s="3">
        <f>IF(ISERROR((VLOOKUP($A271,'SegEnds_NonXtal_BW#'!$A:$Z,20,FALSE)+VLOOKUP($A271,A:AL,28,FALSE)-50)),"-",(VLOOKUP($A271,'SegEnds_NonXtal_BW#'!$A:$Z,20,FALSE)+VLOOKUP($A271,A:AL,28,FALSE)-50))</f>
        <v>217</v>
      </c>
      <c r="AD271" s="3">
        <f>IF(ISERROR(VLOOKUP($A271,'SegEnds_NonXtal_BW#'!$A:$Z,21,FALSE)+VLOOKUP($A271,A:AL,31,FALSE)-50),"-",(VLOOKUP($A271,'SegEnds_NonXtal_BW#'!$A:$Z,21,FALSE)+VLOOKUP($A271,A:AL,31,FALSE)-50))</f>
        <v>222</v>
      </c>
      <c r="AE271" s="3">
        <v>248</v>
      </c>
      <c r="AF271" s="3">
        <f>IF(ISERROR((VLOOKUP($A271,'SegEnds_NonXtal_BW#'!$A:$Z,22,FALSE)+VLOOKUP($A271,A:AL,31,FALSE)-50)),"-",(VLOOKUP($A271,'SegEnds_NonXtal_BW#'!$A:$Z,22,FALSE)+VLOOKUP($A271,A:AL,31,FALSE)-50))</f>
        <v>262</v>
      </c>
      <c r="AG271" s="3">
        <f>IF(ISERROR(VLOOKUP($A271,'SegEnds_NonXtal_BW#'!$A:$Z,23,FALSE)+VLOOKUP($A271,A:AL,34,FALSE)-50),"-",(VLOOKUP($A271,'SegEnds_NonXtal_BW#'!$A:$Z,23,FALSE)+VLOOKUP($A271,A:AL,34,FALSE)-50))</f>
        <v>267</v>
      </c>
      <c r="AH271" s="3">
        <v>293</v>
      </c>
      <c r="AI271" s="3">
        <f>IF(ISERROR((VLOOKUP($A271,'SegEnds_NonXtal_BW#'!$A:$Z,24,FALSE)+VLOOKUP($A271,A:AL,34,FALSE)-50)),"-",(VLOOKUP($A271,'SegEnds_NonXtal_BW#'!$A:$Z,24,FALSE)+VLOOKUP($A271,A:AL,34,FALSE)-50))</f>
        <v>299</v>
      </c>
      <c r="AJ271" s="3">
        <f>IF(ISERROR(VLOOKUP($A271,'SegEnds_NonXtal_BW#'!$A:$Z,25,FALSE)+VLOOKUP($A271,A:AL,37,FALSE)-50),"-",(VLOOKUP($A271,'SegEnds_NonXtal_BW#'!$A:$Z,25,FALSE)+VLOOKUP($A271,A:AL,37,FALSE)-50))</f>
        <v>300</v>
      </c>
      <c r="AK271" s="3">
        <v>303</v>
      </c>
      <c r="AL271" s="3">
        <f>IF(ISERROR((VLOOKUP($A271,'SegEnds_NonXtal_BW#'!$A:$Z,26,FALSE)+VLOOKUP($A271,A:AL,37,FALSE)-50)),"-",(VLOOKUP($A271,'SegEnds_NonXtal_BW#'!$A:$Z,26,FALSE)+VLOOKUP($A271,A:AL,37,FALSE)-50))</f>
        <v>315</v>
      </c>
      <c r="AM271" s="28" t="str">
        <f>VLOOKUP(A271,Classification!A:B,2,FALSE)</f>
        <v>A</v>
      </c>
      <c r="AN271" s="28" t="b">
        <f t="shared" si="211"/>
        <v>1</v>
      </c>
      <c r="AO271" s="3" t="str">
        <f>IF(ISERROR(MATCH(A271,'SegEnds_Xtal_Prot#'!B:B, 0)), "NoXtal", "Xtal")</f>
        <v>NoXtal</v>
      </c>
      <c r="AP271" s="3" t="str">
        <f t="shared" si="196"/>
        <v>-</v>
      </c>
      <c r="AQ271" s="3" t="str">
        <f t="shared" si="197"/>
        <v>-</v>
      </c>
      <c r="AR271" s="3">
        <f t="shared" si="198"/>
        <v>3</v>
      </c>
      <c r="AS271" s="3">
        <f t="shared" si="199"/>
        <v>1</v>
      </c>
      <c r="AT271" s="3" t="str">
        <f t="shared" si="200"/>
        <v>-</v>
      </c>
      <c r="AU271" s="3" t="str">
        <f t="shared" si="201"/>
        <v>-</v>
      </c>
      <c r="AV271" s="3" t="str">
        <f t="shared" si="202"/>
        <v>-</v>
      </c>
      <c r="AW271" s="3" t="str">
        <f t="shared" si="203"/>
        <v>-</v>
      </c>
      <c r="AX271" s="3">
        <f t="shared" si="204"/>
        <v>5</v>
      </c>
      <c r="AY271" s="3">
        <f t="shared" si="205"/>
        <v>5</v>
      </c>
      <c r="AZ271" s="3">
        <f t="shared" si="206"/>
        <v>1</v>
      </c>
      <c r="BA271" s="3">
        <f>IF(ISERROR(LEN(VLOOKUP(A271,Seqs!A:E,2,FALSE))-AL271),"-",LEN(VLOOKUP(A271,Seqs!A:E,2,FALSE))-AL271)</f>
        <v>18</v>
      </c>
      <c r="BB271" s="16">
        <f t="shared" si="207"/>
        <v>33</v>
      </c>
      <c r="BC271" s="9" t="str">
        <f t="shared" si="208"/>
        <v>-</v>
      </c>
      <c r="BD271" s="3">
        <f t="shared" si="209"/>
        <v>33</v>
      </c>
      <c r="BE271" s="3">
        <f t="shared" si="210"/>
        <v>49</v>
      </c>
      <c r="BF271" s="3">
        <f>AH271-AE271</f>
        <v>45</v>
      </c>
    </row>
    <row r="272" spans="1:58" s="3" customFormat="1" x14ac:dyDescent="0.2">
      <c r="A272" s="3" t="s">
        <v>220</v>
      </c>
      <c r="B272" s="3" t="str">
        <f>LOWER(VLOOKUP(A272,Xtal_Templ!A:B,2,FALSE))</f>
        <v>s1pr1_human</v>
      </c>
      <c r="C272" s="3">
        <f>VLOOKUP($A272,'SegEnds_NonXtal_BW#'!$A:$Z,3,FALSE)+D272-50</f>
        <v>12</v>
      </c>
      <c r="D272" s="3">
        <v>33</v>
      </c>
      <c r="E272" s="3">
        <f>IF(ISERROR(VLOOKUP($A272,'SegEnds_NonXtal_BW#'!$A:$Z,4,FALSE)+VLOOKUP($A272,A:AL,4,FALSE)-50),"-",(VLOOKUP($A272,'SegEnds_NonXtal_BW#'!$A:$Z,4,FALSE)+VLOOKUP($A272,A:AL,4,FALSE)-50))</f>
        <v>43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49</v>
      </c>
      <c r="J272" s="3">
        <v>62</v>
      </c>
      <c r="K272" s="3">
        <f>VLOOKUP($A272,'SegEnds_NonXtal_BW#'!$A:$Z,8,FALSE)+VLOOKUP($A272,A:AL,10,FALSE)-50</f>
        <v>79</v>
      </c>
      <c r="L272" s="3">
        <f>M272-1</f>
        <v>87</v>
      </c>
      <c r="M272" s="3">
        <v>88</v>
      </c>
      <c r="N272" s="3">
        <f>M272+2</f>
        <v>90</v>
      </c>
      <c r="O272" s="3">
        <f>N272+1</f>
        <v>91</v>
      </c>
      <c r="P272" s="3">
        <v>131</v>
      </c>
      <c r="Q272" s="3">
        <f>VLOOKUP($A272,'SegEnds_NonXtal_BW#'!$A:$Z,12,FALSE)+VLOOKUP($A272,A:AL,16,FALSE)-50</f>
        <v>137</v>
      </c>
      <c r="R272" s="3" t="str">
        <f>S272</f>
        <v>-</v>
      </c>
      <c r="S272" s="3" t="s">
        <v>23</v>
      </c>
      <c r="T272" s="100" t="s">
        <v>23</v>
      </c>
      <c r="U272" s="9">
        <f>IF(ISERROR(VLOOKUP($A272,'SegEnds_NonXtal_BW#'!$A:$Z,15,FALSE)+VLOOKUP($A272,A:AL,22,FALSE)-50),"-",VLOOKUP($A272,'SegEnds_NonXtal_BW#'!$A:$Z,15,FALSE)+VLOOKUP($A272,A:AL,22,FALSE)-50)</f>
        <v>146</v>
      </c>
      <c r="V272" s="3">
        <v>158</v>
      </c>
      <c r="W272" s="3">
        <f>IF(ISERROR(VLOOKUP($A272,'SegEnds_NonXtal_BW#'!$A:$Z,16,FALSE)+VLOOKUP($A272,A:AL,22,FALSE)-50),"-",(VLOOKUP($A272,'SegEnds_NonXtal_BW#'!$A:$Z,16,FALSE)+VLOOKUP($A272,A:AL,22,FALSE)-50))</f>
        <v>171</v>
      </c>
      <c r="X272" s="3" t="str">
        <f>IF(ISERROR(VLOOKUP($A272,'SegEnds_NonXtal_BW#'!$A:$Z,17,FALSE)+VLOOKUP($A272,A:AL,25,FALSE)-50),"-",(VLOOKUP($A272,'SegEnds_NonXtal_BW#'!$A:$Z,17,FALSE)+VLOOKUP($A272,A:AL,25,FALSE)-50))</f>
        <v>-</v>
      </c>
      <c r="Y272" s="3" t="s">
        <v>23</v>
      </c>
      <c r="Z272" s="3" t="str">
        <f>IF(ISERROR(VLOOKUP($A272,'SegEnds_NonXtal_BW#'!$A:$Z,18,FALSE)+VLOOKUP($A272,A:AL,25,FALSE)-50),"-",(VLOOKUP($A272,'SegEnds_NonXtal_BW#'!$A:$Z,18,FALSE)+VLOOKUP($A272,A:AL,25,FALSE)-50))</f>
        <v>-</v>
      </c>
      <c r="AA272" s="3">
        <f>IF(ISERROR(VLOOKUP($A272,'SegEnds_NonXtal_BW#'!$A:$Z,19,FALSE)+VLOOKUP($A272,A:AL,28,FALSE)-50),"-",(VLOOKUP($A272,'SegEnds_NonXtal_BW#'!$A:$Z,19,FALSE)+VLOOKUP($A272,A:AL,28,FALSE)-50))</f>
        <v>197</v>
      </c>
      <c r="AB272" s="3">
        <v>211</v>
      </c>
      <c r="AC272" s="3">
        <f>IF(ISERROR((VLOOKUP($A272,'SegEnds_NonXtal_BW#'!$A:$Z,20,FALSE)+VLOOKUP($A272,A:AL,28,FALSE)-50)),"-",(VLOOKUP($A272,'SegEnds_NonXtal_BW#'!$A:$Z,20,FALSE)+VLOOKUP($A272,A:AL,28,FALSE)-50))</f>
        <v>237</v>
      </c>
      <c r="AD272" s="3">
        <f>IF(ISERROR(VLOOKUP($A272,'SegEnds_NonXtal_BW#'!$A:$Z,21,FALSE)+VLOOKUP($A272,A:AL,31,FALSE)-50),"-",(VLOOKUP($A272,'SegEnds_NonXtal_BW#'!$A:$Z,21,FALSE)+VLOOKUP($A272,A:AL,31,FALSE)-50))</f>
        <v>299</v>
      </c>
      <c r="AE272" s="3">
        <v>325</v>
      </c>
      <c r="AF272" s="3">
        <f>IF(ISERROR((VLOOKUP($A272,'SegEnds_NonXtal_BW#'!$A:$Z,22,FALSE)+VLOOKUP($A272,A:AL,31,FALSE)-50)),"-",(VLOOKUP($A272,'SegEnds_NonXtal_BW#'!$A:$Z,22,FALSE)+VLOOKUP($A272,A:AL,31,FALSE)-50))</f>
        <v>336</v>
      </c>
      <c r="AG272" s="3">
        <f>IF(ISERROR(VLOOKUP($A272,'SegEnds_NonXtal_BW#'!$A:$Z,23,FALSE)+VLOOKUP($A272,A:AL,34,FALSE)-50),"-",(VLOOKUP($A272,'SegEnds_NonXtal_BW#'!$A:$Z,23,FALSE)+VLOOKUP($A272,A:AL,34,FALSE)-50))</f>
        <v>341</v>
      </c>
      <c r="AH272" s="3">
        <v>359</v>
      </c>
      <c r="AI272" s="3">
        <f>IF(ISERROR((VLOOKUP($A272,'SegEnds_NonXtal_BW#'!$A:$Z,24,FALSE)+VLOOKUP($A272,A:AL,34,FALSE)-50)),"-",(VLOOKUP($A272,'SegEnds_NonXtal_BW#'!$A:$Z,24,FALSE)+VLOOKUP($A272,A:AL,34,FALSE)-50))</f>
        <v>365</v>
      </c>
      <c r="AJ272" s="3">
        <f>IF(ISERROR(VLOOKUP($A272,'SegEnds_NonXtal_BW#'!$A:$Z,25,FALSE)+VLOOKUP($A272,A:AL,37,FALSE)-50),"-",(VLOOKUP($A272,'SegEnds_NonXtal_BW#'!$A:$Z,25,FALSE)+VLOOKUP($A272,A:AL,37,FALSE)-50))</f>
        <v>366</v>
      </c>
      <c r="AK272" s="3">
        <v>369</v>
      </c>
      <c r="AL272" s="3">
        <f>IF(ISERROR((VLOOKUP($A272,'SegEnds_NonXtal_BW#'!$A:$Z,26,FALSE)+VLOOKUP($A272,A:AL,37,FALSE)-50)),"-",(VLOOKUP($A272,'SegEnds_NonXtal_BW#'!$A:$Z,26,FALSE)+VLOOKUP($A272,A:AL,37,FALSE)-50))</f>
        <v>378</v>
      </c>
      <c r="AM272" s="28" t="str">
        <f>VLOOKUP(A272,Classification!A:B,2,FALSE)</f>
        <v>A</v>
      </c>
      <c r="AN272" s="28" t="b">
        <f t="shared" si="211"/>
        <v>1</v>
      </c>
      <c r="AO272" s="3" t="str">
        <f>IF(ISERROR(MATCH(A272,'SegEnds_Xtal_Prot#'!B:B, 0)), "NoXtal", "Xtal")</f>
        <v>NoXtal</v>
      </c>
      <c r="AP272" s="3" t="str">
        <f t="shared" si="196"/>
        <v>-</v>
      </c>
      <c r="AQ272" s="3" t="str">
        <f t="shared" si="197"/>
        <v>-</v>
      </c>
      <c r="AR272" s="3">
        <f t="shared" si="198"/>
        <v>8</v>
      </c>
      <c r="AS272" s="3">
        <f t="shared" si="199"/>
        <v>1</v>
      </c>
      <c r="AT272" s="3" t="str">
        <f t="shared" si="200"/>
        <v>-</v>
      </c>
      <c r="AU272" s="3" t="str">
        <f t="shared" si="201"/>
        <v>-</v>
      </c>
      <c r="AV272" s="3" t="str">
        <f t="shared" si="202"/>
        <v>-</v>
      </c>
      <c r="AW272" s="3" t="str">
        <f t="shared" si="203"/>
        <v>-</v>
      </c>
      <c r="AX272" s="3">
        <f t="shared" si="204"/>
        <v>62</v>
      </c>
      <c r="AY272" s="3">
        <f t="shared" si="205"/>
        <v>5</v>
      </c>
      <c r="AZ272" s="3">
        <f t="shared" si="206"/>
        <v>1</v>
      </c>
      <c r="BA272" s="3">
        <f>IF(ISERROR(LEN(VLOOKUP(A272,Seqs!A:E,2,FALSE))-AL272),"-",LEN(VLOOKUP(A272,Seqs!A:E,2,FALSE))-AL272)</f>
        <v>353</v>
      </c>
      <c r="BB272" s="16">
        <f t="shared" si="207"/>
        <v>29</v>
      </c>
      <c r="BC272" s="9" t="str">
        <f t="shared" si="208"/>
        <v>-</v>
      </c>
      <c r="BD272" s="3">
        <f t="shared" si="209"/>
        <v>29</v>
      </c>
      <c r="BE272" s="3">
        <f t="shared" si="210"/>
        <v>114</v>
      </c>
    </row>
    <row r="273" spans="1:58" s="3" customFormat="1" x14ac:dyDescent="0.2">
      <c r="A273" s="3" t="s">
        <v>221</v>
      </c>
      <c r="B273" s="3" t="str">
        <f>LOWER(VLOOKUP(A273,Xtal_Templ!A:B,2,FALSE))</f>
        <v>oxyr_human</v>
      </c>
      <c r="C273" s="3">
        <f>VLOOKUP($A273,'SegEnds_NonXtal_BW#'!$A:$Z,3,FALSE)+D273-50</f>
        <v>38</v>
      </c>
      <c r="D273" s="3">
        <v>60</v>
      </c>
      <c r="E273" s="3">
        <f>IF(ISERROR(VLOOKUP($A273,'SegEnds_NonXtal_BW#'!$A:$Z,4,FALSE)+VLOOKUP($A273,A:AL,4,FALSE)-50),"-",(VLOOKUP($A273,'SegEnds_NonXtal_BW#'!$A:$Z,4,FALSE)+VLOOKUP($A273,A:AL,4,FALSE)-50))</f>
        <v>70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80</v>
      </c>
      <c r="J273" s="3">
        <v>93</v>
      </c>
      <c r="K273" s="3">
        <f>VLOOKUP($A273,'SegEnds_NonXtal_BW#'!$A:$Z,8,FALSE)+VLOOKUP($A273,A:AL,10,FALSE)-50</f>
        <v>110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115</v>
      </c>
      <c r="P273" s="3">
        <v>147</v>
      </c>
      <c r="Q273" s="3">
        <f>VLOOKUP($A273,'SegEnds_NonXtal_BW#'!$A:$Z,12,FALSE)+VLOOKUP($A273,A:AL,16,FALSE)-50</f>
        <v>153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157</v>
      </c>
      <c r="V273" s="3">
        <v>169</v>
      </c>
      <c r="W273" s="3">
        <f>IF(ISERROR(VLOOKUP($A273,'SegEnds_NonXtal_BW#'!$A:$Z,16,FALSE)+VLOOKUP($A273,A:AL,22,FALSE)-50),"-",(VLOOKUP($A273,'SegEnds_NonXtal_BW#'!$A:$Z,16,FALSE)+VLOOKUP($A273,A:AL,22,FALSE)-50))</f>
        <v>183</v>
      </c>
      <c r="X273" s="3">
        <f>IF(ISERROR(VLOOKUP($A273,'SegEnds_NonXtal_BW#'!$A:$Z,17,FALSE)+VLOOKUP($A273,A:AL,25,FALSE)-50),"-",(VLOOKUP($A273,'SegEnds_NonXtal_BW#'!$A:$Z,17,FALSE)+VLOOKUP($A273,A:AL,25,FALSE)-50))</f>
        <v>217</v>
      </c>
      <c r="Y273" s="3">
        <v>217</v>
      </c>
      <c r="Z273" s="3">
        <f t="shared" ref="Z273:Z292" si="213">Y273+2</f>
        <v>219</v>
      </c>
      <c r="AA273" s="3">
        <f>IF(ISERROR(VLOOKUP($A273,'SegEnds_NonXtal_BW#'!$A:$Z,19,FALSE)+VLOOKUP($A273,A:AL,28,FALSE)-50),"-",(VLOOKUP($A273,'SegEnds_NonXtal_BW#'!$A:$Z,19,FALSE)+VLOOKUP($A273,A:AL,28,FALSE)-50))</f>
        <v>227</v>
      </c>
      <c r="AB273" s="3">
        <v>244</v>
      </c>
      <c r="AC273" s="3">
        <f>IF(ISERROR((VLOOKUP($A273,'SegEnds_NonXtal_BW#'!$A:$Z,20,FALSE)+VLOOKUP($A273,A:AL,28,FALSE)-50)),"-",(VLOOKUP($A273,'SegEnds_NonXtal_BW#'!$A:$Z,20,FALSE)+VLOOKUP($A273,A:AL,28,FALSE)-50))</f>
        <v>275</v>
      </c>
      <c r="AD273" s="3">
        <f>IF(ISERROR(VLOOKUP($A273,'SegEnds_NonXtal_BW#'!$A:$Z,21,FALSE)+VLOOKUP($A273,A:AL,31,FALSE)-50),"-",(VLOOKUP($A273,'SegEnds_NonXtal_BW#'!$A:$Z,21,FALSE)+VLOOKUP($A273,A:AL,31,FALSE)-50))</f>
        <v>283</v>
      </c>
      <c r="AE273" s="3">
        <v>310</v>
      </c>
      <c r="AF273" s="3">
        <f>IF(ISERROR((VLOOKUP($A273,'SegEnds_NonXtal_BW#'!$A:$Z,22,FALSE)+VLOOKUP($A273,A:AL,31,FALSE)-50)),"-",(VLOOKUP($A273,'SegEnds_NonXtal_BW#'!$A:$Z,22,FALSE)+VLOOKUP($A273,A:AL,31,FALSE)-50))</f>
        <v>321</v>
      </c>
      <c r="AG273" s="3">
        <f>IF(ISERROR(VLOOKUP($A273,'SegEnds_NonXtal_BW#'!$A:$Z,23,FALSE)+VLOOKUP($A273,A:AL,34,FALSE)-50),"-",(VLOOKUP($A273,'SegEnds_NonXtal_BW#'!$A:$Z,23,FALSE)+VLOOKUP($A273,A:AL,34,FALSE)-50))</f>
        <v>329</v>
      </c>
      <c r="AH273" s="3">
        <v>349</v>
      </c>
      <c r="AI273" s="3">
        <f>IF(ISERROR((VLOOKUP($A273,'SegEnds_NonXtal_BW#'!$A:$Z,24,FALSE)+VLOOKUP($A273,A:AL,34,FALSE)-50)),"-",(VLOOKUP($A273,'SegEnds_NonXtal_BW#'!$A:$Z,24,FALSE)+VLOOKUP($A273,A:AL,34,FALSE)-50))</f>
        <v>355</v>
      </c>
      <c r="AJ273" s="3">
        <f>IF(ISERROR(VLOOKUP($A273,'SegEnds_NonXtal_BW#'!$A:$Z,25,FALSE)+VLOOKUP($A273,A:AL,37,FALSE)-50),"-",(VLOOKUP($A273,'SegEnds_NonXtal_BW#'!$A:$Z,25,FALSE)+VLOOKUP($A273,A:AL,37,FALSE)-50))</f>
        <v>356</v>
      </c>
      <c r="AK273" s="3">
        <v>359</v>
      </c>
      <c r="AL273" s="3">
        <f>IF(ISERROR((VLOOKUP($A273,'SegEnds_NonXtal_BW#'!$A:$Z,26,FALSE)+VLOOKUP($A273,A:AL,37,FALSE)-50)),"-",(VLOOKUP($A273,'SegEnds_NonXtal_BW#'!$A:$Z,26,FALSE)+VLOOKUP($A273,A:AL,37,FALSE)-50))</f>
        <v>372</v>
      </c>
      <c r="AM273" s="28" t="str">
        <f>VLOOKUP(A273,Classification!A:B,2,FALSE)</f>
        <v>A</v>
      </c>
      <c r="AN273" s="28" t="b">
        <f t="shared" si="211"/>
        <v>1</v>
      </c>
      <c r="AO273" s="3" t="str">
        <f>IF(ISERROR(MATCH(A273,'SegEnds_Xtal_Prot#'!B:B, 0)), "NoXtal", "Xtal")</f>
        <v>NoXtal</v>
      </c>
      <c r="AP273" s="3" t="str">
        <f t="shared" si="196"/>
        <v>-</v>
      </c>
      <c r="AQ273" s="3" t="str">
        <f t="shared" si="197"/>
        <v>-</v>
      </c>
      <c r="AR273" s="3" t="str">
        <f t="shared" si="198"/>
        <v>-</v>
      </c>
      <c r="AS273" s="3" t="str">
        <f t="shared" si="199"/>
        <v>-</v>
      </c>
      <c r="AT273" s="3" t="str">
        <f t="shared" si="200"/>
        <v>-</v>
      </c>
      <c r="AU273" s="3" t="str">
        <f t="shared" si="201"/>
        <v>-</v>
      </c>
      <c r="AV273" s="3">
        <f t="shared" si="202"/>
        <v>34</v>
      </c>
      <c r="AW273" s="3">
        <f t="shared" si="203"/>
        <v>8</v>
      </c>
      <c r="AX273" s="3">
        <f t="shared" si="204"/>
        <v>8</v>
      </c>
      <c r="AY273" s="3">
        <f t="shared" si="205"/>
        <v>8</v>
      </c>
      <c r="AZ273" s="3">
        <f t="shared" si="206"/>
        <v>1</v>
      </c>
      <c r="BA273" s="3">
        <f>IF(ISERROR(LEN(VLOOKUP(A273,Seqs!A:E,2,FALSE))-AL273),"-",LEN(VLOOKUP(A273,Seqs!A:E,2,FALSE))-AL273)</f>
        <v>62</v>
      </c>
      <c r="BB273" s="16">
        <f t="shared" si="207"/>
        <v>33</v>
      </c>
      <c r="BC273" s="9" t="str">
        <f t="shared" si="208"/>
        <v>-</v>
      </c>
      <c r="BD273" s="3">
        <f t="shared" si="209"/>
        <v>33</v>
      </c>
      <c r="BE273" s="3">
        <f t="shared" si="210"/>
        <v>66</v>
      </c>
    </row>
    <row r="274" spans="1:58" s="3" customFormat="1" x14ac:dyDescent="0.2">
      <c r="A274" s="3" t="s">
        <v>225</v>
      </c>
      <c r="B274" s="3" t="str">
        <f>LOWER(VLOOKUP(A274,Xtal_Templ!A:B,2,FALSE))</f>
        <v>p2y12_human</v>
      </c>
      <c r="C274" s="3">
        <f>VLOOKUP($A274,'SegEnds_NonXtal_BW#'!$A:$Z,3,FALSE)+D274-50</f>
        <v>17</v>
      </c>
      <c r="D274" s="3">
        <v>39</v>
      </c>
      <c r="E274" s="3">
        <f>IF(ISERROR(VLOOKUP($A274,'SegEnds_NonXtal_BW#'!$A:$Z,4,FALSE)+VLOOKUP($A274,A:AL,4,FALSE)-50),"-",(VLOOKUP($A274,'SegEnds_NonXtal_BW#'!$A:$Z,4,FALSE)+VLOOKUP($A274,A:AL,4,FALSE)-50))</f>
        <v>49</v>
      </c>
      <c r="F274" s="3" t="str">
        <f>IF(ISERROR(VLOOKUP($A274,'SegEnds_NonXtal_BW#'!$A:$Z,5,FALSE)+VLOOKUP($A274,A:AL,7,FALSE)-50),"-",(VLOOKUP($A274,'SegEnds_NonXtal_BW#'!$A:$Z,5,FALSE)+VLOOKUP($A274,A:AL,7,FALSE)-50))</f>
        <v>-</v>
      </c>
      <c r="G274" s="3" t="s">
        <v>23</v>
      </c>
      <c r="H274" s="3" t="str">
        <f>IF(ISERROR(VLOOKUP($A274,'SegEnds_NonXtal_BW#'!$A:$Z,6,FALSE)+VLOOKUP($A274,A:AL,7,FALSE)-50),"-",(VLOOKUP($A274,'SegEnds_NonXtal_BW#'!$A:$Z,6,FALSE)+VLOOKUP($A274,A:AL,7,FALSE)-50))</f>
        <v>-</v>
      </c>
      <c r="I274" s="3">
        <f>VLOOKUP($A274,'SegEnds_NonXtal_BW#'!$A:$Z,7,FALSE)+J274-50</f>
        <v>53</v>
      </c>
      <c r="J274" s="3">
        <v>66</v>
      </c>
      <c r="K274" s="3">
        <f>VLOOKUP($A274,'SegEnds_NonXtal_BW#'!$A:$Z,8,FALSE)+VLOOKUP($A274,A:AL,10,FALSE)-50</f>
        <v>82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88</v>
      </c>
      <c r="P274" s="3">
        <v>120</v>
      </c>
      <c r="Q274" s="3">
        <f>VLOOKUP($A274,'SegEnds_NonXtal_BW#'!$A:$Z,12,FALSE)+VLOOKUP($A274,A:AL,16,FALSE)-50</f>
        <v>126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135</v>
      </c>
      <c r="V274" s="3">
        <v>147</v>
      </c>
      <c r="W274" s="3">
        <f>IF(ISERROR(VLOOKUP($A274,'SegEnds_NonXtal_BW#'!$A:$Z,16,FALSE)+VLOOKUP($A274,A:AL,22,FALSE)-50),"-",(VLOOKUP($A274,'SegEnds_NonXtal_BW#'!$A:$Z,16,FALSE)+VLOOKUP($A274,A:AL,22,FALSE)-50))</f>
        <v>160</v>
      </c>
      <c r="X274" s="3">
        <f>IF(ISERROR(VLOOKUP($A274,'SegEnds_NonXtal_BW#'!$A:$Z,17,FALSE)+VLOOKUP($A274,A:AL,25,FALSE)-50),"-",(VLOOKUP($A274,'SegEnds_NonXtal_BW#'!$A:$Z,17,FALSE)+VLOOKUP($A274,A:AL,25,FALSE)-50))</f>
        <v>174</v>
      </c>
      <c r="Y274" s="3">
        <v>174</v>
      </c>
      <c r="Z274" s="3">
        <f t="shared" si="213"/>
        <v>176</v>
      </c>
      <c r="AA274" s="3">
        <f>IF(ISERROR(VLOOKUP($A274,'SegEnds_NonXtal_BW#'!$A:$Z,19,FALSE)+VLOOKUP($A274,A:AL,28,FALSE)-50),"-",(VLOOKUP($A274,'SegEnds_NonXtal_BW#'!$A:$Z,19,FALSE)+VLOOKUP($A274,A:AL,28,FALSE)-50))</f>
        <v>181</v>
      </c>
      <c r="AB274" s="3">
        <v>196</v>
      </c>
      <c r="AC274" s="3">
        <f>IF(ISERROR((VLOOKUP($A274,'SegEnds_NonXtal_BW#'!$A:$Z,20,FALSE)+VLOOKUP($A274,A:AL,28,FALSE)-50)),"-",(VLOOKUP($A274,'SegEnds_NonXtal_BW#'!$A:$Z,20,FALSE)+VLOOKUP($A274,A:AL,28,FALSE)-50))</f>
        <v>219</v>
      </c>
      <c r="AD274" s="3">
        <f>IF(ISERROR(VLOOKUP($A274,'SegEnds_NonXtal_BW#'!$A:$Z,21,FALSE)+VLOOKUP($A274,A:AL,31,FALSE)-50),"-",(VLOOKUP($A274,'SegEnds_NonXtal_BW#'!$A:$Z,21,FALSE)+VLOOKUP($A274,A:AL,31,FALSE)-50))</f>
        <v>228</v>
      </c>
      <c r="AE274" s="3">
        <v>254</v>
      </c>
      <c r="AF274" s="3">
        <f>IF(ISERROR((VLOOKUP($A274,'SegEnds_NonXtal_BW#'!$A:$Z,22,FALSE)+VLOOKUP($A274,A:AL,31,FALSE)-50)),"-",(VLOOKUP($A274,'SegEnds_NonXtal_BW#'!$A:$Z,22,FALSE)+VLOOKUP($A274,A:AL,31,FALSE)-50))</f>
        <v>265</v>
      </c>
      <c r="AG274" s="3">
        <f>IF(ISERROR(VLOOKUP($A274,'SegEnds_NonXtal_BW#'!$A:$Z,23,FALSE)+VLOOKUP($A274,A:AL,34,FALSE)-50),"-",(VLOOKUP($A274,'SegEnds_NonXtal_BW#'!$A:$Z,23,FALSE)+VLOOKUP($A274,A:AL,34,FALSE)-50))</f>
        <v>270</v>
      </c>
      <c r="AH274" s="3">
        <v>289</v>
      </c>
      <c r="AI274" s="3">
        <f>IF(ISERROR((VLOOKUP($A274,'SegEnds_NonXtal_BW#'!$A:$Z,24,FALSE)+VLOOKUP($A274,A:AL,34,FALSE)-50)),"-",(VLOOKUP($A274,'SegEnds_NonXtal_BW#'!$A:$Z,24,FALSE)+VLOOKUP($A274,A:AL,34,FALSE)-50))</f>
        <v>295</v>
      </c>
      <c r="AJ274" s="3">
        <f>IF(ISERROR(VLOOKUP($A274,'SegEnds_NonXtal_BW#'!$A:$Z,25,FALSE)+VLOOKUP($A274,A:AL,37,FALSE)-50),"-",(VLOOKUP($A274,'SegEnds_NonXtal_BW#'!$A:$Z,25,FALSE)+VLOOKUP($A274,A:AL,37,FALSE)-50))</f>
        <v>296</v>
      </c>
      <c r="AK274" s="3">
        <v>299</v>
      </c>
      <c r="AL274" s="3">
        <f>IF(ISERROR((VLOOKUP($A274,'SegEnds_NonXtal_BW#'!$A:$Z,26,FALSE)+VLOOKUP($A274,A:AL,37,FALSE)-50)),"-",(VLOOKUP($A274,'SegEnds_NonXtal_BW#'!$A:$Z,26,FALSE)+VLOOKUP($A274,A:AL,37,FALSE)-50))</f>
        <v>306</v>
      </c>
      <c r="AM274" s="28" t="str">
        <f>VLOOKUP(A274,Classification!A:B,2,FALSE)</f>
        <v>A</v>
      </c>
      <c r="AN274" s="28" t="b">
        <f t="shared" si="211"/>
        <v>1</v>
      </c>
      <c r="AO274" s="3" t="str">
        <f>IF(ISERROR(MATCH(A274,'SegEnds_Xtal_Prot#'!B:B, 0)), "NoXtal", "Xtal")</f>
        <v>NoXtal</v>
      </c>
      <c r="AP274" s="3" t="str">
        <f t="shared" si="196"/>
        <v>-</v>
      </c>
      <c r="AQ274" s="3" t="str">
        <f t="shared" si="197"/>
        <v>-</v>
      </c>
      <c r="AR274" s="3" t="str">
        <f t="shared" si="198"/>
        <v>-</v>
      </c>
      <c r="AS274" s="3" t="str">
        <f t="shared" si="199"/>
        <v>-</v>
      </c>
      <c r="AT274" s="3" t="str">
        <f t="shared" si="200"/>
        <v>-</v>
      </c>
      <c r="AU274" s="3" t="str">
        <f t="shared" si="201"/>
        <v>-</v>
      </c>
      <c r="AV274" s="3">
        <f t="shared" si="202"/>
        <v>14</v>
      </c>
      <c r="AW274" s="3">
        <f t="shared" si="203"/>
        <v>5</v>
      </c>
      <c r="AX274" s="3">
        <f t="shared" si="204"/>
        <v>9</v>
      </c>
      <c r="AY274" s="3">
        <f t="shared" si="205"/>
        <v>5</v>
      </c>
      <c r="AZ274" s="3">
        <f t="shared" si="206"/>
        <v>1</v>
      </c>
      <c r="BA274" s="3">
        <f>IF(ISERROR(LEN(VLOOKUP(A274,Seqs!A:E,2,FALSE))-AL274),"-",LEN(VLOOKUP(A274,Seqs!A:E,2,FALSE))-AL274)</f>
        <v>32</v>
      </c>
      <c r="BB274" s="16">
        <f t="shared" si="207"/>
        <v>27</v>
      </c>
      <c r="BC274" s="9" t="str">
        <f t="shared" si="208"/>
        <v>-</v>
      </c>
      <c r="BD274" s="3">
        <f t="shared" si="209"/>
        <v>27</v>
      </c>
      <c r="BE274" s="3">
        <f t="shared" si="210"/>
        <v>58</v>
      </c>
    </row>
    <row r="275" spans="1:58" s="3" customFormat="1" x14ac:dyDescent="0.2">
      <c r="A275" s="3" t="s">
        <v>231</v>
      </c>
      <c r="B275" s="3" t="str">
        <f>LOWER(VLOOKUP(A275,Xtal_Templ!A:B,2,FALSE))</f>
        <v>ox1r_human</v>
      </c>
      <c r="C275" s="3">
        <f>VLOOKUP($A275,'SegEnds_NonXtal_BW#'!$A:$Z,3,FALSE)+D275-50</f>
        <v>41</v>
      </c>
      <c r="D275" s="3">
        <v>59</v>
      </c>
      <c r="E275" s="3">
        <f>IF(ISERROR(VLOOKUP($A275,'SegEnds_NonXtal_BW#'!$A:$Z,4,FALSE)+VLOOKUP($A275,A:AL,4,FALSE)-50),"-",(VLOOKUP($A275,'SegEnds_NonXtal_BW#'!$A:$Z,4,FALSE)+VLOOKUP($A275,A:AL,4,FALSE)-50))</f>
        <v>69</v>
      </c>
      <c r="F275" s="3">
        <f>G275-2</f>
        <v>70</v>
      </c>
      <c r="G275" s="3">
        <v>72</v>
      </c>
      <c r="H275" s="3">
        <f t="shared" ref="H275:I277" si="214">G275+1</f>
        <v>73</v>
      </c>
      <c r="I275" s="3">
        <f t="shared" si="214"/>
        <v>74</v>
      </c>
      <c r="J275" s="3">
        <v>87</v>
      </c>
      <c r="K275" s="3">
        <f>VLOOKUP($A275,'SegEnds_NonXtal_BW#'!$A:$Z,8,FALSE)+VLOOKUP($A275,A:AL,10,FALSE)-50</f>
        <v>105</v>
      </c>
      <c r="L275" s="3">
        <f>M275-1</f>
        <v>108</v>
      </c>
      <c r="M275" s="3">
        <v>109</v>
      </c>
      <c r="N275" s="3">
        <f>M275+2</f>
        <v>111</v>
      </c>
      <c r="O275" s="3">
        <f>N275+1</f>
        <v>112</v>
      </c>
      <c r="P275" s="3">
        <v>142</v>
      </c>
      <c r="Q275" s="3">
        <f>VLOOKUP($A275,'SegEnds_NonXtal_BW#'!$A:$Z,12,FALSE)+VLOOKUP($A275,A:AL,16,FALSE)-50</f>
        <v>148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155</v>
      </c>
      <c r="V275" s="3">
        <v>167</v>
      </c>
      <c r="W275" s="3">
        <f>IF(ISERROR(VLOOKUP($A275,'SegEnds_NonXtal_BW#'!$A:$Z,16,FALSE)+VLOOKUP($A275,A:AL,22,FALSE)-50),"-",(VLOOKUP($A275,'SegEnds_NonXtal_BW#'!$A:$Z,16,FALSE)+VLOOKUP($A275,A:AL,22,FALSE)-50))</f>
        <v>181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213"/>
        <v>194</v>
      </c>
      <c r="AA275" s="3">
        <f>IF(ISERROR(VLOOKUP($A275,'SegEnds_NonXtal_BW#'!$A:$Z,19,FALSE)+VLOOKUP($A275,A:AL,28,FALSE)-50),"-",(VLOOKUP($A275,'SegEnds_NonXtal_BW#'!$A:$Z,19,FALSE)+VLOOKUP($A275,A:AL,28,FALSE)-50))</f>
        <v>200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248</v>
      </c>
      <c r="AD275" s="3">
        <f>IF(ISERROR(VLOOKUP($A275,'SegEnds_NonXtal_BW#'!$A:$Z,21,FALSE)+VLOOKUP($A275,A:AL,31,FALSE)-50),"-",(VLOOKUP($A275,'SegEnds_NonXtal_BW#'!$A:$Z,21,FALSE)+VLOOKUP($A275,A:AL,31,FALSE)-50))</f>
        <v>254</v>
      </c>
      <c r="AE275" s="3">
        <v>281</v>
      </c>
      <c r="AF275" s="3">
        <f>IF(ISERROR((VLOOKUP($A275,'SegEnds_NonXtal_BW#'!$A:$Z,22,FALSE)+VLOOKUP($A275,A:AL,31,FALSE)-50)),"-",(VLOOKUP($A275,'SegEnds_NonXtal_BW#'!$A:$Z,22,FALSE)+VLOOKUP($A275,A:AL,31,FALSE)-50))</f>
        <v>292</v>
      </c>
      <c r="AG275" s="3">
        <f>IF(ISERROR(VLOOKUP($A275,'SegEnds_NonXtal_BW#'!$A:$Z,23,FALSE)+VLOOKUP($A275,A:AL,34,FALSE)-50),"-",(VLOOKUP($A275,'SegEnds_NonXtal_BW#'!$A:$Z,23,FALSE)+VLOOKUP($A275,A:AL,34,FALSE)-50))</f>
        <v>298</v>
      </c>
      <c r="AH275" s="3">
        <v>317</v>
      </c>
      <c r="AI275" s="3">
        <f>IF(ISERROR((VLOOKUP($A275,'SegEnds_NonXtal_BW#'!$A:$Z,24,FALSE)+VLOOKUP($A275,A:AL,34,FALSE)-50)),"-",(VLOOKUP($A275,'SegEnds_NonXtal_BW#'!$A:$Z,24,FALSE)+VLOOKUP($A275,A:AL,34,FALSE)-50))</f>
        <v>323</v>
      </c>
      <c r="AJ275" s="3">
        <f>IF(ISERROR(VLOOKUP($A275,'SegEnds_NonXtal_BW#'!$A:$Z,25,FALSE)+VLOOKUP($A275,A:AL,37,FALSE)-50),"-",(VLOOKUP($A275,'SegEnds_NonXtal_BW#'!$A:$Z,25,FALSE)+VLOOKUP($A275,A:AL,37,FALSE)-50))</f>
        <v>324</v>
      </c>
      <c r="AK275" s="3">
        <v>327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11"/>
        <v>1</v>
      </c>
      <c r="AO275" s="3" t="str">
        <f>IF(ISERROR(MATCH(A275,'SegEnds_Xtal_Prot#'!B:B, 0)), "NoXtal", "Xtal")</f>
        <v>NoXtal</v>
      </c>
      <c r="AP275" s="3">
        <f t="shared" si="196"/>
        <v>1</v>
      </c>
      <c r="AQ275" s="3">
        <f t="shared" si="197"/>
        <v>1</v>
      </c>
      <c r="AR275" s="3">
        <f t="shared" si="198"/>
        <v>3</v>
      </c>
      <c r="AS275" s="3">
        <f t="shared" si="199"/>
        <v>1</v>
      </c>
      <c r="AT275" s="3" t="str">
        <f t="shared" si="200"/>
        <v>-</v>
      </c>
      <c r="AU275" s="3" t="str">
        <f t="shared" si="201"/>
        <v>-</v>
      </c>
      <c r="AV275" s="3">
        <f t="shared" si="202"/>
        <v>11</v>
      </c>
      <c r="AW275" s="3">
        <f t="shared" si="203"/>
        <v>6</v>
      </c>
      <c r="AX275" s="3">
        <f t="shared" si="204"/>
        <v>6</v>
      </c>
      <c r="AY275" s="3">
        <f t="shared" si="205"/>
        <v>6</v>
      </c>
      <c r="AZ275" s="3">
        <f t="shared" si="206"/>
        <v>1</v>
      </c>
      <c r="BA275" s="3">
        <f>IF(ISERROR(LEN(VLOOKUP(A275,Seqs!A:E,2,FALSE))-AL275),"-",LEN(VLOOKUP(A275,Seqs!A:E,2,FALSE))-AL275)</f>
        <v>175</v>
      </c>
      <c r="BB275" s="16">
        <f t="shared" si="207"/>
        <v>28</v>
      </c>
      <c r="BC275" s="9" t="str">
        <f t="shared" si="208"/>
        <v>-</v>
      </c>
      <c r="BD275" s="3">
        <f t="shared" si="209"/>
        <v>28</v>
      </c>
      <c r="BE275" s="3">
        <f t="shared" si="210"/>
        <v>64</v>
      </c>
    </row>
    <row r="276" spans="1:58" s="3" customFormat="1" x14ac:dyDescent="0.2">
      <c r="A276" s="3" t="s">
        <v>234</v>
      </c>
      <c r="B276" s="3" t="str">
        <f>LOWER(VLOOKUP(A276,Xtal_Templ!A:B,2,FALSE))</f>
        <v>gpbar_human</v>
      </c>
      <c r="C276" s="3">
        <f>VLOOKUP($A276,'SegEnds_NonXtal_BW#'!$A:$Z,3,FALSE)+D276-50</f>
        <v>14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>
        <f>G276-2</f>
        <v>43</v>
      </c>
      <c r="G276" s="3">
        <v>45</v>
      </c>
      <c r="H276" s="3">
        <f t="shared" si="214"/>
        <v>46</v>
      </c>
      <c r="I276" s="3">
        <f t="shared" si="214"/>
        <v>47</v>
      </c>
      <c r="J276" s="3">
        <v>61</v>
      </c>
      <c r="K276" s="3">
        <f>VLOOKUP($A276,'SegEnds_NonXtal_BW#'!$A:$Z,8,FALSE)+VLOOKUP($A276,A:AL,10,FALSE)-50</f>
        <v>74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110</v>
      </c>
      <c r="Q276" s="3">
        <f>VLOOKUP($A276,'SegEnds_NonXtal_BW#'!$A:$Z,12,FALSE)+VLOOKUP($A276,A:AL,16,FALSE)-50</f>
        <v>116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123</v>
      </c>
      <c r="V276" s="3">
        <v>132</v>
      </c>
      <c r="W276" s="3">
        <f>IF(ISERROR(VLOOKUP($A276,'SegEnds_NonXtal_BW#'!$A:$Z,16,FALSE)+VLOOKUP($A276,A:AL,22,FALSE)-50),"-",(VLOOKUP($A276,'SegEnds_NonXtal_BW#'!$A:$Z,16,FALSE)+VLOOKUP($A276,A:AL,22,FALSE)-50))</f>
        <v>145</v>
      </c>
      <c r="X276" s="3">
        <f>IF(ISERROR(VLOOKUP($A276,'SegEnds_NonXtal_BW#'!$A:$Z,17,FALSE)+VLOOKUP($A276,A:AL,25,FALSE)-50),"-",(VLOOKUP($A276,'SegEnds_NonXtal_BW#'!$A:$Z,17,FALSE)+VLOOKUP($A276,A:AL,25,FALSE)-50))</f>
        <v>155</v>
      </c>
      <c r="Y276" s="3">
        <v>155</v>
      </c>
      <c r="Z276" s="3">
        <f t="shared" si="213"/>
        <v>157</v>
      </c>
      <c r="AA276" s="3">
        <f>IF(ISERROR(VLOOKUP($A276,'SegEnds_NonXtal_BW#'!$A:$Z,19,FALSE)+VLOOKUP($A276,A:AL,28,FALSE)-50),"-",(VLOOKUP($A276,'SegEnds_NonXtal_BW#'!$A:$Z,19,FALSE)+VLOOKUP($A276,A:AL,28,FALSE)-50))</f>
        <v>162</v>
      </c>
      <c r="AB276" s="3">
        <v>176</v>
      </c>
      <c r="AC276" s="3">
        <f>IF(ISERROR((VLOOKUP($A276,'SegEnds_NonXtal_BW#'!$A:$Z,20,FALSE)+VLOOKUP($A276,A:AL,28,FALSE)-50)),"-",(VLOOKUP($A276,'SegEnds_NonXtal_BW#'!$A:$Z,20,FALSE)+VLOOKUP($A276,A:AL,28,FALSE)-50))</f>
        <v>207</v>
      </c>
      <c r="AD276" s="3">
        <f>IF(ISERROR(VLOOKUP($A276,'SegEnds_NonXtal_BW#'!$A:$Z,21,FALSE)+VLOOKUP($A276,A:AL,31,FALSE)-50),"-",(VLOOKUP($A276,'SegEnds_NonXtal_BW#'!$A:$Z,21,FALSE)+VLOOKUP($A276,A:AL,31,FALSE)-50))</f>
        <v>212</v>
      </c>
      <c r="AE276" s="3">
        <v>239</v>
      </c>
      <c r="AF276" s="3">
        <f>IF(ISERROR((VLOOKUP($A276,'SegEnds_NonXtal_BW#'!$A:$Z,22,FALSE)+VLOOKUP($A276,A:AL,31,FALSE)-50)),"-",(VLOOKUP($A276,'SegEnds_NonXtal_BW#'!$A:$Z,22,FALSE)+VLOOKUP($A276,A:AL,31,FALSE)-50))</f>
        <v>253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277</v>
      </c>
      <c r="AI276" s="3">
        <f>IF(ISERROR((VLOOKUP($A276,'SegEnds_NonXtal_BW#'!$A:$Z,24,FALSE)+VLOOKUP($A276,A:AL,34,FALSE)-50)),"-",(VLOOKUP($A276,'SegEnds_NonXtal_BW#'!$A:$Z,24,FALSE)+VLOOKUP($A276,A:AL,34,FALSE)-50))</f>
        <v>283</v>
      </c>
      <c r="AJ276" s="3">
        <f>IF(ISERROR(VLOOKUP($A276,'SegEnds_NonXtal_BW#'!$A:$Z,25,FALSE)+VLOOKUP($A276,A:AL,37,FALSE)-50),"-",(VLOOKUP($A276,'SegEnds_NonXtal_BW#'!$A:$Z,25,FALSE)+VLOOKUP($A276,A:AL,37,FALSE)-50))</f>
        <v>284</v>
      </c>
      <c r="AK276" s="3">
        <v>287</v>
      </c>
      <c r="AL276" s="3">
        <f>IF(ISERROR((VLOOKUP($A276,'SegEnds_NonXtal_BW#'!$A:$Z,26,FALSE)+VLOOKUP($A276,A:AL,37,FALSE)-50)),"-",(VLOOKUP($A276,'SegEnds_NonXtal_BW#'!$A:$Z,26,FALSE)+VLOOKUP($A276,A:AL,37,FALSE)-50))</f>
        <v>296</v>
      </c>
      <c r="AM276" s="28" t="str">
        <f>VLOOKUP(A276,Classification!A:B,2,FALSE)</f>
        <v>A</v>
      </c>
      <c r="AN276" s="28" t="b">
        <f t="shared" si="211"/>
        <v>1</v>
      </c>
      <c r="AO276" s="3" t="str">
        <f>IF(ISERROR(MATCH(A276,'SegEnds_Xtal_Prot#'!B:B, 0)), "NoXtal", "Xtal")</f>
        <v>Xtal</v>
      </c>
      <c r="AP276" s="3">
        <f t="shared" si="196"/>
        <v>1</v>
      </c>
      <c r="AQ276" s="3">
        <f t="shared" si="197"/>
        <v>1</v>
      </c>
      <c r="AR276" s="3" t="str">
        <f t="shared" si="198"/>
        <v>-</v>
      </c>
      <c r="AS276" s="3" t="str">
        <f t="shared" si="199"/>
        <v>-</v>
      </c>
      <c r="AT276" s="3" t="str">
        <f t="shared" si="200"/>
        <v>-</v>
      </c>
      <c r="AU276" s="3" t="str">
        <f t="shared" si="201"/>
        <v>-</v>
      </c>
      <c r="AV276" s="3">
        <f t="shared" si="202"/>
        <v>10</v>
      </c>
      <c r="AW276" s="3">
        <f t="shared" si="203"/>
        <v>5</v>
      </c>
      <c r="AX276" s="3">
        <f t="shared" si="204"/>
        <v>5</v>
      </c>
      <c r="AY276" s="3">
        <f t="shared" si="205"/>
        <v>5</v>
      </c>
      <c r="AZ276" s="3">
        <f t="shared" si="206"/>
        <v>1</v>
      </c>
      <c r="BA276" s="3">
        <f>IF(ISERROR(LEN(VLOOKUP(A276,Seqs!A:E,2,FALSE))-AL276),"-",LEN(VLOOKUP(A276,Seqs!A:E,2,FALSE))-AL276)</f>
        <v>34</v>
      </c>
      <c r="BB276" s="16">
        <f t="shared" si="207"/>
        <v>29</v>
      </c>
      <c r="BC276" s="9" t="str">
        <f t="shared" si="208"/>
        <v>-</v>
      </c>
      <c r="BD276" s="3">
        <f t="shared" si="209"/>
        <v>29</v>
      </c>
      <c r="BE276" s="3">
        <f t="shared" si="210"/>
        <v>63</v>
      </c>
    </row>
    <row r="277" spans="1:58" s="3" customFormat="1" x14ac:dyDescent="0.2">
      <c r="A277" s="3" t="s">
        <v>258</v>
      </c>
      <c r="B277" s="3" t="str">
        <f>LOWER(VLOOKUP(A277,Xtal_Templ!A:B,2,FALSE))</f>
        <v>ccr6_human</v>
      </c>
      <c r="C277" s="3">
        <f>VLOOKUP($A277,'SegEnds_NonXtal_BW#'!$A:$Z,3,FALSE)+D277-50</f>
        <v>27</v>
      </c>
      <c r="D277" s="3">
        <v>52</v>
      </c>
      <c r="E277" s="3">
        <f>IF(ISERROR(VLOOKUP($A277,'SegEnds_NonXtal_BW#'!$A:$Z,4,FALSE)+VLOOKUP($A277,A:AL,4,FALSE)-50),"-",(VLOOKUP($A277,'SegEnds_NonXtal_BW#'!$A:$Z,4,FALSE)+VLOOKUP($A277,A:AL,4,FALSE)-50))</f>
        <v>62</v>
      </c>
      <c r="F277" s="3">
        <f>G277-2</f>
        <v>63</v>
      </c>
      <c r="G277" s="3">
        <v>65</v>
      </c>
      <c r="H277" s="3">
        <f t="shared" si="214"/>
        <v>66</v>
      </c>
      <c r="I277" s="3">
        <f t="shared" si="214"/>
        <v>67</v>
      </c>
      <c r="J277" s="3">
        <v>80</v>
      </c>
      <c r="K277" s="3">
        <f>VLOOKUP($A277,'SegEnds_NonXtal_BW#'!$A:$Z,8,FALSE)+VLOOKUP($A277,A:AL,10,FALSE)-50</f>
        <v>97</v>
      </c>
      <c r="L277" s="3">
        <f>M277-1</f>
        <v>99</v>
      </c>
      <c r="M277" s="3">
        <v>100</v>
      </c>
      <c r="N277" s="3">
        <f>M277+2</f>
        <v>102</v>
      </c>
      <c r="O277" s="3">
        <f>N277+1</f>
        <v>103</v>
      </c>
      <c r="P277" s="3">
        <v>132</v>
      </c>
      <c r="Q277" s="3">
        <f>VLOOKUP($A277,'SegEnds_NonXtal_BW#'!$A:$Z,12,FALSE)+VLOOKUP($A277,A:AL,16,FALSE)-50</f>
        <v>138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182</v>
      </c>
      <c r="Y277" s="3">
        <v>182</v>
      </c>
      <c r="Z277" s="3">
        <f t="shared" si="213"/>
        <v>184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207</v>
      </c>
      <c r="AC277" s="3">
        <f>IF(ISERROR((VLOOKUP($A277,'SegEnds_NonXtal_BW#'!$A:$Z,20,FALSE)+VLOOKUP($A277,A:AL,28,FALSE)-50)),"-",(VLOOKUP($A277,'SegEnds_NonXtal_BW#'!$A:$Z,20,FALSE)+VLOOKUP($A277,A:AL,28,FALSE)-50))</f>
        <v>233</v>
      </c>
      <c r="AD277" s="3">
        <f>IF(ISERROR(VLOOKUP($A277,'SegEnds_NonXtal_BW#'!$A:$Z,21,FALSE)+VLOOKUP($A277,A:AL,31,FALSE)-50),"-",(VLOOKUP($A277,'SegEnds_NonXtal_BW#'!$A:$Z,21,FALSE)+VLOOKUP($A277,A:AL,31,FALSE)-50))</f>
        <v>256</v>
      </c>
      <c r="AE277" s="3">
        <v>282</v>
      </c>
      <c r="AF277" s="3">
        <f>IF(ISERROR((VLOOKUP($A277,'SegEnds_NonXtal_BW#'!$A:$Z,22,FALSE)+VLOOKUP($A277,A:AL,31,FALSE)-50)),"-",(VLOOKUP($A277,'SegEnds_NonXtal_BW#'!$A:$Z,22,FALSE)+VLOOKUP($A277,A:AL,31,FALSE)-50))</f>
        <v>293</v>
      </c>
      <c r="AG277" s="3">
        <f>IF(ISERROR(VLOOKUP($A277,'SegEnds_NonXtal_BW#'!$A:$Z,23,FALSE)+VLOOKUP($A277,A:AL,34,FALSE)-50),"-",(VLOOKUP($A277,'SegEnds_NonXtal_BW#'!$A:$Z,23,FALSE)+VLOOKUP($A277,A:AL,34,FALSE)-50))</f>
        <v>295</v>
      </c>
      <c r="AH277" s="3">
        <v>321</v>
      </c>
      <c r="AI277" s="3">
        <v>327</v>
      </c>
      <c r="AJ277" s="3">
        <f>IF(ISERROR(VLOOKUP($A277,'SegEnds_NonXtal_BW#'!$A:$Z,25,FALSE)+VLOOKUP($A277,A:AL,37,FALSE)-50),"-",(VLOOKUP($A277,'SegEnds_NonXtal_BW#'!$A:$Z,25,FALSE)+VLOOKUP($A277,A:AL,37,FALSE)-50))</f>
        <v>328</v>
      </c>
      <c r="AK277" s="3">
        <v>331</v>
      </c>
      <c r="AL277" s="3">
        <f>IF(ISERROR((VLOOKUP($A277,'SegEnds_NonXtal_BW#'!$A:$Z,26,FALSE)+VLOOKUP($A277,A:AL,37,FALSE)-50)),"-",(VLOOKUP($A277,'SegEnds_NonXtal_BW#'!$A:$Z,26,FALSE)+VLOOKUP($A277,A:AL,37,FALSE)-50))</f>
        <v>343</v>
      </c>
      <c r="AM277" s="28" t="str">
        <f>VLOOKUP(A277,Classification!A:B,2,FALSE)</f>
        <v>A</v>
      </c>
      <c r="AN277" s="28" t="b">
        <f t="shared" si="211"/>
        <v>1</v>
      </c>
      <c r="AO277" s="3" t="str">
        <f>IF(ISERROR(MATCH(A277,'SegEnds_Xtal_Prot#'!B:B, 0)), "NoXtal", "Xtal")</f>
        <v>NoXtal</v>
      </c>
      <c r="AP277" s="3">
        <f t="shared" si="196"/>
        <v>1</v>
      </c>
      <c r="AQ277" s="3">
        <f t="shared" si="197"/>
        <v>1</v>
      </c>
      <c r="AR277" s="3">
        <f t="shared" si="198"/>
        <v>2</v>
      </c>
      <c r="AS277" s="3">
        <f t="shared" si="199"/>
        <v>1</v>
      </c>
      <c r="AT277" s="3" t="str">
        <f t="shared" si="200"/>
        <v>-</v>
      </c>
      <c r="AU277" s="3" t="str">
        <f t="shared" si="201"/>
        <v>-</v>
      </c>
      <c r="AV277" s="3">
        <f t="shared" si="202"/>
        <v>12</v>
      </c>
      <c r="AW277" s="3">
        <f t="shared" si="203"/>
        <v>8</v>
      </c>
      <c r="AX277" s="3">
        <f t="shared" si="204"/>
        <v>23</v>
      </c>
      <c r="AY277" s="3">
        <f t="shared" si="205"/>
        <v>2</v>
      </c>
      <c r="AZ277" s="3">
        <f t="shared" si="206"/>
        <v>1</v>
      </c>
      <c r="BA277" s="3">
        <f>IF(ISERROR(LEN(VLOOKUP(A277,Seqs!A:E,2,FALSE))-AL277),"-",LEN(VLOOKUP(A277,Seqs!A:E,2,FALSE))-AL277)</f>
        <v>29</v>
      </c>
      <c r="BB277" s="16">
        <f t="shared" si="207"/>
        <v>28</v>
      </c>
      <c r="BC277" s="9" t="str">
        <f t="shared" si="208"/>
        <v>-</v>
      </c>
      <c r="BD277" s="3">
        <f t="shared" si="209"/>
        <v>28</v>
      </c>
      <c r="BE277" s="3">
        <f t="shared" si="210"/>
        <v>75</v>
      </c>
    </row>
    <row r="278" spans="1:58" s="3" customFormat="1" x14ac:dyDescent="0.2">
      <c r="A278" s="3" t="s">
        <v>263</v>
      </c>
      <c r="B278" s="3" t="str">
        <f>LOWER(VLOOKUP(A278,Xtal_Templ!A:B,2,FALSE))</f>
        <v>drd3_human</v>
      </c>
      <c r="C278" s="3">
        <f>VLOOKUP($A278,'SegEnds_NonXtal_BW#'!$A:$Z,3,FALSE)+D278-50</f>
        <v>11</v>
      </c>
      <c r="D278" s="3">
        <v>32</v>
      </c>
      <c r="E278" s="3">
        <f>IF(ISERROR(VLOOKUP($A278,'SegEnds_NonXtal_BW#'!$A:$Z,4,FALSE)+VLOOKUP($A278,A:AL,4,FALSE)-50),"-",(VLOOKUP($A278,'SegEnds_NonXtal_BW#'!$A:$Z,4,FALSE)+VLOOKUP($A278,A:AL,4,FALSE)-50))</f>
        <v>42</v>
      </c>
      <c r="F278" s="3" t="str">
        <f>IF(ISERROR(VLOOKUP($A278,'SegEnds_NonXtal_BW#'!$A:$Z,5,FALSE)+VLOOKUP($A278,A:AL,7,FALSE)-50),"-",(VLOOKUP($A278,'SegEnds_NonXtal_BW#'!$A:$Z,5,FALSE)+VLOOKUP($A278,A:AL,7,FALSE)-50))</f>
        <v>-</v>
      </c>
      <c r="G278" s="3" t="s">
        <v>23</v>
      </c>
      <c r="H278" s="3" t="str">
        <f>IF(ISERROR(VLOOKUP($A278,'SegEnds_NonXtal_BW#'!$A:$Z,6,FALSE)+VLOOKUP($A278,A:AL,7,FALSE)-50),"-",(VLOOKUP($A278,'SegEnds_NonXtal_BW#'!$A:$Z,6,FALSE)+VLOOKUP($A278,A:AL,7,FALSE)-50))</f>
        <v>-</v>
      </c>
      <c r="I278" s="3">
        <f>VLOOKUP($A278,'SegEnds_NonXtal_BW#'!$A:$Z,7,FALSE)+J278-50</f>
        <v>45</v>
      </c>
      <c r="J278" s="3">
        <v>58</v>
      </c>
      <c r="K278" s="3">
        <f>VLOOKUP($A278,'SegEnds_NonXtal_BW#'!$A:$Z,8,FALSE)+VLOOKUP($A278,A:AL,10,FALSE)-50</f>
        <v>75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81</v>
      </c>
      <c r="P278" s="3">
        <v>113</v>
      </c>
      <c r="Q278" s="3">
        <f>VLOOKUP($A278,'SegEnds_NonXtal_BW#'!$A:$Z,12,FALSE)+VLOOKUP($A278,A:AL,16,FALSE)-50</f>
        <v>119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125</v>
      </c>
      <c r="V278" s="3">
        <v>137</v>
      </c>
      <c r="W278" s="3">
        <f>IF(ISERROR(VLOOKUP($A278,'SegEnds_NonXtal_BW#'!$A:$Z,16,FALSE)+VLOOKUP($A278,A:AL,22,FALSE)-50),"-",(VLOOKUP($A278,'SegEnds_NonXtal_BW#'!$A:$Z,16,FALSE)+VLOOKUP($A278,A:AL,22,FALSE)-50))</f>
        <v>150</v>
      </c>
      <c r="X278" s="3">
        <f>IF(ISERROR(VLOOKUP($A278,'SegEnds_NonXtal_BW#'!$A:$Z,17,FALSE)+VLOOKUP($A278,A:AL,25,FALSE)-50),"-",(VLOOKUP($A278,'SegEnds_NonXtal_BW#'!$A:$Z,17,FALSE)+VLOOKUP($A278,A:AL,25,FALSE)-50))</f>
        <v>162</v>
      </c>
      <c r="Y278" s="3">
        <v>162</v>
      </c>
      <c r="Z278" s="3">
        <f t="shared" si="213"/>
        <v>164</v>
      </c>
      <c r="AA278" s="3">
        <f>IF(ISERROR(VLOOKUP($A278,'SegEnds_NonXtal_BW#'!$A:$Z,19,FALSE)+VLOOKUP($A278,A:AL,28,FALSE)-50),"-",(VLOOKUP($A278,'SegEnds_NonXtal_BW#'!$A:$Z,19,FALSE)+VLOOKUP($A278,A:AL,28,FALSE)-50))</f>
        <v>169</v>
      </c>
      <c r="AB278" s="3">
        <v>184</v>
      </c>
      <c r="AC278" s="3">
        <f>IF(ISERROR((VLOOKUP($A278,'SegEnds_NonXtal_BW#'!$A:$Z,20,FALSE)+VLOOKUP($A278,A:AL,28,FALSE)-50)),"-",(VLOOKUP($A278,'SegEnds_NonXtal_BW#'!$A:$Z,20,FALSE)+VLOOKUP($A278,A:AL,28,FALSE)-50))</f>
        <v>210</v>
      </c>
      <c r="AD278" s="3">
        <f>IF(ISERROR(VLOOKUP($A278,'SegEnds_NonXtal_BW#'!$A:$Z,21,FALSE)+VLOOKUP($A278,A:AL,31,FALSE)-50),"-",(VLOOKUP($A278,'SegEnds_NonXtal_BW#'!$A:$Z,21,FALSE)+VLOOKUP($A278,A:AL,31,FALSE)-50))</f>
        <v>230</v>
      </c>
      <c r="AE278" s="3">
        <v>256</v>
      </c>
      <c r="AF278" s="3">
        <f>IF(ISERROR((VLOOKUP($A278,'SegEnds_NonXtal_BW#'!$A:$Z,22,FALSE)+VLOOKUP($A278,A:AL,31,FALSE)-50)),"-",(VLOOKUP($A278,'SegEnds_NonXtal_BW#'!$A:$Z,22,FALSE)+VLOOKUP($A278,A:AL,31,FALSE)-50))</f>
        <v>264</v>
      </c>
      <c r="AG278" s="3">
        <f>IF(ISERROR(VLOOKUP($A278,'SegEnds_NonXtal_BW#'!$A:$Z,23,FALSE)+VLOOKUP($A278,A:AL,34,FALSE)-50),"-",(VLOOKUP($A278,'SegEnds_NonXtal_BW#'!$A:$Z,23,FALSE)+VLOOKUP($A278,A:AL,34,FALSE)-50))</f>
        <v>272</v>
      </c>
      <c r="AH278" s="3">
        <v>287</v>
      </c>
      <c r="AI278" s="3">
        <f>IF(ISERROR((VLOOKUP($A278,'SegEnds_NonXtal_BW#'!$A:$Z,24,FALSE)+VLOOKUP($A278,A:AL,34,FALSE)-50)),"-",(VLOOKUP($A278,'SegEnds_NonXtal_BW#'!$A:$Z,24,FALSE)+VLOOKUP($A278,A:AL,34,FALSE)-50))</f>
        <v>293</v>
      </c>
      <c r="AJ278" s="3">
        <f>IF(ISERROR(VLOOKUP($A278,'SegEnds_NonXtal_BW#'!$A:$Z,25,FALSE)+VLOOKUP($A278,A:AL,37,FALSE)-50),"-",(VLOOKUP($A278,'SegEnds_NonXtal_BW#'!$A:$Z,25,FALSE)+VLOOKUP($A278,A:AL,37,FALSE)-50))</f>
        <v>294</v>
      </c>
      <c r="AK278" s="3">
        <v>297</v>
      </c>
      <c r="AL278" s="3">
        <f>IF(ISERROR((VLOOKUP($A278,'SegEnds_NonXtal_BW#'!$A:$Z,26,FALSE)+VLOOKUP($A278,A:AL,37,FALSE)-50)),"-",(VLOOKUP($A278,'SegEnds_NonXtal_BW#'!$A:$Z,26,FALSE)+VLOOKUP($A278,A:AL,37,FALSE)-50))</f>
        <v>306</v>
      </c>
      <c r="AM278" s="28" t="str">
        <f>VLOOKUP(A278,Classification!A:B,2,FALSE)</f>
        <v>A</v>
      </c>
      <c r="AN278" s="28" t="b">
        <f t="shared" si="211"/>
        <v>1</v>
      </c>
      <c r="AO278" s="3" t="str">
        <f>IF(ISERROR(MATCH(A278,'SegEnds_Xtal_Prot#'!B:B, 0)), "NoXtal", "Xtal")</f>
        <v>NoXtal</v>
      </c>
      <c r="AP278" s="3" t="str">
        <f t="shared" si="196"/>
        <v>-</v>
      </c>
      <c r="AQ278" s="3" t="str">
        <f t="shared" si="197"/>
        <v>-</v>
      </c>
      <c r="AR278" s="3" t="str">
        <f t="shared" si="198"/>
        <v>-</v>
      </c>
      <c r="AS278" s="3" t="str">
        <f t="shared" si="199"/>
        <v>-</v>
      </c>
      <c r="AT278" s="3" t="str">
        <f t="shared" si="200"/>
        <v>-</v>
      </c>
      <c r="AU278" s="3" t="str">
        <f t="shared" si="201"/>
        <v>-</v>
      </c>
      <c r="AV278" s="3">
        <f t="shared" si="202"/>
        <v>12</v>
      </c>
      <c r="AW278" s="3">
        <f t="shared" si="203"/>
        <v>5</v>
      </c>
      <c r="AX278" s="3">
        <f t="shared" si="204"/>
        <v>20</v>
      </c>
      <c r="AY278" s="3">
        <f t="shared" si="205"/>
        <v>8</v>
      </c>
      <c r="AZ278" s="3">
        <f t="shared" si="206"/>
        <v>1</v>
      </c>
      <c r="BA278" s="3">
        <f>IF(ISERROR(LEN(VLOOKUP(A278,Seqs!A:E,2,FALSE))-AL278),"-",LEN(VLOOKUP(A278,Seqs!A:E,2,FALSE))-AL278)</f>
        <v>62</v>
      </c>
      <c r="BB278" s="16">
        <f t="shared" si="207"/>
        <v>26</v>
      </c>
      <c r="BC278" s="9" t="str">
        <f t="shared" si="208"/>
        <v>-</v>
      </c>
      <c r="BD278" s="3">
        <f t="shared" si="209"/>
        <v>26</v>
      </c>
      <c r="BE278" s="3">
        <f t="shared" si="210"/>
        <v>72</v>
      </c>
    </row>
    <row r="279" spans="1:58" s="3" customFormat="1" x14ac:dyDescent="0.2">
      <c r="A279" s="3" t="s">
        <v>264</v>
      </c>
      <c r="B279" s="3" t="str">
        <f>LOWER(VLOOKUP(A279,Xtal_Templ!A:B,2,FALSE))</f>
        <v>drd2_human</v>
      </c>
      <c r="C279" s="3">
        <f>VLOOKUP($A279,'SegEnds_NonXtal_BW#'!$A:$Z,3,FALSE)+D279-50</f>
        <v>78</v>
      </c>
      <c r="D279" s="3">
        <v>99</v>
      </c>
      <c r="E279" s="3">
        <f>IF(ISERROR(VLOOKUP($A279,'SegEnds_NonXtal_BW#'!$A:$Z,4,FALSE)+VLOOKUP($A279,A:AL,4,FALSE)-50),"-",(VLOOKUP($A279,'SegEnds_NonXtal_BW#'!$A:$Z,4,FALSE)+VLOOKUP($A279,A:AL,4,FALSE)-50))</f>
        <v>109</v>
      </c>
      <c r="F279" s="3">
        <f t="shared" ref="F279:F319" si="215">G279-2</f>
        <v>110</v>
      </c>
      <c r="G279" s="3">
        <v>112</v>
      </c>
      <c r="H279" s="3">
        <f t="shared" ref="H279:I298" si="216">G279+1</f>
        <v>113</v>
      </c>
      <c r="I279" s="3">
        <f t="shared" si="216"/>
        <v>114</v>
      </c>
      <c r="J279" s="3">
        <v>127</v>
      </c>
      <c r="K279" s="3">
        <f>VLOOKUP($A279,'SegEnds_NonXtal_BW#'!$A:$Z,8,FALSE)+VLOOKUP($A279,A:AL,10,FALSE)-50</f>
        <v>145</v>
      </c>
      <c r="L279" s="3">
        <f>M279-1</f>
        <v>146</v>
      </c>
      <c r="M279" s="3">
        <v>147</v>
      </c>
      <c r="N279" s="3">
        <f>M279+2</f>
        <v>149</v>
      </c>
      <c r="O279" s="3">
        <f>N279+1</f>
        <v>150</v>
      </c>
      <c r="P279" s="3">
        <v>179</v>
      </c>
      <c r="Q279" s="3">
        <f>VLOOKUP($A279,'SegEnds_NonXtal_BW#'!$A:$Z,12,FALSE)+VLOOKUP($A279,A:AL,16,FALSE)-50</f>
        <v>185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191</v>
      </c>
      <c r="V279" s="3">
        <v>203</v>
      </c>
      <c r="W279" s="3">
        <f>IF(ISERROR(VLOOKUP($A279,'SegEnds_NonXtal_BW#'!$A:$Z,16,FALSE)+VLOOKUP($A279,A:AL,22,FALSE)-50),"-",(VLOOKUP($A279,'SegEnds_NonXtal_BW#'!$A:$Z,16,FALSE)+VLOOKUP($A279,A:AL,22,FALSE)-50))</f>
        <v>215</v>
      </c>
      <c r="X279" s="3">
        <f>IF(ISERROR(VLOOKUP($A279,'SegEnds_NonXtal_BW#'!$A:$Z,17,FALSE)+VLOOKUP($A279,A:AL,25,FALSE)-50),"-",(VLOOKUP($A279,'SegEnds_NonXtal_BW#'!$A:$Z,17,FALSE)+VLOOKUP($A279,A:AL,25,FALSE)-50))</f>
        <v>229</v>
      </c>
      <c r="Y279" s="3">
        <v>229</v>
      </c>
      <c r="Z279" s="3">
        <f t="shared" si="213"/>
        <v>231</v>
      </c>
      <c r="AA279" s="3">
        <f>IF(ISERROR(VLOOKUP($A279,'SegEnds_NonXtal_BW#'!$A:$Z,19,FALSE)+VLOOKUP($A279,A:AL,28,FALSE)-50),"-",(VLOOKUP($A279,'SegEnds_NonXtal_BW#'!$A:$Z,19,FALSE)+VLOOKUP($A279,A:AL,28,FALSE)-50))</f>
        <v>239</v>
      </c>
      <c r="AB279" s="3">
        <v>254</v>
      </c>
      <c r="AC279" s="3">
        <f>IF(ISERROR((VLOOKUP($A279,'SegEnds_NonXtal_BW#'!$A:$Z,20,FALSE)+VLOOKUP($A279,A:AL,28,FALSE)-50)),"-",(VLOOKUP($A279,'SegEnds_NonXtal_BW#'!$A:$Z,20,FALSE)+VLOOKUP($A279,A:AL,28,FALSE)-50))</f>
        <v>280</v>
      </c>
      <c r="AD279" s="3">
        <f>IF(ISERROR(VLOOKUP($A279,'SegEnds_NonXtal_BW#'!$A:$Z,21,FALSE)+VLOOKUP($A279,A:AL,31,FALSE)-50),"-",(VLOOKUP($A279,'SegEnds_NonXtal_BW#'!$A:$Z,21,FALSE)+VLOOKUP($A279,A:AL,31,FALSE)-50))</f>
        <v>303</v>
      </c>
      <c r="AE279" s="3">
        <v>329</v>
      </c>
      <c r="AF279" s="3">
        <f>IF(ISERROR((VLOOKUP($A279,'SegEnds_NonXtal_BW#'!$A:$Z,22,FALSE)+VLOOKUP($A279,A:AL,31,FALSE)-50)),"-",(VLOOKUP($A279,'SegEnds_NonXtal_BW#'!$A:$Z,22,FALSE)+VLOOKUP($A279,A:AL,31,FALSE)-50))</f>
        <v>340</v>
      </c>
      <c r="AG279" s="3">
        <f>IF(ISERROR(VLOOKUP($A279,'SegEnds_NonXtal_BW#'!$A:$Z,23,FALSE)+VLOOKUP($A279,A:AL,34,FALSE)-50),"-",(VLOOKUP($A279,'SegEnds_NonXtal_BW#'!$A:$Z,23,FALSE)+VLOOKUP($A279,A:AL,34,FALSE)-50))</f>
        <v>349</v>
      </c>
      <c r="AH279" s="3">
        <v>368</v>
      </c>
      <c r="AI279" s="3">
        <f>IF(ISERROR((VLOOKUP($A279,'SegEnds_NonXtal_BW#'!$A:$Z,24,FALSE)+VLOOKUP($A279,A:AL,34,FALSE)-50)),"-",(VLOOKUP($A279,'SegEnds_NonXtal_BW#'!$A:$Z,24,FALSE)+VLOOKUP($A279,A:AL,34,FALSE)-50))</f>
        <v>374</v>
      </c>
      <c r="AJ279" s="3">
        <f>IF(ISERROR(VLOOKUP($A279,'SegEnds_NonXtal_BW#'!$A:$Z,25,FALSE)+VLOOKUP($A279,A:AL,37,FALSE)-50),"-",(VLOOKUP($A279,'SegEnds_NonXtal_BW#'!$A:$Z,25,FALSE)+VLOOKUP($A279,A:AL,37,FALSE)-50))</f>
        <v>375</v>
      </c>
      <c r="AK279" s="3">
        <v>378</v>
      </c>
      <c r="AL279" s="3">
        <f>IF(ISERROR((VLOOKUP($A279,'SegEnds_NonXtal_BW#'!$A:$Z,26,FALSE)+VLOOKUP($A279,A:AL,37,FALSE)-50)),"-",(VLOOKUP($A279,'SegEnds_NonXtal_BW#'!$A:$Z,26,FALSE)+VLOOKUP($A279,A:AL,37,FALSE)-50))</f>
        <v>387</v>
      </c>
      <c r="AM279" s="28" t="str">
        <f>VLOOKUP(A279,Classification!A:B,2,FALSE)</f>
        <v>A</v>
      </c>
      <c r="AN279" s="28" t="b">
        <f t="shared" si="211"/>
        <v>1</v>
      </c>
      <c r="AO279" s="3" t="str">
        <f>IF(ISERROR(MATCH(A279,'SegEnds_Xtal_Prot#'!B:B, 0)), "NoXtal", "Xtal")</f>
        <v>NoXtal</v>
      </c>
      <c r="AP279" s="3">
        <f t="shared" si="196"/>
        <v>1</v>
      </c>
      <c r="AQ279" s="3">
        <f t="shared" si="197"/>
        <v>1</v>
      </c>
      <c r="AR279" s="3">
        <f t="shared" si="198"/>
        <v>1</v>
      </c>
      <c r="AS279" s="3">
        <f t="shared" si="199"/>
        <v>1</v>
      </c>
      <c r="AT279" s="3" t="str">
        <f t="shared" si="200"/>
        <v>-</v>
      </c>
      <c r="AU279" s="3" t="str">
        <f t="shared" si="201"/>
        <v>-</v>
      </c>
      <c r="AV279" s="3">
        <f t="shared" si="202"/>
        <v>14</v>
      </c>
      <c r="AW279" s="3">
        <f t="shared" si="203"/>
        <v>8</v>
      </c>
      <c r="AX279" s="3">
        <f t="shared" si="204"/>
        <v>23</v>
      </c>
      <c r="AY279" s="3">
        <f t="shared" si="205"/>
        <v>9</v>
      </c>
      <c r="AZ279" s="3">
        <f t="shared" si="206"/>
        <v>1</v>
      </c>
      <c r="BA279" s="3">
        <f>IF(ISERROR(LEN(VLOOKUP(A279,Seqs!A:E,2,FALSE))-AL279),"-",LEN(VLOOKUP(A279,Seqs!A:E,2,FALSE))-AL279)</f>
        <v>32</v>
      </c>
      <c r="BB279" s="16">
        <f t="shared" si="207"/>
        <v>28</v>
      </c>
      <c r="BC279" s="9" t="str">
        <f t="shared" si="208"/>
        <v>-</v>
      </c>
      <c r="BD279" s="3">
        <f t="shared" si="209"/>
        <v>28</v>
      </c>
      <c r="BE279" s="3">
        <f t="shared" si="210"/>
        <v>75</v>
      </c>
    </row>
    <row r="280" spans="1:58" s="3" customFormat="1" x14ac:dyDescent="0.2">
      <c r="A280" s="3" t="s">
        <v>265</v>
      </c>
      <c r="B280" s="3" t="str">
        <f>LOWER(VLOOKUP(A280,Xtal_Templ!A:B,2,FALSE))</f>
        <v>ccr9_human</v>
      </c>
      <c r="C280" s="3">
        <f>VLOOKUP($A280,'SegEnds_NonXtal_BW#'!$A:$Z,3,FALSE)+D280-50</f>
        <v>37</v>
      </c>
      <c r="D280" s="3">
        <v>60</v>
      </c>
      <c r="E280" s="3">
        <f>IF(ISERROR(VLOOKUP($A280,'SegEnds_NonXtal_BW#'!$A:$Z,4,FALSE)+VLOOKUP($A280,A:AL,4,FALSE)-50),"-",(VLOOKUP($A280,'SegEnds_NonXtal_BW#'!$A:$Z,4,FALSE)+VLOOKUP($A280,A:AL,4,FALSE)-50))</f>
        <v>70</v>
      </c>
      <c r="F280" s="3">
        <f t="shared" si="215"/>
        <v>73</v>
      </c>
      <c r="G280" s="3">
        <v>75</v>
      </c>
      <c r="H280" s="3">
        <f t="shared" si="216"/>
        <v>76</v>
      </c>
      <c r="I280" s="3">
        <f t="shared" si="216"/>
        <v>77</v>
      </c>
      <c r="J280" s="3">
        <v>90</v>
      </c>
      <c r="K280" s="3">
        <f>VLOOKUP($A280,'SegEnds_NonXtal_BW#'!$A:$Z,8,FALSE)+VLOOKUP($A280,A:AL,10,FALSE)-50</f>
        <v>107</v>
      </c>
      <c r="L280" s="3" t="str">
        <f>IF(ISERROR(VLOOKUP($A280,'SegEnds_NonXtal_BW#'!$A:$Z,9,FALSE)+VLOOKUP($A280,A:AL,13,FALSE)-50),"-",(VLOOKUP($A280,'SegEnds_NonXtal_BW#'!$A:$Z,9,FALSE)+VLOOKUP($A280,A:AL,13,FALSE)-50))</f>
        <v>-</v>
      </c>
      <c r="M280" s="3" t="s">
        <v>23</v>
      </c>
      <c r="N280" s="3" t="str">
        <f>IF(ISERROR(VLOOKUP($A280,'SegEnds_NonXtal_BW#'!$A:$Z,10,FALSE)+VLOOKUP($A280,A:AL,13,FALSE)-50),"-",(VLOOKUP($A280,'SegEnds_NonXtal_BW#'!$A:$Z,10,FALSE)+VLOOKUP($A280,A:AL,13,FALSE)-50))</f>
        <v>-</v>
      </c>
      <c r="O280" s="3">
        <f>VLOOKUP($A280,'SegEnds_NonXtal_BW#'!$A:$Z,11,FALSE)+VLOOKUP($A280,A:AL,16,FALSE)-50</f>
        <v>111</v>
      </c>
      <c r="P280" s="3">
        <v>143</v>
      </c>
      <c r="Q280" s="3">
        <f>VLOOKUP($A280,'SegEnds_NonXtal_BW#'!$A:$Z,12,FALSE)+VLOOKUP($A280,A:AL,16,FALSE)-50</f>
        <v>149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154</v>
      </c>
      <c r="V280" s="3">
        <v>169</v>
      </c>
      <c r="W280" s="3">
        <f>IF(ISERROR(VLOOKUP($A280,'SegEnds_NonXtal_BW#'!$A:$Z,16,FALSE)+VLOOKUP($A280,A:AL,22,FALSE)-50),"-",(VLOOKUP($A280,'SegEnds_NonXtal_BW#'!$A:$Z,16,FALSE)+VLOOKUP($A280,A:AL,22,FALSE)-50))</f>
        <v>183</v>
      </c>
      <c r="X280" s="3">
        <f>IF(ISERROR(VLOOKUP($A280,'SegEnds_NonXtal_BW#'!$A:$Z,17,FALSE)+VLOOKUP($A280,A:AL,25,FALSE)-50),"-",(VLOOKUP($A280,'SegEnds_NonXtal_BW#'!$A:$Z,17,FALSE)+VLOOKUP($A280,A:AL,25,FALSE)-50))</f>
        <v>189</v>
      </c>
      <c r="Y280" s="3">
        <v>189</v>
      </c>
      <c r="Z280" s="3">
        <f t="shared" si="213"/>
        <v>191</v>
      </c>
      <c r="AA280" s="3">
        <f>IF(ISERROR(VLOOKUP($A280,'SegEnds_NonXtal_BW#'!$A:$Z,19,FALSE)+VLOOKUP($A280,A:AL,28,FALSE)-50),"-",(VLOOKUP($A280,'SegEnds_NonXtal_BW#'!$A:$Z,19,FALSE)+VLOOKUP($A280,A:AL,28,FALSE)-50))</f>
        <v>197</v>
      </c>
      <c r="AB280" s="3">
        <v>214</v>
      </c>
      <c r="AC280" s="3">
        <f>IF(ISERROR((VLOOKUP($A280,'SegEnds_NonXtal_BW#'!$A:$Z,20,FALSE)+VLOOKUP($A280,A:AL,28,FALSE)-50)),"-",(VLOOKUP($A280,'SegEnds_NonXtal_BW#'!$A:$Z,20,FALSE)+VLOOKUP($A280,A:AL,28,FALSE)-50))</f>
        <v>240</v>
      </c>
      <c r="AD280" s="3">
        <f>IF(ISERROR(VLOOKUP($A280,'SegEnds_NonXtal_BW#'!$A:$Z,21,FALSE)+VLOOKUP($A280,A:AL,31,FALSE)-50),"-",(VLOOKUP($A280,'SegEnds_NonXtal_BW#'!$A:$Z,21,FALSE)+VLOOKUP($A280,A:AL,31,FALSE)-50))</f>
        <v>310</v>
      </c>
      <c r="AE280" s="3">
        <v>336</v>
      </c>
      <c r="AF280" s="3">
        <f>IF(ISERROR((VLOOKUP($A280,'SegEnds_NonXtal_BW#'!$A:$Z,22,FALSE)+VLOOKUP($A280,A:AL,31,FALSE)-50)),"-",(VLOOKUP($A280,'SegEnds_NonXtal_BW#'!$A:$Z,22,FALSE)+VLOOKUP($A280,A:AL,31,FALSE)-50))</f>
        <v>347</v>
      </c>
      <c r="AG280" s="3">
        <f>IF(ISERROR(VLOOKUP($A280,'SegEnds_NonXtal_BW#'!$A:$Z,23,FALSE)+VLOOKUP($A280,A:AL,34,FALSE)-50),"-",(VLOOKUP($A280,'SegEnds_NonXtal_BW#'!$A:$Z,23,FALSE)+VLOOKUP($A280,A:AL,34,FALSE)-50))</f>
        <v>354</v>
      </c>
      <c r="AH280" s="3">
        <v>373</v>
      </c>
      <c r="AI280" s="3">
        <f>IF(ISERROR((VLOOKUP($A280,'SegEnds_NonXtal_BW#'!$A:$Z,24,FALSE)+VLOOKUP($A280,A:AL,34,FALSE)-50)),"-",(VLOOKUP($A280,'SegEnds_NonXtal_BW#'!$A:$Z,24,FALSE)+VLOOKUP($A280,A:AL,34,FALSE)-50))</f>
        <v>379</v>
      </c>
      <c r="AJ280" s="3">
        <f>IF(ISERROR(VLOOKUP($A280,'SegEnds_NonXtal_BW#'!$A:$Z,25,FALSE)+VLOOKUP($A280,A:AL,37,FALSE)-50),"-",(VLOOKUP($A280,'SegEnds_NonXtal_BW#'!$A:$Z,25,FALSE)+VLOOKUP($A280,A:AL,37,FALSE)-50))</f>
        <v>380</v>
      </c>
      <c r="AK280" s="3">
        <v>383</v>
      </c>
      <c r="AL280" s="3">
        <f>IF(ISERROR((VLOOKUP($A280,'SegEnds_NonXtal_BW#'!$A:$Z,26,FALSE)+VLOOKUP($A280,A:AL,37,FALSE)-50)),"-",(VLOOKUP($A280,'SegEnds_NonXtal_BW#'!$A:$Z,26,FALSE)+VLOOKUP($A280,A:AL,37,FALSE)-50))</f>
        <v>400</v>
      </c>
      <c r="AM280" s="28" t="str">
        <f>VLOOKUP(A280,Classification!A:B,2,FALSE)</f>
        <v>A</v>
      </c>
      <c r="AN280" s="28" t="b">
        <f t="shared" si="211"/>
        <v>1</v>
      </c>
      <c r="AO280" s="3" t="str">
        <f>IF(ISERROR(MATCH(A280,'SegEnds_Xtal_Prot#'!B:B, 0)), "NoXtal", "Xtal")</f>
        <v>NoXtal</v>
      </c>
      <c r="AP280" s="3">
        <f t="shared" si="196"/>
        <v>3</v>
      </c>
      <c r="AQ280" s="3">
        <f t="shared" si="197"/>
        <v>1</v>
      </c>
      <c r="AR280" s="3" t="str">
        <f t="shared" si="198"/>
        <v>-</v>
      </c>
      <c r="AS280" s="3" t="str">
        <f t="shared" si="199"/>
        <v>-</v>
      </c>
      <c r="AT280" s="3" t="str">
        <f t="shared" si="200"/>
        <v>-</v>
      </c>
      <c r="AU280" s="3" t="str">
        <f t="shared" si="201"/>
        <v>-</v>
      </c>
      <c r="AV280" s="3">
        <f t="shared" si="202"/>
        <v>6</v>
      </c>
      <c r="AW280" s="3">
        <f t="shared" si="203"/>
        <v>6</v>
      </c>
      <c r="AX280" s="3">
        <f t="shared" si="204"/>
        <v>70</v>
      </c>
      <c r="AY280" s="3">
        <f t="shared" si="205"/>
        <v>7</v>
      </c>
      <c r="AZ280" s="3">
        <f t="shared" si="206"/>
        <v>1</v>
      </c>
      <c r="BA280" s="3">
        <f>IF(ISERROR(LEN(VLOOKUP(A280,Seqs!A:E,2,FALSE))-AL280),"-",LEN(VLOOKUP(A280,Seqs!A:E,2,FALSE))-AL280)</f>
        <v>140</v>
      </c>
      <c r="BB280" s="16">
        <f t="shared" si="207"/>
        <v>30</v>
      </c>
      <c r="BC280" s="9" t="str">
        <f t="shared" si="208"/>
        <v>-</v>
      </c>
      <c r="BD280" s="3">
        <f t="shared" si="209"/>
        <v>30</v>
      </c>
      <c r="BE280" s="3">
        <f t="shared" si="210"/>
        <v>122</v>
      </c>
    </row>
    <row r="281" spans="1:58" s="3" customFormat="1" x14ac:dyDescent="0.2">
      <c r="A281" s="3" t="s">
        <v>268</v>
      </c>
      <c r="B281" s="3" t="str">
        <f>LOWER(VLOOKUP(A281,Xtal_Templ!A:B,2,FALSE))</f>
        <v>ox2r_human</v>
      </c>
      <c r="C281" s="3">
        <f>VLOOKUP($A281,'SegEnds_NonXtal_BW#'!$A:$Z,3,FALSE)+D281-50</f>
        <v>70</v>
      </c>
      <c r="D281" s="3">
        <v>89</v>
      </c>
      <c r="E281" s="3">
        <f>IF(ISERROR(VLOOKUP($A281,'SegEnds_NonXtal_BW#'!$A:$Z,4,FALSE)+VLOOKUP($A281,A:AL,4,FALSE)-50),"-",(VLOOKUP($A281,'SegEnds_NonXtal_BW#'!$A:$Z,4,FALSE)+VLOOKUP($A281,A:AL,4,FALSE)-50))</f>
        <v>99</v>
      </c>
      <c r="F281" s="3">
        <f t="shared" si="215"/>
        <v>100</v>
      </c>
      <c r="G281" s="3">
        <v>102</v>
      </c>
      <c r="H281" s="3">
        <f t="shared" si="216"/>
        <v>103</v>
      </c>
      <c r="I281" s="3">
        <f t="shared" si="216"/>
        <v>104</v>
      </c>
      <c r="J281" s="3">
        <v>117</v>
      </c>
      <c r="K281" s="3">
        <f>VLOOKUP($A281,'SegEnds_NonXtal_BW#'!$A:$Z,8,FALSE)+VLOOKUP($A281,A:AL,10,FALSE)-50</f>
        <v>135</v>
      </c>
      <c r="L281" s="3">
        <f t="shared" ref="L281:L298" si="217">M281-1</f>
        <v>136</v>
      </c>
      <c r="M281" s="3">
        <v>137</v>
      </c>
      <c r="N281" s="3">
        <f t="shared" ref="N281:N298" si="218">M281+2</f>
        <v>139</v>
      </c>
      <c r="O281" s="3">
        <f t="shared" ref="O281:O298" si="219">N281+1</f>
        <v>140</v>
      </c>
      <c r="P281" s="3">
        <v>169</v>
      </c>
      <c r="Q281" s="3">
        <f>VLOOKUP($A281,'SegEnds_NonXtal_BW#'!$A:$Z,12,FALSE)+VLOOKUP($A281,A:AL,16,FALSE)-50</f>
        <v>175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182</v>
      </c>
      <c r="V281" s="3">
        <v>194</v>
      </c>
      <c r="W281" s="3">
        <f>IF(ISERROR(VLOOKUP($A281,'SegEnds_NonXtal_BW#'!$A:$Z,16,FALSE)+VLOOKUP($A281,A:AL,22,FALSE)-50),"-",(VLOOKUP($A281,'SegEnds_NonXtal_BW#'!$A:$Z,16,FALSE)+VLOOKUP($A281,A:AL,22,FALSE)-50))</f>
        <v>208</v>
      </c>
      <c r="X281" s="3">
        <f>IF(ISERROR(VLOOKUP($A281,'SegEnds_NonXtal_BW#'!$A:$Z,17,FALSE)+VLOOKUP($A281,A:AL,25,FALSE)-50),"-",(VLOOKUP($A281,'SegEnds_NonXtal_BW#'!$A:$Z,17,FALSE)+VLOOKUP($A281,A:AL,25,FALSE)-50))</f>
        <v>224</v>
      </c>
      <c r="Y281" s="3">
        <v>224</v>
      </c>
      <c r="Z281" s="3">
        <f t="shared" si="213"/>
        <v>226</v>
      </c>
      <c r="AA281" s="3">
        <f>IF(ISERROR(VLOOKUP($A281,'SegEnds_NonXtal_BW#'!$A:$Z,19,FALSE)+VLOOKUP($A281,A:AL,28,FALSE)-50),"-",(VLOOKUP($A281,'SegEnds_NonXtal_BW#'!$A:$Z,19,FALSE)+VLOOKUP($A281,A:AL,28,FALSE)-50))</f>
        <v>234</v>
      </c>
      <c r="AB281" s="3">
        <v>251</v>
      </c>
      <c r="AC281" s="3">
        <f>IF(ISERROR((VLOOKUP($A281,'SegEnds_NonXtal_BW#'!$A:$Z,20,FALSE)+VLOOKUP($A281,A:AL,28,FALSE)-50)),"-",(VLOOKUP($A281,'SegEnds_NonXtal_BW#'!$A:$Z,20,FALSE)+VLOOKUP($A281,A:AL,28,FALSE)-50))</f>
        <v>274</v>
      </c>
      <c r="AD281" s="3">
        <f>IF(ISERROR(VLOOKUP($A281,'SegEnds_NonXtal_BW#'!$A:$Z,21,FALSE)+VLOOKUP($A281,A:AL,31,FALSE)-50),"-",(VLOOKUP($A281,'SegEnds_NonXtal_BW#'!$A:$Z,21,FALSE)+VLOOKUP($A281,A:AL,31,FALSE)-50))</f>
        <v>279</v>
      </c>
      <c r="AE281" s="3">
        <v>307</v>
      </c>
      <c r="AF281" s="3">
        <f>IF(ISERROR((VLOOKUP($A281,'SegEnds_NonXtal_BW#'!$A:$Z,22,FALSE)+VLOOKUP($A281,A:AL,31,FALSE)-50)),"-",(VLOOKUP($A281,'SegEnds_NonXtal_BW#'!$A:$Z,22,FALSE)+VLOOKUP($A281,A:AL,31,FALSE)-50))</f>
        <v>318</v>
      </c>
      <c r="AG281" s="3">
        <f>IF(ISERROR(VLOOKUP($A281,'SegEnds_NonXtal_BW#'!$A:$Z,23,FALSE)+VLOOKUP($A281,A:AL,34,FALSE)-50),"-",(VLOOKUP($A281,'SegEnds_NonXtal_BW#'!$A:$Z,23,FALSE)+VLOOKUP($A281,A:AL,34,FALSE)-50))</f>
        <v>323</v>
      </c>
      <c r="AH281" s="3">
        <v>342</v>
      </c>
      <c r="AI281" s="3">
        <f>IF(ISERROR((VLOOKUP($A281,'SegEnds_NonXtal_BW#'!$A:$Z,24,FALSE)+VLOOKUP($A281,A:AL,34,FALSE)-50)),"-",(VLOOKUP($A281,'SegEnds_NonXtal_BW#'!$A:$Z,24,FALSE)+VLOOKUP($A281,A:AL,34,FALSE)-50))</f>
        <v>348</v>
      </c>
      <c r="AJ281" s="3">
        <f>IF(ISERROR(VLOOKUP($A281,'SegEnds_NonXtal_BW#'!$A:$Z,25,FALSE)+VLOOKUP($A281,A:AL,37,FALSE)-50),"-",(VLOOKUP($A281,'SegEnds_NonXtal_BW#'!$A:$Z,25,FALSE)+VLOOKUP($A281,A:AL,37,FALSE)-50))</f>
        <v>349</v>
      </c>
      <c r="AK281" s="3">
        <v>352</v>
      </c>
      <c r="AL281" s="3">
        <f>IF(ISERROR((VLOOKUP($A281,'SegEnds_NonXtal_BW#'!$A:$Z,26,FALSE)+VLOOKUP($A281,A:AL,37,FALSE)-50)),"-",(VLOOKUP($A281,'SegEnds_NonXtal_BW#'!$A:$Z,26,FALSE)+VLOOKUP($A281,A:AL,37,FALSE)-50))</f>
        <v>365</v>
      </c>
      <c r="AM281" s="28" t="str">
        <f>VLOOKUP(A281,Classification!A:B,2,FALSE)</f>
        <v>A</v>
      </c>
      <c r="AN281" s="28" t="b">
        <f t="shared" si="211"/>
        <v>1</v>
      </c>
      <c r="AO281" s="3" t="str">
        <f>IF(ISERROR(MATCH(A281,'SegEnds_Xtal_Prot#'!B:B, 0)), "NoXtal", "Xtal")</f>
        <v>NoXtal</v>
      </c>
      <c r="AP281" s="3">
        <f t="shared" si="196"/>
        <v>1</v>
      </c>
      <c r="AQ281" s="3">
        <f t="shared" si="197"/>
        <v>1</v>
      </c>
      <c r="AR281" s="3">
        <f t="shared" si="198"/>
        <v>1</v>
      </c>
      <c r="AS281" s="3">
        <f t="shared" si="199"/>
        <v>1</v>
      </c>
      <c r="AT281" s="3" t="str">
        <f t="shared" si="200"/>
        <v>-</v>
      </c>
      <c r="AU281" s="3" t="str">
        <f t="shared" si="201"/>
        <v>-</v>
      </c>
      <c r="AV281" s="3">
        <f t="shared" si="202"/>
        <v>16</v>
      </c>
      <c r="AW281" s="3">
        <f t="shared" si="203"/>
        <v>8</v>
      </c>
      <c r="AX281" s="3">
        <f t="shared" si="204"/>
        <v>5</v>
      </c>
      <c r="AY281" s="3">
        <f t="shared" si="205"/>
        <v>5</v>
      </c>
      <c r="AZ281" s="3">
        <f t="shared" si="206"/>
        <v>1</v>
      </c>
      <c r="BA281" s="3">
        <f>IF(ISERROR(LEN(VLOOKUP(A281,Seqs!A:E,2,FALSE))-AL281),"-",LEN(VLOOKUP(A281,Seqs!A:E,2,FALSE))-AL281)</f>
        <v>58</v>
      </c>
      <c r="BB281" s="16">
        <f t="shared" si="207"/>
        <v>28</v>
      </c>
      <c r="BC281" s="9" t="str">
        <f t="shared" si="208"/>
        <v>-</v>
      </c>
      <c r="BD281" s="3">
        <f t="shared" si="209"/>
        <v>28</v>
      </c>
      <c r="BE281" s="3">
        <f t="shared" si="210"/>
        <v>56</v>
      </c>
    </row>
    <row r="282" spans="1:58" s="3" customFormat="1" x14ac:dyDescent="0.2">
      <c r="A282" s="3" t="s">
        <v>313</v>
      </c>
      <c r="B282" s="3" t="str">
        <f>LOWER(VLOOKUP(A282,Xtal_Templ!A:B,2,FALSE))</f>
        <v>nk1r_human</v>
      </c>
      <c r="C282" s="3">
        <f>VLOOKUP($A282,'SegEnds_NonXtal_BW#'!$A:$Z,3,FALSE)+D282-50</f>
        <v>28</v>
      </c>
      <c r="D282" s="3">
        <v>50</v>
      </c>
      <c r="E282" s="3">
        <f>IF(ISERROR(VLOOKUP($A282,'SegEnds_NonXtal_BW#'!$A:$Z,4,FALSE)+VLOOKUP($A282,A:AL,4,FALSE)-50),"-",(VLOOKUP($A282,'SegEnds_NonXtal_BW#'!$A:$Z,4,FALSE)+VLOOKUP($A282,A:AL,4,FALSE)-50))</f>
        <v>60</v>
      </c>
      <c r="F282" s="3">
        <f t="shared" si="215"/>
        <v>61</v>
      </c>
      <c r="G282" s="3">
        <v>63</v>
      </c>
      <c r="H282" s="3">
        <f t="shared" si="216"/>
        <v>64</v>
      </c>
      <c r="I282" s="3">
        <f t="shared" si="216"/>
        <v>65</v>
      </c>
      <c r="J282" s="3">
        <v>78</v>
      </c>
      <c r="K282" s="3">
        <f>VLOOKUP($A282,'SegEnds_NonXtal_BW#'!$A:$Z,8,FALSE)+VLOOKUP($A282,A:AL,10,FALSE)-50</f>
        <v>96</v>
      </c>
      <c r="L282" s="3">
        <f t="shared" si="217"/>
        <v>97</v>
      </c>
      <c r="M282" s="3">
        <v>98</v>
      </c>
      <c r="N282" s="3">
        <f t="shared" si="218"/>
        <v>100</v>
      </c>
      <c r="O282" s="3">
        <f t="shared" si="219"/>
        <v>101</v>
      </c>
      <c r="P282" s="3">
        <v>130</v>
      </c>
      <c r="Q282" s="3">
        <f>VLOOKUP($A282,'SegEnds_NonXtal_BW#'!$A:$Z,12,FALSE)+VLOOKUP($A282,A:AL,16,FALSE)-50</f>
        <v>136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143</v>
      </c>
      <c r="V282" s="3">
        <v>155</v>
      </c>
      <c r="W282" s="3">
        <f>IF(ISERROR(VLOOKUP($A282,'SegEnds_NonXtal_BW#'!$A:$Z,16,FALSE)+VLOOKUP($A282,A:AL,22,FALSE)-50),"-",(VLOOKUP($A282,'SegEnds_NonXtal_BW#'!$A:$Z,16,FALSE)+VLOOKUP($A282,A:AL,22,FALSE)-50))</f>
        <v>169</v>
      </c>
      <c r="X282" s="3">
        <f>IF(ISERROR(VLOOKUP($A282,'SegEnds_NonXtal_BW#'!$A:$Z,17,FALSE)+VLOOKUP($A282,A:AL,25,FALSE)-50),"-",(VLOOKUP($A282,'SegEnds_NonXtal_BW#'!$A:$Z,17,FALSE)+VLOOKUP($A282,A:AL,25,FALSE)-50))</f>
        <v>180</v>
      </c>
      <c r="Y282" s="3">
        <v>180</v>
      </c>
      <c r="Z282" s="3">
        <f t="shared" si="213"/>
        <v>182</v>
      </c>
      <c r="AA282" s="3">
        <f>IF(ISERROR(VLOOKUP($A282,'SegEnds_NonXtal_BW#'!$A:$Z,19,FALSE)+VLOOKUP($A282,A:AL,28,FALSE)-50),"-",(VLOOKUP($A282,'SegEnds_NonXtal_BW#'!$A:$Z,19,FALSE)+VLOOKUP($A282,A:AL,28,FALSE)-50))</f>
        <v>188</v>
      </c>
      <c r="AB282" s="3">
        <v>208</v>
      </c>
      <c r="AC282" s="3">
        <f>IF(ISERROR((VLOOKUP($A282,'SegEnds_NonXtal_BW#'!$A:$Z,20,FALSE)+VLOOKUP($A282,A:AL,28,FALSE)-50)),"-",(VLOOKUP($A282,'SegEnds_NonXtal_BW#'!$A:$Z,20,FALSE)+VLOOKUP($A282,A:AL,28,FALSE)-50))</f>
        <v>231</v>
      </c>
      <c r="AD282" s="3">
        <f>IF(ISERROR(VLOOKUP($A282,'SegEnds_NonXtal_BW#'!$A:$Z,21,FALSE)+VLOOKUP($A282,A:AL,31,FALSE)-50),"-",(VLOOKUP($A282,'SegEnds_NonXtal_BW#'!$A:$Z,21,FALSE)+VLOOKUP($A282,A:AL,31,FALSE)-50))</f>
        <v>235</v>
      </c>
      <c r="AE282" s="3">
        <v>263</v>
      </c>
      <c r="AF282" s="3">
        <f>IF(ISERROR((VLOOKUP($A282,'SegEnds_NonXtal_BW#'!$A:$Z,22,FALSE)+VLOOKUP($A282,A:AL,31,FALSE)-50)),"-",(VLOOKUP($A282,'SegEnds_NonXtal_BW#'!$A:$Z,22,FALSE)+VLOOKUP($A282,A:AL,31,FALSE)-50))</f>
        <v>274</v>
      </c>
      <c r="AG282" s="3">
        <f>IF(ISERROR(VLOOKUP($A282,'SegEnds_NonXtal_BW#'!$A:$Z,23,FALSE)+VLOOKUP($A282,A:AL,34,FALSE)-50),"-",(VLOOKUP($A282,'SegEnds_NonXtal_BW#'!$A:$Z,23,FALSE)+VLOOKUP($A282,A:AL,34,FALSE)-50))</f>
        <v>282</v>
      </c>
      <c r="AH282" s="3">
        <v>302</v>
      </c>
      <c r="AI282" s="3">
        <f>IF(ISERROR((VLOOKUP($A282,'SegEnds_NonXtal_BW#'!$A:$Z,24,FALSE)+VLOOKUP($A282,A:AL,34,FALSE)-50)),"-",(VLOOKUP($A282,'SegEnds_NonXtal_BW#'!$A:$Z,24,FALSE)+VLOOKUP($A282,A:AL,34,FALSE)-50))</f>
        <v>308</v>
      </c>
      <c r="AJ282" s="3">
        <f>IF(ISERROR(VLOOKUP($A282,'SegEnds_NonXtal_BW#'!$A:$Z,25,FALSE)+VLOOKUP($A282,A:AL,37,FALSE)-50),"-",(VLOOKUP($A282,'SegEnds_NonXtal_BW#'!$A:$Z,25,FALSE)+VLOOKUP($A282,A:AL,37,FALSE)-50))</f>
        <v>309</v>
      </c>
      <c r="AK282" s="3">
        <v>312</v>
      </c>
      <c r="AL282" s="3">
        <f>IF(ISERROR((VLOOKUP($A282,'SegEnds_NonXtal_BW#'!$A:$Z,26,FALSE)+VLOOKUP($A282,A:AL,37,FALSE)-50)),"-",(VLOOKUP($A282,'SegEnds_NonXtal_BW#'!$A:$Z,26,FALSE)+VLOOKUP($A282,A:AL,37,FALSE)-50))</f>
        <v>320</v>
      </c>
      <c r="AM282" s="28" t="str">
        <f>VLOOKUP(A282,Classification!A:B,2,FALSE)</f>
        <v>A</v>
      </c>
      <c r="AN282" s="28" t="b">
        <f t="shared" si="211"/>
        <v>1</v>
      </c>
      <c r="AO282" s="3" t="str">
        <f>IF(ISERROR(MATCH(A282,'SegEnds_Xtal_Prot#'!B:B, 0)), "NoXtal", "Xtal")</f>
        <v>Xtal</v>
      </c>
      <c r="AP282" s="3">
        <f t="shared" si="196"/>
        <v>1</v>
      </c>
      <c r="AQ282" s="3">
        <f t="shared" si="197"/>
        <v>1</v>
      </c>
      <c r="AR282" s="3">
        <f t="shared" si="198"/>
        <v>1</v>
      </c>
      <c r="AS282" s="3">
        <f t="shared" si="199"/>
        <v>1</v>
      </c>
      <c r="AT282" s="3" t="str">
        <f t="shared" si="200"/>
        <v>-</v>
      </c>
      <c r="AU282" s="3" t="str">
        <f t="shared" si="201"/>
        <v>-</v>
      </c>
      <c r="AV282" s="3">
        <f t="shared" si="202"/>
        <v>11</v>
      </c>
      <c r="AW282" s="3">
        <f t="shared" si="203"/>
        <v>6</v>
      </c>
      <c r="AX282" s="3">
        <f t="shared" si="204"/>
        <v>4</v>
      </c>
      <c r="AY282" s="3">
        <f t="shared" si="205"/>
        <v>8</v>
      </c>
      <c r="AZ282" s="3">
        <f t="shared" si="206"/>
        <v>1</v>
      </c>
      <c r="BA282" s="3">
        <f>IF(ISERROR(LEN(VLOOKUP(A282,Seqs!A:E,2,FALSE))-AL282),"-",LEN(VLOOKUP(A282,Seqs!A:E,2,FALSE))-AL282)</f>
        <v>87</v>
      </c>
      <c r="BB282" s="16">
        <f t="shared" si="207"/>
        <v>28</v>
      </c>
      <c r="BC282" s="9" t="str">
        <f t="shared" si="208"/>
        <v>-</v>
      </c>
      <c r="BD282" s="3">
        <f t="shared" si="209"/>
        <v>28</v>
      </c>
      <c r="BE282" s="3">
        <f t="shared" si="210"/>
        <v>55</v>
      </c>
    </row>
    <row r="283" spans="1:58" s="3" customFormat="1" x14ac:dyDescent="0.2">
      <c r="A283" s="3" t="s">
        <v>314</v>
      </c>
      <c r="B283" s="3" t="str">
        <f>LOWER(VLOOKUP(A283,Xtal_Templ!A:B,2,FALSE))</f>
        <v>nk1r_human</v>
      </c>
      <c r="C283" s="3">
        <f>VLOOKUP($A283,'SegEnds_NonXtal_BW#'!$A:$Z,3,FALSE)+D283-50</f>
        <v>29</v>
      </c>
      <c r="D283" s="3">
        <v>51</v>
      </c>
      <c r="E283" s="3">
        <f>IF(ISERROR(VLOOKUP($A283,'SegEnds_NonXtal_BW#'!$A:$Z,4,FALSE)+VLOOKUP($A283,A:AL,4,FALSE)-50),"-",(VLOOKUP($A283,'SegEnds_NonXtal_BW#'!$A:$Z,4,FALSE)+VLOOKUP($A283,A:AL,4,FALSE)-50))</f>
        <v>61</v>
      </c>
      <c r="F283" s="3">
        <f t="shared" si="215"/>
        <v>62</v>
      </c>
      <c r="G283" s="3">
        <v>64</v>
      </c>
      <c r="H283" s="3">
        <f t="shared" si="216"/>
        <v>65</v>
      </c>
      <c r="I283" s="3">
        <f t="shared" si="216"/>
        <v>66</v>
      </c>
      <c r="J283" s="3">
        <v>79</v>
      </c>
      <c r="K283" s="3">
        <f>VLOOKUP($A283,'SegEnds_NonXtal_BW#'!$A:$Z,8,FALSE)+VLOOKUP($A283,A:AL,10,FALSE)-50</f>
        <v>97</v>
      </c>
      <c r="L283" s="3">
        <f t="shared" si="217"/>
        <v>98</v>
      </c>
      <c r="M283" s="3">
        <v>99</v>
      </c>
      <c r="N283" s="3">
        <f t="shared" si="218"/>
        <v>101</v>
      </c>
      <c r="O283" s="3">
        <f t="shared" si="219"/>
        <v>102</v>
      </c>
      <c r="P283" s="3">
        <v>131</v>
      </c>
      <c r="Q283" s="3">
        <f>VLOOKUP($A283,'SegEnds_NonXtal_BW#'!$A:$Z,12,FALSE)+VLOOKUP($A283,A:AL,16,FALSE)-50</f>
        <v>137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144</v>
      </c>
      <c r="V283" s="3">
        <v>156</v>
      </c>
      <c r="W283" s="3">
        <f>IF(ISERROR(VLOOKUP($A283,'SegEnds_NonXtal_BW#'!$A:$Z,16,FALSE)+VLOOKUP($A283,A:AL,22,FALSE)-50),"-",(VLOOKUP($A283,'SegEnds_NonXtal_BW#'!$A:$Z,16,FALSE)+VLOOKUP($A283,A:AL,22,FALSE)-50))</f>
        <v>170</v>
      </c>
      <c r="X283" s="3">
        <f>IF(ISERROR(VLOOKUP($A283,'SegEnds_NonXtal_BW#'!$A:$Z,17,FALSE)+VLOOKUP($A283,A:AL,25,FALSE)-50),"-",(VLOOKUP($A283,'SegEnds_NonXtal_BW#'!$A:$Z,17,FALSE)+VLOOKUP($A283,A:AL,25,FALSE)-50))</f>
        <v>181</v>
      </c>
      <c r="Y283" s="3">
        <v>181</v>
      </c>
      <c r="Z283" s="3">
        <f t="shared" si="213"/>
        <v>183</v>
      </c>
      <c r="AA283" s="3">
        <f>IF(ISERROR(VLOOKUP($A283,'SegEnds_NonXtal_BW#'!$A:$Z,19,FALSE)+VLOOKUP($A283,A:AL,28,FALSE)-50),"-",(VLOOKUP($A283,'SegEnds_NonXtal_BW#'!$A:$Z,19,FALSE)+VLOOKUP($A283,A:AL,28,FALSE)-50))</f>
        <v>189</v>
      </c>
      <c r="AB283" s="3">
        <v>209</v>
      </c>
      <c r="AC283" s="3">
        <f>IF(ISERROR((VLOOKUP($A283,'SegEnds_NonXtal_BW#'!$A:$Z,20,FALSE)+VLOOKUP($A283,A:AL,28,FALSE)-50)),"-",(VLOOKUP($A283,'SegEnds_NonXtal_BW#'!$A:$Z,20,FALSE)+VLOOKUP($A283,A:AL,28,FALSE)-50))</f>
        <v>232</v>
      </c>
      <c r="AD283" s="3">
        <f>IF(ISERROR(VLOOKUP($A283,'SegEnds_NonXtal_BW#'!$A:$Z,21,FALSE)+VLOOKUP($A283,A:AL,31,FALSE)-50),"-",(VLOOKUP($A283,'SegEnds_NonXtal_BW#'!$A:$Z,21,FALSE)+VLOOKUP($A283,A:AL,31,FALSE)-50))</f>
        <v>237</v>
      </c>
      <c r="AE283" s="3">
        <v>265</v>
      </c>
      <c r="AF283" s="3">
        <f>IF(ISERROR((VLOOKUP($A283,'SegEnds_NonXtal_BW#'!$A:$Z,22,FALSE)+VLOOKUP($A283,A:AL,31,FALSE)-50)),"-",(VLOOKUP($A283,'SegEnds_NonXtal_BW#'!$A:$Z,22,FALSE)+VLOOKUP($A283,A:AL,31,FALSE)-50))</f>
        <v>276</v>
      </c>
      <c r="AG283" s="3">
        <f>IF(ISERROR(VLOOKUP($A283,'SegEnds_NonXtal_BW#'!$A:$Z,23,FALSE)+VLOOKUP($A283,A:AL,34,FALSE)-50),"-",(VLOOKUP($A283,'SegEnds_NonXtal_BW#'!$A:$Z,23,FALSE)+VLOOKUP($A283,A:AL,34,FALSE)-50))</f>
        <v>284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322</v>
      </c>
      <c r="AM283" s="28" t="str">
        <f>VLOOKUP(A283,Classification!A:B,2,FALSE)</f>
        <v>A</v>
      </c>
      <c r="AN283" s="28" t="b">
        <f t="shared" si="211"/>
        <v>1</v>
      </c>
      <c r="AO283" s="3" t="str">
        <f>IF(ISERROR(MATCH(A283,'SegEnds_Xtal_Prot#'!B:B, 0)), "NoXtal", "Xtal")</f>
        <v>NoXtal</v>
      </c>
      <c r="AP283" s="3">
        <f t="shared" si="196"/>
        <v>1</v>
      </c>
      <c r="AQ283" s="3">
        <f t="shared" si="197"/>
        <v>1</v>
      </c>
      <c r="AR283" s="3">
        <f t="shared" si="198"/>
        <v>1</v>
      </c>
      <c r="AS283" s="3">
        <f t="shared" si="199"/>
        <v>1</v>
      </c>
      <c r="AT283" s="3" t="str">
        <f t="shared" si="200"/>
        <v>-</v>
      </c>
      <c r="AU283" s="3" t="str">
        <f t="shared" si="201"/>
        <v>-</v>
      </c>
      <c r="AV283" s="3">
        <f t="shared" si="202"/>
        <v>11</v>
      </c>
      <c r="AW283" s="3">
        <f t="shared" si="203"/>
        <v>6</v>
      </c>
      <c r="AX283" s="3">
        <f t="shared" si="204"/>
        <v>5</v>
      </c>
      <c r="AY283" s="3">
        <f t="shared" si="205"/>
        <v>8</v>
      </c>
      <c r="AZ283" s="3">
        <f t="shared" si="206"/>
        <v>1</v>
      </c>
      <c r="BA283" s="3">
        <f>IF(ISERROR(LEN(VLOOKUP(A283,Seqs!A:E,2,FALSE))-AL283),"-",LEN(VLOOKUP(A283,Seqs!A:E,2,FALSE))-AL283)</f>
        <v>76</v>
      </c>
      <c r="BB283" s="16">
        <f t="shared" si="207"/>
        <v>28</v>
      </c>
      <c r="BC283" s="9" t="str">
        <f t="shared" si="208"/>
        <v>-</v>
      </c>
      <c r="BD283" s="3">
        <f t="shared" si="209"/>
        <v>28</v>
      </c>
      <c r="BE283" s="3">
        <f t="shared" si="210"/>
        <v>56</v>
      </c>
    </row>
    <row r="284" spans="1:58" s="3" customFormat="1" x14ac:dyDescent="0.2">
      <c r="A284" s="3" t="s">
        <v>315</v>
      </c>
      <c r="B284" s="3" t="str">
        <f>LOWER(VLOOKUP(A284,Xtal_Templ!A:B,2,FALSE))</f>
        <v>nk1r_human</v>
      </c>
      <c r="C284" s="3">
        <f>VLOOKUP($A284,'SegEnds_NonXtal_BW#'!$A:$Z,3,FALSE)+D284-50</f>
        <v>81</v>
      </c>
      <c r="D284" s="3">
        <v>103</v>
      </c>
      <c r="E284" s="3">
        <f>IF(ISERROR(VLOOKUP($A284,'SegEnds_NonXtal_BW#'!$A:$Z,4,FALSE)+VLOOKUP($A284,A:AL,4,FALSE)-50),"-",(VLOOKUP($A284,'SegEnds_NonXtal_BW#'!$A:$Z,4,FALSE)+VLOOKUP($A284,A:AL,4,FALSE)-50))</f>
        <v>113</v>
      </c>
      <c r="F284" s="3">
        <f t="shared" si="215"/>
        <v>114</v>
      </c>
      <c r="G284" s="3">
        <v>116</v>
      </c>
      <c r="H284" s="3">
        <f t="shared" si="216"/>
        <v>117</v>
      </c>
      <c r="I284" s="3">
        <f t="shared" si="216"/>
        <v>118</v>
      </c>
      <c r="J284" s="3">
        <v>131</v>
      </c>
      <c r="K284" s="3">
        <f>VLOOKUP($A284,'SegEnds_NonXtal_BW#'!$A:$Z,8,FALSE)+VLOOKUP($A284,A:AL,10,FALSE)-50</f>
        <v>149</v>
      </c>
      <c r="L284" s="3">
        <f t="shared" si="217"/>
        <v>150</v>
      </c>
      <c r="M284" s="3">
        <v>151</v>
      </c>
      <c r="N284" s="3">
        <f t="shared" si="218"/>
        <v>153</v>
      </c>
      <c r="O284" s="3">
        <f t="shared" si="219"/>
        <v>154</v>
      </c>
      <c r="P284" s="3">
        <v>183</v>
      </c>
      <c r="Q284" s="3">
        <f>VLOOKUP($A284,'SegEnds_NonXtal_BW#'!$A:$Z,12,FALSE)+VLOOKUP($A284,A:AL,16,FALSE)-50</f>
        <v>189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196</v>
      </c>
      <c r="V284" s="3">
        <v>208</v>
      </c>
      <c r="W284" s="3">
        <f>IF(ISERROR(VLOOKUP($A284,'SegEnds_NonXtal_BW#'!$A:$Z,16,FALSE)+VLOOKUP($A284,A:AL,22,FALSE)-50),"-",(VLOOKUP($A284,'SegEnds_NonXtal_BW#'!$A:$Z,16,FALSE)+VLOOKUP($A284,A:AL,22,FALSE)-50))</f>
        <v>222</v>
      </c>
      <c r="X284" s="3">
        <f>IF(ISERROR(VLOOKUP($A284,'SegEnds_NonXtal_BW#'!$A:$Z,17,FALSE)+VLOOKUP($A284,A:AL,25,FALSE)-50),"-",(VLOOKUP($A284,'SegEnds_NonXtal_BW#'!$A:$Z,17,FALSE)+VLOOKUP($A284,A:AL,25,FALSE)-50))</f>
        <v>233</v>
      </c>
      <c r="Y284" s="3">
        <v>233</v>
      </c>
      <c r="Z284" s="3">
        <f t="shared" si="213"/>
        <v>235</v>
      </c>
      <c r="AA284" s="3">
        <f>IF(ISERROR(VLOOKUP($A284,'SegEnds_NonXtal_BW#'!$A:$Z,19,FALSE)+VLOOKUP($A284,A:AL,28,FALSE)-50),"-",(VLOOKUP($A284,'SegEnds_NonXtal_BW#'!$A:$Z,19,FALSE)+VLOOKUP($A284,A:AL,28,FALSE)-50))</f>
        <v>239</v>
      </c>
      <c r="AB284" s="3">
        <v>259</v>
      </c>
      <c r="AC284" s="3">
        <f>IF(ISERROR((VLOOKUP($A284,'SegEnds_NonXtal_BW#'!$A:$Z,20,FALSE)+VLOOKUP($A284,A:AL,28,FALSE)-50)),"-",(VLOOKUP($A284,'SegEnds_NonXtal_BW#'!$A:$Z,20,FALSE)+VLOOKUP($A284,A:AL,28,FALSE)-50))</f>
        <v>282</v>
      </c>
      <c r="AD284" s="3">
        <f>IF(ISERROR(VLOOKUP($A284,'SegEnds_NonXtal_BW#'!$A:$Z,21,FALSE)+VLOOKUP($A284,A:AL,31,FALSE)-50),"-",(VLOOKUP($A284,'SegEnds_NonXtal_BW#'!$A:$Z,21,FALSE)+VLOOKUP($A284,A:AL,31,FALSE)-50))</f>
        <v>286</v>
      </c>
      <c r="AE284" s="3">
        <v>314</v>
      </c>
      <c r="AF284" s="3">
        <f>IF(ISERROR((VLOOKUP($A284,'SegEnds_NonXtal_BW#'!$A:$Z,22,FALSE)+VLOOKUP($A284,A:AL,31,FALSE)-50)),"-",(VLOOKUP($A284,'SegEnds_NonXtal_BW#'!$A:$Z,22,FALSE)+VLOOKUP($A284,A:AL,31,FALSE)-50))</f>
        <v>325</v>
      </c>
      <c r="AG284" s="3">
        <f>IF(ISERROR(VLOOKUP($A284,'SegEnds_NonXtal_BW#'!$A:$Z,23,FALSE)+VLOOKUP($A284,A:AL,34,FALSE)-50),"-",(VLOOKUP($A284,'SegEnds_NonXtal_BW#'!$A:$Z,23,FALSE)+VLOOKUP($A284,A:AL,34,FALSE)-50))</f>
        <v>333</v>
      </c>
      <c r="AH284" s="3">
        <v>353</v>
      </c>
      <c r="AI284" s="3">
        <f>IF(ISERROR((VLOOKUP($A284,'SegEnds_NonXtal_BW#'!$A:$Z,24,FALSE)+VLOOKUP($A284,A:AL,34,FALSE)-50)),"-",(VLOOKUP($A284,'SegEnds_NonXtal_BW#'!$A:$Z,24,FALSE)+VLOOKUP($A284,A:AL,34,FALSE)-50))</f>
        <v>359</v>
      </c>
      <c r="AJ284" s="3">
        <f>IF(ISERROR(VLOOKUP($A284,'SegEnds_NonXtal_BW#'!$A:$Z,25,FALSE)+VLOOKUP($A284,A:AL,37,FALSE)-50),"-",(VLOOKUP($A284,'SegEnds_NonXtal_BW#'!$A:$Z,25,FALSE)+VLOOKUP($A284,A:AL,37,FALSE)-50))</f>
        <v>360</v>
      </c>
      <c r="AK284" s="3">
        <v>363</v>
      </c>
      <c r="AL284" s="3">
        <f>IF(ISERROR((VLOOKUP($A284,'SegEnds_NonXtal_BW#'!$A:$Z,26,FALSE)+VLOOKUP($A284,A:AL,37,FALSE)-50)),"-",(VLOOKUP($A284,'SegEnds_NonXtal_BW#'!$A:$Z,26,FALSE)+VLOOKUP($A284,A:AL,37,FALSE)-50))</f>
        <v>371</v>
      </c>
      <c r="AM284" s="28" t="str">
        <f>VLOOKUP(A284,Classification!A:B,2,FALSE)</f>
        <v>A</v>
      </c>
      <c r="AN284" s="28" t="b">
        <f t="shared" si="211"/>
        <v>1</v>
      </c>
      <c r="AO284" s="3" t="str">
        <f>IF(ISERROR(MATCH(A284,'SegEnds_Xtal_Prot#'!B:B, 0)), "NoXtal", "Xtal")</f>
        <v>NoXtal</v>
      </c>
      <c r="AP284" s="3">
        <f t="shared" si="196"/>
        <v>1</v>
      </c>
      <c r="AQ284" s="3">
        <f t="shared" si="197"/>
        <v>1</v>
      </c>
      <c r="AR284" s="3">
        <f t="shared" si="198"/>
        <v>1</v>
      </c>
      <c r="AS284" s="3">
        <f t="shared" si="199"/>
        <v>1</v>
      </c>
      <c r="AT284" s="3" t="str">
        <f t="shared" si="200"/>
        <v>-</v>
      </c>
      <c r="AU284" s="3" t="str">
        <f t="shared" si="201"/>
        <v>-</v>
      </c>
      <c r="AV284" s="3">
        <f t="shared" si="202"/>
        <v>11</v>
      </c>
      <c r="AW284" s="3">
        <f t="shared" si="203"/>
        <v>4</v>
      </c>
      <c r="AX284" s="3">
        <f t="shared" si="204"/>
        <v>4</v>
      </c>
      <c r="AY284" s="3">
        <f t="shared" si="205"/>
        <v>8</v>
      </c>
      <c r="AZ284" s="3">
        <f t="shared" si="206"/>
        <v>1</v>
      </c>
      <c r="BA284" s="3">
        <f>IF(ISERROR(LEN(VLOOKUP(A284,Seqs!A:E,2,FALSE))-AL284),"-",LEN(VLOOKUP(A284,Seqs!A:E,2,FALSE))-AL284)</f>
        <v>94</v>
      </c>
      <c r="BB284" s="16">
        <f t="shared" si="207"/>
        <v>28</v>
      </c>
      <c r="BC284" s="9" t="str">
        <f t="shared" si="208"/>
        <v>-</v>
      </c>
      <c r="BD284" s="3">
        <f t="shared" si="209"/>
        <v>28</v>
      </c>
      <c r="BE284" s="3">
        <f t="shared" si="210"/>
        <v>55</v>
      </c>
    </row>
    <row r="285" spans="1:58" s="3" customFormat="1" x14ac:dyDescent="0.2">
      <c r="A285" s="3" t="s">
        <v>319</v>
      </c>
      <c r="B285" s="3" t="str">
        <f>LOWER(VLOOKUP(A285,Xtal_Templ!A:B,2,FALSE))</f>
        <v>oprd_human</v>
      </c>
      <c r="C285" s="3">
        <f>VLOOKUP($A285,'SegEnds_NonXtal_BW#'!$A:$Z,3,FALSE)+D285-50</f>
        <v>27</v>
      </c>
      <c r="D285" s="3">
        <v>55</v>
      </c>
      <c r="E285" s="3">
        <f>IF(ISERROR(VLOOKUP($A285,'SegEnds_NonXtal_BW#'!$A:$Z,4,FALSE)+VLOOKUP($A285,A:AL,4,FALSE)-50),"-",(VLOOKUP($A285,'SegEnds_NonXtal_BW#'!$A:$Z,4,FALSE)+VLOOKUP($A285,A:AL,4,FALSE)-50))</f>
        <v>65</v>
      </c>
      <c r="F285" s="3">
        <f t="shared" si="215"/>
        <v>66</v>
      </c>
      <c r="G285" s="3">
        <v>68</v>
      </c>
      <c r="H285" s="3">
        <f t="shared" si="216"/>
        <v>69</v>
      </c>
      <c r="I285" s="3">
        <f t="shared" si="216"/>
        <v>70</v>
      </c>
      <c r="J285" s="3">
        <v>83</v>
      </c>
      <c r="K285" s="3">
        <f>VLOOKUP($A285,'SegEnds_NonXtal_BW#'!$A:$Z,8,FALSE)+VLOOKUP($A285,A:AL,10,FALSE)-50</f>
        <v>99</v>
      </c>
      <c r="L285" s="3">
        <f t="shared" si="217"/>
        <v>101</v>
      </c>
      <c r="M285" s="3">
        <v>102</v>
      </c>
      <c r="N285" s="3">
        <f t="shared" si="218"/>
        <v>104</v>
      </c>
      <c r="O285" s="3">
        <f t="shared" si="219"/>
        <v>105</v>
      </c>
      <c r="P285" s="3">
        <v>134</v>
      </c>
      <c r="Q285" s="3">
        <f>VLOOKUP($A285,'SegEnds_NonXtal_BW#'!$A:$Z,12,FALSE)+VLOOKUP($A285,A:AL,16,FALSE)-50</f>
        <v>140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151</v>
      </c>
      <c r="V285" s="3">
        <v>163</v>
      </c>
      <c r="W285" s="3">
        <f>IF(ISERROR(VLOOKUP($A285,'SegEnds_NonXtal_BW#'!$A:$Z,16,FALSE)+VLOOKUP($A285,A:AL,22,FALSE)-50),"-",(VLOOKUP($A285,'SegEnds_NonXtal_BW#'!$A:$Z,16,FALSE)+VLOOKUP($A285,A:AL,22,FALSE)-50))</f>
        <v>177</v>
      </c>
      <c r="X285" s="3">
        <f>IF(ISERROR(VLOOKUP($A285,'SegEnds_NonXtal_BW#'!$A:$Z,17,FALSE)+VLOOKUP($A285,A:AL,25,FALSE)-50),"-",(VLOOKUP($A285,'SegEnds_NonXtal_BW#'!$A:$Z,17,FALSE)+VLOOKUP($A285,A:AL,25,FALSE)-50))</f>
        <v>188</v>
      </c>
      <c r="Y285" s="3">
        <v>188</v>
      </c>
      <c r="Z285" s="3">
        <f t="shared" si="213"/>
        <v>190</v>
      </c>
      <c r="AA285" s="3">
        <f>IF(ISERROR(VLOOKUP($A285,'SegEnds_NonXtal_BW#'!$A:$Z,19,FALSE)+VLOOKUP($A285,A:AL,28,FALSE)-50),"-",(VLOOKUP($A285,'SegEnds_NonXtal_BW#'!$A:$Z,19,FALSE)+VLOOKUP($A285,A:AL,28,FALSE)-50))</f>
        <v>195</v>
      </c>
      <c r="AB285" s="3">
        <v>215</v>
      </c>
      <c r="AC285" s="3">
        <f>IF(ISERROR((VLOOKUP($A285,'SegEnds_NonXtal_BW#'!$A:$Z,20,FALSE)+VLOOKUP($A285,A:AL,28,FALSE)-50)),"-",(VLOOKUP($A285,'SegEnds_NonXtal_BW#'!$A:$Z,20,FALSE)+VLOOKUP($A285,A:AL,28,FALSE)-50))</f>
        <v>233</v>
      </c>
      <c r="AD285" s="3">
        <f>IF(ISERROR(VLOOKUP($A285,'SegEnds_NonXtal_BW#'!$A:$Z,21,FALSE)+VLOOKUP($A285,A:AL,31,FALSE)-50),"-",(VLOOKUP($A285,'SegEnds_NonXtal_BW#'!$A:$Z,21,FALSE)+VLOOKUP($A285,A:AL,31,FALSE)-50))</f>
        <v>239</v>
      </c>
      <c r="AE285" s="3">
        <v>266</v>
      </c>
      <c r="AF285" s="3">
        <f>IF(ISERROR((VLOOKUP($A285,'SegEnds_NonXtal_BW#'!$A:$Z,22,FALSE)+VLOOKUP($A285,A:AL,31,FALSE)-50)),"-",(VLOOKUP($A285,'SegEnds_NonXtal_BW#'!$A:$Z,22,FALSE)+VLOOKUP($A285,A:AL,31,FALSE)-50))</f>
        <v>277</v>
      </c>
      <c r="AG285" s="3">
        <f>IF(ISERROR(VLOOKUP($A285,'SegEnds_NonXtal_BW#'!$A:$Z,23,FALSE)+VLOOKUP($A285,A:AL,34,FALSE)-50),"-",(VLOOKUP($A285,'SegEnds_NonXtal_BW#'!$A:$Z,23,FALSE)+VLOOKUP($A285,A:AL,34,FALSE)-50))</f>
        <v>282</v>
      </c>
      <c r="AH285" s="3">
        <v>304</v>
      </c>
      <c r="AI285" s="3">
        <f>IF(ISERROR((VLOOKUP($A285,'SegEnds_NonXtal_BW#'!$A:$Z,24,FALSE)+VLOOKUP($A285,A:AL,34,FALSE)-50)),"-",(VLOOKUP($A285,'SegEnds_NonXtal_BW#'!$A:$Z,24,FALSE)+VLOOKUP($A285,A:AL,34,FALSE)-50))</f>
        <v>310</v>
      </c>
      <c r="AJ285" s="3">
        <f>IF(ISERROR(VLOOKUP($A285,'SegEnds_NonXtal_BW#'!$A:$Z,25,FALSE)+VLOOKUP($A285,A:AL,37,FALSE)-50),"-",(VLOOKUP($A285,'SegEnds_NonXtal_BW#'!$A:$Z,25,FALSE)+VLOOKUP($A285,A:AL,37,FALSE)-50))</f>
        <v>311</v>
      </c>
      <c r="AK285" s="3">
        <v>314</v>
      </c>
      <c r="AL285" s="3">
        <f>IF(ISERROR((VLOOKUP($A285,'SegEnds_NonXtal_BW#'!$A:$Z,26,FALSE)+VLOOKUP($A285,A:AL,37,FALSE)-50)),"-",(VLOOKUP($A285,'SegEnds_NonXtal_BW#'!$A:$Z,26,FALSE)+VLOOKUP($A285,A:AL,37,FALSE)-50))</f>
        <v>324</v>
      </c>
      <c r="AM285" s="28" t="str">
        <f>VLOOKUP(A285,Classification!A:B,2,FALSE)</f>
        <v>A</v>
      </c>
      <c r="AN285" s="28" t="b">
        <f t="shared" si="211"/>
        <v>1</v>
      </c>
      <c r="AO285" s="3" t="str">
        <f>IF(ISERROR(MATCH(A285,'SegEnds_Xtal_Prot#'!B:B, 0)), "NoXtal", "Xtal")</f>
        <v>NoXtal</v>
      </c>
      <c r="AP285" s="3">
        <f t="shared" si="196"/>
        <v>1</v>
      </c>
      <c r="AQ285" s="3">
        <f t="shared" si="197"/>
        <v>1</v>
      </c>
      <c r="AR285" s="3">
        <f t="shared" si="198"/>
        <v>2</v>
      </c>
      <c r="AS285" s="3">
        <f t="shared" si="199"/>
        <v>1</v>
      </c>
      <c r="AT285" s="3" t="str">
        <f t="shared" si="200"/>
        <v>-</v>
      </c>
      <c r="AU285" s="3" t="str">
        <f t="shared" si="201"/>
        <v>-</v>
      </c>
      <c r="AV285" s="3">
        <f t="shared" si="202"/>
        <v>11</v>
      </c>
      <c r="AW285" s="3">
        <f t="shared" si="203"/>
        <v>5</v>
      </c>
      <c r="AX285" s="3">
        <f t="shared" si="204"/>
        <v>6</v>
      </c>
      <c r="AY285" s="3">
        <f t="shared" si="205"/>
        <v>5</v>
      </c>
      <c r="AZ285" s="3">
        <f t="shared" si="206"/>
        <v>1</v>
      </c>
      <c r="BA285" s="3">
        <f>IF(ISERROR(LEN(VLOOKUP(A285,Seqs!A:E,2,FALSE))-AL285),"-",LEN(VLOOKUP(A285,Seqs!A:E,2,FALSE))-AL285)</f>
        <v>4</v>
      </c>
      <c r="BB285" s="16">
        <f t="shared" si="207"/>
        <v>28</v>
      </c>
      <c r="BC285" s="9" t="str">
        <f t="shared" si="208"/>
        <v>-</v>
      </c>
      <c r="BD285" s="3">
        <f t="shared" si="209"/>
        <v>28</v>
      </c>
      <c r="BE285" s="3">
        <f t="shared" si="210"/>
        <v>51</v>
      </c>
      <c r="BF285" s="3">
        <f>AH285-AE285</f>
        <v>38</v>
      </c>
    </row>
    <row r="286" spans="1:58" s="3" customFormat="1" x14ac:dyDescent="0.2">
      <c r="A286" s="3" t="s">
        <v>320</v>
      </c>
      <c r="B286" s="3" t="str">
        <f>LOWER(VLOOKUP(A286,Xtal_Templ!A:B,2,FALSE))</f>
        <v>oprd_human</v>
      </c>
      <c r="C286" s="3">
        <f>VLOOKUP($A286,'SegEnds_NonXtal_BW#'!$A:$Z,3,FALSE)+D286-50</f>
        <v>35</v>
      </c>
      <c r="D286" s="3">
        <v>63</v>
      </c>
      <c r="E286" s="3">
        <f>IF(ISERROR(VLOOKUP($A286,'SegEnds_NonXtal_BW#'!$A:$Z,4,FALSE)+VLOOKUP($A286,A:AL,4,FALSE)-50),"-",(VLOOKUP($A286,'SegEnds_NonXtal_BW#'!$A:$Z,4,FALSE)+VLOOKUP($A286,A:AL,4,FALSE)-50))</f>
        <v>73</v>
      </c>
      <c r="F286" s="3">
        <f t="shared" si="215"/>
        <v>74</v>
      </c>
      <c r="G286" s="3">
        <v>76</v>
      </c>
      <c r="H286" s="3">
        <f t="shared" si="216"/>
        <v>77</v>
      </c>
      <c r="I286" s="3">
        <f t="shared" si="216"/>
        <v>78</v>
      </c>
      <c r="J286" s="3">
        <v>91</v>
      </c>
      <c r="K286" s="3">
        <f>VLOOKUP($A286,'SegEnds_NonXtal_BW#'!$A:$Z,8,FALSE)+VLOOKUP($A286,A:AL,10,FALSE)-50</f>
        <v>107</v>
      </c>
      <c r="L286" s="3">
        <f t="shared" si="217"/>
        <v>109</v>
      </c>
      <c r="M286" s="3">
        <v>110</v>
      </c>
      <c r="N286" s="3">
        <f t="shared" si="218"/>
        <v>112</v>
      </c>
      <c r="O286" s="3">
        <f t="shared" si="219"/>
        <v>113</v>
      </c>
      <c r="P286" s="3">
        <v>142</v>
      </c>
      <c r="Q286" s="3">
        <f>VLOOKUP($A286,'SegEnds_NonXtal_BW#'!$A:$Z,12,FALSE)+VLOOKUP($A286,A:AL,16,FALSE)-50</f>
        <v>148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159</v>
      </c>
      <c r="V286" s="3">
        <v>171</v>
      </c>
      <c r="W286" s="3">
        <f>IF(ISERROR(VLOOKUP($A286,'SegEnds_NonXtal_BW#'!$A:$Z,16,FALSE)+VLOOKUP($A286,A:AL,22,FALSE)-50),"-",(VLOOKUP($A286,'SegEnds_NonXtal_BW#'!$A:$Z,16,FALSE)+VLOOKUP($A286,A:AL,22,FALSE)-50))</f>
        <v>185</v>
      </c>
      <c r="X286" s="3">
        <f>IF(ISERROR(VLOOKUP($A286,'SegEnds_NonXtal_BW#'!$A:$Z,17,FALSE)+VLOOKUP($A286,A:AL,25,FALSE)-50),"-",(VLOOKUP($A286,'SegEnds_NonXtal_BW#'!$A:$Z,17,FALSE)+VLOOKUP($A286,A:AL,25,FALSE)-50))</f>
        <v>197</v>
      </c>
      <c r="Y286" s="3">
        <v>197</v>
      </c>
      <c r="Z286" s="3">
        <f t="shared" si="213"/>
        <v>199</v>
      </c>
      <c r="AA286" s="3">
        <f>IF(ISERROR(VLOOKUP($A286,'SegEnds_NonXtal_BW#'!$A:$Z,19,FALSE)+VLOOKUP($A286,A:AL,28,FALSE)-50),"-",(VLOOKUP($A286,'SegEnds_NonXtal_BW#'!$A:$Z,19,FALSE)+VLOOKUP($A286,A:AL,28,FALSE)-50))</f>
        <v>204</v>
      </c>
      <c r="AB286" s="3">
        <v>224</v>
      </c>
      <c r="AC286" s="3">
        <f>IF(ISERROR((VLOOKUP($A286,'SegEnds_NonXtal_BW#'!$A:$Z,20,FALSE)+VLOOKUP($A286,A:AL,28,FALSE)-50)),"-",(VLOOKUP($A286,'SegEnds_NonXtal_BW#'!$A:$Z,20,FALSE)+VLOOKUP($A286,A:AL,28,FALSE)-50))</f>
        <v>242</v>
      </c>
      <c r="AD286" s="3">
        <f>IF(ISERROR(VLOOKUP($A286,'SegEnds_NonXtal_BW#'!$A:$Z,21,FALSE)+VLOOKUP($A286,A:AL,31,FALSE)-50),"-",(VLOOKUP($A286,'SegEnds_NonXtal_BW#'!$A:$Z,21,FALSE)+VLOOKUP($A286,A:AL,31,FALSE)-50))</f>
        <v>248</v>
      </c>
      <c r="AE286" s="3">
        <v>275</v>
      </c>
      <c r="AF286" s="3">
        <f>IF(ISERROR((VLOOKUP($A286,'SegEnds_NonXtal_BW#'!$A:$Z,22,FALSE)+VLOOKUP($A286,A:AL,31,FALSE)-50)),"-",(VLOOKUP($A286,'SegEnds_NonXtal_BW#'!$A:$Z,22,FALSE)+VLOOKUP($A286,A:AL,31,FALSE)-50))</f>
        <v>286</v>
      </c>
      <c r="AG286" s="3">
        <f>IF(ISERROR(VLOOKUP($A286,'SegEnds_NonXtal_BW#'!$A:$Z,23,FALSE)+VLOOKUP($A286,A:AL,34,FALSE)-50),"-",(VLOOKUP($A286,'SegEnds_NonXtal_BW#'!$A:$Z,23,FALSE)+VLOOKUP($A286,A:AL,34,FALSE)-50))</f>
        <v>291</v>
      </c>
      <c r="AH286" s="3">
        <v>313</v>
      </c>
      <c r="AI286" s="3">
        <f>IF(ISERROR((VLOOKUP($A286,'SegEnds_NonXtal_BW#'!$A:$Z,24,FALSE)+VLOOKUP($A286,A:AL,34,FALSE)-50)),"-",(VLOOKUP($A286,'SegEnds_NonXtal_BW#'!$A:$Z,24,FALSE)+VLOOKUP($A286,A:AL,34,FALSE)-50))</f>
        <v>319</v>
      </c>
      <c r="AJ286" s="3">
        <f>IF(ISERROR(VLOOKUP($A286,'SegEnds_NonXtal_BW#'!$A:$Z,25,FALSE)+VLOOKUP($A286,A:AL,37,FALSE)-50),"-",(VLOOKUP($A286,'SegEnds_NonXtal_BW#'!$A:$Z,25,FALSE)+VLOOKUP($A286,A:AL,37,FALSE)-50))</f>
        <v>320</v>
      </c>
      <c r="AK286" s="3">
        <v>323</v>
      </c>
      <c r="AL286" s="3">
        <f>IF(ISERROR((VLOOKUP($A286,'SegEnds_NonXtal_BW#'!$A:$Z,26,FALSE)+VLOOKUP($A286,A:AL,37,FALSE)-50)),"-",(VLOOKUP($A286,'SegEnds_NonXtal_BW#'!$A:$Z,26,FALSE)+VLOOKUP($A286,A:AL,37,FALSE)-50))</f>
        <v>333</v>
      </c>
      <c r="AM286" s="28" t="str">
        <f>VLOOKUP(A286,Classification!A:B,2,FALSE)</f>
        <v>A</v>
      </c>
      <c r="AN286" s="28" t="b">
        <f t="shared" si="211"/>
        <v>1</v>
      </c>
      <c r="AO286" s="3" t="str">
        <f>IF(ISERROR(MATCH(A286,'SegEnds_Xtal_Prot#'!B:B, 0)), "NoXtal", "Xtal")</f>
        <v>NoXtal</v>
      </c>
      <c r="AP286" s="3">
        <f t="shared" si="196"/>
        <v>1</v>
      </c>
      <c r="AQ286" s="3">
        <f t="shared" si="197"/>
        <v>1</v>
      </c>
      <c r="AR286" s="3">
        <f t="shared" si="198"/>
        <v>2</v>
      </c>
      <c r="AS286" s="3">
        <f t="shared" si="199"/>
        <v>1</v>
      </c>
      <c r="AT286" s="3" t="str">
        <f t="shared" si="200"/>
        <v>-</v>
      </c>
      <c r="AU286" s="3" t="str">
        <f t="shared" si="201"/>
        <v>-</v>
      </c>
      <c r="AV286" s="3">
        <f t="shared" si="202"/>
        <v>12</v>
      </c>
      <c r="AW286" s="3">
        <f t="shared" si="203"/>
        <v>5</v>
      </c>
      <c r="AX286" s="3">
        <f t="shared" si="204"/>
        <v>6</v>
      </c>
      <c r="AY286" s="3">
        <f t="shared" si="205"/>
        <v>5</v>
      </c>
      <c r="AZ286" s="3">
        <f t="shared" si="206"/>
        <v>1</v>
      </c>
      <c r="BA286" s="3">
        <f>IF(ISERROR(LEN(VLOOKUP(A286,Seqs!A:E,2,FALSE))-AL286),"-",LEN(VLOOKUP(A286,Seqs!A:E,2,FALSE))-AL286)</f>
        <v>0</v>
      </c>
      <c r="BB286" s="16">
        <f t="shared" si="207"/>
        <v>28</v>
      </c>
      <c r="BC286" s="9" t="str">
        <f t="shared" si="208"/>
        <v>-</v>
      </c>
      <c r="BD286" s="3">
        <f t="shared" si="209"/>
        <v>28</v>
      </c>
      <c r="BE286" s="3">
        <f t="shared" si="210"/>
        <v>51</v>
      </c>
      <c r="BF286" s="3">
        <f>AH286-AE286</f>
        <v>38</v>
      </c>
    </row>
    <row r="287" spans="1:58" s="3" customFormat="1" x14ac:dyDescent="0.2">
      <c r="A287" s="3" t="s">
        <v>321</v>
      </c>
      <c r="B287" s="3" t="str">
        <f>LOWER(VLOOKUP(A287,Xtal_Templ!A:B,2,FALSE))</f>
        <v>ox1r_human</v>
      </c>
      <c r="C287" s="3">
        <f>VLOOKUP($A287,'SegEnds_NonXtal_BW#'!$A:$Z,3,FALSE)+D287-50</f>
        <v>43</v>
      </c>
      <c r="D287" s="3">
        <v>61</v>
      </c>
      <c r="E287" s="3">
        <f>IF(ISERROR(VLOOKUP($A287,'SegEnds_NonXtal_BW#'!$A:$Z,4,FALSE)+VLOOKUP($A287,A:AL,4,FALSE)-50),"-",(VLOOKUP($A287,'SegEnds_NonXtal_BW#'!$A:$Z,4,FALSE)+VLOOKUP($A287,A:AL,4,FALSE)-50))</f>
        <v>71</v>
      </c>
      <c r="F287" s="3">
        <f t="shared" si="215"/>
        <v>72</v>
      </c>
      <c r="G287" s="3">
        <v>74</v>
      </c>
      <c r="H287" s="3">
        <f t="shared" si="216"/>
        <v>75</v>
      </c>
      <c r="I287" s="3">
        <f t="shared" si="216"/>
        <v>76</v>
      </c>
      <c r="J287" s="3">
        <v>89</v>
      </c>
      <c r="K287" s="3">
        <f>VLOOKUP($A287,'SegEnds_NonXtal_BW#'!$A:$Z,8,FALSE)+VLOOKUP($A287,A:AL,10,FALSE)-50</f>
        <v>107</v>
      </c>
      <c r="L287" s="3">
        <f t="shared" si="217"/>
        <v>108</v>
      </c>
      <c r="M287" s="3">
        <v>109</v>
      </c>
      <c r="N287" s="3">
        <f t="shared" si="218"/>
        <v>111</v>
      </c>
      <c r="O287" s="3">
        <f t="shared" si="219"/>
        <v>112</v>
      </c>
      <c r="P287" s="3">
        <v>141</v>
      </c>
      <c r="Q287" s="3">
        <f>VLOOKUP($A287,'SegEnds_NonXtal_BW#'!$A:$Z,12,FALSE)+VLOOKUP($A287,A:AL,16,FALSE)-50</f>
        <v>147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154</v>
      </c>
      <c r="V287" s="3">
        <v>166</v>
      </c>
      <c r="W287" s="3">
        <f>IF(ISERROR(VLOOKUP($A287,'SegEnds_NonXtal_BW#'!$A:$Z,16,FALSE)+VLOOKUP($A287,A:AL,22,FALSE)-50),"-",(VLOOKUP($A287,'SegEnds_NonXtal_BW#'!$A:$Z,16,FALSE)+VLOOKUP($A287,A:AL,22,FALSE)-50))</f>
        <v>180</v>
      </c>
      <c r="X287" s="3">
        <f>IF(ISERROR(VLOOKUP($A287,'SegEnds_NonXtal_BW#'!$A:$Z,17,FALSE)+VLOOKUP($A287,A:AL,25,FALSE)-50),"-",(VLOOKUP($A287,'SegEnds_NonXtal_BW#'!$A:$Z,17,FALSE)+VLOOKUP($A287,A:AL,25,FALSE)-50))</f>
        <v>203</v>
      </c>
      <c r="Y287" s="3">
        <v>203</v>
      </c>
      <c r="Z287" s="3">
        <f t="shared" si="213"/>
        <v>205</v>
      </c>
      <c r="AA287" s="3">
        <f>IF(ISERROR(VLOOKUP($A287,'SegEnds_NonXtal_BW#'!$A:$Z,19,FALSE)+VLOOKUP($A287,A:AL,28,FALSE)-50),"-",(VLOOKUP($A287,'SegEnds_NonXtal_BW#'!$A:$Z,19,FALSE)+VLOOKUP($A287,A:AL,28,FALSE)-50))</f>
        <v>211</v>
      </c>
      <c r="AB287" s="3">
        <v>228</v>
      </c>
      <c r="AC287" s="3">
        <f>IF(ISERROR((VLOOKUP($A287,'SegEnds_NonXtal_BW#'!$A:$Z,20,FALSE)+VLOOKUP($A287,A:AL,28,FALSE)-50)),"-",(VLOOKUP($A287,'SegEnds_NonXtal_BW#'!$A:$Z,20,FALSE)+VLOOKUP($A287,A:AL,28,FALSE)-50))</f>
        <v>251</v>
      </c>
      <c r="AD287" s="3">
        <f>IF(ISERROR(VLOOKUP($A287,'SegEnds_NonXtal_BW#'!$A:$Z,21,FALSE)+VLOOKUP($A287,A:AL,31,FALSE)-50),"-",(VLOOKUP($A287,'SegEnds_NonXtal_BW#'!$A:$Z,21,FALSE)+VLOOKUP($A287,A:AL,31,FALSE)-50))</f>
        <v>257</v>
      </c>
      <c r="AE287" s="3">
        <v>285</v>
      </c>
      <c r="AF287" s="3">
        <f>IF(ISERROR((VLOOKUP($A287,'SegEnds_NonXtal_BW#'!$A:$Z,22,FALSE)+VLOOKUP($A287,A:AL,31,FALSE)-50)),"-",(VLOOKUP($A287,'SegEnds_NonXtal_BW#'!$A:$Z,22,FALSE)+VLOOKUP($A287,A:AL,31,FALSE)-50))</f>
        <v>296</v>
      </c>
      <c r="AG287" s="3">
        <f>IF(ISERROR(VLOOKUP($A287,'SegEnds_NonXtal_BW#'!$A:$Z,23,FALSE)+VLOOKUP($A287,A:AL,34,FALSE)-50),"-",(VLOOKUP($A287,'SegEnds_NonXtal_BW#'!$A:$Z,23,FALSE)+VLOOKUP($A287,A:AL,34,FALSE)-50))</f>
        <v>304</v>
      </c>
      <c r="AH287" s="3">
        <v>326</v>
      </c>
      <c r="AI287" s="3">
        <f>IF(ISERROR((VLOOKUP($A287,'SegEnds_NonXtal_BW#'!$A:$Z,24,FALSE)+VLOOKUP($A287,A:AL,34,FALSE)-50)),"-",(VLOOKUP($A287,'SegEnds_NonXtal_BW#'!$A:$Z,24,FALSE)+VLOOKUP($A287,A:AL,34,FALSE)-50))</f>
        <v>332</v>
      </c>
      <c r="AJ287" s="3">
        <f>IF(ISERROR(VLOOKUP($A287,'SegEnds_NonXtal_BW#'!$A:$Z,25,FALSE)+VLOOKUP($A287,A:AL,37,FALSE)-50),"-",(VLOOKUP($A287,'SegEnds_NonXtal_BW#'!$A:$Z,25,FALSE)+VLOOKUP($A287,A:AL,37,FALSE)-50))</f>
        <v>333</v>
      </c>
      <c r="AK287" s="3">
        <v>336</v>
      </c>
      <c r="AL287" s="3">
        <f>IF(ISERROR((VLOOKUP($A287,'SegEnds_NonXtal_BW#'!$A:$Z,26,FALSE)+VLOOKUP($A287,A:AL,37,FALSE)-50)),"-",(VLOOKUP($A287,'SegEnds_NonXtal_BW#'!$A:$Z,26,FALSE)+VLOOKUP($A287,A:AL,37,FALSE)-50))</f>
        <v>349</v>
      </c>
      <c r="AM287" s="28" t="str">
        <f>VLOOKUP(A287,Classification!A:B,2,FALSE)</f>
        <v>A</v>
      </c>
      <c r="AN287" s="28" t="b">
        <f t="shared" si="211"/>
        <v>1</v>
      </c>
      <c r="AO287" s="3" t="str">
        <f>IF(ISERROR(MATCH(A287,'SegEnds_Xtal_Prot#'!B:B, 0)), "NoXtal", "Xtal")</f>
        <v>NoXtal</v>
      </c>
      <c r="AP287" s="3">
        <f t="shared" si="196"/>
        <v>1</v>
      </c>
      <c r="AQ287" s="3">
        <f t="shared" si="197"/>
        <v>1</v>
      </c>
      <c r="AR287" s="3">
        <f t="shared" si="198"/>
        <v>1</v>
      </c>
      <c r="AS287" s="3">
        <f t="shared" si="199"/>
        <v>1</v>
      </c>
      <c r="AT287" s="3" t="str">
        <f t="shared" si="200"/>
        <v>-</v>
      </c>
      <c r="AU287" s="3" t="str">
        <f t="shared" si="201"/>
        <v>-</v>
      </c>
      <c r="AV287" s="3">
        <f t="shared" si="202"/>
        <v>23</v>
      </c>
      <c r="AW287" s="3">
        <f t="shared" si="203"/>
        <v>6</v>
      </c>
      <c r="AX287" s="3">
        <f t="shared" si="204"/>
        <v>6</v>
      </c>
      <c r="AY287" s="3">
        <f t="shared" si="205"/>
        <v>8</v>
      </c>
      <c r="AZ287" s="3">
        <f t="shared" si="206"/>
        <v>1</v>
      </c>
      <c r="BA287" s="3">
        <f>IF(ISERROR(LEN(VLOOKUP(A287,Seqs!A:E,2,FALSE))-AL287),"-",LEN(VLOOKUP(A287,Seqs!A:E,2,FALSE))-AL287)</f>
        <v>81</v>
      </c>
      <c r="BB287" s="16">
        <f t="shared" si="207"/>
        <v>28</v>
      </c>
      <c r="BC287" s="9" t="str">
        <f t="shared" si="208"/>
        <v>-</v>
      </c>
      <c r="BD287" s="3">
        <f t="shared" si="209"/>
        <v>28</v>
      </c>
      <c r="BE287" s="3">
        <f t="shared" si="210"/>
        <v>57</v>
      </c>
    </row>
    <row r="288" spans="1:58" s="3" customFormat="1" x14ac:dyDescent="0.2">
      <c r="A288" s="3" t="s">
        <v>322</v>
      </c>
      <c r="B288" s="3" t="str">
        <f>LOWER(VLOOKUP(A288,Xtal_Templ!A:B,2,FALSE))</f>
        <v>ox1r_human</v>
      </c>
      <c r="C288" s="3">
        <f>VLOOKUP($A288,'SegEnds_NonXtal_BW#'!$A:$Z,3,FALSE)+D288-50</f>
        <v>147</v>
      </c>
      <c r="D288" s="3">
        <v>165</v>
      </c>
      <c r="E288" s="3">
        <f>IF(ISERROR(VLOOKUP($A288,'SegEnds_NonXtal_BW#'!$A:$Z,4,FALSE)+VLOOKUP($A288,A:AL,4,FALSE)-50),"-",(VLOOKUP($A288,'SegEnds_NonXtal_BW#'!$A:$Z,4,FALSE)+VLOOKUP($A288,A:AL,4,FALSE)-50))</f>
        <v>175</v>
      </c>
      <c r="F288" s="3">
        <f t="shared" si="215"/>
        <v>176</v>
      </c>
      <c r="G288" s="3">
        <v>178</v>
      </c>
      <c r="H288" s="3">
        <f t="shared" si="216"/>
        <v>179</v>
      </c>
      <c r="I288" s="3">
        <f t="shared" si="216"/>
        <v>180</v>
      </c>
      <c r="J288" s="3">
        <v>193</v>
      </c>
      <c r="K288" s="3">
        <f>VLOOKUP($A288,'SegEnds_NonXtal_BW#'!$A:$Z,8,FALSE)+VLOOKUP($A288,A:AL,10,FALSE)-50</f>
        <v>211</v>
      </c>
      <c r="L288" s="3">
        <f t="shared" si="217"/>
        <v>212</v>
      </c>
      <c r="M288" s="3">
        <v>213</v>
      </c>
      <c r="N288" s="3">
        <f t="shared" si="218"/>
        <v>215</v>
      </c>
      <c r="O288" s="3">
        <f t="shared" si="219"/>
        <v>216</v>
      </c>
      <c r="P288" s="3">
        <v>245</v>
      </c>
      <c r="Q288" s="3">
        <f>VLOOKUP($A288,'SegEnds_NonXtal_BW#'!$A:$Z,12,FALSE)+VLOOKUP($A288,A:AL,16,FALSE)-50</f>
        <v>251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258</v>
      </c>
      <c r="V288" s="3">
        <v>270</v>
      </c>
      <c r="W288" s="3">
        <f>IF(ISERROR(VLOOKUP($A288,'SegEnds_NonXtal_BW#'!$A:$Z,16,FALSE)+VLOOKUP($A288,A:AL,22,FALSE)-50),"-",(VLOOKUP($A288,'SegEnds_NonXtal_BW#'!$A:$Z,16,FALSE)+VLOOKUP($A288,A:AL,22,FALSE)-50))</f>
        <v>284</v>
      </c>
      <c r="X288" s="3">
        <f>IF(ISERROR(VLOOKUP($A288,'SegEnds_NonXtal_BW#'!$A:$Z,17,FALSE)+VLOOKUP($A288,A:AL,25,FALSE)-50),"-",(VLOOKUP($A288,'SegEnds_NonXtal_BW#'!$A:$Z,17,FALSE)+VLOOKUP($A288,A:AL,25,FALSE)-50))</f>
        <v>308</v>
      </c>
      <c r="Y288" s="3">
        <v>308</v>
      </c>
      <c r="Z288" s="3">
        <f t="shared" si="213"/>
        <v>310</v>
      </c>
      <c r="AA288" s="3">
        <f>IF(ISERROR(VLOOKUP($A288,'SegEnds_NonXtal_BW#'!$A:$Z,19,FALSE)+VLOOKUP($A288,A:AL,28,FALSE)-50),"-",(VLOOKUP($A288,'SegEnds_NonXtal_BW#'!$A:$Z,19,FALSE)+VLOOKUP($A288,A:AL,28,FALSE)-50))</f>
        <v>316</v>
      </c>
      <c r="AB288" s="3">
        <v>333</v>
      </c>
      <c r="AC288" s="3">
        <f>IF(ISERROR((VLOOKUP($A288,'SegEnds_NonXtal_BW#'!$A:$Z,20,FALSE)+VLOOKUP($A288,A:AL,28,FALSE)-50)),"-",(VLOOKUP($A288,'SegEnds_NonXtal_BW#'!$A:$Z,20,FALSE)+VLOOKUP($A288,A:AL,28,FALSE)-50))</f>
        <v>356</v>
      </c>
      <c r="AD288" s="3">
        <f>IF(ISERROR(VLOOKUP($A288,'SegEnds_NonXtal_BW#'!$A:$Z,21,FALSE)+VLOOKUP($A288,A:AL,31,FALSE)-50),"-",(VLOOKUP($A288,'SegEnds_NonXtal_BW#'!$A:$Z,21,FALSE)+VLOOKUP($A288,A:AL,31,FALSE)-50))</f>
        <v>365</v>
      </c>
      <c r="AE288" s="3">
        <v>391</v>
      </c>
      <c r="AF288" s="3">
        <f>IF(ISERROR((VLOOKUP($A288,'SegEnds_NonXtal_BW#'!$A:$Z,22,FALSE)+VLOOKUP($A288,A:AL,31,FALSE)-50)),"-",(VLOOKUP($A288,'SegEnds_NonXtal_BW#'!$A:$Z,22,FALSE)+VLOOKUP($A288,A:AL,31,FALSE)-50))</f>
        <v>402</v>
      </c>
      <c r="AG288" s="3">
        <f>IF(ISERROR(VLOOKUP($A288,'SegEnds_NonXtal_BW#'!$A:$Z,23,FALSE)+VLOOKUP($A288,A:AL,34,FALSE)-50),"-",(VLOOKUP($A288,'SegEnds_NonXtal_BW#'!$A:$Z,23,FALSE)+VLOOKUP($A288,A:AL,34,FALSE)-50))</f>
        <v>410</v>
      </c>
      <c r="AH288" s="3">
        <v>432</v>
      </c>
      <c r="AI288" s="3">
        <f>IF(ISERROR((VLOOKUP($A288,'SegEnds_NonXtal_BW#'!$A:$Z,24,FALSE)+VLOOKUP($A288,A:AL,34,FALSE)-50)),"-",(VLOOKUP($A288,'SegEnds_NonXtal_BW#'!$A:$Z,24,FALSE)+VLOOKUP($A288,A:AL,34,FALSE)-50))</f>
        <v>438</v>
      </c>
      <c r="AJ288" s="3">
        <f>IF(ISERROR(VLOOKUP($A288,'SegEnds_NonXtal_BW#'!$A:$Z,25,FALSE)+VLOOKUP($A288,A:AL,37,FALSE)-50),"-",(VLOOKUP($A288,'SegEnds_NonXtal_BW#'!$A:$Z,25,FALSE)+VLOOKUP($A288,A:AL,37,FALSE)-50))</f>
        <v>439</v>
      </c>
      <c r="AK288" s="3">
        <v>442</v>
      </c>
      <c r="AL288" s="3">
        <f>IF(ISERROR((VLOOKUP($A288,'SegEnds_NonXtal_BW#'!$A:$Z,26,FALSE)+VLOOKUP($A288,A:AL,37,FALSE)-50)),"-",(VLOOKUP($A288,'SegEnds_NonXtal_BW#'!$A:$Z,26,FALSE)+VLOOKUP($A288,A:AL,37,FALSE)-50))</f>
        <v>455</v>
      </c>
      <c r="AM288" s="28" t="str">
        <f>VLOOKUP(A288,Classification!A:B,2,FALSE)</f>
        <v>A</v>
      </c>
      <c r="AN288" s="28" t="b">
        <f t="shared" si="211"/>
        <v>1</v>
      </c>
      <c r="AO288" s="3" t="str">
        <f>IF(ISERROR(MATCH(A288,'SegEnds_Xtal_Prot#'!B:B, 0)), "NoXtal", "Xtal")</f>
        <v>NoXtal</v>
      </c>
      <c r="AP288" s="3">
        <f t="shared" si="196"/>
        <v>1</v>
      </c>
      <c r="AQ288" s="3">
        <f t="shared" si="197"/>
        <v>1</v>
      </c>
      <c r="AR288" s="3">
        <f t="shared" si="198"/>
        <v>1</v>
      </c>
      <c r="AS288" s="3">
        <f t="shared" si="199"/>
        <v>1</v>
      </c>
      <c r="AT288" s="3" t="str">
        <f t="shared" si="200"/>
        <v>-</v>
      </c>
      <c r="AU288" s="3" t="str">
        <f t="shared" si="201"/>
        <v>-</v>
      </c>
      <c r="AV288" s="3">
        <f t="shared" si="202"/>
        <v>24</v>
      </c>
      <c r="AW288" s="3">
        <f t="shared" si="203"/>
        <v>6</v>
      </c>
      <c r="AX288" s="3">
        <f t="shared" si="204"/>
        <v>9</v>
      </c>
      <c r="AY288" s="3">
        <f t="shared" si="205"/>
        <v>8</v>
      </c>
      <c r="AZ288" s="3">
        <f t="shared" si="206"/>
        <v>1</v>
      </c>
      <c r="BA288" s="3">
        <f>IF(ISERROR(LEN(VLOOKUP(A288,Seqs!A:E,2,FALSE))-AL288),"-",LEN(VLOOKUP(A288,Seqs!A:E,2,FALSE))-AL288)</f>
        <v>67</v>
      </c>
      <c r="BB288" s="16">
        <f t="shared" si="207"/>
        <v>28</v>
      </c>
      <c r="BC288" s="9" t="str">
        <f t="shared" si="208"/>
        <v>-</v>
      </c>
      <c r="BD288" s="3">
        <f t="shared" si="209"/>
        <v>28</v>
      </c>
      <c r="BE288" s="3">
        <f t="shared" si="210"/>
        <v>58</v>
      </c>
    </row>
    <row r="289" spans="1:59" s="3" customFormat="1" x14ac:dyDescent="0.2">
      <c r="A289" s="3" t="s">
        <v>324</v>
      </c>
      <c r="B289" s="3" t="str">
        <f>LOWER(VLOOKUP(A289,Xtal_Templ!A:B,2,FALSE))</f>
        <v>npy1r_human</v>
      </c>
      <c r="C289" s="3">
        <f>VLOOKUP($A289,'SegEnds_NonXtal_BW#'!$A:$Z,3,FALSE)+D289-50</f>
        <v>36</v>
      </c>
      <c r="D289" s="3">
        <v>58</v>
      </c>
      <c r="E289" s="3">
        <f>IF(ISERROR(VLOOKUP($A289,'SegEnds_NonXtal_BW#'!$A:$Z,4,FALSE)+VLOOKUP($A289,A:AL,4,FALSE)-50),"-",(VLOOKUP($A289,'SegEnds_NonXtal_BW#'!$A:$Z,4,FALSE)+VLOOKUP($A289,A:AL,4,FALSE)-50))</f>
        <v>68</v>
      </c>
      <c r="F289" s="3">
        <f t="shared" si="215"/>
        <v>69</v>
      </c>
      <c r="G289" s="3">
        <v>71</v>
      </c>
      <c r="H289" s="3">
        <f t="shared" si="216"/>
        <v>72</v>
      </c>
      <c r="I289" s="3">
        <f t="shared" si="216"/>
        <v>73</v>
      </c>
      <c r="J289" s="3">
        <v>86</v>
      </c>
      <c r="K289" s="3">
        <f>VLOOKUP($A289,'SegEnds_NonXtal_BW#'!$A:$Z,8,FALSE)+VLOOKUP($A289,A:AL,10,FALSE)-50</f>
        <v>104</v>
      </c>
      <c r="L289" s="3">
        <f t="shared" si="217"/>
        <v>105</v>
      </c>
      <c r="M289" s="3">
        <v>106</v>
      </c>
      <c r="N289" s="3">
        <f t="shared" si="218"/>
        <v>108</v>
      </c>
      <c r="O289" s="3">
        <f t="shared" si="219"/>
        <v>109</v>
      </c>
      <c r="P289" s="3">
        <v>138</v>
      </c>
      <c r="Q289" s="3">
        <f>VLOOKUP($A289,'SegEnds_NonXtal_BW#'!$A:$Z,12,FALSE)+VLOOKUP($A289,A:AL,16,FALSE)-50</f>
        <v>144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151</v>
      </c>
      <c r="V289" s="3">
        <v>163</v>
      </c>
      <c r="W289" s="3">
        <f>IF(ISERROR(VLOOKUP($A289,'SegEnds_NonXtal_BW#'!$A:$Z,16,FALSE)+VLOOKUP($A289,A:AL,22,FALSE)-50),"-",(VLOOKUP($A289,'SegEnds_NonXtal_BW#'!$A:$Z,16,FALSE)+VLOOKUP($A289,A:AL,22,FALSE)-50))</f>
        <v>177</v>
      </c>
      <c r="X289" s="3">
        <f>IF(ISERROR(VLOOKUP($A289,'SegEnds_NonXtal_BW#'!$A:$Z,17,FALSE)+VLOOKUP($A289,A:AL,25,FALSE)-50),"-",(VLOOKUP($A289,'SegEnds_NonXtal_BW#'!$A:$Z,17,FALSE)+VLOOKUP($A289,A:AL,25,FALSE)-50))</f>
        <v>198</v>
      </c>
      <c r="Y289" s="3">
        <v>198</v>
      </c>
      <c r="Z289" s="3">
        <f t="shared" si="213"/>
        <v>200</v>
      </c>
      <c r="AA289" s="3">
        <f>IF(ISERROR(VLOOKUP($A289,'SegEnds_NonXtal_BW#'!$A:$Z,19,FALSE)+VLOOKUP($A289,A:AL,28,FALSE)-50),"-",(VLOOKUP($A289,'SegEnds_NonXtal_BW#'!$A:$Z,19,FALSE)+VLOOKUP($A289,A:AL,28,FALSE)-50))</f>
        <v>204</v>
      </c>
      <c r="AB289" s="3">
        <v>223</v>
      </c>
      <c r="AC289" s="3">
        <f>IF(ISERROR((VLOOKUP($A289,'SegEnds_NonXtal_BW#'!$A:$Z,20,FALSE)+VLOOKUP($A289,A:AL,28,FALSE)-50)),"-",(VLOOKUP($A289,'SegEnds_NonXtal_BW#'!$A:$Z,20,FALSE)+VLOOKUP($A289,A:AL,28,FALSE)-50))</f>
        <v>246</v>
      </c>
      <c r="AD289" s="3">
        <f>IF(ISERROR(VLOOKUP($A289,'SegEnds_NonXtal_BW#'!$A:$Z,21,FALSE)+VLOOKUP($A289,A:AL,31,FALSE)-50),"-",(VLOOKUP($A289,'SegEnds_NonXtal_BW#'!$A:$Z,21,FALSE)+VLOOKUP($A289,A:AL,31,FALSE)-50))</f>
        <v>250</v>
      </c>
      <c r="AE289" s="3">
        <v>278</v>
      </c>
      <c r="AF289" s="3">
        <f>IF(ISERROR((VLOOKUP($A289,'SegEnds_NonXtal_BW#'!$A:$Z,22,FALSE)+VLOOKUP($A289,A:AL,31,FALSE)-50)),"-",(VLOOKUP($A289,'SegEnds_NonXtal_BW#'!$A:$Z,22,FALSE)+VLOOKUP($A289,A:AL,31,FALSE)-50))</f>
        <v>289</v>
      </c>
      <c r="AG289" s="3">
        <f>IF(ISERROR(VLOOKUP($A289,'SegEnds_NonXtal_BW#'!$A:$Z,23,FALSE)+VLOOKUP($A289,A:AL,34,FALSE)-50),"-",(VLOOKUP($A289,'SegEnds_NonXtal_BW#'!$A:$Z,23,FALSE)+VLOOKUP($A289,A:AL,34,FALSE)-50))</f>
        <v>295</v>
      </c>
      <c r="AH289" s="3">
        <v>317</v>
      </c>
      <c r="AI289" s="3">
        <f>IF(ISERROR((VLOOKUP($A289,'SegEnds_NonXtal_BW#'!$A:$Z,24,FALSE)+VLOOKUP($A289,A:AL,34,FALSE)-50)),"-",(VLOOKUP($A289,'SegEnds_NonXtal_BW#'!$A:$Z,24,FALSE)+VLOOKUP($A289,A:AL,34,FALSE)-50))</f>
        <v>323</v>
      </c>
      <c r="AJ289" s="3">
        <f>IF(ISERROR(VLOOKUP($A289,'SegEnds_NonXtal_BW#'!$A:$Z,25,FALSE)+VLOOKUP($A289,A:AL,37,FALSE)-50),"-",(VLOOKUP($A289,'SegEnds_NonXtal_BW#'!$A:$Z,25,FALSE)+VLOOKUP($A289,A:AL,37,FALSE)-50))</f>
        <v>324</v>
      </c>
      <c r="AK289" s="3">
        <v>327</v>
      </c>
      <c r="AL289" s="3">
        <f>IF(ISERROR((VLOOKUP($A289,'SegEnds_NonXtal_BW#'!$A:$Z,26,FALSE)+VLOOKUP($A289,A:AL,37,FALSE)-50)),"-",(VLOOKUP($A289,'SegEnds_NonXtal_BW#'!$A:$Z,26,FALSE)+VLOOKUP($A289,A:AL,37,FALSE)-50))</f>
        <v>335</v>
      </c>
      <c r="AM289" s="28" t="str">
        <f>VLOOKUP(A289,Classification!A:B,2,FALSE)</f>
        <v>A</v>
      </c>
      <c r="AN289" s="28" t="b">
        <f t="shared" si="211"/>
        <v>1</v>
      </c>
      <c r="AO289" s="3" t="str">
        <f>IF(ISERROR(MATCH(A289,'SegEnds_Xtal_Prot#'!B:B, 0)), "NoXtal", "Xtal")</f>
        <v>Xtal</v>
      </c>
      <c r="AP289" s="3">
        <f t="shared" si="196"/>
        <v>1</v>
      </c>
      <c r="AQ289" s="3">
        <f t="shared" si="197"/>
        <v>1</v>
      </c>
      <c r="AR289" s="3">
        <f t="shared" si="198"/>
        <v>1</v>
      </c>
      <c r="AS289" s="3">
        <f t="shared" si="199"/>
        <v>1</v>
      </c>
      <c r="AT289" s="3" t="str">
        <f t="shared" si="200"/>
        <v>-</v>
      </c>
      <c r="AU289" s="3" t="str">
        <f t="shared" si="201"/>
        <v>-</v>
      </c>
      <c r="AV289" s="3">
        <f t="shared" si="202"/>
        <v>21</v>
      </c>
      <c r="AW289" s="3">
        <f t="shared" si="203"/>
        <v>4</v>
      </c>
      <c r="AX289" s="3">
        <f t="shared" si="204"/>
        <v>4</v>
      </c>
      <c r="AY289" s="3">
        <f t="shared" si="205"/>
        <v>6</v>
      </c>
      <c r="AZ289" s="3">
        <f t="shared" si="206"/>
        <v>1</v>
      </c>
      <c r="BA289" s="3">
        <f>IF(ISERROR(LEN(VLOOKUP(A289,Seqs!A:E,2,FALSE))-AL289),"-",LEN(VLOOKUP(A289,Seqs!A:E,2,FALSE))-AL289)</f>
        <v>49</v>
      </c>
      <c r="BB289" s="16">
        <f t="shared" si="207"/>
        <v>28</v>
      </c>
      <c r="BC289" s="9" t="str">
        <f t="shared" si="208"/>
        <v>-</v>
      </c>
      <c r="BD289" s="3">
        <f t="shared" si="209"/>
        <v>28</v>
      </c>
      <c r="BE289" s="3">
        <f t="shared" si="210"/>
        <v>55</v>
      </c>
    </row>
    <row r="290" spans="1:59" s="3" customFormat="1" x14ac:dyDescent="0.2">
      <c r="A290" s="3" t="s">
        <v>325</v>
      </c>
      <c r="B290" s="3" t="str">
        <f>LOWER(VLOOKUP(A290,Xtal_Templ!A:B,2,FALSE))</f>
        <v>ox1r_human</v>
      </c>
      <c r="C290" s="3">
        <f>VLOOKUP($A290,'SegEnds_NonXtal_BW#'!$A:$Z,3,FALSE)+D290-50</f>
        <v>50</v>
      </c>
      <c r="D290" s="3">
        <v>68</v>
      </c>
      <c r="E290" s="3">
        <f>IF(ISERROR(VLOOKUP($A290,'SegEnds_NonXtal_BW#'!$A:$Z,4,FALSE)+VLOOKUP($A290,A:AL,4,FALSE)-50),"-",(VLOOKUP($A290,'SegEnds_NonXtal_BW#'!$A:$Z,4,FALSE)+VLOOKUP($A290,A:AL,4,FALSE)-50))</f>
        <v>78</v>
      </c>
      <c r="F290" s="3">
        <f t="shared" si="215"/>
        <v>79</v>
      </c>
      <c r="G290" s="3">
        <v>81</v>
      </c>
      <c r="H290" s="3">
        <f t="shared" si="216"/>
        <v>82</v>
      </c>
      <c r="I290" s="3">
        <f t="shared" si="216"/>
        <v>83</v>
      </c>
      <c r="J290" s="3">
        <v>96</v>
      </c>
      <c r="K290" s="3">
        <f>VLOOKUP($A290,'SegEnds_NonXtal_BW#'!$A:$Z,8,FALSE)+VLOOKUP($A290,A:AL,10,FALSE)-50</f>
        <v>114</v>
      </c>
      <c r="L290" s="3">
        <f t="shared" si="217"/>
        <v>115</v>
      </c>
      <c r="M290" s="3">
        <v>116</v>
      </c>
      <c r="N290" s="3">
        <f t="shared" si="218"/>
        <v>118</v>
      </c>
      <c r="O290" s="3">
        <f t="shared" si="219"/>
        <v>119</v>
      </c>
      <c r="P290" s="3">
        <v>148</v>
      </c>
      <c r="Q290" s="3">
        <f>VLOOKUP($A290,'SegEnds_NonXtal_BW#'!$A:$Z,12,FALSE)+VLOOKUP($A290,A:AL,16,FALSE)-50</f>
        <v>154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161</v>
      </c>
      <c r="V290" s="3">
        <v>173</v>
      </c>
      <c r="W290" s="3">
        <f>IF(ISERROR(VLOOKUP($A290,'SegEnds_NonXtal_BW#'!$A:$Z,16,FALSE)+VLOOKUP($A290,A:AL,22,FALSE)-50),"-",(VLOOKUP($A290,'SegEnds_NonXtal_BW#'!$A:$Z,16,FALSE)+VLOOKUP($A290,A:AL,22,FALSE)-50))</f>
        <v>187</v>
      </c>
      <c r="X290" s="3">
        <f>IF(ISERROR(VLOOKUP($A290,'SegEnds_NonXtal_BW#'!$A:$Z,17,FALSE)+VLOOKUP($A290,A:AL,25,FALSE)-50),"-",(VLOOKUP($A290,'SegEnds_NonXtal_BW#'!$A:$Z,17,FALSE)+VLOOKUP($A290,A:AL,25,FALSE)-50))</f>
        <v>203</v>
      </c>
      <c r="Y290" s="3">
        <v>203</v>
      </c>
      <c r="Z290" s="3">
        <f t="shared" si="213"/>
        <v>205</v>
      </c>
      <c r="AA290" s="3">
        <f>IF(ISERROR(VLOOKUP($A290,'SegEnds_NonXtal_BW#'!$A:$Z,19,FALSE)+VLOOKUP($A290,A:AL,28,FALSE)-50),"-",(VLOOKUP($A290,'SegEnds_NonXtal_BW#'!$A:$Z,19,FALSE)+VLOOKUP($A290,A:AL,28,FALSE)-50))</f>
        <v>214</v>
      </c>
      <c r="AB290" s="3">
        <v>231</v>
      </c>
      <c r="AC290" s="3">
        <f>IF(ISERROR((VLOOKUP($A290,'SegEnds_NonXtal_BW#'!$A:$Z,20,FALSE)+VLOOKUP($A290,A:AL,28,FALSE)-50)),"-",(VLOOKUP($A290,'SegEnds_NonXtal_BW#'!$A:$Z,20,FALSE)+VLOOKUP($A290,A:AL,28,FALSE)-50))</f>
        <v>253</v>
      </c>
      <c r="AD290" s="3">
        <f>IF(ISERROR(VLOOKUP($A290,'SegEnds_NonXtal_BW#'!$A:$Z,21,FALSE)+VLOOKUP($A290,A:AL,31,FALSE)-50),"-",(VLOOKUP($A290,'SegEnds_NonXtal_BW#'!$A:$Z,21,FALSE)+VLOOKUP($A290,A:AL,31,FALSE)-50))</f>
        <v>256</v>
      </c>
      <c r="AE290" s="3">
        <v>283</v>
      </c>
      <c r="AF290" s="3">
        <f>IF(ISERROR((VLOOKUP($A290,'SegEnds_NonXtal_BW#'!$A:$Z,22,FALSE)+VLOOKUP($A290,A:AL,31,FALSE)-50)),"-",(VLOOKUP($A290,'SegEnds_NonXtal_BW#'!$A:$Z,22,FALSE)+VLOOKUP($A290,A:AL,31,FALSE)-50))</f>
        <v>294</v>
      </c>
      <c r="AG290" s="3">
        <f>IF(ISERROR(VLOOKUP($A290,'SegEnds_NonXtal_BW#'!$A:$Z,23,FALSE)+VLOOKUP($A290,A:AL,34,FALSE)-50),"-",(VLOOKUP($A290,'SegEnds_NonXtal_BW#'!$A:$Z,23,FALSE)+VLOOKUP($A290,A:AL,34,FALSE)-50))</f>
        <v>299</v>
      </c>
      <c r="AH290" s="3">
        <v>322</v>
      </c>
      <c r="AI290" s="3">
        <f>IF(ISERROR((VLOOKUP($A290,'SegEnds_NonXtal_BW#'!$A:$Z,24,FALSE)+VLOOKUP($A290,A:AL,34,FALSE)-50)),"-",(VLOOKUP($A290,'SegEnds_NonXtal_BW#'!$A:$Z,24,FALSE)+VLOOKUP($A290,A:AL,34,FALSE)-50))</f>
        <v>328</v>
      </c>
      <c r="AJ290" s="3">
        <f>IF(ISERROR(VLOOKUP($A290,'SegEnds_NonXtal_BW#'!$A:$Z,25,FALSE)+VLOOKUP($A290,A:AL,37,FALSE)-50),"-",(VLOOKUP($A290,'SegEnds_NonXtal_BW#'!$A:$Z,25,FALSE)+VLOOKUP($A290,A:AL,37,FALSE)-50))</f>
        <v>329</v>
      </c>
      <c r="AK290" s="3">
        <v>332</v>
      </c>
      <c r="AL290" s="3">
        <f>IF(ISERROR((VLOOKUP($A290,'SegEnds_NonXtal_BW#'!$A:$Z,26,FALSE)+VLOOKUP($A290,A:AL,37,FALSE)-50)),"-",(VLOOKUP($A290,'SegEnds_NonXtal_BW#'!$A:$Z,26,FALSE)+VLOOKUP($A290,A:AL,37,FALSE)-50))</f>
        <v>345</v>
      </c>
      <c r="AM290" s="28" t="str">
        <f>VLOOKUP(A290,Classification!A:B,2,FALSE)</f>
        <v>A</v>
      </c>
      <c r="AN290" s="28" t="b">
        <f t="shared" si="211"/>
        <v>1</v>
      </c>
      <c r="AO290" s="3" t="str">
        <f>IF(ISERROR(MATCH(A290,'SegEnds_Xtal_Prot#'!B:B, 0)), "NoXtal", "Xtal")</f>
        <v>NoXtal</v>
      </c>
      <c r="AP290" s="3">
        <f t="shared" si="196"/>
        <v>1</v>
      </c>
      <c r="AQ290" s="3">
        <f t="shared" si="197"/>
        <v>1</v>
      </c>
      <c r="AR290" s="3">
        <f t="shared" si="198"/>
        <v>1</v>
      </c>
      <c r="AS290" s="3">
        <f t="shared" si="199"/>
        <v>1</v>
      </c>
      <c r="AT290" s="3" t="str">
        <f t="shared" si="200"/>
        <v>-</v>
      </c>
      <c r="AU290" s="3" t="str">
        <f t="shared" si="201"/>
        <v>-</v>
      </c>
      <c r="AV290" s="3">
        <f t="shared" si="202"/>
        <v>16</v>
      </c>
      <c r="AW290" s="3">
        <f t="shared" si="203"/>
        <v>9</v>
      </c>
      <c r="AX290" s="3">
        <f t="shared" si="204"/>
        <v>3</v>
      </c>
      <c r="AY290" s="3">
        <f t="shared" si="205"/>
        <v>5</v>
      </c>
      <c r="AZ290" s="3">
        <f t="shared" si="206"/>
        <v>1</v>
      </c>
      <c r="BA290" s="3">
        <f>IF(ISERROR(LEN(VLOOKUP(A290,Seqs!A:E,2,FALSE))-AL290),"-",LEN(VLOOKUP(A290,Seqs!A:E,2,FALSE))-AL290)</f>
        <v>36</v>
      </c>
      <c r="BB290" s="16">
        <f t="shared" si="207"/>
        <v>28</v>
      </c>
      <c r="BC290" s="9" t="str">
        <f t="shared" si="208"/>
        <v>-</v>
      </c>
      <c r="BD290" s="3">
        <f t="shared" si="209"/>
        <v>28</v>
      </c>
      <c r="BE290" s="3">
        <f t="shared" si="210"/>
        <v>52</v>
      </c>
    </row>
    <row r="291" spans="1:59" s="3" customFormat="1" x14ac:dyDescent="0.2">
      <c r="A291" s="3" t="s">
        <v>326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215"/>
        <v>70</v>
      </c>
      <c r="G291" s="3">
        <v>72</v>
      </c>
      <c r="H291" s="3">
        <f t="shared" si="216"/>
        <v>73</v>
      </c>
      <c r="I291" s="3">
        <f t="shared" si="216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217"/>
        <v>106</v>
      </c>
      <c r="M291" s="3">
        <v>107</v>
      </c>
      <c r="N291" s="3">
        <f t="shared" si="218"/>
        <v>109</v>
      </c>
      <c r="O291" s="3">
        <f t="shared" si="219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201</v>
      </c>
      <c r="Y291" s="3">
        <v>201</v>
      </c>
      <c r="Z291" s="3">
        <f t="shared" si="213"/>
        <v>203</v>
      </c>
      <c r="AA291" s="3">
        <f>IF(ISERROR(VLOOKUP($A291,'SegEnds_NonXtal_BW#'!$A:$Z,19,FALSE)+VLOOKUP($A291,A:AL,28,FALSE)-50),"-",(VLOOKUP($A291,'SegEnds_NonXtal_BW#'!$A:$Z,19,FALSE)+VLOOKUP($A291,A:AL,28,FALSE)-50))</f>
        <v>207</v>
      </c>
      <c r="AB291" s="3">
        <v>226</v>
      </c>
      <c r="AC291" s="3">
        <f>IF(ISERROR((VLOOKUP($A291,'SegEnds_NonXtal_BW#'!$A:$Z,20,FALSE)+VLOOKUP($A291,A:AL,28,FALSE)-50)),"-",(VLOOKUP($A291,'SegEnds_NonXtal_BW#'!$A:$Z,20,FALSE)+VLOOKUP($A291,A:AL,28,FALSE)-50))</f>
        <v>248</v>
      </c>
      <c r="AD291" s="3">
        <f>IF(ISERROR(VLOOKUP($A291,'SegEnds_NonXtal_BW#'!$A:$Z,21,FALSE)+VLOOKUP($A291,A:AL,31,FALSE)-50),"-",(VLOOKUP($A291,'SegEnds_NonXtal_BW#'!$A:$Z,21,FALSE)+VLOOKUP($A291,A:AL,31,FALSE)-50))</f>
        <v>254</v>
      </c>
      <c r="AE291" s="3">
        <v>280</v>
      </c>
      <c r="AF291" s="3">
        <f>IF(ISERROR((VLOOKUP($A291,'SegEnds_NonXtal_BW#'!$A:$Z,22,FALSE)+VLOOKUP($A291,A:AL,31,FALSE)-50)),"-",(VLOOKUP($A291,'SegEnds_NonXtal_BW#'!$A:$Z,22,FALSE)+VLOOKUP($A291,A:AL,31,FALSE)-50))</f>
        <v>291</v>
      </c>
      <c r="AG291" s="3">
        <f>IF(ISERROR(VLOOKUP($A291,'SegEnds_NonXtal_BW#'!$A:$Z,23,FALSE)+VLOOKUP($A291,A:AL,34,FALSE)-50),"-",(VLOOKUP($A291,'SegEnds_NonXtal_BW#'!$A:$Z,23,FALSE)+VLOOKUP($A291,A:AL,34,FALSE)-50))</f>
        <v>297</v>
      </c>
      <c r="AH291" s="3">
        <v>319</v>
      </c>
      <c r="AI291" s="3">
        <f>IF(ISERROR((VLOOKUP($A291,'SegEnds_NonXtal_BW#'!$A:$Z,24,FALSE)+VLOOKUP($A291,A:AL,34,FALSE)-50)),"-",(VLOOKUP($A291,'SegEnds_NonXtal_BW#'!$A:$Z,24,FALSE)+VLOOKUP($A291,A:AL,34,FALSE)-50))</f>
        <v>325</v>
      </c>
      <c r="AJ291" s="3">
        <f>IF(ISERROR(VLOOKUP($A291,'SegEnds_NonXtal_BW#'!$A:$Z,25,FALSE)+VLOOKUP($A291,A:AL,37,FALSE)-50),"-",(VLOOKUP($A291,'SegEnds_NonXtal_BW#'!$A:$Z,25,FALSE)+VLOOKUP($A291,A:AL,37,FALSE)-50))</f>
        <v>326</v>
      </c>
      <c r="AK291" s="3">
        <v>329</v>
      </c>
      <c r="AL291" s="3">
        <f>IF(ISERROR((VLOOKUP($A291,'SegEnds_NonXtal_BW#'!$A:$Z,26,FALSE)+VLOOKUP($A291,A:AL,37,FALSE)-50)),"-",(VLOOKUP($A291,'SegEnds_NonXtal_BW#'!$A:$Z,26,FALSE)+VLOOKUP($A291,A:AL,37,FALSE)-50))</f>
        <v>337</v>
      </c>
      <c r="AM291" s="28" t="str">
        <f>VLOOKUP(A291,Classification!A:B,2,FALSE)</f>
        <v>A</v>
      </c>
      <c r="AN291" s="28" t="b">
        <f t="shared" si="211"/>
        <v>1</v>
      </c>
      <c r="AO291" s="3" t="str">
        <f>IF(ISERROR(MATCH(A291,'SegEnds_Xtal_Prot#'!B:B, 0)), "NoXtal", "Xtal")</f>
        <v>NoXtal</v>
      </c>
      <c r="AP291" s="3">
        <f t="shared" si="196"/>
        <v>1</v>
      </c>
      <c r="AQ291" s="3">
        <f t="shared" si="197"/>
        <v>1</v>
      </c>
      <c r="AR291" s="3">
        <f t="shared" si="198"/>
        <v>1</v>
      </c>
      <c r="AS291" s="3">
        <f t="shared" si="199"/>
        <v>1</v>
      </c>
      <c r="AT291" s="3" t="str">
        <f t="shared" si="200"/>
        <v>-</v>
      </c>
      <c r="AU291" s="3" t="str">
        <f t="shared" si="201"/>
        <v>-</v>
      </c>
      <c r="AV291" s="3">
        <f t="shared" si="202"/>
        <v>23</v>
      </c>
      <c r="AW291" s="3">
        <f t="shared" si="203"/>
        <v>4</v>
      </c>
      <c r="AX291" s="3">
        <f t="shared" si="204"/>
        <v>6</v>
      </c>
      <c r="AY291" s="3">
        <f t="shared" si="205"/>
        <v>6</v>
      </c>
      <c r="AZ291" s="3">
        <f t="shared" si="206"/>
        <v>1</v>
      </c>
      <c r="BA291" s="3">
        <f>IF(ISERROR(LEN(VLOOKUP(A291,Seqs!A:E,2,FALSE))-AL291),"-",LEN(VLOOKUP(A291,Seqs!A:E,2,FALSE))-AL291)</f>
        <v>38</v>
      </c>
      <c r="BB291" s="16">
        <f t="shared" si="207"/>
        <v>28</v>
      </c>
      <c r="BC291" s="9" t="str">
        <f t="shared" si="208"/>
        <v>-</v>
      </c>
      <c r="BD291" s="3">
        <f t="shared" si="209"/>
        <v>28</v>
      </c>
      <c r="BE291" s="3">
        <f t="shared" si="210"/>
        <v>54</v>
      </c>
    </row>
    <row r="292" spans="1:59" s="3" customFormat="1" x14ac:dyDescent="0.2">
      <c r="A292" s="3" t="s">
        <v>327</v>
      </c>
      <c r="B292" s="3" t="str">
        <f>LOWER(VLOOKUP(A292,Xtal_Templ!A:B,2,FALSE))</f>
        <v>npy1r_human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5"/>
        <v>70</v>
      </c>
      <c r="G292" s="3">
        <v>72</v>
      </c>
      <c r="H292" s="3">
        <f t="shared" si="216"/>
        <v>73</v>
      </c>
      <c r="I292" s="3">
        <f t="shared" si="216"/>
        <v>74</v>
      </c>
      <c r="J292" s="3">
        <v>87</v>
      </c>
      <c r="K292" s="3">
        <f>VLOOKUP($A292,'SegEnds_NonXtal_BW#'!$A:$Z,8,FALSE)+VLOOKUP($A292,A:AL,10,FALSE)-50</f>
        <v>105</v>
      </c>
      <c r="L292" s="3">
        <f t="shared" si="217"/>
        <v>106</v>
      </c>
      <c r="M292" s="3">
        <v>107</v>
      </c>
      <c r="N292" s="3">
        <f t="shared" si="218"/>
        <v>109</v>
      </c>
      <c r="O292" s="3">
        <f t="shared" si="219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152</v>
      </c>
      <c r="V292" s="3">
        <v>164</v>
      </c>
      <c r="W292" s="3">
        <f>IF(ISERROR(VLOOKUP($A292,'SegEnds_NonXtal_BW#'!$A:$Z,16,FALSE)+VLOOKUP($A292,A:AL,22,FALSE)-50),"-",(VLOOKUP($A292,'SegEnds_NonXtal_BW#'!$A:$Z,16,FALSE)+VLOOKUP($A292,A:AL,22,FALSE)-50))</f>
        <v>178</v>
      </c>
      <c r="X292" s="3">
        <f>IF(ISERROR(VLOOKUP($A292,'SegEnds_NonXtal_BW#'!$A:$Z,17,FALSE)+VLOOKUP($A292,A:AL,25,FALSE)-50),"-",(VLOOKUP($A292,'SegEnds_NonXtal_BW#'!$A:$Z,17,FALSE)+VLOOKUP($A292,A:AL,25,FALSE)-50))</f>
        <v>198</v>
      </c>
      <c r="Y292" s="3">
        <v>198</v>
      </c>
      <c r="Z292" s="3">
        <f t="shared" si="213"/>
        <v>200</v>
      </c>
      <c r="AA292" s="3">
        <f>IF(ISERROR(VLOOKUP($A292,'SegEnds_NonXtal_BW#'!$A:$Z,19,FALSE)+VLOOKUP($A292,A:AL,28,FALSE)-50),"-",(VLOOKUP($A292,'SegEnds_NonXtal_BW#'!$A:$Z,19,FALSE)+VLOOKUP($A292,A:AL,28,FALSE)-50))</f>
        <v>204</v>
      </c>
      <c r="AB292" s="3">
        <v>223</v>
      </c>
      <c r="AC292" s="3">
        <f>IF(ISERROR((VLOOKUP($A292,'SegEnds_NonXtal_BW#'!$A:$Z,20,FALSE)+VLOOKUP($A292,A:AL,28,FALSE)-50)),"-",(VLOOKUP($A292,'SegEnds_NonXtal_BW#'!$A:$Z,20,FALSE)+VLOOKUP($A292,A:AL,28,FALSE)-50))</f>
        <v>249</v>
      </c>
      <c r="AD292" s="3">
        <f>IF(ISERROR(VLOOKUP($A292,'SegEnds_NonXtal_BW#'!$A:$Z,21,FALSE)+VLOOKUP($A292,A:AL,31,FALSE)-50),"-",(VLOOKUP($A292,'SegEnds_NonXtal_BW#'!$A:$Z,21,FALSE)+VLOOKUP($A292,A:AL,31,FALSE)-50))</f>
        <v>357</v>
      </c>
      <c r="AE292" s="3">
        <v>383</v>
      </c>
      <c r="AF292" s="3">
        <f>IF(ISERROR((VLOOKUP($A292,'SegEnds_NonXtal_BW#'!$A:$Z,22,FALSE)+VLOOKUP($A292,A:AL,31,FALSE)-50)),"-",(VLOOKUP($A292,'SegEnds_NonXtal_BW#'!$A:$Z,22,FALSE)+VLOOKUP($A292,A:AL,31,FALSE)-50))</f>
        <v>394</v>
      </c>
      <c r="AG292" s="3">
        <f>IF(ISERROR(VLOOKUP($A292,'SegEnds_NonXtal_BW#'!$A:$Z,23,FALSE)+VLOOKUP($A292,A:AL,34,FALSE)-50),"-",(VLOOKUP($A292,'SegEnds_NonXtal_BW#'!$A:$Z,23,FALSE)+VLOOKUP($A292,A:AL,34,FALSE)-50))</f>
        <v>400</v>
      </c>
      <c r="AH292" s="3">
        <v>422</v>
      </c>
      <c r="AI292" s="3">
        <f>IF(ISERROR((VLOOKUP($A292,'SegEnds_NonXtal_BW#'!$A:$Z,24,FALSE)+VLOOKUP($A292,A:AL,34,FALSE)-50)),"-",(VLOOKUP($A292,'SegEnds_NonXtal_BW#'!$A:$Z,24,FALSE)+VLOOKUP($A292,A:AL,34,FALSE)-50))</f>
        <v>428</v>
      </c>
      <c r="AJ292" s="3">
        <f>IF(ISERROR(VLOOKUP($A292,'SegEnds_NonXtal_BW#'!$A:$Z,25,FALSE)+VLOOKUP($A292,A:AL,37,FALSE)-50),"-",(VLOOKUP($A292,'SegEnds_NonXtal_BW#'!$A:$Z,25,FALSE)+VLOOKUP($A292,A:AL,37,FALSE)-50))</f>
        <v>429</v>
      </c>
      <c r="AK292" s="3">
        <v>432</v>
      </c>
      <c r="AL292" s="3">
        <f>IF(ISERROR((VLOOKUP($A292,'SegEnds_NonXtal_BW#'!$A:$Z,26,FALSE)+VLOOKUP($A292,A:AL,37,FALSE)-50)),"-",(VLOOKUP($A292,'SegEnds_NonXtal_BW#'!$A:$Z,26,FALSE)+VLOOKUP($A292,A:AL,37,FALSE)-50))</f>
        <v>440</v>
      </c>
      <c r="AM292" s="28" t="str">
        <f>VLOOKUP(A292,Classification!A:B,2,FALSE)</f>
        <v>A</v>
      </c>
      <c r="AN292" s="28" t="b">
        <f t="shared" si="211"/>
        <v>1</v>
      </c>
      <c r="AO292" s="3" t="str">
        <f>IF(ISERROR(MATCH(A292,'SegEnds_Xtal_Prot#'!B:B, 0)), "NoXtal", "Xtal")</f>
        <v>NoXtal</v>
      </c>
      <c r="AP292" s="3">
        <f t="shared" si="196"/>
        <v>1</v>
      </c>
      <c r="AQ292" s="3">
        <f t="shared" si="197"/>
        <v>1</v>
      </c>
      <c r="AR292" s="3">
        <f t="shared" si="198"/>
        <v>1</v>
      </c>
      <c r="AS292" s="3">
        <f t="shared" si="199"/>
        <v>1</v>
      </c>
      <c r="AT292" s="3" t="str">
        <f t="shared" si="200"/>
        <v>-</v>
      </c>
      <c r="AU292" s="3" t="str">
        <f t="shared" si="201"/>
        <v>-</v>
      </c>
      <c r="AV292" s="3">
        <f t="shared" si="202"/>
        <v>20</v>
      </c>
      <c r="AW292" s="3">
        <f t="shared" si="203"/>
        <v>4</v>
      </c>
      <c r="AX292" s="3">
        <f t="shared" si="204"/>
        <v>108</v>
      </c>
      <c r="AY292" s="3">
        <f t="shared" si="205"/>
        <v>6</v>
      </c>
      <c r="AZ292" s="3">
        <f t="shared" si="206"/>
        <v>1</v>
      </c>
      <c r="BA292" s="3">
        <f>IF(ISERROR(LEN(VLOOKUP(A292,Seqs!A:E,2,FALSE))-AL292),"-",LEN(VLOOKUP(A292,Seqs!A:E,2,FALSE))-AL292)</f>
        <v>5</v>
      </c>
      <c r="BB292" s="16">
        <f t="shared" si="207"/>
        <v>28</v>
      </c>
      <c r="BC292" s="9" t="str">
        <f t="shared" si="208"/>
        <v>-</v>
      </c>
      <c r="BD292" s="3">
        <f t="shared" si="209"/>
        <v>28</v>
      </c>
      <c r="BE292" s="3">
        <f t="shared" si="210"/>
        <v>160</v>
      </c>
      <c r="BF292" s="3">
        <f>AH292-AE292</f>
        <v>39</v>
      </c>
    </row>
    <row r="293" spans="1:59" s="3" customFormat="1" x14ac:dyDescent="0.2">
      <c r="A293" s="3" t="s">
        <v>328</v>
      </c>
      <c r="B293" s="3" t="str">
        <f>LOWER(VLOOKUP(A293,Xtal_Templ!A:B,2,FALSE))</f>
        <v>npy1r_human</v>
      </c>
      <c r="C293" s="3">
        <f>VLOOKUP($A293,'SegEnds_NonXtal_BW#'!$A:$Z,3,FALSE)+D293-50</f>
        <v>31</v>
      </c>
      <c r="D293" s="3">
        <v>53</v>
      </c>
      <c r="E293" s="3">
        <f>IF(ISERROR(VLOOKUP($A293,'SegEnds_NonXtal_BW#'!$A:$Z,4,FALSE)+VLOOKUP($A293,A:AL,4,FALSE)-50),"-",(VLOOKUP($A293,'SegEnds_NonXtal_BW#'!$A:$Z,4,FALSE)+VLOOKUP($A293,A:AL,4,FALSE)-50))</f>
        <v>63</v>
      </c>
      <c r="F293" s="3">
        <f t="shared" si="215"/>
        <v>65</v>
      </c>
      <c r="G293" s="3">
        <v>67</v>
      </c>
      <c r="H293" s="3">
        <f t="shared" si="216"/>
        <v>68</v>
      </c>
      <c r="I293" s="3">
        <f t="shared" si="216"/>
        <v>69</v>
      </c>
      <c r="J293" s="3">
        <v>82</v>
      </c>
      <c r="K293" s="3">
        <f>VLOOKUP($A293,'SegEnds_NonXtal_BW#'!$A:$Z,8,FALSE)+VLOOKUP($A293,A:AL,10,FALSE)-50</f>
        <v>100</v>
      </c>
      <c r="L293" s="3">
        <f t="shared" si="217"/>
        <v>101</v>
      </c>
      <c r="M293" s="3">
        <v>102</v>
      </c>
      <c r="N293" s="3">
        <f t="shared" si="218"/>
        <v>104</v>
      </c>
      <c r="O293" s="3">
        <f t="shared" si="219"/>
        <v>105</v>
      </c>
      <c r="P293" s="3">
        <v>134</v>
      </c>
      <c r="Q293" s="3">
        <f>VLOOKUP($A293,'SegEnds_NonXtal_BW#'!$A:$Z,12,FALSE)+VLOOKUP($A293,A:AL,16,FALSE)-50</f>
        <v>140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147</v>
      </c>
      <c r="V293" s="3">
        <v>159</v>
      </c>
      <c r="W293" s="3">
        <f>IF(ISERROR(VLOOKUP($A293,'SegEnds_NonXtal_BW#'!$A:$Z,16,FALSE)+VLOOKUP($A293,A:AL,22,FALSE)-50),"-",(VLOOKUP($A293,'SegEnds_NonXtal_BW#'!$A:$Z,16,FALSE)+VLOOKUP($A293,A:AL,22,FALSE)-50))</f>
        <v>173</v>
      </c>
      <c r="X293" s="3" t="str">
        <f>IF(ISERROR(VLOOKUP($A293,'SegEnds_NonXtal_BW#'!$A:$Z,17,FALSE)+VLOOKUP($A293,A:AL,25,FALSE)-50),"-",(VLOOKUP($A293,'SegEnds_NonXtal_BW#'!$A:$Z,17,FALSE)+VLOOKUP($A293,A:AL,25,FALSE)-50))</f>
        <v>-</v>
      </c>
      <c r="Y293" s="3" t="s">
        <v>23</v>
      </c>
      <c r="Z293" s="3" t="str">
        <f>IF(ISERROR(VLOOKUP($A293,'SegEnds_NonXtal_BW#'!$A:$Z,18,FALSE)+VLOOKUP($A293,A:AL,25,FALSE)-50),"-",(VLOOKUP($A293,'SegEnds_NonXtal_BW#'!$A:$Z,18,FALSE)+VLOOKUP($A293,A:AL,25,FALSE)-50))</f>
        <v>-</v>
      </c>
      <c r="AA293" s="3">
        <f>IF(ISERROR(VLOOKUP($A293,'SegEnds_NonXtal_BW#'!$A:$Z,19,FALSE)+VLOOKUP($A293,A:AL,28,FALSE)-50),"-",(VLOOKUP($A293,'SegEnds_NonXtal_BW#'!$A:$Z,19,FALSE)+VLOOKUP($A293,A:AL,28,FALSE)-50))</f>
        <v>202</v>
      </c>
      <c r="AB293" s="3">
        <v>221</v>
      </c>
      <c r="AC293" s="3">
        <f>IF(ISERROR((VLOOKUP($A293,'SegEnds_NonXtal_BW#'!$A:$Z,20,FALSE)+VLOOKUP($A293,A:AL,28,FALSE)-50)),"-",(VLOOKUP($A293,'SegEnds_NonXtal_BW#'!$A:$Z,20,FALSE)+VLOOKUP($A293,A:AL,28,FALSE)-50))</f>
        <v>244</v>
      </c>
      <c r="AD293" s="3">
        <f>IF(ISERROR(VLOOKUP($A293,'SegEnds_NonXtal_BW#'!$A:$Z,21,FALSE)+VLOOKUP($A293,A:AL,31,FALSE)-50),"-",(VLOOKUP($A293,'SegEnds_NonXtal_BW#'!$A:$Z,21,FALSE)+VLOOKUP($A293,A:AL,31,FALSE)-50))</f>
        <v>248</v>
      </c>
      <c r="AE293" s="3">
        <v>276</v>
      </c>
      <c r="AF293" s="3">
        <f>IF(ISERROR((VLOOKUP($A293,'SegEnds_NonXtal_BW#'!$A:$Z,22,FALSE)+VLOOKUP($A293,A:AL,31,FALSE)-50)),"-",(VLOOKUP($A293,'SegEnds_NonXtal_BW#'!$A:$Z,22,FALSE)+VLOOKUP($A293,A:AL,31,FALSE)-50))</f>
        <v>287</v>
      </c>
      <c r="AG293" s="3" t="str">
        <f>IF(ISERROR(VLOOKUP($A293,'SegEnds_NonXtal_BW#'!$A:$Z,23,FALSE)+VLOOKUP($A293,A:AL,34,FALSE)-50),"-",(VLOOKUP($A293,'SegEnds_NonXtal_BW#'!$A:$Z,23,FALSE)+VLOOKUP($A293,A:AL,34,FALSE)-50))</f>
        <v>-</v>
      </c>
      <c r="AH293" s="3" t="s">
        <v>23</v>
      </c>
      <c r="AI293" s="3" t="str">
        <f>IF(ISERROR((VLOOKUP($A293,'SegEnds_NonXtal_BW#'!$A:$Z,24,FALSE)+VLOOKUP($A293,A:AL,34,FALSE)-50)),"-",(VLOOKUP($A293,'SegEnds_NonXtal_BW#'!$A:$Z,24,FALSE)+VLOOKUP($A293,A:AL,34,FALSE)-50))</f>
        <v>-</v>
      </c>
      <c r="AJ293" s="3" t="str">
        <f>IF(ISERROR(VLOOKUP($A293,'SegEnds_NonXtal_BW#'!$A:$Z,25,FALSE)+VLOOKUP($A293,A:AL,37,FALSE)-50),"-",(VLOOKUP($A293,'SegEnds_NonXtal_BW#'!$A:$Z,25,FALSE)+VLOOKUP($A293,A:AL,37,FALSE)-50))</f>
        <v>-</v>
      </c>
      <c r="AK293" s="3" t="s">
        <v>23</v>
      </c>
      <c r="AL293" s="3" t="str">
        <f>IF(ISERROR((VLOOKUP($A293,'SegEnds_NonXtal_BW#'!$A:$Z,26,FALSE)+VLOOKUP($A293,A:AL,37,FALSE)-50)),"-",(VLOOKUP($A293,'SegEnds_NonXtal_BW#'!$A:$Z,26,FALSE)+VLOOKUP($A293,A:AL,37,FALSE)-50))</f>
        <v>-</v>
      </c>
      <c r="AM293" s="28" t="str">
        <f>VLOOKUP(A293,Classification!A:B,2,FALSE)</f>
        <v>A</v>
      </c>
      <c r="AN293" s="28" t="e">
        <f t="shared" si="211"/>
        <v>#VALUE!</v>
      </c>
      <c r="AO293" s="3" t="str">
        <f>IF(ISERROR(MATCH(A293,'SegEnds_Xtal_Prot#'!B:B, 0)), "NoXtal", "Xtal")</f>
        <v>NoXtal</v>
      </c>
      <c r="AP293" s="3">
        <f t="shared" si="196"/>
        <v>2</v>
      </c>
      <c r="AQ293" s="3">
        <f t="shared" si="197"/>
        <v>1</v>
      </c>
      <c r="AR293" s="3">
        <f t="shared" si="198"/>
        <v>1</v>
      </c>
      <c r="AS293" s="3">
        <f t="shared" si="199"/>
        <v>1</v>
      </c>
      <c r="AT293" s="3" t="str">
        <f t="shared" si="200"/>
        <v>-</v>
      </c>
      <c r="AU293" s="3" t="str">
        <f t="shared" si="201"/>
        <v>-</v>
      </c>
      <c r="AV293" s="3" t="str">
        <f t="shared" si="202"/>
        <v>-</v>
      </c>
      <c r="AW293" s="3" t="str">
        <f t="shared" si="203"/>
        <v>-</v>
      </c>
      <c r="AX293" s="3">
        <f t="shared" si="204"/>
        <v>4</v>
      </c>
      <c r="AY293" s="3" t="str">
        <f t="shared" si="205"/>
        <v>-</v>
      </c>
      <c r="AZ293" s="3" t="str">
        <f t="shared" si="206"/>
        <v>-</v>
      </c>
      <c r="BA293" s="3" t="str">
        <f>IF(ISERROR(LEN(VLOOKUP(A293,Seqs!A:E,2,FALSE))-AL293),"-",LEN(VLOOKUP(A293,Seqs!A:E,2,FALSE))-AL293)</f>
        <v>-</v>
      </c>
      <c r="BB293" s="16">
        <f t="shared" si="207"/>
        <v>29</v>
      </c>
      <c r="BC293" s="9" t="str">
        <f t="shared" si="208"/>
        <v>-</v>
      </c>
      <c r="BD293" s="3">
        <f t="shared" si="209"/>
        <v>29</v>
      </c>
      <c r="BE293" s="3">
        <f t="shared" si="210"/>
        <v>55</v>
      </c>
      <c r="BG293" s="3" t="s">
        <v>1300</v>
      </c>
    </row>
    <row r="294" spans="1:59" s="3" customFormat="1" x14ac:dyDescent="0.2">
      <c r="A294" s="3" t="s">
        <v>331</v>
      </c>
      <c r="B294" s="3" t="str">
        <f>LOWER(VLOOKUP(A294,Xtal_Templ!A:B,2,FALSE))</f>
        <v>opsd_bovin</v>
      </c>
      <c r="C294" s="3">
        <f>VLOOKUP($A294,'SegEnds_NonXtal_BW#'!$A:$Z,3,FALSE)+D294-50</f>
        <v>37</v>
      </c>
      <c r="D294" s="3">
        <v>59</v>
      </c>
      <c r="E294" s="3">
        <f>IF(ISERROR(VLOOKUP($A294,'SegEnds_NonXtal_BW#'!$A:$Z,4,FALSE)+VLOOKUP($A294,A:AL,4,FALSE)-50),"-",(VLOOKUP($A294,'SegEnds_NonXtal_BW#'!$A:$Z,4,FALSE)+VLOOKUP($A294,A:AL,4,FALSE)-50))</f>
        <v>69</v>
      </c>
      <c r="F294" s="3">
        <f t="shared" si="215"/>
        <v>70</v>
      </c>
      <c r="G294" s="3">
        <v>72</v>
      </c>
      <c r="H294" s="3">
        <f t="shared" si="216"/>
        <v>73</v>
      </c>
      <c r="I294" s="3">
        <f t="shared" si="216"/>
        <v>74</v>
      </c>
      <c r="J294" s="3">
        <v>87</v>
      </c>
      <c r="K294" s="3">
        <f>VLOOKUP($A294,'SegEnds_NonXtal_BW#'!$A:$Z,8,FALSE)+VLOOKUP($A294,A:AL,10,FALSE)-50</f>
        <v>105</v>
      </c>
      <c r="L294" s="3">
        <f t="shared" si="217"/>
        <v>106</v>
      </c>
      <c r="M294" s="3">
        <v>107</v>
      </c>
      <c r="N294" s="3">
        <f t="shared" si="218"/>
        <v>109</v>
      </c>
      <c r="O294" s="3">
        <f t="shared" si="219"/>
        <v>110</v>
      </c>
      <c r="P294" s="3">
        <v>139</v>
      </c>
      <c r="Q294" s="3">
        <f>VLOOKUP($A294,'SegEnds_NonXtal_BW#'!$A:$Z,12,FALSE)+VLOOKUP($A294,A:AL,16,FALSE)-50</f>
        <v>145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150</v>
      </c>
      <c r="V294" s="3">
        <v>162</v>
      </c>
      <c r="W294" s="3">
        <f>IF(ISERROR(VLOOKUP($A294,'SegEnds_NonXtal_BW#'!$A:$Z,16,FALSE)+VLOOKUP($A294,A:AL,22,FALSE)-50),"-",(VLOOKUP($A294,'SegEnds_NonXtal_BW#'!$A:$Z,16,FALSE)+VLOOKUP($A294,A:AL,22,FALSE)-50))</f>
        <v>174</v>
      </c>
      <c r="X294" s="3">
        <f>IF(ISERROR(VLOOKUP($A294,'SegEnds_NonXtal_BW#'!$A:$Z,17,FALSE)+VLOOKUP($A294,A:AL,25,FALSE)-50),"-",(VLOOKUP($A294,'SegEnds_NonXtal_BW#'!$A:$Z,17,FALSE)+VLOOKUP($A294,A:AL,25,FALSE)-50))</f>
        <v>188</v>
      </c>
      <c r="Y294" s="3">
        <v>188</v>
      </c>
      <c r="Z294" s="3">
        <f t="shared" ref="Z294:Z329" si="220">Y294+2</f>
        <v>190</v>
      </c>
      <c r="AA294" s="3">
        <f>IF(ISERROR(VLOOKUP($A294,'SegEnds_NonXtal_BW#'!$A:$Z,19,FALSE)+VLOOKUP($A294,A:AL,28,FALSE)-50),"-",(VLOOKUP($A294,'SegEnds_NonXtal_BW#'!$A:$Z,19,FALSE)+VLOOKUP($A294,A:AL,28,FALSE)-50))</f>
        <v>198</v>
      </c>
      <c r="AB294" s="3">
        <v>214</v>
      </c>
      <c r="AC294" s="3">
        <f>IF(ISERROR((VLOOKUP($A294,'SegEnds_NonXtal_BW#'!$A:$Z,20,FALSE)+VLOOKUP($A294,A:AL,28,FALSE)-50)),"-",(VLOOKUP($A294,'SegEnds_NonXtal_BW#'!$A:$Z,20,FALSE)+VLOOKUP($A294,A:AL,28,FALSE)-50))</f>
        <v>237</v>
      </c>
      <c r="AD294" s="3">
        <f>IF(ISERROR(VLOOKUP($A294,'SegEnds_NonXtal_BW#'!$A:$Z,21,FALSE)+VLOOKUP($A294,A:AL,31,FALSE)-50),"-",(VLOOKUP($A294,'SegEnds_NonXtal_BW#'!$A:$Z,21,FALSE)+VLOOKUP($A294,A:AL,31,FALSE)-50))</f>
        <v>242</v>
      </c>
      <c r="AE294" s="3">
        <v>270</v>
      </c>
      <c r="AF294" s="3">
        <f>IF(ISERROR((VLOOKUP($A294,'SegEnds_NonXtal_BW#'!$A:$Z,22,FALSE)+VLOOKUP($A294,A:AL,31,FALSE)-50)),"-",(VLOOKUP($A294,'SegEnds_NonXtal_BW#'!$A:$Z,22,FALSE)+VLOOKUP($A294,A:AL,31,FALSE)-50))</f>
        <v>281</v>
      </c>
      <c r="AG294" s="3">
        <f>IF(ISERROR(VLOOKUP($A294,'SegEnds_NonXtal_BW#'!$A:$Z,23,FALSE)+VLOOKUP($A294,A:AL,34,FALSE)-50),"-",(VLOOKUP($A294,'SegEnds_NonXtal_BW#'!$A:$Z,23,FALSE)+VLOOKUP($A294,A:AL,34,FALSE)-50))</f>
        <v>287</v>
      </c>
      <c r="AH294" s="3">
        <v>306</v>
      </c>
      <c r="AI294" s="3">
        <f>IF(ISERROR((VLOOKUP($A294,'SegEnds_NonXtal_BW#'!$A:$Z,24,FALSE)+VLOOKUP($A294,A:AL,34,FALSE)-50)),"-",(VLOOKUP($A294,'SegEnds_NonXtal_BW#'!$A:$Z,24,FALSE)+VLOOKUP($A294,A:AL,34,FALSE)-50))</f>
        <v>312</v>
      </c>
      <c r="AJ294" s="3">
        <f>IF(ISERROR(VLOOKUP($A294,'SegEnds_NonXtal_BW#'!$A:$Z,25,FALSE)+VLOOKUP($A294,A:AL,37,FALSE)-50),"-",(VLOOKUP($A294,'SegEnds_NonXtal_BW#'!$A:$Z,25,FALSE)+VLOOKUP($A294,A:AL,37,FALSE)-50))</f>
        <v>313</v>
      </c>
      <c r="AK294" s="3">
        <v>316</v>
      </c>
      <c r="AL294" s="3">
        <f>IF(ISERROR((VLOOKUP($A294,'SegEnds_NonXtal_BW#'!$A:$Z,26,FALSE)+VLOOKUP($A294,A:AL,37,FALSE)-50)),"-",(VLOOKUP($A294,'SegEnds_NonXtal_BW#'!$A:$Z,26,FALSE)+VLOOKUP($A294,A:AL,37,FALSE)-50))</f>
        <v>325</v>
      </c>
      <c r="AM294" s="28" t="str">
        <f>VLOOKUP(A294,Classification!A:B,2,FALSE)</f>
        <v>A</v>
      </c>
      <c r="AN294" s="28" t="b">
        <f t="shared" si="211"/>
        <v>1</v>
      </c>
      <c r="AO294" s="3" t="str">
        <f>IF(ISERROR(MATCH(A294,'SegEnds_Xtal_Prot#'!B:B, 0)), "NoXtal", "Xtal")</f>
        <v>NoXtal</v>
      </c>
      <c r="AP294" s="3">
        <f t="shared" si="196"/>
        <v>1</v>
      </c>
      <c r="AQ294" s="3">
        <f t="shared" si="197"/>
        <v>1</v>
      </c>
      <c r="AR294" s="3">
        <f t="shared" si="198"/>
        <v>1</v>
      </c>
      <c r="AS294" s="3">
        <f t="shared" si="199"/>
        <v>1</v>
      </c>
      <c r="AT294" s="3" t="str">
        <f t="shared" si="200"/>
        <v>-</v>
      </c>
      <c r="AU294" s="3" t="str">
        <f t="shared" si="201"/>
        <v>-</v>
      </c>
      <c r="AV294" s="3">
        <f t="shared" si="202"/>
        <v>14</v>
      </c>
      <c r="AW294" s="3">
        <f t="shared" si="203"/>
        <v>8</v>
      </c>
      <c r="AX294" s="3">
        <f t="shared" si="204"/>
        <v>5</v>
      </c>
      <c r="AY294" s="3">
        <f t="shared" si="205"/>
        <v>6</v>
      </c>
      <c r="AZ294" s="3">
        <f t="shared" si="206"/>
        <v>1</v>
      </c>
      <c r="BA294" s="3">
        <f>IF(ISERROR(LEN(VLOOKUP(A294,Seqs!A:E,2,FALSE))-AL294),"-",LEN(VLOOKUP(A294,Seqs!A:E,2,FALSE))-AL294)</f>
        <v>77</v>
      </c>
      <c r="BB294" s="16">
        <f t="shared" si="207"/>
        <v>28</v>
      </c>
      <c r="BC294" s="9" t="str">
        <f t="shared" si="208"/>
        <v>-</v>
      </c>
      <c r="BD294" s="3">
        <f t="shared" si="209"/>
        <v>28</v>
      </c>
      <c r="BE294" s="3">
        <f t="shared" si="210"/>
        <v>56</v>
      </c>
    </row>
    <row r="295" spans="1:59" s="3" customFormat="1" x14ac:dyDescent="0.2">
      <c r="A295" s="3" t="s">
        <v>343</v>
      </c>
      <c r="B295" s="3" t="str">
        <f>LOWER(VLOOKUP(A295,Xtal_Templ!A:B,2,FALSE))</f>
        <v>oxyr_human</v>
      </c>
      <c r="C295" s="3">
        <f>VLOOKUP($A295,'SegEnds_NonXtal_BW#'!$A:$Z,3,FALSE)+D295-50</f>
        <v>35</v>
      </c>
      <c r="D295" s="3">
        <v>57</v>
      </c>
      <c r="E295" s="3">
        <f>IF(ISERROR(VLOOKUP($A295,'SegEnds_NonXtal_BW#'!$A:$Z,4,FALSE)+VLOOKUP($A295,A:AL,4,FALSE)-50),"-",(VLOOKUP($A295,'SegEnds_NonXtal_BW#'!$A:$Z,4,FALSE)+VLOOKUP($A295,A:AL,4,FALSE)-50))</f>
        <v>67</v>
      </c>
      <c r="F295" s="3">
        <f t="shared" si="215"/>
        <v>68</v>
      </c>
      <c r="G295" s="3">
        <v>70</v>
      </c>
      <c r="H295" s="3">
        <f t="shared" si="216"/>
        <v>71</v>
      </c>
      <c r="I295" s="3">
        <f t="shared" si="216"/>
        <v>72</v>
      </c>
      <c r="J295" s="3">
        <v>85</v>
      </c>
      <c r="K295" s="3">
        <f>VLOOKUP($A295,'SegEnds_NonXtal_BW#'!$A:$Z,8,FALSE)+VLOOKUP($A295,A:AL,10,FALSE)-50</f>
        <v>102</v>
      </c>
      <c r="L295" s="3">
        <f t="shared" si="217"/>
        <v>104</v>
      </c>
      <c r="M295" s="105">
        <v>105</v>
      </c>
      <c r="N295" s="3">
        <f t="shared" si="218"/>
        <v>107</v>
      </c>
      <c r="O295" s="3">
        <f t="shared" si="219"/>
        <v>108</v>
      </c>
      <c r="P295" s="3">
        <v>137</v>
      </c>
      <c r="Q295" s="3">
        <f>VLOOKUP($A295,'SegEnds_NonXtal_BW#'!$A:$Z,12,FALSE)+VLOOKUP($A295,A:AL,16,FALSE)-50</f>
        <v>143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149</v>
      </c>
      <c r="V295" s="3">
        <v>161</v>
      </c>
      <c r="W295" s="3">
        <f>IF(ISERROR(VLOOKUP($A295,'SegEnds_NonXtal_BW#'!$A:$Z,16,FALSE)+VLOOKUP($A295,A:AL,22,FALSE)-50),"-",(VLOOKUP($A295,'SegEnds_NonXtal_BW#'!$A:$Z,16,FALSE)+VLOOKUP($A295,A:AL,22,FALSE)-50))</f>
        <v>175</v>
      </c>
      <c r="X295" s="3">
        <f>IF(ISERROR(VLOOKUP($A295,'SegEnds_NonXtal_BW#'!$A:$Z,17,FALSE)+VLOOKUP($A295,A:AL,25,FALSE)-50),"-",(VLOOKUP($A295,'SegEnds_NonXtal_BW#'!$A:$Z,17,FALSE)+VLOOKUP($A295,A:AL,25,FALSE)-50))</f>
        <v>187</v>
      </c>
      <c r="Y295" s="3">
        <v>187</v>
      </c>
      <c r="Z295" s="3">
        <f t="shared" si="220"/>
        <v>189</v>
      </c>
      <c r="AA295" s="3">
        <f>IF(ISERROR(VLOOKUP($A295,'SegEnds_NonXtal_BW#'!$A:$Z,19,FALSE)+VLOOKUP($A295,A:AL,28,FALSE)-50),"-",(VLOOKUP($A295,'SegEnds_NonXtal_BW#'!$A:$Z,19,FALSE)+VLOOKUP($A295,A:AL,28,FALSE)-50))</f>
        <v>195</v>
      </c>
      <c r="AB295" s="3">
        <v>212</v>
      </c>
      <c r="AC295" s="3">
        <f>IF(ISERROR((VLOOKUP($A295,'SegEnds_NonXtal_BW#'!$A:$Z,20,FALSE)+VLOOKUP($A295,A:AL,28,FALSE)-50)),"-",(VLOOKUP($A295,'SegEnds_NonXtal_BW#'!$A:$Z,20,FALSE)+VLOOKUP($A295,A:AL,28,FALSE)-50))</f>
        <v>238</v>
      </c>
      <c r="AD295" s="3">
        <f>IF(ISERROR(VLOOKUP($A295,'SegEnds_NonXtal_BW#'!$A:$Z,21,FALSE)+VLOOKUP($A295,A:AL,31,FALSE)-50),"-",(VLOOKUP($A295,'SegEnds_NonXtal_BW#'!$A:$Z,21,FALSE)+VLOOKUP($A295,A:AL,31,FALSE)-50))</f>
        <v>264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300</v>
      </c>
      <c r="AG295" s="3">
        <f>IF(ISERROR(VLOOKUP($A295,'SegEnds_NonXtal_BW#'!$A:$Z,23,FALSE)+VLOOKUP($A295,A:AL,34,FALSE)-50),"-",(VLOOKUP($A295,'SegEnds_NonXtal_BW#'!$A:$Z,23,FALSE)+VLOOKUP($A295,A:AL,34,FALSE)-50))</f>
        <v>306</v>
      </c>
      <c r="AH295" s="3">
        <v>326</v>
      </c>
      <c r="AI295" s="3">
        <f>IF(ISERROR((VLOOKUP($A295,'SegEnds_NonXtal_BW#'!$A:$Z,24,FALSE)+VLOOKUP($A295,A:AL,34,FALSE)-50)),"-",(VLOOKUP($A295,'SegEnds_NonXtal_BW#'!$A:$Z,24,FALSE)+VLOOKUP($A295,A:AL,34,FALSE)-50))</f>
        <v>332</v>
      </c>
      <c r="AJ295" s="3">
        <f>IF(ISERROR(VLOOKUP($A295,'SegEnds_NonXtal_BW#'!$A:$Z,25,FALSE)+VLOOKUP($A295,A:AL,37,FALSE)-50),"-",(VLOOKUP($A295,'SegEnds_NonXtal_BW#'!$A:$Z,25,FALSE)+VLOOKUP($A295,A:AL,37,FALSE)-50))</f>
        <v>333</v>
      </c>
      <c r="AK295" s="3">
        <v>336</v>
      </c>
      <c r="AL295" s="3">
        <f>IF(ISERROR((VLOOKUP($A295,'SegEnds_NonXtal_BW#'!$A:$Z,26,FALSE)+VLOOKUP($A295,A:AL,37,FALSE)-50)),"-",(VLOOKUP($A295,'SegEnds_NonXtal_BW#'!$A:$Z,26,FALSE)+VLOOKUP($A295,A:AL,37,FALSE)-50))</f>
        <v>349</v>
      </c>
      <c r="AM295" s="28" t="str">
        <f>VLOOKUP(A295,Classification!A:B,2,FALSE)</f>
        <v>A</v>
      </c>
      <c r="AN295" s="28" t="b">
        <f t="shared" si="211"/>
        <v>1</v>
      </c>
      <c r="AO295" s="3" t="str">
        <f>IF(ISERROR(MATCH(A295,'SegEnds_Xtal_Prot#'!B:B, 0)), "NoXtal", "Xtal")</f>
        <v>Xtal</v>
      </c>
      <c r="AP295" s="3">
        <f t="shared" si="196"/>
        <v>1</v>
      </c>
      <c r="AQ295" s="3">
        <f t="shared" si="197"/>
        <v>1</v>
      </c>
      <c r="AR295" s="3">
        <f t="shared" si="198"/>
        <v>2</v>
      </c>
      <c r="AS295" s="3">
        <f t="shared" si="199"/>
        <v>1</v>
      </c>
      <c r="AT295" s="3" t="str">
        <f t="shared" si="200"/>
        <v>-</v>
      </c>
      <c r="AU295" s="3" t="str">
        <f t="shared" si="201"/>
        <v>-</v>
      </c>
      <c r="AV295" s="3">
        <f t="shared" si="202"/>
        <v>12</v>
      </c>
      <c r="AW295" s="3">
        <f t="shared" si="203"/>
        <v>6</v>
      </c>
      <c r="AX295" s="3">
        <f t="shared" si="204"/>
        <v>26</v>
      </c>
      <c r="AY295" s="3">
        <f t="shared" si="205"/>
        <v>6</v>
      </c>
      <c r="AZ295" s="3">
        <f t="shared" si="206"/>
        <v>1</v>
      </c>
      <c r="BA295" s="3">
        <f>IF(ISERROR(LEN(VLOOKUP(A295,Seqs!A:E,2,FALSE))-AL295),"-",LEN(VLOOKUP(A295,Seqs!A:E,2,FALSE))-AL295)</f>
        <v>40</v>
      </c>
      <c r="BB295" s="16">
        <f t="shared" si="207"/>
        <v>28</v>
      </c>
      <c r="BC295" s="9" t="str">
        <f t="shared" si="208"/>
        <v>-</v>
      </c>
      <c r="BD295" s="3">
        <f t="shared" si="209"/>
        <v>28</v>
      </c>
      <c r="BE295" s="3">
        <f t="shared" si="210"/>
        <v>78</v>
      </c>
    </row>
    <row r="296" spans="1:59" s="3" customFormat="1" x14ac:dyDescent="0.2">
      <c r="A296" s="3" t="s">
        <v>366</v>
      </c>
      <c r="B296" s="3" t="str">
        <f>LOWER(VLOOKUP(A296,Xtal_Templ!A:B,2,FALSE))</f>
        <v>npy1r_human</v>
      </c>
      <c r="C296" s="3">
        <f>VLOOKUP($A296,'SegEnds_NonXtal_BW#'!$A:$Z,3,FALSE)+D296-50</f>
        <v>58</v>
      </c>
      <c r="D296" s="3">
        <v>80</v>
      </c>
      <c r="E296" s="3">
        <f>IF(ISERROR(VLOOKUP($A296,'SegEnds_NonXtal_BW#'!$A:$Z,4,FALSE)+VLOOKUP($A296,A:AL,4,FALSE)-50),"-",(VLOOKUP($A296,'SegEnds_NonXtal_BW#'!$A:$Z,4,FALSE)+VLOOKUP($A296,A:AL,4,FALSE)-50))</f>
        <v>90</v>
      </c>
      <c r="F296" s="3">
        <f t="shared" si="215"/>
        <v>91</v>
      </c>
      <c r="G296" s="3">
        <v>93</v>
      </c>
      <c r="H296" s="3">
        <f t="shared" si="216"/>
        <v>94</v>
      </c>
      <c r="I296" s="3">
        <f t="shared" si="216"/>
        <v>95</v>
      </c>
      <c r="J296" s="3">
        <v>108</v>
      </c>
      <c r="K296" s="3">
        <f>VLOOKUP($A296,'SegEnds_NonXtal_BW#'!$A:$Z,8,FALSE)+VLOOKUP($A296,A:AL,10,FALSE)-50</f>
        <v>126</v>
      </c>
      <c r="L296" s="3">
        <f t="shared" si="217"/>
        <v>129</v>
      </c>
      <c r="M296" s="3">
        <v>130</v>
      </c>
      <c r="N296" s="3">
        <f t="shared" si="218"/>
        <v>132</v>
      </c>
      <c r="O296" s="3">
        <f t="shared" si="219"/>
        <v>133</v>
      </c>
      <c r="P296" s="3">
        <v>162</v>
      </c>
      <c r="Q296" s="3">
        <f>VLOOKUP($A296,'SegEnds_NonXtal_BW#'!$A:$Z,12,FALSE)+VLOOKUP($A296,A:AL,16,FALSE)-50</f>
        <v>168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175</v>
      </c>
      <c r="V296" s="3">
        <v>187</v>
      </c>
      <c r="W296" s="3">
        <f>IF(ISERROR(VLOOKUP($A296,'SegEnds_NonXtal_BW#'!$A:$Z,16,FALSE)+VLOOKUP($A296,A:AL,22,FALSE)-50),"-",(VLOOKUP($A296,'SegEnds_NonXtal_BW#'!$A:$Z,16,FALSE)+VLOOKUP($A296,A:AL,22,FALSE)-50))</f>
        <v>201</v>
      </c>
      <c r="X296" s="3">
        <f>IF(ISERROR(VLOOKUP($A296,'SegEnds_NonXtal_BW#'!$A:$Z,17,FALSE)+VLOOKUP($A296,A:AL,25,FALSE)-50),"-",(VLOOKUP($A296,'SegEnds_NonXtal_BW#'!$A:$Z,17,FALSE)+VLOOKUP($A296,A:AL,25,FALSE)-50))</f>
        <v>217</v>
      </c>
      <c r="Y296" s="3">
        <v>217</v>
      </c>
      <c r="Z296" s="3">
        <f t="shared" si="220"/>
        <v>219</v>
      </c>
      <c r="AA296" s="3">
        <f>IF(ISERROR(VLOOKUP($A296,'SegEnds_NonXtal_BW#'!$A:$Z,19,FALSE)+VLOOKUP($A296,A:AL,28,FALSE)-50),"-",(VLOOKUP($A296,'SegEnds_NonXtal_BW#'!$A:$Z,19,FALSE)+VLOOKUP($A296,A:AL,28,FALSE)-50))</f>
        <v>225</v>
      </c>
      <c r="AB296" s="3">
        <v>244</v>
      </c>
      <c r="AC296" s="3">
        <f>IF(ISERROR((VLOOKUP($A296,'SegEnds_NonXtal_BW#'!$A:$Z,20,FALSE)+VLOOKUP($A296,A:AL,28,FALSE)-50)),"-",(VLOOKUP($A296,'SegEnds_NonXtal_BW#'!$A:$Z,20,FALSE)+VLOOKUP($A296,A:AL,28,FALSE)-50))</f>
        <v>267</v>
      </c>
      <c r="AD296" s="3">
        <f>IF(ISERROR(VLOOKUP($A296,'SegEnds_NonXtal_BW#'!$A:$Z,21,FALSE)+VLOOKUP($A296,A:AL,31,FALSE)-50),"-",(VLOOKUP($A296,'SegEnds_NonXtal_BW#'!$A:$Z,21,FALSE)+VLOOKUP($A296,A:AL,31,FALSE)-50))</f>
        <v>271</v>
      </c>
      <c r="AE296" s="3">
        <v>299</v>
      </c>
      <c r="AF296" s="3">
        <f>IF(ISERROR((VLOOKUP($A296,'SegEnds_NonXtal_BW#'!$A:$Z,22,FALSE)+VLOOKUP($A296,A:AL,31,FALSE)-50)),"-",(VLOOKUP($A296,'SegEnds_NonXtal_BW#'!$A:$Z,22,FALSE)+VLOOKUP($A296,A:AL,31,FALSE)-50))</f>
        <v>310</v>
      </c>
      <c r="AG296" s="3">
        <f>IF(ISERROR(VLOOKUP($A296,'SegEnds_NonXtal_BW#'!$A:$Z,23,FALSE)+VLOOKUP($A296,A:AL,34,FALSE)-50),"-",(VLOOKUP($A296,'SegEnds_NonXtal_BW#'!$A:$Z,23,FALSE)+VLOOKUP($A296,A:AL,34,FALSE)-50))</f>
        <v>317</v>
      </c>
      <c r="AH296" s="3">
        <v>339</v>
      </c>
      <c r="AI296" s="3">
        <f>IF(ISERROR((VLOOKUP($A296,'SegEnds_NonXtal_BW#'!$A:$Z,24,FALSE)+VLOOKUP($A296,A:AL,34,FALSE)-50)),"-",(VLOOKUP($A296,'SegEnds_NonXtal_BW#'!$A:$Z,24,FALSE)+VLOOKUP($A296,A:AL,34,FALSE)-50))</f>
        <v>345</v>
      </c>
      <c r="AJ296" s="3">
        <v>347</v>
      </c>
      <c r="AK296" s="3">
        <v>350</v>
      </c>
      <c r="AL296" s="3">
        <v>358</v>
      </c>
      <c r="AM296" s="28" t="str">
        <f>VLOOKUP(A296,Classification!A:B,2,FALSE)</f>
        <v>A</v>
      </c>
      <c r="AN296" s="28" t="b">
        <f t="shared" si="211"/>
        <v>1</v>
      </c>
      <c r="AO296" s="3" t="str">
        <f>IF(ISERROR(MATCH(A296,'SegEnds_Xtal_Prot#'!B:B, 0)), "NoXtal", "Xtal")</f>
        <v>NoXtal</v>
      </c>
      <c r="AP296" s="3">
        <f t="shared" si="196"/>
        <v>1</v>
      </c>
      <c r="AQ296" s="3">
        <f t="shared" si="197"/>
        <v>1</v>
      </c>
      <c r="AR296" s="3">
        <f t="shared" si="198"/>
        <v>3</v>
      </c>
      <c r="AS296" s="3">
        <f t="shared" si="199"/>
        <v>1</v>
      </c>
      <c r="AT296" s="3" t="str">
        <f t="shared" si="200"/>
        <v>-</v>
      </c>
      <c r="AU296" s="3" t="str">
        <f t="shared" si="201"/>
        <v>-</v>
      </c>
      <c r="AV296" s="3">
        <f t="shared" si="202"/>
        <v>16</v>
      </c>
      <c r="AW296" s="3">
        <f t="shared" si="203"/>
        <v>6</v>
      </c>
      <c r="AX296" s="3">
        <f t="shared" si="204"/>
        <v>4</v>
      </c>
      <c r="AY296" s="3">
        <f t="shared" si="205"/>
        <v>7</v>
      </c>
      <c r="AZ296" s="3">
        <f t="shared" si="206"/>
        <v>2</v>
      </c>
      <c r="BA296" s="3">
        <f>IF(ISERROR(LEN(VLOOKUP(A296,Seqs!A:E,2,FALSE))-AL296),"-",LEN(VLOOKUP(A296,Seqs!A:E,2,FALSE))-AL296)</f>
        <v>35</v>
      </c>
      <c r="BB296" s="16">
        <f t="shared" si="207"/>
        <v>28</v>
      </c>
      <c r="BC296" s="9" t="str">
        <f t="shared" si="208"/>
        <v>-</v>
      </c>
      <c r="BD296" s="3">
        <f t="shared" si="209"/>
        <v>28</v>
      </c>
      <c r="BE296" s="3">
        <f t="shared" si="210"/>
        <v>55</v>
      </c>
    </row>
    <row r="297" spans="1:59" s="3" customFormat="1" x14ac:dyDescent="0.2">
      <c r="A297" s="3" t="s">
        <v>367</v>
      </c>
      <c r="B297" s="3" t="str">
        <f>LOWER(VLOOKUP(A297,Xtal_Templ!A:B,2,FALSE))</f>
        <v>npy1r_human</v>
      </c>
      <c r="C297" s="3">
        <f>VLOOKUP($A297,'SegEnds_NonXtal_BW#'!$A:$Z,3,FALSE)+D297-50</f>
        <v>49</v>
      </c>
      <c r="D297" s="3">
        <v>71</v>
      </c>
      <c r="E297" s="3">
        <f>IF(ISERROR(VLOOKUP($A297,'SegEnds_NonXtal_BW#'!$A:$Z,4,FALSE)+VLOOKUP($A297,A:AL,4,FALSE)-50),"-",(VLOOKUP($A297,'SegEnds_NonXtal_BW#'!$A:$Z,4,FALSE)+VLOOKUP($A297,A:AL,4,FALSE)-50))</f>
        <v>81</v>
      </c>
      <c r="F297" s="3">
        <f t="shared" si="215"/>
        <v>82</v>
      </c>
      <c r="G297" s="3">
        <v>84</v>
      </c>
      <c r="H297" s="3">
        <f t="shared" si="216"/>
        <v>85</v>
      </c>
      <c r="I297" s="3">
        <f t="shared" si="216"/>
        <v>86</v>
      </c>
      <c r="J297" s="3">
        <v>99</v>
      </c>
      <c r="K297" s="3">
        <f>VLOOKUP($A297,'SegEnds_NonXtal_BW#'!$A:$Z,8,FALSE)+VLOOKUP($A297,A:AL,10,FALSE)-50</f>
        <v>117</v>
      </c>
      <c r="L297" s="3">
        <f t="shared" si="217"/>
        <v>120</v>
      </c>
      <c r="M297" s="3">
        <v>121</v>
      </c>
      <c r="N297" s="3">
        <f t="shared" si="218"/>
        <v>123</v>
      </c>
      <c r="O297" s="3">
        <f t="shared" si="219"/>
        <v>124</v>
      </c>
      <c r="P297" s="3">
        <v>153</v>
      </c>
      <c r="Q297" s="3">
        <f>VLOOKUP($A297,'SegEnds_NonXtal_BW#'!$A:$Z,12,FALSE)+VLOOKUP($A297,A:AL,16,FALSE)-50</f>
        <v>159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166</v>
      </c>
      <c r="V297" s="3">
        <v>178</v>
      </c>
      <c r="W297" s="3">
        <f>IF(ISERROR(VLOOKUP($A297,'SegEnds_NonXtal_BW#'!$A:$Z,16,FALSE)+VLOOKUP($A297,A:AL,22,FALSE)-50),"-",(VLOOKUP($A297,'SegEnds_NonXtal_BW#'!$A:$Z,16,FALSE)+VLOOKUP($A297,A:AL,22,FALSE)-50))</f>
        <v>192</v>
      </c>
      <c r="X297" s="3">
        <f>IF(ISERROR(VLOOKUP($A297,'SegEnds_NonXtal_BW#'!$A:$Z,17,FALSE)+VLOOKUP($A297,A:AL,25,FALSE)-50),"-",(VLOOKUP($A297,'SegEnds_NonXtal_BW#'!$A:$Z,17,FALSE)+VLOOKUP($A297,A:AL,25,FALSE)-50))</f>
        <v>208</v>
      </c>
      <c r="Y297" s="3">
        <v>208</v>
      </c>
      <c r="Z297" s="3">
        <f t="shared" si="220"/>
        <v>210</v>
      </c>
      <c r="AA297" s="3">
        <f>IF(ISERROR(VLOOKUP($A297,'SegEnds_NonXtal_BW#'!$A:$Z,19,FALSE)+VLOOKUP($A297,A:AL,28,FALSE)-50),"-",(VLOOKUP($A297,'SegEnds_NonXtal_BW#'!$A:$Z,19,FALSE)+VLOOKUP($A297,A:AL,28,FALSE)-50))</f>
        <v>216</v>
      </c>
      <c r="AB297" s="3">
        <v>235</v>
      </c>
      <c r="AC297" s="3">
        <f>IF(ISERROR((VLOOKUP($A297,'SegEnds_NonXtal_BW#'!$A:$Z,20,FALSE)+VLOOKUP($A297,A:AL,28,FALSE)-50)),"-",(VLOOKUP($A297,'SegEnds_NonXtal_BW#'!$A:$Z,20,FALSE)+VLOOKUP($A297,A:AL,28,FALSE)-50))</f>
        <v>258</v>
      </c>
      <c r="AD297" s="3">
        <f>IF(ISERROR(VLOOKUP($A297,'SegEnds_NonXtal_BW#'!$A:$Z,21,FALSE)+VLOOKUP($A297,A:AL,31,FALSE)-50),"-",(VLOOKUP($A297,'SegEnds_NonXtal_BW#'!$A:$Z,21,FALSE)+VLOOKUP($A297,A:AL,31,FALSE)-50))</f>
        <v>262</v>
      </c>
      <c r="AE297" s="3">
        <v>290</v>
      </c>
      <c r="AF297" s="3">
        <f>IF(ISERROR((VLOOKUP($A297,'SegEnds_NonXtal_BW#'!$A:$Z,22,FALSE)+VLOOKUP($A297,A:AL,31,FALSE)-50)),"-",(VLOOKUP($A297,'SegEnds_NonXtal_BW#'!$A:$Z,22,FALSE)+VLOOKUP($A297,A:AL,31,FALSE)-50))</f>
        <v>301</v>
      </c>
      <c r="AG297" s="3">
        <f>IF(ISERROR(VLOOKUP($A297,'SegEnds_NonXtal_BW#'!$A:$Z,23,FALSE)+VLOOKUP($A297,A:AL,34,FALSE)-50),"-",(VLOOKUP($A297,'SegEnds_NonXtal_BW#'!$A:$Z,23,FALSE)+VLOOKUP($A297,A:AL,34,FALSE)-50))</f>
        <v>308</v>
      </c>
      <c r="AH297" s="3">
        <v>330</v>
      </c>
      <c r="AI297" s="3">
        <f>IF(ISERROR((VLOOKUP($A297,'SegEnds_NonXtal_BW#'!$A:$Z,24,FALSE)+VLOOKUP($A297,A:AL,34,FALSE)-50)),"-",(VLOOKUP($A297,'SegEnds_NonXtal_BW#'!$A:$Z,24,FALSE)+VLOOKUP($A297,A:AL,34,FALSE)-50))</f>
        <v>336</v>
      </c>
      <c r="AJ297" s="3">
        <v>338</v>
      </c>
      <c r="AK297" s="3">
        <v>341</v>
      </c>
      <c r="AL297" s="3">
        <v>349</v>
      </c>
      <c r="AM297" s="28" t="str">
        <f>VLOOKUP(A297,Classification!A:B,2,FALSE)</f>
        <v>A</v>
      </c>
      <c r="AN297" s="28" t="b">
        <f t="shared" si="211"/>
        <v>1</v>
      </c>
      <c r="AO297" s="3" t="str">
        <f>IF(ISERROR(MATCH(A297,'SegEnds_Xtal_Prot#'!B:B, 0)), "NoXtal", "Xtal")</f>
        <v>NoXtal</v>
      </c>
      <c r="AP297" s="3">
        <f t="shared" si="196"/>
        <v>1</v>
      </c>
      <c r="AQ297" s="3">
        <f t="shared" si="197"/>
        <v>1</v>
      </c>
      <c r="AR297" s="3">
        <f t="shared" si="198"/>
        <v>3</v>
      </c>
      <c r="AS297" s="3">
        <f t="shared" si="199"/>
        <v>1</v>
      </c>
      <c r="AT297" s="3" t="str">
        <f t="shared" si="200"/>
        <v>-</v>
      </c>
      <c r="AU297" s="3" t="str">
        <f t="shared" si="201"/>
        <v>-</v>
      </c>
      <c r="AV297" s="3">
        <f t="shared" si="202"/>
        <v>16</v>
      </c>
      <c r="AW297" s="3">
        <f t="shared" si="203"/>
        <v>6</v>
      </c>
      <c r="AX297" s="3">
        <f t="shared" si="204"/>
        <v>4</v>
      </c>
      <c r="AY297" s="3">
        <f t="shared" si="205"/>
        <v>7</v>
      </c>
      <c r="AZ297" s="3">
        <f t="shared" si="206"/>
        <v>2</v>
      </c>
      <c r="BA297" s="3">
        <f>IF(ISERROR(LEN(VLOOKUP(A297,Seqs!A:E,2,FALSE))-AL297),"-",LEN(VLOOKUP(A297,Seqs!A:E,2,FALSE))-AL297)</f>
        <v>35</v>
      </c>
      <c r="BB297" s="16">
        <f t="shared" si="207"/>
        <v>28</v>
      </c>
      <c r="BC297" s="9" t="str">
        <f t="shared" si="208"/>
        <v>-</v>
      </c>
      <c r="BD297" s="3">
        <f t="shared" si="209"/>
        <v>28</v>
      </c>
      <c r="BE297" s="3">
        <f t="shared" si="210"/>
        <v>55</v>
      </c>
    </row>
    <row r="298" spans="1:59" s="3" customFormat="1" x14ac:dyDescent="0.2">
      <c r="A298" s="3" t="s">
        <v>372</v>
      </c>
      <c r="B298" s="3" t="str">
        <f>LOWER(VLOOKUP(A298,Xtal_Templ!A:B,2,FALSE))</f>
        <v>agtr1_human</v>
      </c>
      <c r="C298" s="3">
        <f>VLOOKUP($A298,'SegEnds_NonXtal_BW#'!$A:$Z,3,FALSE)+D298-50</f>
        <v>77</v>
      </c>
      <c r="D298" s="3">
        <v>99</v>
      </c>
      <c r="E298" s="3">
        <f>IF(ISERROR(VLOOKUP($A298,'SegEnds_NonXtal_BW#'!$A:$Z,4,FALSE)+VLOOKUP($A298,A:AL,4,FALSE)-50),"-",(VLOOKUP($A298,'SegEnds_NonXtal_BW#'!$A:$Z,4,FALSE)+VLOOKUP($A298,A:AL,4,FALSE)-50))</f>
        <v>109</v>
      </c>
      <c r="F298" s="3">
        <f t="shared" si="215"/>
        <v>110</v>
      </c>
      <c r="G298" s="3">
        <v>112</v>
      </c>
      <c r="H298" s="3">
        <f t="shared" si="216"/>
        <v>113</v>
      </c>
      <c r="I298" s="3">
        <f t="shared" si="216"/>
        <v>114</v>
      </c>
      <c r="J298" s="3">
        <v>128</v>
      </c>
      <c r="K298" s="3">
        <f>VLOOKUP($A298,'SegEnds_NonXtal_BW#'!$A:$Z,8,FALSE)+VLOOKUP($A298,A:AL,10,FALSE)-50</f>
        <v>145</v>
      </c>
      <c r="L298" s="3">
        <f t="shared" si="217"/>
        <v>147</v>
      </c>
      <c r="M298" s="3">
        <v>148</v>
      </c>
      <c r="N298" s="3">
        <f t="shared" si="218"/>
        <v>150</v>
      </c>
      <c r="O298" s="3">
        <f t="shared" si="219"/>
        <v>151</v>
      </c>
      <c r="P298" s="3">
        <v>180</v>
      </c>
      <c r="Q298" s="3">
        <f>VLOOKUP($A298,'SegEnds_NonXtal_BW#'!$A:$Z,12,FALSE)+VLOOKUP($A298,A:AL,16,FALSE)-50</f>
        <v>186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210</v>
      </c>
      <c r="V298" s="3">
        <v>222</v>
      </c>
      <c r="W298" s="3">
        <f>IF(ISERROR(VLOOKUP($A298,'SegEnds_NonXtal_BW#'!$A:$Z,16,FALSE)+VLOOKUP($A298,A:AL,22,FALSE)-50),"-",(VLOOKUP($A298,'SegEnds_NonXtal_BW#'!$A:$Z,16,FALSE)+VLOOKUP($A298,A:AL,22,FALSE)-50))</f>
        <v>236</v>
      </c>
      <c r="X298" s="3">
        <f>IF(ISERROR(VLOOKUP($A298,'SegEnds_NonXtal_BW#'!$A:$Z,17,FALSE)+VLOOKUP($A298,A:AL,25,FALSE)-50),"-",(VLOOKUP($A298,'SegEnds_NonXtal_BW#'!$A:$Z,17,FALSE)+VLOOKUP($A298,A:AL,25,FALSE)-50))</f>
        <v>247</v>
      </c>
      <c r="Y298" s="3">
        <v>247</v>
      </c>
      <c r="Z298" s="3">
        <f t="shared" si="220"/>
        <v>249</v>
      </c>
      <c r="AA298" s="3">
        <f>IF(ISERROR(VLOOKUP($A298,'SegEnds_NonXtal_BW#'!$A:$Z,19,FALSE)+VLOOKUP($A298,A:AL,28,FALSE)-50),"-",(VLOOKUP($A298,'SegEnds_NonXtal_BW#'!$A:$Z,19,FALSE)+VLOOKUP($A298,A:AL,28,FALSE)-50))</f>
        <v>263</v>
      </c>
      <c r="AB298" s="3">
        <v>279</v>
      </c>
      <c r="AC298" s="3">
        <f>IF(ISERROR((VLOOKUP($A298,'SegEnds_NonXtal_BW#'!$A:$Z,20,FALSE)+VLOOKUP($A298,A:AL,28,FALSE)-50)),"-",(VLOOKUP($A298,'SegEnds_NonXtal_BW#'!$A:$Z,20,FALSE)+VLOOKUP($A298,A:AL,28,FALSE)-50))</f>
        <v>310</v>
      </c>
      <c r="AD298" s="3">
        <f>IF(ISERROR(VLOOKUP($A298,'SegEnds_NonXtal_BW#'!$A:$Z,21,FALSE)+VLOOKUP($A298,A:AL,31,FALSE)-50),"-",(VLOOKUP($A298,'SegEnds_NonXtal_BW#'!$A:$Z,21,FALSE)+VLOOKUP($A298,A:AL,31,FALSE)-50))</f>
        <v>314</v>
      </c>
      <c r="AE298" s="3">
        <v>341</v>
      </c>
      <c r="AF298" s="3">
        <f>IF(ISERROR((VLOOKUP($A298,'SegEnds_NonXtal_BW#'!$A:$Z,22,FALSE)+VLOOKUP($A298,A:AL,31,FALSE)-50)),"-",(VLOOKUP($A298,'SegEnds_NonXtal_BW#'!$A:$Z,22,FALSE)+VLOOKUP($A298,A:AL,31,FALSE)-50))</f>
        <v>355</v>
      </c>
      <c r="AG298" s="3">
        <f>IF(ISERROR(VLOOKUP($A298,'SegEnds_NonXtal_BW#'!$A:$Z,23,FALSE)+VLOOKUP($A298,A:AL,34,FALSE)-50),"-",(VLOOKUP($A298,'SegEnds_NonXtal_BW#'!$A:$Z,23,FALSE)+VLOOKUP($A298,A:AL,34,FALSE)-50))</f>
        <v>360</v>
      </c>
      <c r="AH298" s="3">
        <v>386</v>
      </c>
      <c r="AI298" s="3">
        <f>IF(ISERROR((VLOOKUP($A298,'SegEnds_NonXtal_BW#'!$A:$Z,24,FALSE)+VLOOKUP($A298,A:AL,34,FALSE)-50)),"-",(VLOOKUP($A298,'SegEnds_NonXtal_BW#'!$A:$Z,24,FALSE)+VLOOKUP($A298,A:AL,34,FALSE)-50))</f>
        <v>392</v>
      </c>
      <c r="AJ298" s="3">
        <f>IF(ISERROR(VLOOKUP($A298,'SegEnds_NonXtal_BW#'!$A:$Z,25,FALSE)+VLOOKUP($A298,A:AL,37,FALSE)-50),"-",(VLOOKUP($A298,'SegEnds_NonXtal_BW#'!$A:$Z,25,FALSE)+VLOOKUP($A298,A:AL,37,FALSE)-50))</f>
        <v>393</v>
      </c>
      <c r="AK298" s="3">
        <v>396</v>
      </c>
      <c r="AL298" s="3">
        <f>IF(ISERROR((VLOOKUP($A298,'SegEnds_NonXtal_BW#'!$A:$Z,26,FALSE)+VLOOKUP($A298,A:AL,37,FALSE)-50)),"-",(VLOOKUP($A298,'SegEnds_NonXtal_BW#'!$A:$Z,26,FALSE)+VLOOKUP($A298,A:AL,37,FALSE)-50))</f>
        <v>407</v>
      </c>
      <c r="AM298" s="28" t="str">
        <f>VLOOKUP(A298,Classification!A:B,2,FALSE)</f>
        <v>A</v>
      </c>
      <c r="AN298" s="28" t="b">
        <f t="shared" si="211"/>
        <v>1</v>
      </c>
      <c r="AO298" s="3" t="str">
        <f>IF(ISERROR(MATCH(A298,'SegEnds_Xtal_Prot#'!B:B, 0)), "NoXtal", "Xtal")</f>
        <v>NoXtal</v>
      </c>
      <c r="AP298" s="3">
        <f t="shared" si="196"/>
        <v>1</v>
      </c>
      <c r="AQ298" s="3">
        <f t="shared" si="197"/>
        <v>1</v>
      </c>
      <c r="AR298" s="3">
        <f t="shared" si="198"/>
        <v>2</v>
      </c>
      <c r="AS298" s="3">
        <f t="shared" si="199"/>
        <v>1</v>
      </c>
      <c r="AT298" s="3" t="str">
        <f t="shared" si="200"/>
        <v>-</v>
      </c>
      <c r="AU298" s="3" t="str">
        <f t="shared" si="201"/>
        <v>-</v>
      </c>
      <c r="AV298" s="3">
        <f t="shared" si="202"/>
        <v>11</v>
      </c>
      <c r="AW298" s="3">
        <f t="shared" si="203"/>
        <v>14</v>
      </c>
      <c r="AX298" s="3">
        <f t="shared" si="204"/>
        <v>4</v>
      </c>
      <c r="AY298" s="3">
        <f t="shared" si="205"/>
        <v>5</v>
      </c>
      <c r="AZ298" s="3">
        <f t="shared" si="206"/>
        <v>1</v>
      </c>
      <c r="BA298" s="3">
        <f>IF(ISERROR(LEN(VLOOKUP(A298,Seqs!A:E,2,FALSE))-AL298),"-",LEN(VLOOKUP(A298,Seqs!A:E,2,FALSE))-AL298)</f>
        <v>62</v>
      </c>
      <c r="BB298" s="16">
        <f t="shared" si="207"/>
        <v>29</v>
      </c>
      <c r="BC298" s="9" t="str">
        <f t="shared" si="208"/>
        <v>-</v>
      </c>
      <c r="BD298" s="3">
        <f t="shared" si="209"/>
        <v>29</v>
      </c>
      <c r="BE298" s="3">
        <f t="shared" si="210"/>
        <v>62</v>
      </c>
    </row>
    <row r="299" spans="1:59" s="3" customFormat="1" x14ac:dyDescent="0.2">
      <c r="A299" s="3" t="s">
        <v>917</v>
      </c>
      <c r="B299" s="3" t="str">
        <f>LOWER(VLOOKUP(A299,Xtal_Templ!A:B,2,FALSE))</f>
        <v>us28_hcmva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215"/>
        <v>62</v>
      </c>
      <c r="G299" s="3">
        <v>64</v>
      </c>
      <c r="H299" s="3">
        <f t="shared" ref="H299:I319" si="221">G299+1</f>
        <v>65</v>
      </c>
      <c r="I299" s="3">
        <f t="shared" si="221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 t="shared" si="220"/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 t="shared" si="211"/>
        <v>1</v>
      </c>
      <c r="AO299" s="3" t="str">
        <f>IF(ISERROR(MATCH(A299,'SegEnds_Xtal_Prot#'!B:B, 0)), "NoXtal", "Xtal")</f>
        <v>Xtal</v>
      </c>
      <c r="AP299" s="3">
        <f t="shared" si="196"/>
        <v>1</v>
      </c>
      <c r="AQ299" s="3">
        <f t="shared" si="197"/>
        <v>1</v>
      </c>
      <c r="AR299" s="3" t="str">
        <f t="shared" si="198"/>
        <v>-</v>
      </c>
      <c r="AS299" s="3" t="str">
        <f t="shared" si="199"/>
        <v>-</v>
      </c>
      <c r="AT299" s="3" t="str">
        <f t="shared" si="200"/>
        <v>-</v>
      </c>
      <c r="AU299" s="3" t="str">
        <f t="shared" si="201"/>
        <v>-</v>
      </c>
      <c r="AV299" s="3">
        <f t="shared" si="202"/>
        <v>9</v>
      </c>
      <c r="AW299" s="3">
        <f t="shared" si="203"/>
        <v>8</v>
      </c>
      <c r="AX299" s="3">
        <f t="shared" si="204"/>
        <v>4</v>
      </c>
      <c r="AY299" s="3">
        <f t="shared" si="205"/>
        <v>5</v>
      </c>
      <c r="AZ299" s="3">
        <f t="shared" si="206"/>
        <v>1</v>
      </c>
      <c r="BA299" s="3">
        <f>IF(ISERROR(LEN(VLOOKUP(A299,Seqs!A:E,2,FALSE))-AL299),"-",LEN(VLOOKUP(A299,Seqs!A:E,2,FALSE))-AL299)</f>
        <v>44</v>
      </c>
      <c r="BB299" s="16">
        <f t="shared" si="207"/>
        <v>28</v>
      </c>
      <c r="BC299" s="9" t="str">
        <f t="shared" si="208"/>
        <v>-</v>
      </c>
      <c r="BD299" s="3">
        <f t="shared" si="209"/>
        <v>28</v>
      </c>
      <c r="BE299" s="3">
        <f t="shared" si="210"/>
        <v>43</v>
      </c>
    </row>
    <row r="300" spans="1:59" s="3" customFormat="1" x14ac:dyDescent="0.2">
      <c r="A300" s="3" t="s">
        <v>1501</v>
      </c>
      <c r="B300" s="3" t="str">
        <f>LOWER(VLOOKUP(A300,Xtal_Templ!A:B,2,FALSE))</f>
        <v>q80km9_hcmv</v>
      </c>
      <c r="C300" s="3">
        <f>VLOOKUP($A300,'SegEnds_NonXtal_BW#'!$A:$Z,3,FALSE)+D300-50</f>
        <v>25</v>
      </c>
      <c r="D300" s="3">
        <v>51</v>
      </c>
      <c r="E300" s="3">
        <f>IF(ISERROR(VLOOKUP($A300,'SegEnds_NonXtal_BW#'!$A:$Z,4,FALSE)+VLOOKUP($A300,A:AL,4,FALSE)-50),"-",(VLOOKUP($A300,'SegEnds_NonXtal_BW#'!$A:$Z,4,FALSE)+VLOOKUP($A300,A:AL,4,FALSE)-50))</f>
        <v>61</v>
      </c>
      <c r="F300" s="3">
        <f t="shared" si="215"/>
        <v>62</v>
      </c>
      <c r="G300" s="3">
        <v>64</v>
      </c>
      <c r="H300" s="3">
        <f t="shared" ref="H300:I303" si="222">G300+1</f>
        <v>65</v>
      </c>
      <c r="I300" s="3">
        <f t="shared" si="222"/>
        <v>66</v>
      </c>
      <c r="J300" s="3">
        <v>79</v>
      </c>
      <c r="K300" s="3">
        <f>VLOOKUP($A300,'SegEnds_NonXtal_BW#'!$A:$Z,8,FALSE)+VLOOKUP($A300,A:AL,10,FALSE)-50</f>
        <v>95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100</v>
      </c>
      <c r="P300" s="3">
        <v>129</v>
      </c>
      <c r="Q300" s="3">
        <f>VLOOKUP($A300,'SegEnds_NonXtal_BW#'!$A:$Z,12,FALSE)+VLOOKUP($A300,A:AL,16,FALSE)-50</f>
        <v>134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140</v>
      </c>
      <c r="V300" s="3">
        <v>152</v>
      </c>
      <c r="W300" s="3">
        <f>IF(ISERROR(VLOOKUP($A300,'SegEnds_NonXtal_BW#'!$A:$Z,16,FALSE)+VLOOKUP($A300,A:AL,22,FALSE)-50),"-",(VLOOKUP($A300,'SegEnds_NonXtal_BW#'!$A:$Z,16,FALSE)+VLOOKUP($A300,A:AL,22,FALSE)-50))</f>
        <v>164</v>
      </c>
      <c r="X300" s="3">
        <f>IF(ISERROR(VLOOKUP($A300,'SegEnds_NonXtal_BW#'!$A:$Z,17,FALSE)+VLOOKUP($A300,A:AL,25,FALSE)-50),"-",(VLOOKUP($A300,'SegEnds_NonXtal_BW#'!$A:$Z,17,FALSE)+VLOOKUP($A300,A:AL,25,FALSE)-50))</f>
        <v>173</v>
      </c>
      <c r="Y300" s="3">
        <v>173</v>
      </c>
      <c r="Z300" s="3">
        <f>Y300+2</f>
        <v>175</v>
      </c>
      <c r="AA300" s="3">
        <f>IF(ISERROR(VLOOKUP($A300,'SegEnds_NonXtal_BW#'!$A:$Z,19,FALSE)+VLOOKUP($A300,A:AL,28,FALSE)-50),"-",(VLOOKUP($A300,'SegEnds_NonXtal_BW#'!$A:$Z,19,FALSE)+VLOOKUP($A300,A:AL,28,FALSE)-50))</f>
        <v>183</v>
      </c>
      <c r="AB300" s="3">
        <v>200</v>
      </c>
      <c r="AC300" s="3">
        <f>IF(ISERROR((VLOOKUP($A300,'SegEnds_NonXtal_BW#'!$A:$Z,20,FALSE)+VLOOKUP($A300,A:AL,28,FALSE)-50)),"-",(VLOOKUP($A300,'SegEnds_NonXtal_BW#'!$A:$Z,20,FALSE)+VLOOKUP($A300,A:AL,28,FALSE)-50))</f>
        <v>218</v>
      </c>
      <c r="AD300" s="3">
        <f>IF(ISERROR(VLOOKUP($A300,'SegEnds_NonXtal_BW#'!$A:$Z,21,FALSE)+VLOOKUP($A300,A:AL,31,FALSE)-50),"-",(VLOOKUP($A300,'SegEnds_NonXtal_BW#'!$A:$Z,21,FALSE)+VLOOKUP($A300,A:AL,31,FALSE)-50))</f>
        <v>222</v>
      </c>
      <c r="AE300" s="3">
        <v>243</v>
      </c>
      <c r="AF300" s="3">
        <f>IF(ISERROR((VLOOKUP($A300,'SegEnds_NonXtal_BW#'!$A:$Z,22,FALSE)+VLOOKUP($A300,A:AL,31,FALSE)-50)),"-",(VLOOKUP($A300,'SegEnds_NonXtal_BW#'!$A:$Z,22,FALSE)+VLOOKUP($A300,A:AL,31,FALSE)-50))</f>
        <v>257</v>
      </c>
      <c r="AG300" s="3">
        <f>IF(ISERROR(VLOOKUP($A300,'SegEnds_NonXtal_BW#'!$A:$Z,23,FALSE)+VLOOKUP($A300,A:AL,34,FALSE)-50),"-",(VLOOKUP($A300,'SegEnds_NonXtal_BW#'!$A:$Z,23,FALSE)+VLOOKUP($A300,A:AL,34,FALSE)-50))</f>
        <v>262</v>
      </c>
      <c r="AH300" s="3">
        <v>288</v>
      </c>
      <c r="AI300" s="3">
        <f>IF(ISERROR((VLOOKUP($A300,'SegEnds_NonXtal_BW#'!$A:$Z,24,FALSE)+VLOOKUP($A300,A:AL,34,FALSE)-50)),"-",(VLOOKUP($A300,'SegEnds_NonXtal_BW#'!$A:$Z,24,FALSE)+VLOOKUP($A300,A:AL,34,FALSE)-50))</f>
        <v>294</v>
      </c>
      <c r="AJ300" s="3">
        <f>IF(ISERROR(VLOOKUP($A300,'SegEnds_NonXtal_BW#'!$A:$Z,25,FALSE)+VLOOKUP($A300,A:AL,37,FALSE)-50),"-",(VLOOKUP($A300,'SegEnds_NonXtal_BW#'!$A:$Z,25,FALSE)+VLOOKUP($A300,A:AL,37,FALSE)-50))</f>
        <v>295</v>
      </c>
      <c r="AK300" s="3">
        <v>298</v>
      </c>
      <c r="AL300" s="3">
        <f>IF(ISERROR((VLOOKUP($A300,'SegEnds_NonXtal_BW#'!$A:$Z,26,FALSE)+VLOOKUP($A300,A:AL,37,FALSE)-50)),"-",(VLOOKUP($A300,'SegEnds_NonXtal_BW#'!$A:$Z,26,FALSE)+VLOOKUP($A300,A:AL,37,FALSE)-50))</f>
        <v>310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 t="str">
        <f>IF(ISERROR(R300-Q300),"-",R300-Q300)</f>
        <v>-</v>
      </c>
      <c r="AU300" s="3" t="str">
        <f>IF(ISERROR(U300-T300),"-",U300-T300)</f>
        <v>-</v>
      </c>
      <c r="AV300" s="3">
        <f>IF(ISERROR(X300-W300),"-",X300-W300)</f>
        <v>9</v>
      </c>
      <c r="AW300" s="3">
        <f>IF(ISERROR(AA300-Z300),"-",AA300-Z300)</f>
        <v>8</v>
      </c>
      <c r="AX300" s="3">
        <f>IF(ISERROR(AD300-AC300),"-",AD300-AC300)</f>
        <v>4</v>
      </c>
      <c r="AY300" s="3">
        <f>IF(ISERROR(AG300-AF300),"-",AG300-AF300)</f>
        <v>5</v>
      </c>
      <c r="AZ300" s="3">
        <f>IF(ISERROR(AJ300-AI300),"-",AJ300-AI300)</f>
        <v>1</v>
      </c>
      <c r="BA300" s="3">
        <f>IF(ISERROR(LEN(VLOOKUP(A300,Seqs!A:E,2,FALSE))-AL300),"-",LEN(VLOOKUP(A300,Seqs!A:E,2,FALSE))-AL300)</f>
        <v>44</v>
      </c>
      <c r="BB300" s="16">
        <f>J300-D300</f>
        <v>28</v>
      </c>
      <c r="BC300" s="9" t="str">
        <f>IF(ISERROR(V300-S300),"-",V300-S300)</f>
        <v>-</v>
      </c>
      <c r="BD300" s="3">
        <f>J300-D300</f>
        <v>28</v>
      </c>
      <c r="BE300" s="3">
        <f>AE300-AB300</f>
        <v>43</v>
      </c>
    </row>
    <row r="301" spans="1:59" s="3" customFormat="1" x14ac:dyDescent="0.2">
      <c r="A301" s="3" t="s">
        <v>1631</v>
      </c>
      <c r="B301" s="3" t="str">
        <f>LOWER(VLOOKUP(A301,Xtal_Templ!A:B,2,FALSE))</f>
        <v>ada2b_human</v>
      </c>
      <c r="C301" s="3">
        <f>VLOOKUP($A301,'SegEnds_NonXtal_BW#'!$A:$Z,3,FALSE)+D301-50</f>
        <v>23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23">G301-2</f>
        <v>53</v>
      </c>
      <c r="G301" s="3">
        <v>55</v>
      </c>
      <c r="H301" s="3">
        <f t="shared" si="222"/>
        <v>56</v>
      </c>
      <c r="I301" s="3">
        <f t="shared" si="222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194</v>
      </c>
      <c r="AB301" s="3">
        <v>209</v>
      </c>
      <c r="AC301" s="3">
        <f>IF(ISERROR((VLOOKUP($A301,'SegEnds_NonXtal_BW#'!$A:$Z,20,FALSE)+VLOOKUP($A301,A:AL,28,FALSE)-50)),"-",(VLOOKUP($A301,'SegEnds_NonXtal_BW#'!$A:$Z,20,FALSE)+VLOOKUP($A301,A:AL,28,FALSE)-50))</f>
        <v>231</v>
      </c>
      <c r="AD301" s="3">
        <f>IF(ISERROR(VLOOKUP($A301,'SegEnds_NonXtal_BW#'!$A:$Z,21,FALSE)+VLOOKUP($A301,A:AL,31,FALSE)-50),"-",(VLOOKUP($A301,'SegEnds_NonXtal_BW#'!$A:$Z,21,FALSE)+VLOOKUP($A301,A:AL,31,FALSE)-50))</f>
        <v>234</v>
      </c>
      <c r="AE301" s="3">
        <v>261</v>
      </c>
      <c r="AF301" s="3">
        <f>IF(ISERROR((VLOOKUP($A301,'SegEnds_NonXtal_BW#'!$A:$Z,22,FALSE)+VLOOKUP($A301,A:AL,31,FALSE)-50)),"-",(VLOOKUP($A301,'SegEnds_NonXtal_BW#'!$A:$Z,22,FALSE)+VLOOKUP($A301,A:AL,31,FALSE)-50))</f>
        <v>265</v>
      </c>
      <c r="AG301" s="3">
        <f>IF(ISERROR(VLOOKUP($A301,'SegEnds_NonXtal_BW#'!$A:$Z,23,FALSE)+VLOOKUP($A301,A:AL,34,FALSE)-50),"-",(VLOOKUP($A301,'SegEnds_NonXtal_BW#'!$A:$Z,23,FALSE)+VLOOKUP($A301,A:AL,34,FALSE)-50))</f>
        <v>267</v>
      </c>
      <c r="AH301" s="3">
        <v>285</v>
      </c>
      <c r="AI301" s="3">
        <f>IF(ISERROR((VLOOKUP($A301,'SegEnds_NonXtal_BW#'!$A:$Z,24,FALSE)+VLOOKUP($A301,A:AL,34,FALSE)-50)),"-",(VLOOKUP($A301,'SegEnds_NonXtal_BW#'!$A:$Z,24,FALSE)+VLOOKUP($A301,A:AL,34,FALSE)-50))</f>
        <v>291</v>
      </c>
      <c r="AJ301" s="3">
        <f>IF(ISERROR(VLOOKUP($A301,'SegEnds_NonXtal_BW#'!$A:$Z,25,FALSE)+VLOOKUP($A301,A:AL,37,FALSE)-50),"-",(VLOOKUP($A301,'SegEnds_NonXtal_BW#'!$A:$Z,25,FALSE)+VLOOKUP($A301,A:AL,37,FALSE)-50))</f>
        <v>292</v>
      </c>
      <c r="AK301" s="3">
        <v>295</v>
      </c>
      <c r="AL301" s="3">
        <f>IF(ISERROR((VLOOKUP($A301,'SegEnds_NonXtal_BW#'!$A:$Z,26,FALSE)+VLOOKUP($A301,A:AL,37,FALSE)-50)),"-",(VLOOKUP($A301,'SegEnds_NonXtal_BW#'!$A:$Z,26,FALSE)+VLOOKUP($A301,A:AL,37,FALSE)-50))</f>
        <v>304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3</v>
      </c>
      <c r="AX301" s="3">
        <f>IF(ISERROR(AD301-AC301),"-",AD301-AC301)</f>
        <v>3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5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52</v>
      </c>
    </row>
    <row r="302" spans="1:59" s="3" customFormat="1" x14ac:dyDescent="0.2">
      <c r="A302" s="3" t="s">
        <v>1634</v>
      </c>
      <c r="B302" s="3" t="str">
        <f>LOWER(VLOOKUP(A302,Xtal_Templ!A:B,2,FALSE))</f>
        <v>ccr2_human</v>
      </c>
      <c r="C302" s="3">
        <f>VLOOKUP($A302,'SegEnds_NonXtal_BW#'!$A:$Z,3,FALSE)+D302-50</f>
        <v>19</v>
      </c>
      <c r="D302" s="3">
        <v>42</v>
      </c>
      <c r="E302" s="3">
        <f>IF(ISERROR(VLOOKUP($A302,'SegEnds_NonXtal_BW#'!$A:$Z,4,FALSE)+VLOOKUP($A302,A:AL,4,FALSE)-50),"-",(VLOOKUP($A302,'SegEnds_NonXtal_BW#'!$A:$Z,4,FALSE)+VLOOKUP($A302,A:AL,4,FALSE)-50))</f>
        <v>52</v>
      </c>
      <c r="F302" s="3">
        <f t="shared" ref="F302" si="224">G302-2</f>
        <v>53</v>
      </c>
      <c r="G302" s="3">
        <v>55</v>
      </c>
      <c r="H302" s="3">
        <f t="shared" si="222"/>
        <v>56</v>
      </c>
      <c r="I302" s="3">
        <f t="shared" si="222"/>
        <v>57</v>
      </c>
      <c r="J302" s="3">
        <v>70</v>
      </c>
      <c r="K302" s="3">
        <f>VLOOKUP($A302,'SegEnds_NonXtal_BW#'!$A:$Z,8,FALSE)+VLOOKUP($A302,A:AL,10,FALSE)-50</f>
        <v>86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93</v>
      </c>
      <c r="P302" s="3">
        <v>122</v>
      </c>
      <c r="Q302" s="3">
        <f>VLOOKUP($A302,'SegEnds_NonXtal_BW#'!$A:$Z,12,FALSE)+VLOOKUP($A302,A:AL,16,FALSE)-50</f>
        <v>128</v>
      </c>
      <c r="R302" s="3">
        <f>IF(ISERROR(VLOOKUP($A302,'SegEnds_NonXtal_BW#'!$A:$Z,13,FALSE)+VLOOKUP($A302,A:AL,19,FALSE)-50),"-",VLOOKUP($A302,'SegEnds_NonXtal_BW#'!$A:$Z,13,FALSE)+VLOOKUP($A302,A:AL,19,FALSE)-50)</f>
        <v>129</v>
      </c>
      <c r="S302" s="3">
        <v>129</v>
      </c>
      <c r="T302" s="100">
        <f>IF(ISERROR(VLOOKUP($A302,'SegEnds_NonXtal_BW#'!$A:$Z,14,FALSE)+VLOOKUP($A302,A:AL,19,FALSE)-50),"-",(VLOOKUP($A302,'SegEnds_NonXtal_BW#'!$A:$Z,14,FALSE)+VLOOKUP($A302,A:AL,19,FALSE)-50))</f>
        <v>136</v>
      </c>
      <c r="U302" s="9">
        <f>IF(ISERROR(VLOOKUP($A302,'SegEnds_NonXtal_BW#'!$A:$Z,15,FALSE)+VLOOKUP($A302,A:AL,22,FALSE)-50),"-",VLOOKUP($A302,'SegEnds_NonXtal_BW#'!$A:$Z,15,FALSE)+VLOOKUP($A302,A:AL,22,FALSE)-50)</f>
        <v>137</v>
      </c>
      <c r="V302" s="3">
        <v>149</v>
      </c>
      <c r="W302" s="3">
        <f>IF(ISERROR(VLOOKUP($A302,'SegEnds_NonXtal_BW#'!$A:$Z,16,FALSE)+VLOOKUP($A302,A:AL,22,FALSE)-50),"-",(VLOOKUP($A302,'SegEnds_NonXtal_BW#'!$A:$Z,16,FALSE)+VLOOKUP($A302,A:AL,22,FALSE)-50))</f>
        <v>163</v>
      </c>
      <c r="X302" s="3">
        <f>IF(ISERROR(VLOOKUP($A302,'SegEnds_NonXtal_BW#'!$A:$Z,17,FALSE)+VLOOKUP($A302,A:AL,25,FALSE)-50),"-",(VLOOKUP($A302,'SegEnds_NonXtal_BW#'!$A:$Z,17,FALSE)+VLOOKUP($A302,A:AL,25,FALSE)-50))</f>
        <v>189</v>
      </c>
      <c r="Y302" s="3">
        <v>189</v>
      </c>
      <c r="Z302" s="3">
        <f>Y302+2</f>
        <v>191</v>
      </c>
      <c r="AA302" s="3">
        <f>IF(ISERROR(VLOOKUP($A302,'SegEnds_NonXtal_BW#'!$A:$Z,19,FALSE)+VLOOKUP($A302,A:AL,28,FALSE)-50),"-",(VLOOKUP($A302,'SegEnds_NonXtal_BW#'!$A:$Z,19,FALSE)+VLOOKUP($A302,A:AL,28,FALSE)-50))</f>
        <v>195</v>
      </c>
      <c r="AB302" s="3">
        <v>210</v>
      </c>
      <c r="AC302" s="3">
        <f>IF(ISERROR((VLOOKUP($A302,'SegEnds_NonXtal_BW#'!$A:$Z,20,FALSE)+VLOOKUP($A302,A:AL,28,FALSE)-50)),"-",(VLOOKUP($A302,'SegEnds_NonXtal_BW#'!$A:$Z,20,FALSE)+VLOOKUP($A302,A:AL,28,FALSE)-50))</f>
        <v>232</v>
      </c>
      <c r="AD302" s="3">
        <f>IF(ISERROR(VLOOKUP($A302,'SegEnds_NonXtal_BW#'!$A:$Z,21,FALSE)+VLOOKUP($A302,A:AL,31,FALSE)-50),"-",(VLOOKUP($A302,'SegEnds_NonXtal_BW#'!$A:$Z,21,FALSE)+VLOOKUP($A302,A:AL,31,FALSE)-50))</f>
        <v>237</v>
      </c>
      <c r="AE302" s="3">
        <v>263</v>
      </c>
      <c r="AF302" s="3">
        <f>IF(ISERROR((VLOOKUP($A302,'SegEnds_NonXtal_BW#'!$A:$Z,22,FALSE)+VLOOKUP($A302,A:AL,31,FALSE)-50)),"-",(VLOOKUP($A302,'SegEnds_NonXtal_BW#'!$A:$Z,22,FALSE)+VLOOKUP($A302,A:AL,31,FALSE)-50))</f>
        <v>267</v>
      </c>
      <c r="AG302" s="3">
        <f>IF(ISERROR(VLOOKUP($A302,'SegEnds_NonXtal_BW#'!$A:$Z,23,FALSE)+VLOOKUP($A302,A:AL,34,FALSE)-50),"-",(VLOOKUP($A302,'SegEnds_NonXtal_BW#'!$A:$Z,23,FALSE)+VLOOKUP($A302,A:AL,34,FALSE)-50))</f>
        <v>269</v>
      </c>
      <c r="AH302" s="3">
        <v>287</v>
      </c>
      <c r="AI302" s="3">
        <f>IF(ISERROR((VLOOKUP($A302,'SegEnds_NonXtal_BW#'!$A:$Z,24,FALSE)+VLOOKUP($A302,A:AL,34,FALSE)-50)),"-",(VLOOKUP($A302,'SegEnds_NonXtal_BW#'!$A:$Z,24,FALSE)+VLOOKUP($A302,A:AL,34,FALSE)-50))</f>
        <v>293</v>
      </c>
      <c r="AJ302" s="3">
        <f>IF(ISERROR(VLOOKUP($A302,'SegEnds_NonXtal_BW#'!$A:$Z,25,FALSE)+VLOOKUP($A302,A:AL,37,FALSE)-50),"-",(VLOOKUP($A302,'SegEnds_NonXtal_BW#'!$A:$Z,25,FALSE)+VLOOKUP($A302,A:AL,37,FALSE)-50))</f>
        <v>294</v>
      </c>
      <c r="AK302" s="3">
        <v>297</v>
      </c>
      <c r="AL302" s="3">
        <f>IF(ISERROR((VLOOKUP($A302,'SegEnds_NonXtal_BW#'!$A:$Z,26,FALSE)+VLOOKUP($A302,A:AL,37,FALSE)-50)),"-",(VLOOKUP($A302,'SegEnds_NonXtal_BW#'!$A:$Z,26,FALSE)+VLOOKUP($A302,A:AL,37,FALSE)-50))</f>
        <v>305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1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5</v>
      </c>
      <c r="AY302" s="3">
        <f>IF(ISERROR(AG302-AF302),"-",AG302-AF302)</f>
        <v>2</v>
      </c>
      <c r="AZ302" s="3">
        <f>IF(ISERROR(AJ302-AI302),"-",AJ302-AI302)</f>
        <v>1</v>
      </c>
      <c r="BA302" s="3">
        <f>IF(ISERROR(LEN(VLOOKUP(A302,Seqs!A:E,2,FALSE))-AL302),"-",LEN(VLOOKUP(A302,Seqs!A:E,2,FALSE))-AL302)</f>
        <v>8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53</v>
      </c>
    </row>
    <row r="303" spans="1:59" s="3" customFormat="1" x14ac:dyDescent="0.2">
      <c r="A303" s="3" t="s">
        <v>1636</v>
      </c>
      <c r="B303" s="3" t="str">
        <f>LOWER(VLOOKUP(A303,Xtal_Templ!A:B,2,FALSE))</f>
        <v>c5ar1_human</v>
      </c>
      <c r="C303" s="3">
        <f>VLOOKUP($A303,'SegEnds_NonXtal_BW#'!$A:$Z,3,FALSE)+D303-50</f>
        <v>18</v>
      </c>
      <c r="D303" s="3">
        <v>39</v>
      </c>
      <c r="E303" s="3">
        <f>IF(ISERROR(VLOOKUP($A303,'SegEnds_NonXtal_BW#'!$A:$Z,4,FALSE)+VLOOKUP($A303,A:AL,4,FALSE)-50),"-",(VLOOKUP($A303,'SegEnds_NonXtal_BW#'!$A:$Z,4,FALSE)+VLOOKUP($A303,A:AL,4,FALSE)-50))</f>
        <v>49</v>
      </c>
      <c r="F303" s="3">
        <f t="shared" ref="F303" si="225">G303-2</f>
        <v>50</v>
      </c>
      <c r="G303" s="3">
        <v>52</v>
      </c>
      <c r="H303" s="3">
        <f t="shared" si="222"/>
        <v>53</v>
      </c>
      <c r="I303" s="3">
        <f t="shared" si="222"/>
        <v>54</v>
      </c>
      <c r="J303" s="3">
        <v>67</v>
      </c>
      <c r="K303" s="3">
        <f>VLOOKUP($A303,'SegEnds_NonXtal_BW#'!$A:$Z,8,FALSE)+VLOOKUP($A303,A:AL,10,FALSE)-50</f>
        <v>83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90</v>
      </c>
      <c r="P303" s="3">
        <v>119</v>
      </c>
      <c r="Q303" s="3">
        <f>VLOOKUP($A303,'SegEnds_NonXtal_BW#'!$A:$Z,12,FALSE)+VLOOKUP($A303,A:AL,16,FALSE)-50</f>
        <v>125</v>
      </c>
      <c r="R303" s="3">
        <f>IF(ISERROR(VLOOKUP($A303,'SegEnds_NonXtal_BW#'!$A:$Z,13,FALSE)+VLOOKUP($A303,A:AL,19,FALSE)-50),"-",VLOOKUP($A303,'SegEnds_NonXtal_BW#'!$A:$Z,13,FALSE)+VLOOKUP($A303,A:AL,19,FALSE)-50)</f>
        <v>126</v>
      </c>
      <c r="S303" s="3">
        <v>126</v>
      </c>
      <c r="T303" s="100">
        <f>IF(ISERROR(VLOOKUP($A303,'SegEnds_NonXtal_BW#'!$A:$Z,14,FALSE)+VLOOKUP($A303,A:AL,19,FALSE)-50),"-",(VLOOKUP($A303,'SegEnds_NonXtal_BW#'!$A:$Z,14,FALSE)+VLOOKUP($A303,A:AL,19,FALSE)-50))</f>
        <v>133</v>
      </c>
      <c r="U303" s="9">
        <f>IF(ISERROR(VLOOKUP($A303,'SegEnds_NonXtal_BW#'!$A:$Z,15,FALSE)+VLOOKUP($A303,A:AL,22,FALSE)-50),"-",VLOOKUP($A303,'SegEnds_NonXtal_BW#'!$A:$Z,15,FALSE)+VLOOKUP($A303,A:AL,22,FALSE)-50)</f>
        <v>134</v>
      </c>
      <c r="V303" s="3">
        <v>146</v>
      </c>
      <c r="W303" s="3">
        <f>IF(ISERROR(VLOOKUP($A303,'SegEnds_NonXtal_BW#'!$A:$Z,16,FALSE)+VLOOKUP($A303,A:AL,22,FALSE)-50),"-",(VLOOKUP($A303,'SegEnds_NonXtal_BW#'!$A:$Z,16,FALSE)+VLOOKUP($A303,A:AL,22,FALSE)-50))</f>
        <v>160</v>
      </c>
      <c r="X303" s="3">
        <f>IF(ISERROR(VLOOKUP($A303,'SegEnds_NonXtal_BW#'!$A:$Z,17,FALSE)+VLOOKUP($A303,A:AL,25,FALSE)-50),"-",(VLOOKUP($A303,'SegEnds_NonXtal_BW#'!$A:$Z,17,FALSE)+VLOOKUP($A303,A:AL,25,FALSE)-50))</f>
        <v>186</v>
      </c>
      <c r="Y303" s="3">
        <v>186</v>
      </c>
      <c r="Z303" s="3">
        <f>Y303+2</f>
        <v>188</v>
      </c>
      <c r="AA303" s="3">
        <f>IF(ISERROR(VLOOKUP($A303,'SegEnds_NonXtal_BW#'!$A:$Z,19,FALSE)+VLOOKUP($A303,A:AL,28,FALSE)-50),"-",(VLOOKUP($A303,'SegEnds_NonXtal_BW#'!$A:$Z,19,FALSE)+VLOOKUP($A303,A:AL,28,FALSE)-50))</f>
        <v>192</v>
      </c>
      <c r="AB303" s="3">
        <v>207</v>
      </c>
      <c r="AC303" s="3">
        <f>IF(ISERROR((VLOOKUP($A303,'SegEnds_NonXtal_BW#'!$A:$Z,20,FALSE)+VLOOKUP($A303,A:AL,28,FALSE)-50)),"-",(VLOOKUP($A303,'SegEnds_NonXtal_BW#'!$A:$Z,20,FALSE)+VLOOKUP($A303,A:AL,28,FALSE)-50))</f>
        <v>229</v>
      </c>
      <c r="AD303" s="3">
        <f>IF(ISERROR(VLOOKUP($A303,'SegEnds_NonXtal_BW#'!$A:$Z,21,FALSE)+VLOOKUP($A303,A:AL,31,FALSE)-50),"-",(VLOOKUP($A303,'SegEnds_NonXtal_BW#'!$A:$Z,21,FALSE)+VLOOKUP($A303,A:AL,31,FALSE)-50))</f>
        <v>232</v>
      </c>
      <c r="AE303" s="3">
        <v>259</v>
      </c>
      <c r="AF303" s="3">
        <f>IF(ISERROR((VLOOKUP($A303,'SegEnds_NonXtal_BW#'!$A:$Z,22,FALSE)+VLOOKUP($A303,A:AL,31,FALSE)-50)),"-",(VLOOKUP($A303,'SegEnds_NonXtal_BW#'!$A:$Z,22,FALSE)+VLOOKUP($A303,A:AL,31,FALSE)-50))</f>
        <v>263</v>
      </c>
      <c r="AG303" s="3">
        <f>IF(ISERROR(VLOOKUP($A303,'SegEnds_NonXtal_BW#'!$A:$Z,23,FALSE)+VLOOKUP($A303,A:AL,34,FALSE)-50),"-",(VLOOKUP($A303,'SegEnds_NonXtal_BW#'!$A:$Z,23,FALSE)+VLOOKUP($A303,A:AL,34,FALSE)-50))</f>
        <v>266</v>
      </c>
      <c r="AH303" s="3">
        <v>284</v>
      </c>
      <c r="AI303" s="3">
        <f>IF(ISERROR((VLOOKUP($A303,'SegEnds_NonXtal_BW#'!$A:$Z,24,FALSE)+VLOOKUP($A303,A:AL,34,FALSE)-50)),"-",(VLOOKUP($A303,'SegEnds_NonXtal_BW#'!$A:$Z,24,FALSE)+VLOOKUP($A303,A:AL,34,FALSE)-50))</f>
        <v>290</v>
      </c>
      <c r="AJ303" s="3">
        <f>IF(ISERROR(VLOOKUP($A303,'SegEnds_NonXtal_BW#'!$A:$Z,25,FALSE)+VLOOKUP($A303,A:AL,37,FALSE)-50),"-",(VLOOKUP($A303,'SegEnds_NonXtal_BW#'!$A:$Z,25,FALSE)+VLOOKUP($A303,A:AL,37,FALSE)-50))</f>
        <v>291</v>
      </c>
      <c r="AK303" s="3">
        <v>294</v>
      </c>
      <c r="AL303" s="3">
        <f>IF(ISERROR((VLOOKUP($A303,'SegEnds_NonXtal_BW#'!$A:$Z,26,FALSE)+VLOOKUP($A303,A:AL,37,FALSE)-50)),"-",(VLOOKUP($A303,'SegEnds_NonXtal_BW#'!$A:$Z,26,FALSE)+VLOOKUP($A303,A:AL,37,FALSE)-50))</f>
        <v>300</v>
      </c>
      <c r="AM303" s="28" t="str">
        <f>VLOOKUP(A303,Classification!A:B,2,FALSE)</f>
        <v>A</v>
      </c>
      <c r="AN303" s="28" t="b">
        <f>AND(IF(Y303="-",IF(AA303-W303&gt;3,TRUE,FALSE),TRUE),IF(M303="-",IF(O303-K303&gt;3,TRUE,FALSE),TRUE),IF(AG303-AF303&gt;1,TRUE,FALSE),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    <v>1</v>
      </c>
      <c r="AO303" s="3" t="str">
        <f>IF(ISERROR(MATCH(A303,'SegEnds_Xtal_Prot#'!B:B, 0)), "NoXtal", "Xtal")</f>
        <v>NoXtal</v>
      </c>
      <c r="AP303" s="3">
        <f>IF(ISERROR(F303-E303),"-",F303-E303)</f>
        <v>1</v>
      </c>
      <c r="AQ303" s="3">
        <f>IF(ISERROR(I303-H303),"-",I303-H303)</f>
        <v>1</v>
      </c>
      <c r="AR303" s="3" t="str">
        <f>IF(ISERROR(L303-K303),"-",L303-K303)</f>
        <v>-</v>
      </c>
      <c r="AS303" s="3" t="str">
        <f>IF(ISERROR(O303-N303),"-",O303-N303)</f>
        <v>-</v>
      </c>
      <c r="AT303" s="3">
        <f>IF(ISERROR(R303-Q303),"-",R303-Q303)</f>
        <v>1</v>
      </c>
      <c r="AU303" s="3">
        <f>IF(ISERROR(U303-T303),"-",U303-T303)</f>
        <v>1</v>
      </c>
      <c r="AV303" s="3">
        <f>IF(ISERROR(X303-W303),"-",X303-W303)</f>
        <v>26</v>
      </c>
      <c r="AW303" s="3">
        <f>IF(ISERROR(AA303-Z303),"-",AA303-Z303)</f>
        <v>4</v>
      </c>
      <c r="AX303" s="3">
        <f>IF(ISERROR(AD303-AC303),"-",AD303-AC303)</f>
        <v>3</v>
      </c>
      <c r="AY303" s="3">
        <f>IF(ISERROR(AG303-AF303),"-",AG303-AF303)</f>
        <v>3</v>
      </c>
      <c r="AZ303" s="3">
        <f>IF(ISERROR(AJ303-AI303),"-",AJ303-AI303)</f>
        <v>1</v>
      </c>
      <c r="BA303" s="3">
        <f>IF(ISERROR(LEN(VLOOKUP(A303,Seqs!A:E,2,FALSE))-AL303),"-",LEN(VLOOKUP(A303,Seqs!A:E,2,FALSE))-AL303)</f>
        <v>16</v>
      </c>
      <c r="BB303" s="16">
        <f>J303-D303</f>
        <v>28</v>
      </c>
      <c r="BC303" s="9">
        <f>IF(ISERROR(V303-S303),"-",V303-S303)</f>
        <v>20</v>
      </c>
      <c r="BD303" s="3">
        <f>J303-D303</f>
        <v>28</v>
      </c>
      <c r="BE303" s="3">
        <f>AE303-AB303</f>
        <v>52</v>
      </c>
    </row>
    <row r="304" spans="1:59" s="3" customFormat="1" x14ac:dyDescent="0.2">
      <c r="A304" s="3" t="s">
        <v>400</v>
      </c>
      <c r="B304" s="3" t="str">
        <f>LOWER(VLOOKUP(A304,Xtal_Templ!A:B,2,FALSE))</f>
        <v>calcr_human</v>
      </c>
      <c r="C304" s="3">
        <f>VLOOKUP($A304,'SegEnds_NonXtal_BW#'!$A:$Z,3,FALSE)+D304-50</f>
        <v>132</v>
      </c>
      <c r="D304" s="3">
        <v>163</v>
      </c>
      <c r="E304" s="3">
        <f>IF(ISERROR(VLOOKUP($A304,'SegEnds_NonXtal_BW#'!$A:$Z,4,FALSE)+VLOOKUP($A304,A:AL,4,FALSE)-50),"-",(VLOOKUP($A304,'SegEnds_NonXtal_BW#'!$A:$Z,4,FALSE)+VLOOKUP($A304,A:AL,4,FALSE)-50))</f>
        <v>173</v>
      </c>
      <c r="F304" s="3">
        <f t="shared" si="215"/>
        <v>174</v>
      </c>
      <c r="G304" s="3">
        <v>176</v>
      </c>
      <c r="H304" s="3">
        <f t="shared" si="221"/>
        <v>177</v>
      </c>
      <c r="I304" s="3">
        <f t="shared" si="221"/>
        <v>178</v>
      </c>
      <c r="J304" s="3">
        <v>191</v>
      </c>
      <c r="K304" s="3">
        <f>VLOOKUP($A304,'SegEnds_NonXtal_BW#'!$A:$Z,8,FALSE)+VLOOKUP($A304,A:AL,10,FALSE)-50</f>
        <v>205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217</v>
      </c>
      <c r="P304" s="3">
        <v>244</v>
      </c>
      <c r="Q304" s="3">
        <f>VLOOKUP($A304,'SegEnds_NonXtal_BW#'!$A:$Z,12,FALSE)+VLOOKUP($A304,A:AL,16,FALSE)-50</f>
        <v>250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258</v>
      </c>
      <c r="V304" s="3">
        <v>267</v>
      </c>
      <c r="W304" s="3">
        <f>IF(ISERROR(VLOOKUP($A304,'SegEnds_NonXtal_BW#'!$A:$Z,16,FALSE)+VLOOKUP($A304,A:AL,22,FALSE)-50),"-",(VLOOKUP($A304,'SegEnds_NonXtal_BW#'!$A:$Z,16,FALSE)+VLOOKUP($A304,A:AL,22,FALSE)-50))</f>
        <v>285</v>
      </c>
      <c r="X304" s="3">
        <f>IF(ISERROR(VLOOKUP($A304,'SegEnds_NonXtal_BW#'!$A:$Z,17,FALSE)+VLOOKUP($A304,A:AL,25,FALSE)-50),"-",(VLOOKUP($A304,'SegEnds_NonXtal_BW#'!$A:$Z,17,FALSE)+VLOOKUP($A304,A:AL,25,FALSE)-50))</f>
        <v>289</v>
      </c>
      <c r="Y304" s="3">
        <v>289</v>
      </c>
      <c r="Z304" s="3">
        <f t="shared" si="220"/>
        <v>291</v>
      </c>
      <c r="AA304" s="3">
        <f>IF(ISERROR(VLOOKUP($A304,'SegEnds_NonXtal_BW#'!$A:$Z,19,FALSE)+VLOOKUP($A304,A:AL,28,FALSE)-50),"-",(VLOOKUP($A304,'SegEnds_NonXtal_BW#'!$A:$Z,19,FALSE)+VLOOKUP($A304,A:AL,28,FALSE)-50))</f>
        <v>298</v>
      </c>
      <c r="AB304" s="3">
        <v>308</v>
      </c>
      <c r="AC304" s="3">
        <f>IF(ISERROR((VLOOKUP($A304,'SegEnds_NonXtal_BW#'!$A:$Z,20,FALSE)+VLOOKUP($A304,A:AL,28,FALSE)-50)),"-",(VLOOKUP($A304,'SegEnds_NonXtal_BW#'!$A:$Z,20,FALSE)+VLOOKUP($A304,A:AL,28,FALSE)-50))</f>
        <v>328</v>
      </c>
      <c r="AD304" s="3">
        <f>IF(ISERROR(VLOOKUP($A304,'SegEnds_NonXtal_BW#'!$A:$Z,21,FALSE)+VLOOKUP($A304,A:AL,31,FALSE)-50),"-",(VLOOKUP($A304,'SegEnds_NonXtal_BW#'!$A:$Z,21,FALSE)+VLOOKUP($A304,A:AL,31,FALSE)-50))</f>
        <v>338</v>
      </c>
      <c r="AE304" s="3">
        <v>358</v>
      </c>
      <c r="AF304" s="3">
        <f>IF(ISERROR((VLOOKUP($A304,'SegEnds_NonXtal_BW#'!$A:$Z,22,FALSE)+VLOOKUP($A304,A:AL,31,FALSE)-50)),"-",(VLOOKUP($A304,'SegEnds_NonXtal_BW#'!$A:$Z,22,FALSE)+VLOOKUP($A304,A:AL,31,FALSE)-50))</f>
        <v>361</v>
      </c>
      <c r="AG304" s="3">
        <f>IF(ISERROR(VLOOKUP($A304,'SegEnds_NonXtal_BW#'!$A:$Z,23,FALSE)+VLOOKUP($A304,A:AL,34,FALSE)-50),"-",(VLOOKUP($A304,'SegEnds_NonXtal_BW#'!$A:$Z,23,FALSE)+VLOOKUP($A304,A:AL,34,FALSE)-50))</f>
        <v>366</v>
      </c>
      <c r="AH304" s="3">
        <v>388</v>
      </c>
      <c r="AI304" s="3">
        <f>IF(ISERROR((VLOOKUP($A304,'SegEnds_NonXtal_BW#'!$A:$Z,24,FALSE)+VLOOKUP($A304,A:AL,34,FALSE)-50)),"-",(VLOOKUP($A304,'SegEnds_NonXtal_BW#'!$A:$Z,24,FALSE)+VLOOKUP($A304,A:AL,34,FALSE)-50))</f>
        <v>394</v>
      </c>
      <c r="AJ304" s="3">
        <f>IF(ISERROR(VLOOKUP($A304,'SegEnds_NonXtal_BW#'!$A:$Z,25,FALSE)+VLOOKUP($A304,A:AL,37,FALSE)-50),"-",(VLOOKUP($A304,'SegEnds_NonXtal_BW#'!$A:$Z,25,FALSE)+VLOOKUP($A304,A:AL,37,FALSE)-50))</f>
        <v>395</v>
      </c>
      <c r="AK304" s="3">
        <v>398</v>
      </c>
      <c r="AL304" s="3">
        <f>IF(ISERROR((VLOOKUP($A304,'SegEnds_NonXtal_BW#'!$A:$Z,26,FALSE)+VLOOKUP($A304,A:AL,37,FALSE)-50)),"-",(VLOOKUP($A304,'SegEnds_NonXtal_BW#'!$A:$Z,26,FALSE)+VLOOKUP($A304,A:AL,37,FALSE)-50))</f>
        <v>420</v>
      </c>
      <c r="AM304" s="28" t="str">
        <f>VLOOKUP(A304,Classification!A:B,2,FALSE)</f>
        <v>B1</v>
      </c>
      <c r="AN304" s="28" t="b">
        <f t="shared" si="211"/>
        <v>1</v>
      </c>
      <c r="AO304" s="3" t="str">
        <f>IF(ISERROR(MATCH(A304,'SegEnds_Xtal_Prot#'!B:B, 0)), "NoXtal", "Xtal")</f>
        <v>Xtal</v>
      </c>
      <c r="AP304" s="3">
        <f t="shared" si="196"/>
        <v>1</v>
      </c>
      <c r="AQ304" s="3">
        <f t="shared" si="197"/>
        <v>1</v>
      </c>
      <c r="AR304" s="3" t="str">
        <f t="shared" si="198"/>
        <v>-</v>
      </c>
      <c r="AS304" s="3" t="str">
        <f t="shared" si="199"/>
        <v>-</v>
      </c>
      <c r="AT304" s="3" t="str">
        <f t="shared" si="200"/>
        <v>-</v>
      </c>
      <c r="AU304" s="3" t="str">
        <f t="shared" si="201"/>
        <v>-</v>
      </c>
      <c r="AV304" s="3">
        <f t="shared" si="202"/>
        <v>4</v>
      </c>
      <c r="AW304" s="3">
        <f t="shared" si="203"/>
        <v>7</v>
      </c>
      <c r="AX304" s="3">
        <f t="shared" si="204"/>
        <v>10</v>
      </c>
      <c r="AY304" s="3">
        <f t="shared" si="205"/>
        <v>5</v>
      </c>
      <c r="AZ304" s="3">
        <f t="shared" si="206"/>
        <v>1</v>
      </c>
      <c r="BA304" s="3">
        <f>IF(ISERROR(LEN(VLOOKUP(A304,Seqs!A:E,2,FALSE))-AL304),"-",LEN(VLOOKUP(A304,Seqs!A:E,2,FALSE))-AL304)</f>
        <v>54</v>
      </c>
      <c r="BB304" s="16">
        <f t="shared" si="207"/>
        <v>28</v>
      </c>
      <c r="BC304" s="9" t="str">
        <f t="shared" si="208"/>
        <v>-</v>
      </c>
      <c r="BD304" s="3">
        <f t="shared" si="209"/>
        <v>28</v>
      </c>
      <c r="BE304" s="3">
        <f t="shared" si="210"/>
        <v>50</v>
      </c>
    </row>
    <row r="305" spans="1:58" s="3" customFormat="1" ht="17" customHeight="1" x14ac:dyDescent="0.2">
      <c r="A305" s="3" t="s">
        <v>401</v>
      </c>
      <c r="B305" s="3" t="str">
        <f>LOWER(VLOOKUP(A305,Xtal_Templ!A:B,2,FALSE))</f>
        <v>calrl_human</v>
      </c>
      <c r="C305" s="3">
        <f>VLOOKUP($A305,'SegEnds_NonXtal_BW#'!$A:$Z,3,FALSE)+D305-50</f>
        <v>130</v>
      </c>
      <c r="D305" s="3">
        <v>156</v>
      </c>
      <c r="E305" s="3">
        <f>IF(ISERROR(VLOOKUP($A305,'SegEnds_NonXtal_BW#'!$A:$Z,4,FALSE)+VLOOKUP($A305,A:AL,4,FALSE)-50),"-",(VLOOKUP($A305,'SegEnds_NonXtal_BW#'!$A:$Z,4,FALSE)+VLOOKUP($A305,A:AL,4,FALSE)-50))</f>
        <v>166</v>
      </c>
      <c r="F305" s="3">
        <f t="shared" si="215"/>
        <v>167</v>
      </c>
      <c r="G305" s="3">
        <v>169</v>
      </c>
      <c r="H305" s="3">
        <f t="shared" si="221"/>
        <v>170</v>
      </c>
      <c r="I305" s="3">
        <f t="shared" si="221"/>
        <v>171</v>
      </c>
      <c r="J305" s="3">
        <v>184</v>
      </c>
      <c r="K305" s="3">
        <f>VLOOKUP($A305,'SegEnds_NonXtal_BW#'!$A:$Z,8,FALSE)+VLOOKUP($A305,A:AL,10,FALSE)-50</f>
        <v>198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210</v>
      </c>
      <c r="P305" s="3">
        <v>237</v>
      </c>
      <c r="Q305" s="3">
        <f>VLOOKUP($A305,'SegEnds_NonXtal_BW#'!$A:$Z,12,FALSE)+VLOOKUP($A305,A:AL,16,FALSE)-50</f>
        <v>243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251</v>
      </c>
      <c r="V305" s="3">
        <v>260</v>
      </c>
      <c r="W305" s="3">
        <f>IF(ISERROR(VLOOKUP($A305,'SegEnds_NonXtal_BW#'!$A:$Z,16,FALSE)+VLOOKUP($A305,A:AL,22,FALSE)-50),"-",(VLOOKUP($A305,'SegEnds_NonXtal_BW#'!$A:$Z,16,FALSE)+VLOOKUP($A305,A:AL,22,FALSE)-50))</f>
        <v>277</v>
      </c>
      <c r="X305" s="3">
        <f>IF(ISERROR(VLOOKUP($A305,'SegEnds_NonXtal_BW#'!$A:$Z,17,FALSE)+VLOOKUP($A305,A:AL,25,FALSE)-50),"-",(VLOOKUP($A305,'SegEnds_NonXtal_BW#'!$A:$Z,17,FALSE)+VLOOKUP($A305,A:AL,25,FALSE)-50))</f>
        <v>282</v>
      </c>
      <c r="Y305" s="3">
        <v>282</v>
      </c>
      <c r="Z305" s="3">
        <f t="shared" si="220"/>
        <v>284</v>
      </c>
      <c r="AA305" s="3">
        <f>IF(ISERROR(VLOOKUP($A305,'SegEnds_NonXtal_BW#'!$A:$Z,19,FALSE)+VLOOKUP($A305,A:AL,28,FALSE)-50),"-",(VLOOKUP($A305,'SegEnds_NonXtal_BW#'!$A:$Z,19,FALSE)+VLOOKUP($A305,A:AL,28,FALSE)-50))</f>
        <v>290</v>
      </c>
      <c r="AB305" s="3">
        <v>301</v>
      </c>
      <c r="AC305" s="3">
        <f>IF(ISERROR((VLOOKUP($A305,'SegEnds_NonXtal_BW#'!$A:$Z,20,FALSE)+VLOOKUP($A305,A:AL,28,FALSE)-50)),"-",(VLOOKUP($A305,'SegEnds_NonXtal_BW#'!$A:$Z,20,FALSE)+VLOOKUP($A305,A:AL,28,FALSE)-50))</f>
        <v>321</v>
      </c>
      <c r="AD305" s="3">
        <f>IF(ISERROR(VLOOKUP($A305,'SegEnds_NonXtal_BW#'!$A:$Z,21,FALSE)+VLOOKUP($A305,A:AL,31,FALSE)-50),"-",(VLOOKUP($A305,'SegEnds_NonXtal_BW#'!$A:$Z,21,FALSE)+VLOOKUP($A305,A:AL,31,FALSE)-50))</f>
        <v>331</v>
      </c>
      <c r="AE305" s="3">
        <v>351</v>
      </c>
      <c r="AF305" s="3">
        <f>IF(ISERROR((VLOOKUP($A305,'SegEnds_NonXtal_BW#'!$A:$Z,22,FALSE)+VLOOKUP($A305,A:AL,31,FALSE)-50)),"-",(VLOOKUP($A305,'SegEnds_NonXtal_BW#'!$A:$Z,22,FALSE)+VLOOKUP($A305,A:AL,31,FALSE)-50))</f>
        <v>354</v>
      </c>
      <c r="AG305" s="3">
        <f>IF(ISERROR(VLOOKUP($A305,'SegEnds_NonXtal_BW#'!$A:$Z,23,FALSE)+VLOOKUP($A305,A:AL,34,FALSE)-50),"-",(VLOOKUP($A305,'SegEnds_NonXtal_BW#'!$A:$Z,23,FALSE)+VLOOKUP($A305,A:AL,34,FALSE)-50))</f>
        <v>359</v>
      </c>
      <c r="AH305" s="3">
        <v>381</v>
      </c>
      <c r="AI305" s="3">
        <f>IF(ISERROR((VLOOKUP($A305,'SegEnds_NonXtal_BW#'!$A:$Z,24,FALSE)+VLOOKUP($A305,A:AL,34,FALSE)-50)),"-",(VLOOKUP($A305,'SegEnds_NonXtal_BW#'!$A:$Z,24,FALSE)+VLOOKUP($A305,A:AL,34,FALSE)-50))</f>
        <v>387</v>
      </c>
      <c r="AJ305" s="3">
        <f>IF(ISERROR(VLOOKUP($A305,'SegEnds_NonXtal_BW#'!$A:$Z,25,FALSE)+VLOOKUP($A305,A:AL,37,FALSE)-50),"-",(VLOOKUP($A305,'SegEnds_NonXtal_BW#'!$A:$Z,25,FALSE)+VLOOKUP($A305,A:AL,37,FALSE)-50))</f>
        <v>388</v>
      </c>
      <c r="AK305" s="3">
        <v>391</v>
      </c>
      <c r="AL305" s="3">
        <f>IF(ISERROR((VLOOKUP($A305,'SegEnds_NonXtal_BW#'!$A:$Z,26,FALSE)+VLOOKUP($A305,A:AL,37,FALSE)-50)),"-",(VLOOKUP($A305,'SegEnds_NonXtal_BW#'!$A:$Z,26,FALSE)+VLOOKUP($A305,A:AL,37,FALSE)-50))</f>
        <v>413</v>
      </c>
      <c r="AM305" s="28" t="str">
        <f>VLOOKUP(A305,Classification!A:B,2,FALSE)</f>
        <v>B1</v>
      </c>
      <c r="AN305" s="28" t="b">
        <f t="shared" si="211"/>
        <v>1</v>
      </c>
      <c r="AO305" s="3" t="str">
        <f>IF(ISERROR(MATCH(A305,'SegEnds_Xtal_Prot#'!B:B, 0)), "NoXtal", "Xtal")</f>
        <v>Xtal</v>
      </c>
      <c r="AP305" s="3">
        <f t="shared" si="196"/>
        <v>1</v>
      </c>
      <c r="AQ305" s="3">
        <f t="shared" si="197"/>
        <v>1</v>
      </c>
      <c r="AR305" s="3" t="str">
        <f t="shared" si="198"/>
        <v>-</v>
      </c>
      <c r="AS305" s="3" t="str">
        <f t="shared" si="199"/>
        <v>-</v>
      </c>
      <c r="AT305" s="3" t="str">
        <f t="shared" si="200"/>
        <v>-</v>
      </c>
      <c r="AU305" s="3" t="str">
        <f t="shared" si="201"/>
        <v>-</v>
      </c>
      <c r="AV305" s="3">
        <f t="shared" si="202"/>
        <v>5</v>
      </c>
      <c r="AW305" s="3">
        <f t="shared" si="203"/>
        <v>6</v>
      </c>
      <c r="AX305" s="3">
        <f t="shared" si="204"/>
        <v>10</v>
      </c>
      <c r="AY305" s="3">
        <f t="shared" si="205"/>
        <v>5</v>
      </c>
      <c r="AZ305" s="3">
        <f t="shared" si="206"/>
        <v>1</v>
      </c>
      <c r="BA305" s="3">
        <f>IF(ISERROR(LEN(VLOOKUP(A305,Seqs!A:E,2,FALSE))-AL305),"-",LEN(VLOOKUP(A305,Seqs!A:E,2,FALSE))-AL305)</f>
        <v>48</v>
      </c>
      <c r="BB305" s="16">
        <f t="shared" si="207"/>
        <v>28</v>
      </c>
      <c r="BC305" s="9" t="str">
        <f t="shared" si="208"/>
        <v>-</v>
      </c>
      <c r="BD305" s="3">
        <f t="shared" si="209"/>
        <v>28</v>
      </c>
      <c r="BE305" s="3">
        <f t="shared" si="210"/>
        <v>50</v>
      </c>
    </row>
    <row r="306" spans="1:58" s="3" customFormat="1" x14ac:dyDescent="0.2">
      <c r="A306" s="3" t="s">
        <v>38</v>
      </c>
      <c r="B306" s="3" t="str">
        <f>LOWER(VLOOKUP(A306,Xtal_Templ!A:B,2,FALSE))</f>
        <v>crfr1_human</v>
      </c>
      <c r="C306" s="3">
        <f>VLOOKUP($A306,'SegEnds_NonXtal_BW#'!$A:$Z,3,FALSE)+D306-50</f>
        <v>103</v>
      </c>
      <c r="D306" s="3">
        <v>134</v>
      </c>
      <c r="E306" s="3">
        <f>IF(ISERROR(VLOOKUP($A306,'SegEnds_NonXtal_BW#'!$A:$Z,4,FALSE)+VLOOKUP($A306,A:AL,4,FALSE)-50),"-",(VLOOKUP($A306,'SegEnds_NonXtal_BW#'!$A:$Z,4,FALSE)+VLOOKUP($A306,A:AL,4,FALSE)-50))</f>
        <v>144</v>
      </c>
      <c r="F306" s="3">
        <f t="shared" si="215"/>
        <v>145</v>
      </c>
      <c r="G306" s="3">
        <v>147</v>
      </c>
      <c r="H306" s="3">
        <f t="shared" si="221"/>
        <v>148</v>
      </c>
      <c r="I306" s="3">
        <f t="shared" si="221"/>
        <v>149</v>
      </c>
      <c r="J306" s="3">
        <v>162</v>
      </c>
      <c r="K306" s="3">
        <f>VLOOKUP($A306,'SegEnds_NonXtal_BW#'!$A:$Z,8,FALSE)+VLOOKUP($A306,A:AL,10,FALSE)-50</f>
        <v>175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185</v>
      </c>
      <c r="P306" s="3">
        <v>213</v>
      </c>
      <c r="Q306" s="3">
        <f>VLOOKUP($A306,'SegEnds_NonXtal_BW#'!$A:$Z,12,FALSE)+VLOOKUP($A306,A:AL,16,FALSE)-50</f>
        <v>219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226</v>
      </c>
      <c r="V306" s="3">
        <v>236</v>
      </c>
      <c r="W306" s="3">
        <f>IF(ISERROR(VLOOKUP($A306,'SegEnds_NonXtal_BW#'!$A:$Z,16,FALSE)+VLOOKUP($A306,A:AL,22,FALSE)-50),"-",(VLOOKUP($A306,'SegEnds_NonXtal_BW#'!$A:$Z,16,FALSE)+VLOOKUP($A306,A:AL,22,FALSE)-50))</f>
        <v>254</v>
      </c>
      <c r="X306" s="3">
        <f>IF(ISERROR(VLOOKUP($A306,'SegEnds_NonXtal_BW#'!$A:$Z,17,FALSE)+VLOOKUP($A306,A:AL,25,FALSE)-50),"-",(VLOOKUP($A306,'SegEnds_NonXtal_BW#'!$A:$Z,17,FALSE)+VLOOKUP($A306,A:AL,25,FALSE)-50))</f>
        <v>258</v>
      </c>
      <c r="Y306" s="3">
        <v>258</v>
      </c>
      <c r="Z306" s="3">
        <f t="shared" si="220"/>
        <v>260</v>
      </c>
      <c r="AA306" s="3">
        <f>IF(ISERROR(VLOOKUP($A306,'SegEnds_NonXtal_BW#'!$A:$Z,19,FALSE)+AB306-50),"-",(VLOOKUP($A306,'SegEnds_NonXtal_BW#'!$A:$Z,19,FALSE)+AB306-50))</f>
        <v>268</v>
      </c>
      <c r="AB306" s="3">
        <v>279</v>
      </c>
      <c r="AC306" s="3">
        <f>IF(ISERROR((VLOOKUP($A306,'SegEnds_NonXtal_BW#'!$A:$Z,20,FALSE)+VLOOKUP($A306,A:AL,28,FALSE)-50)),"-",(VLOOKUP($A306,'SegEnds_NonXtal_BW#'!$A:$Z,20,FALSE)+VLOOKUP($A306,A:AL,28,FALSE)-50))</f>
        <v>298</v>
      </c>
      <c r="AD306" s="3">
        <f>IF(ISERROR(VLOOKUP($A306,'SegEnds_NonXtal_BW#'!$A:$Z,21,FALSE)+AE306-50),"-",(VLOOKUP($A306,'SegEnds_NonXtal_BW#'!$A:$Z,21,FALSE)+AE306-50))</f>
        <v>304</v>
      </c>
      <c r="AE306" s="3">
        <v>329</v>
      </c>
      <c r="AF306" s="3">
        <f>IF(ISERROR((VLOOKUP($A306,'SegEnds_NonXtal_BW#'!$A:$Z,22,FALSE)+AE306-50)),"-",(VLOOKUP($A306,'SegEnds_NonXtal_BW#'!$A:$Z,22,FALSE)+AE306-50))</f>
        <v>332</v>
      </c>
      <c r="AG306" s="3">
        <f>IF(ISERROR(VLOOKUP($A306,'SegEnds_NonXtal_BW#'!$A:$Z,23,FALSE)+VLOOKUP($A306,A:AL,34,FALSE)-50),"-",(VLOOKUP($A306,'SegEnds_NonXtal_BW#'!$A:$Z,23,FALSE)+VLOOKUP($A306,A:AL,34,FALSE)-50))</f>
        <v>338</v>
      </c>
      <c r="AH306" s="3">
        <v>360</v>
      </c>
      <c r="AI306" s="3">
        <f>IF(ISERROR((VLOOKUP($A306,'SegEnds_NonXtal_BW#'!$A:$Z,24,FALSE)+VLOOKUP($A306,A:AL,34,FALSE)-50)),"-",(VLOOKUP($A306,'SegEnds_NonXtal_BW#'!$A:$Z,24,FALSE)+VLOOKUP($A306,A:AL,34,FALSE)-50))</f>
        <v>366</v>
      </c>
      <c r="AJ306" s="3">
        <f>IF(ISERROR(VLOOKUP($A306,'SegEnds_NonXtal_BW#'!$A:$Z,25,FALSE)+VLOOKUP($A306,A:AL,37,FALSE)-50),"-",(VLOOKUP($A306,'SegEnds_NonXtal_BW#'!$A:$Z,25,FALSE)+VLOOKUP($A306,A:AL,37,FALSE)-50))</f>
        <v>367</v>
      </c>
      <c r="AK306" s="3">
        <v>370</v>
      </c>
      <c r="AL306" s="3">
        <f>IF(ISERROR((VLOOKUP($A306,'SegEnds_NonXtal_BW#'!$A:$Z,26,FALSE)+VLOOKUP($A306,A:AL,37,FALSE)-50)),"-",(VLOOKUP($A306,'SegEnds_NonXtal_BW#'!$A:$Z,26,FALSE)+VLOOKUP($A306,A:AL,37,FALSE)-50))</f>
        <v>392</v>
      </c>
      <c r="AM306" s="28" t="str">
        <f>VLOOKUP(A306,Classification!A:B,2,FALSE)</f>
        <v>B1</v>
      </c>
      <c r="AN306" s="28" t="b">
        <f t="shared" si="211"/>
        <v>1</v>
      </c>
      <c r="AO306" s="3" t="str">
        <f>IF(ISERROR(MATCH(A306,'SegEnds_Xtal_Prot#'!B:B, 0)), "NoXtal", "Xtal")</f>
        <v>Xtal</v>
      </c>
      <c r="AP306" s="3">
        <f t="shared" si="196"/>
        <v>1</v>
      </c>
      <c r="AQ306" s="3">
        <f t="shared" si="197"/>
        <v>1</v>
      </c>
      <c r="AR306" s="3" t="str">
        <f t="shared" si="198"/>
        <v>-</v>
      </c>
      <c r="AS306" s="3" t="str">
        <f t="shared" si="199"/>
        <v>-</v>
      </c>
      <c r="AT306" s="3" t="str">
        <f t="shared" si="200"/>
        <v>-</v>
      </c>
      <c r="AU306" s="3" t="str">
        <f t="shared" si="201"/>
        <v>-</v>
      </c>
      <c r="AV306" s="3">
        <f t="shared" si="202"/>
        <v>4</v>
      </c>
      <c r="AW306" s="3">
        <f t="shared" si="203"/>
        <v>8</v>
      </c>
      <c r="AX306" s="3">
        <f t="shared" si="204"/>
        <v>6</v>
      </c>
      <c r="AY306" s="3">
        <f t="shared" si="205"/>
        <v>6</v>
      </c>
      <c r="AZ306" s="3">
        <f t="shared" si="206"/>
        <v>1</v>
      </c>
      <c r="BA306" s="3">
        <f>IF(ISERROR(LEN(VLOOKUP(A306,Seqs!A:E,2,FALSE))-AL306),"-",LEN(VLOOKUP(A306,Seqs!A:E,2,FALSE))-AL306)</f>
        <v>23</v>
      </c>
      <c r="BB306" s="16">
        <f t="shared" si="207"/>
        <v>28</v>
      </c>
      <c r="BC306" s="9" t="str">
        <f t="shared" si="208"/>
        <v>-</v>
      </c>
      <c r="BD306" s="3">
        <f t="shared" si="209"/>
        <v>28</v>
      </c>
      <c r="BE306" s="3">
        <f t="shared" si="210"/>
        <v>50</v>
      </c>
      <c r="BF306" s="3">
        <f>AH306-AE306</f>
        <v>31</v>
      </c>
    </row>
    <row r="307" spans="1:58" s="3" customFormat="1" x14ac:dyDescent="0.2">
      <c r="A307" s="3" t="s">
        <v>402</v>
      </c>
      <c r="B307" s="3" t="str">
        <f>LOWER(VLOOKUP(A307,Xtal_Templ!A:B,2,FALSE))</f>
        <v>crfr2_human</v>
      </c>
      <c r="C307" s="3">
        <f>VLOOKUP($A307,'SegEnds_NonXtal_BW#'!$A:$Z,3,FALSE)+D307-50</f>
        <v>100</v>
      </c>
      <c r="D307" s="3">
        <v>131</v>
      </c>
      <c r="E307" s="3">
        <f>IF(ISERROR(VLOOKUP($A307,'SegEnds_NonXtal_BW#'!$A:$Z,4,FALSE)+VLOOKUP($A307,A:AL,4,FALSE)-50),"-",(VLOOKUP($A307,'SegEnds_NonXtal_BW#'!$A:$Z,4,FALSE)+VLOOKUP($A307,A:AL,4,FALSE)-50))</f>
        <v>141</v>
      </c>
      <c r="F307" s="3">
        <f t="shared" si="215"/>
        <v>142</v>
      </c>
      <c r="G307" s="3">
        <v>144</v>
      </c>
      <c r="H307" s="3">
        <f t="shared" si="221"/>
        <v>145</v>
      </c>
      <c r="I307" s="3">
        <f t="shared" si="221"/>
        <v>146</v>
      </c>
      <c r="J307" s="3">
        <v>159</v>
      </c>
      <c r="K307" s="3">
        <f>VLOOKUP($A307,'SegEnds_NonXtal_BW#'!$A:$Z,8,FALSE)+VLOOKUP($A307,A:AL,10,FALSE)-50</f>
        <v>172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181</v>
      </c>
      <c r="P307" s="3">
        <v>209</v>
      </c>
      <c r="Q307" s="3">
        <f>VLOOKUP($A307,'SegEnds_NonXtal_BW#'!$A:$Z,12,FALSE)+VLOOKUP($A307,A:AL,16,FALSE)-50</f>
        <v>215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223</v>
      </c>
      <c r="V307" s="3">
        <v>232</v>
      </c>
      <c r="W307" s="3">
        <f>IF(ISERROR(VLOOKUP($A307,'SegEnds_NonXtal_BW#'!$A:$Z,16,FALSE)+VLOOKUP($A307,A:AL,22,FALSE)-50),"-",(VLOOKUP($A307,'SegEnds_NonXtal_BW#'!$A:$Z,16,FALSE)+VLOOKUP($A307,A:AL,22,FALSE)-50))</f>
        <v>250</v>
      </c>
      <c r="X307" s="3">
        <f>IF(ISERROR(VLOOKUP($A307,'SegEnds_NonXtal_BW#'!$A:$Z,17,FALSE)+VLOOKUP($A307,A:AL,25,FALSE)-50),"-",(VLOOKUP($A307,'SegEnds_NonXtal_BW#'!$A:$Z,17,FALSE)+VLOOKUP($A307,A:AL,25,FALSE)-50))</f>
        <v>254</v>
      </c>
      <c r="Y307" s="3">
        <v>254</v>
      </c>
      <c r="Z307" s="3">
        <f t="shared" si="220"/>
        <v>256</v>
      </c>
      <c r="AA307" s="3">
        <f>IF(ISERROR(VLOOKUP($A307,'SegEnds_NonXtal_BW#'!$A:$Z,19,FALSE)+VLOOKUP($A307,A:AL,28,FALSE)-50),"-",(VLOOKUP($A307,'SegEnds_NonXtal_BW#'!$A:$Z,19,FALSE)+VLOOKUP($A307,A:AL,28,FALSE)-50))</f>
        <v>264</v>
      </c>
      <c r="AB307" s="3">
        <v>275</v>
      </c>
      <c r="AC307" s="3">
        <f>IF(ISERROR((VLOOKUP($A307,'SegEnds_NonXtal_BW#'!$A:$Z,20,FALSE)+VLOOKUP($A307,A:AL,28,FALSE)-50)),"-",(VLOOKUP($A307,'SegEnds_NonXtal_BW#'!$A:$Z,20,FALSE)+VLOOKUP($A307,A:AL,28,FALSE)-50))</f>
        <v>296</v>
      </c>
      <c r="AD307" s="3">
        <f>IF(ISERROR(VLOOKUP($A307,'SegEnds_NonXtal_BW#'!$A:$Z,21,FALSE)+VLOOKUP($A307,A:AL,31,FALSE)-50),"-",(VLOOKUP($A307,'SegEnds_NonXtal_BW#'!$A:$Z,21,FALSE)+VLOOKUP($A307,A:AL,31,FALSE)-50))</f>
        <v>300</v>
      </c>
      <c r="AE307" s="3">
        <v>325</v>
      </c>
      <c r="AF307" s="3">
        <f>IF(ISERROR((VLOOKUP($A307,'SegEnds_NonXtal_BW#'!$A:$Z,22,FALSE)+VLOOKUP($A307,A:AL,31,FALSE)-50)),"-",(VLOOKUP($A307,'SegEnds_NonXtal_BW#'!$A:$Z,22,FALSE)+VLOOKUP($A307,A:AL,31,FALSE)-50))</f>
        <v>328</v>
      </c>
      <c r="AG307" s="3">
        <f>IF(ISERROR(VLOOKUP($A307,'SegEnds_NonXtal_BW#'!$A:$Z,23,FALSE)+VLOOKUP($A307,A:AL,34,FALSE)-50),"-",(VLOOKUP($A307,'SegEnds_NonXtal_BW#'!$A:$Z,23,FALSE)+VLOOKUP($A307,A:AL,34,FALSE)-50))</f>
        <v>334</v>
      </c>
      <c r="AH307" s="3">
        <v>356</v>
      </c>
      <c r="AI307" s="3">
        <f>IF(ISERROR((VLOOKUP($A307,'SegEnds_NonXtal_BW#'!$A:$Z,24,FALSE)+VLOOKUP($A307,A:AL,34,FALSE)-50)),"-",(VLOOKUP($A307,'SegEnds_NonXtal_BW#'!$A:$Z,24,FALSE)+VLOOKUP($A307,A:AL,34,FALSE)-50))</f>
        <v>362</v>
      </c>
      <c r="AJ307" s="3">
        <f>IF(ISERROR(VLOOKUP($A307,'SegEnds_NonXtal_BW#'!$A:$Z,25,FALSE)+VLOOKUP($A307,A:AL,37,FALSE)-50),"-",(VLOOKUP($A307,'SegEnds_NonXtal_BW#'!$A:$Z,25,FALSE)+VLOOKUP($A307,A:AL,37,FALSE)-50))</f>
        <v>363</v>
      </c>
      <c r="AK307" s="3">
        <v>366</v>
      </c>
      <c r="AL307" s="3">
        <f>IF(ISERROR((VLOOKUP($A307,'SegEnds_NonXtal_BW#'!$A:$Z,26,FALSE)+VLOOKUP($A307,A:AL,37,FALSE)-50)),"-",(VLOOKUP($A307,'SegEnds_NonXtal_BW#'!$A:$Z,26,FALSE)+VLOOKUP($A307,A:AL,37,FALSE)-50))</f>
        <v>388</v>
      </c>
      <c r="AM307" s="28" t="str">
        <f>VLOOKUP(A307,Classification!A:B,2,FALSE)</f>
        <v>B1</v>
      </c>
      <c r="AN307" s="28" t="b">
        <f t="shared" si="211"/>
        <v>1</v>
      </c>
      <c r="AO307" s="3" t="str">
        <f>IF(ISERROR(MATCH(A307,'SegEnds_Xtal_Prot#'!B:B, 0)), "NoXtal", "Xtal")</f>
        <v>Xtal</v>
      </c>
      <c r="AP307" s="3">
        <f t="shared" si="196"/>
        <v>1</v>
      </c>
      <c r="AQ307" s="3">
        <f t="shared" si="197"/>
        <v>1</v>
      </c>
      <c r="AR307" s="3" t="str">
        <f t="shared" si="198"/>
        <v>-</v>
      </c>
      <c r="AS307" s="3" t="str">
        <f t="shared" si="199"/>
        <v>-</v>
      </c>
      <c r="AT307" s="3" t="str">
        <f t="shared" si="200"/>
        <v>-</v>
      </c>
      <c r="AU307" s="3" t="str">
        <f t="shared" si="201"/>
        <v>-</v>
      </c>
      <c r="AV307" s="3">
        <f t="shared" si="202"/>
        <v>4</v>
      </c>
      <c r="AW307" s="3">
        <f t="shared" si="203"/>
        <v>8</v>
      </c>
      <c r="AX307" s="3">
        <f t="shared" si="204"/>
        <v>4</v>
      </c>
      <c r="AY307" s="3">
        <f t="shared" si="205"/>
        <v>6</v>
      </c>
      <c r="AZ307" s="3">
        <f t="shared" si="206"/>
        <v>1</v>
      </c>
      <c r="BA307" s="3">
        <f>IF(ISERROR(LEN(VLOOKUP(A307,Seqs!A:E,2,FALSE))-AL307),"-",LEN(VLOOKUP(A307,Seqs!A:E,2,FALSE))-AL307)</f>
        <v>23</v>
      </c>
      <c r="BB307" s="16">
        <f t="shared" si="207"/>
        <v>28</v>
      </c>
      <c r="BC307" s="9" t="str">
        <f t="shared" si="208"/>
        <v>-</v>
      </c>
      <c r="BD307" s="3">
        <f t="shared" si="209"/>
        <v>28</v>
      </c>
      <c r="BE307" s="3">
        <f t="shared" si="210"/>
        <v>50</v>
      </c>
      <c r="BF307" s="3">
        <f>AH307-AE307</f>
        <v>31</v>
      </c>
    </row>
    <row r="308" spans="1:58" s="3" customFormat="1" x14ac:dyDescent="0.2">
      <c r="A308" s="3" t="s">
        <v>1414</v>
      </c>
      <c r="B308" s="3" t="str">
        <f>LOWER(VLOOKUP(A308,Xtal_Templ!A:B,2,FALSE))</f>
        <v>g1sgd4_rabit</v>
      </c>
      <c r="C308" s="3">
        <f>VLOOKUP($A308,'SegEnds_NonXtal_BW#'!$A:$Z,3,FALSE)+D308-50</f>
        <v>137</v>
      </c>
      <c r="D308" s="3">
        <v>159</v>
      </c>
      <c r="E308" s="3">
        <f>IF(ISERROR(VLOOKUP($A308,'SegEnds_NonXtal_BW#'!$A:$Z,4,FALSE)+VLOOKUP($A308,A:AL,4,FALSE)-50),"-",(VLOOKUP($A308,'SegEnds_NonXtal_BW#'!$A:$Z,4,FALSE)+VLOOKUP($A308,A:AL,4,FALSE)-50))</f>
        <v>169</v>
      </c>
      <c r="F308" s="3">
        <f t="shared" si="215"/>
        <v>170</v>
      </c>
      <c r="G308" s="3">
        <v>172</v>
      </c>
      <c r="H308" s="3">
        <f t="shared" si="221"/>
        <v>173</v>
      </c>
      <c r="I308" s="3">
        <f t="shared" si="221"/>
        <v>174</v>
      </c>
      <c r="J308" s="3">
        <v>187</v>
      </c>
      <c r="K308" s="3">
        <f>VLOOKUP($A308,'SegEnds_NonXtal_BW#'!$A:$Z,8,FALSE)+VLOOKUP($A308,A:AL,10,FALSE)-50</f>
        <v>211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224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261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20"/>
        <v>298</v>
      </c>
      <c r="AA308" s="3">
        <f>IF(ISERROR(VLOOKUP($A308,'SegEnds_NonXtal_BW#'!$A:$Z,19,FALSE)+VLOOKUP($A308,A:AL,28,FALSE)-50),"-",(VLOOKUP($A308,'SegEnds_NonXtal_BW#'!$A:$Z,19,FALSE)+VLOOKUP($A308,A:AL,28,FALSE)-50))</f>
        <v>302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337</v>
      </c>
      <c r="AD308" s="3">
        <f>IF(ISERROR(VLOOKUP($A308,'SegEnds_NonXtal_BW#'!$A:$Z,21,FALSE)+VLOOKUP($A308,A:AL,31,FALSE)-50),"-",(VLOOKUP($A308,'SegEnds_NonXtal_BW#'!$A:$Z,21,FALSE)+VLOOKUP($A308,A:AL,31,FALSE)-50))</f>
        <v>346</v>
      </c>
      <c r="AE308" s="3">
        <v>366</v>
      </c>
      <c r="AF308" s="3">
        <f>IF(ISERROR((VLOOKUP($A308,'SegEnds_NonXtal_BW#'!$A:$Z,22,FALSE)+VLOOKUP($A308,A:AL,31,FALSE)-50)),"-",(VLOOKUP($A308,'SegEnds_NonXtal_BW#'!$A:$Z,22,FALSE)+VLOOKUP($A308,A:AL,31,FALSE)-50))</f>
        <v>369</v>
      </c>
      <c r="AG308" s="3">
        <f>IF(ISERROR(VLOOKUP($A308,'SegEnds_NonXtal_BW#'!$A:$Z,23,FALSE)+VLOOKUP($A308,A:AL,34,FALSE)-50),"-",(VLOOKUP($A308,'SegEnds_NonXtal_BW#'!$A:$Z,23,FALSE)+VLOOKUP($A308,A:AL,34,FALSE)-50))</f>
        <v>379</v>
      </c>
      <c r="AH308" s="3">
        <v>399</v>
      </c>
      <c r="AI308" s="3">
        <f>IF(ISERROR((VLOOKUP($A308,'SegEnds_NonXtal_BW#'!$A:$Z,24,FALSE)+VLOOKUP($A308,A:AL,34,FALSE)-50)),"-",(VLOOKUP($A308,'SegEnds_NonXtal_BW#'!$A:$Z,24,FALSE)+VLOOKUP($A308,A:AL,34,FALSE)-50))</f>
        <v>405</v>
      </c>
      <c r="AJ308" s="3">
        <f>IF(ISERROR(VLOOKUP($A308,'SegEnds_NonXtal_BW#'!$A:$Z,25,FALSE)+VLOOKUP($A308,A:AL,37,FALSE)-50),"-",(VLOOKUP($A308,'SegEnds_NonXtal_BW#'!$A:$Z,25,FALSE)+VLOOKUP($A308,A:AL,37,FALSE)-50))</f>
        <v>406</v>
      </c>
      <c r="AK308" s="3">
        <v>409</v>
      </c>
      <c r="AL308" s="3">
        <f>IF(ISERROR((VLOOKUP($A308,'SegEnds_NonXtal_BW#'!$A:$Z,26,FALSE)+VLOOKUP($A308,A:AL,37,FALSE)-50)),"-",(VLOOKUP($A308,'SegEnds_NonXtal_BW#'!$A:$Z,26,FALSE)+VLOOKUP($A308,A:AL,37,FALSE)-50))</f>
        <v>431</v>
      </c>
      <c r="AM308" s="28" t="str">
        <f>VLOOKUP(A308,Classification!A:B,2,FALSE)</f>
        <v>B1</v>
      </c>
      <c r="AN308" s="28" t="b">
        <f t="shared" si="211"/>
        <v>1</v>
      </c>
      <c r="AO308" s="3" t="str">
        <f>IF(ISERROR(MATCH(A308,'SegEnds_Xtal_Prot#'!B:B, 0)), "NoXtal", "Xtal")</f>
        <v>Xtal</v>
      </c>
      <c r="AP308" s="3">
        <f t="shared" si="196"/>
        <v>1</v>
      </c>
      <c r="AQ308" s="3">
        <f t="shared" si="197"/>
        <v>1</v>
      </c>
      <c r="AR308" s="3" t="str">
        <f t="shared" si="198"/>
        <v>-</v>
      </c>
      <c r="AS308" s="3" t="str">
        <f t="shared" si="199"/>
        <v>-</v>
      </c>
      <c r="AT308" s="3" t="str">
        <f t="shared" si="200"/>
        <v>-</v>
      </c>
      <c r="AU308" s="3" t="str">
        <f t="shared" si="201"/>
        <v>-</v>
      </c>
      <c r="AV308" s="3">
        <f t="shared" si="202"/>
        <v>4</v>
      </c>
      <c r="AW308" s="3">
        <f t="shared" si="203"/>
        <v>4</v>
      </c>
      <c r="AX308" s="3">
        <f t="shared" si="204"/>
        <v>9</v>
      </c>
      <c r="AY308" s="3">
        <f t="shared" si="205"/>
        <v>10</v>
      </c>
      <c r="AZ308" s="3">
        <f t="shared" si="206"/>
        <v>1</v>
      </c>
      <c r="BA308" s="3">
        <f>IF(ISERROR(LEN(VLOOKUP(A308,Seqs!A:E,2,FALSE))-AL308),"-",LEN(VLOOKUP(A308,Seqs!A:E,2,FALSE))-AL308)</f>
        <v>31</v>
      </c>
      <c r="BB308" s="16">
        <f t="shared" si="207"/>
        <v>28</v>
      </c>
      <c r="BC308" s="9" t="str">
        <f t="shared" si="208"/>
        <v>-</v>
      </c>
      <c r="BD308" s="3">
        <f t="shared" si="209"/>
        <v>28</v>
      </c>
      <c r="BE308" s="3">
        <f t="shared" si="210"/>
        <v>50</v>
      </c>
    </row>
    <row r="309" spans="1:58" s="3" customFormat="1" x14ac:dyDescent="0.2">
      <c r="A309" s="3" t="s">
        <v>403</v>
      </c>
      <c r="B309" s="3" t="str">
        <f>LOWER(VLOOKUP(A309,Xtal_Templ!A:B,2,FALSE))</f>
        <v>pacr_human</v>
      </c>
      <c r="C309" s="3">
        <f>VLOOKUP($A309,'SegEnds_NonXtal_BW#'!$A:$Z,3,FALSE)+D309-50</f>
        <v>115</v>
      </c>
      <c r="D309" s="3">
        <v>144</v>
      </c>
      <c r="E309" s="3">
        <f>IF(ISERROR(VLOOKUP($A309,'SegEnds_NonXtal_BW#'!$A:$Z,4,FALSE)+VLOOKUP($A309,A:AL,4,FALSE)-50),"-",(VLOOKUP($A309,'SegEnds_NonXtal_BW#'!$A:$Z,4,FALSE)+VLOOKUP($A309,A:AL,4,FALSE)-50))</f>
        <v>154</v>
      </c>
      <c r="F309" s="3">
        <f t="shared" si="215"/>
        <v>155</v>
      </c>
      <c r="G309" s="3">
        <v>157</v>
      </c>
      <c r="H309" s="3">
        <f t="shared" si="221"/>
        <v>158</v>
      </c>
      <c r="I309" s="3">
        <f t="shared" si="221"/>
        <v>159</v>
      </c>
      <c r="J309" s="3">
        <v>172</v>
      </c>
      <c r="K309" s="3">
        <f>VLOOKUP($A309,'SegEnds_NonXtal_BW#'!$A:$Z,8,FALSE)+VLOOKUP($A309,A:AL,10,FALSE)-50</f>
        <v>186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199</v>
      </c>
      <c r="P309" s="3">
        <v>227</v>
      </c>
      <c r="Q309" s="3">
        <f>VLOOKUP($A309,'SegEnds_NonXtal_BW#'!$A:$Z,12,FALSE)+VLOOKUP($A309,A:AL,16,FALSE)-50</f>
        <v>233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240</v>
      </c>
      <c r="V309" s="3">
        <v>250</v>
      </c>
      <c r="W309" s="3">
        <f>IF(ISERROR(VLOOKUP($A309,'SegEnds_NonXtal_BW#'!$A:$Z,16,FALSE)+VLOOKUP($A309,A:AL,22,FALSE)-50),"-",(VLOOKUP($A309,'SegEnds_NonXtal_BW#'!$A:$Z,16,FALSE)+VLOOKUP($A309,A:AL,22,FALSE)-50))</f>
        <v>268</v>
      </c>
      <c r="X309" s="3">
        <f>IF(ISERROR(VLOOKUP($A309,'SegEnds_NonXtal_BW#'!$A:$Z,17,FALSE)+VLOOKUP($A309,A:AL,25,FALSE)-50),"-",(VLOOKUP($A309,'SegEnds_NonXtal_BW#'!$A:$Z,17,FALSE)+VLOOKUP($A309,A:AL,25,FALSE)-50))</f>
        <v>272</v>
      </c>
      <c r="Y309" s="3">
        <v>272</v>
      </c>
      <c r="Z309" s="3">
        <f t="shared" si="220"/>
        <v>274</v>
      </c>
      <c r="AA309" s="3">
        <f>IF(ISERROR(VLOOKUP($A309,'SegEnds_NonXtal_BW#'!$A:$Z,19,FALSE)+VLOOKUP($A309,A:AL,28,FALSE)-50),"-",(VLOOKUP($A309,'SegEnds_NonXtal_BW#'!$A:$Z,19,FALSE)+VLOOKUP($A309,A:AL,28,FALSE)-50))</f>
        <v>278</v>
      </c>
      <c r="AB309" s="3">
        <v>292</v>
      </c>
      <c r="AC309" s="3">
        <f>IF(ISERROR((VLOOKUP($A309,'SegEnds_NonXtal_BW#'!$A:$Z,20,FALSE)+VLOOKUP($A309,A:AL,28,FALSE)-50)),"-",(VLOOKUP($A309,'SegEnds_NonXtal_BW#'!$A:$Z,20,FALSE)+VLOOKUP($A309,A:AL,28,FALSE)-50))</f>
        <v>311</v>
      </c>
      <c r="AD309" s="3">
        <f>IF(ISERROR(VLOOKUP($A309,'SegEnds_NonXtal_BW#'!$A:$Z,21,FALSE)+VLOOKUP($A309,A:AL,31,FALSE)-50),"-",(VLOOKUP($A309,'SegEnds_NonXtal_BW#'!$A:$Z,21,FALSE)+VLOOKUP($A309,A:AL,31,FALSE)-50))</f>
        <v>319</v>
      </c>
      <c r="AE309" s="3">
        <v>344</v>
      </c>
      <c r="AF309" s="3">
        <f>IF(ISERROR((VLOOKUP($A309,'SegEnds_NonXtal_BW#'!$A:$Z,22,FALSE)+VLOOKUP($A309,A:AL,31,FALSE)-50)),"-",(VLOOKUP($A309,'SegEnds_NonXtal_BW#'!$A:$Z,22,FALSE)+VLOOKUP($A309,A:AL,31,FALSE)-50))</f>
        <v>348</v>
      </c>
      <c r="AG309" s="3">
        <f>IF(ISERROR(VLOOKUP($A309,'SegEnds_NonXtal_BW#'!$A:$Z,23,FALSE)+VLOOKUP($A309,A:AL,34,FALSE)-50),"-",(VLOOKUP($A309,'SegEnds_NonXtal_BW#'!$A:$Z,23,FALSE)+VLOOKUP($A309,A:AL,34,FALSE)-50))</f>
        <v>354</v>
      </c>
      <c r="AH309" s="3">
        <v>373</v>
      </c>
      <c r="AI309" s="3">
        <f>IF(ISERROR((VLOOKUP($A309,'SegEnds_NonXtal_BW#'!$A:$Z,24,FALSE)+VLOOKUP($A309,A:AL,34,FALSE)-50)),"-",(VLOOKUP($A309,'SegEnds_NonXtal_BW#'!$A:$Z,24,FALSE)+VLOOKUP($A309,A:AL,34,FALSE)-50))</f>
        <v>379</v>
      </c>
      <c r="AJ309" s="3">
        <f>IF(ISERROR(VLOOKUP($A309,'SegEnds_NonXtal_BW#'!$A:$Z,25,FALSE)+VLOOKUP($A309,A:AL,37,FALSE)-50),"-",(VLOOKUP($A309,'SegEnds_NonXtal_BW#'!$A:$Z,25,FALSE)+VLOOKUP($A309,A:AL,37,FALSE)-50))</f>
        <v>380</v>
      </c>
      <c r="AK309" s="3">
        <v>383</v>
      </c>
      <c r="AL309" s="3">
        <f>IF(ISERROR((VLOOKUP($A309,'SegEnds_NonXtal_BW#'!$A:$Z,26,FALSE)+VLOOKUP($A309,A:AL,37,FALSE)-50)),"-",(VLOOKUP($A309,'SegEnds_NonXtal_BW#'!$A:$Z,26,FALSE)+VLOOKUP($A309,A:AL,37,FALSE)-50))</f>
        <v>405</v>
      </c>
      <c r="AM309" s="28" t="str">
        <f>VLOOKUP(A309,Classification!A:B,2,FALSE)</f>
        <v>B1</v>
      </c>
      <c r="AN309" s="28" t="b">
        <f t="shared" si="211"/>
        <v>1</v>
      </c>
      <c r="AO309" s="3" t="str">
        <f>IF(ISERROR(MATCH(A309,'SegEnds_Xtal_Prot#'!B:B, 0)), "NoXtal", "Xtal")</f>
        <v>NoXtal</v>
      </c>
      <c r="AP309" s="3">
        <f t="shared" si="196"/>
        <v>1</v>
      </c>
      <c r="AQ309" s="3">
        <f t="shared" si="197"/>
        <v>1</v>
      </c>
      <c r="AR309" s="3" t="str">
        <f t="shared" si="198"/>
        <v>-</v>
      </c>
      <c r="AS309" s="3" t="str">
        <f t="shared" si="199"/>
        <v>-</v>
      </c>
      <c r="AT309" s="3" t="str">
        <f t="shared" si="200"/>
        <v>-</v>
      </c>
      <c r="AU309" s="3" t="str">
        <f t="shared" si="201"/>
        <v>-</v>
      </c>
      <c r="AV309" s="3">
        <f t="shared" si="202"/>
        <v>4</v>
      </c>
      <c r="AW309" s="3">
        <f t="shared" si="203"/>
        <v>4</v>
      </c>
      <c r="AX309" s="3">
        <f t="shared" si="204"/>
        <v>8</v>
      </c>
      <c r="AY309" s="3">
        <f t="shared" si="205"/>
        <v>6</v>
      </c>
      <c r="AZ309" s="3">
        <f t="shared" si="206"/>
        <v>1</v>
      </c>
      <c r="BA309" s="3">
        <f>IF(ISERROR(LEN(VLOOKUP(A309,Seqs!A:E,2,FALSE))-AL309),"-",LEN(VLOOKUP(A309,Seqs!A:E,2,FALSE))-AL309)</f>
        <v>18</v>
      </c>
      <c r="BB309" s="16">
        <f t="shared" si="207"/>
        <v>28</v>
      </c>
      <c r="BC309" s="9" t="str">
        <f t="shared" si="208"/>
        <v>-</v>
      </c>
      <c r="BD309" s="3">
        <f t="shared" si="209"/>
        <v>28</v>
      </c>
      <c r="BE309" s="3">
        <f t="shared" si="210"/>
        <v>52</v>
      </c>
      <c r="BF309" s="3">
        <f>AH309-AE309</f>
        <v>29</v>
      </c>
    </row>
    <row r="310" spans="1:58" s="3" customFormat="1" x14ac:dyDescent="0.2">
      <c r="A310" s="3" t="s">
        <v>404</v>
      </c>
      <c r="B310" s="3" t="str">
        <f>LOWER(VLOOKUP(A310,Xtal_Templ!A:B,2,FALSE))</f>
        <v>glr_human</v>
      </c>
      <c r="C310" s="3">
        <f>VLOOKUP($A310,'SegEnds_NonXtal_BW#'!$A:$Z,3,FALSE)+D310-50</f>
        <v>127</v>
      </c>
      <c r="D310" s="3">
        <v>152</v>
      </c>
      <c r="E310" s="3">
        <f>IF(ISERROR(VLOOKUP($A310,'SegEnds_NonXtal_BW#'!$A:$Z,4,FALSE)+VLOOKUP($A310,A:AL,4,FALSE)-50),"-",(VLOOKUP($A310,'SegEnds_NonXtal_BW#'!$A:$Z,4,FALSE)+VLOOKUP($A310,A:AL,4,FALSE)-50))</f>
        <v>162</v>
      </c>
      <c r="F310" s="3">
        <f t="shared" si="215"/>
        <v>163</v>
      </c>
      <c r="G310" s="3">
        <v>165</v>
      </c>
      <c r="H310" s="3">
        <f t="shared" si="221"/>
        <v>166</v>
      </c>
      <c r="I310" s="3">
        <f t="shared" si="221"/>
        <v>167</v>
      </c>
      <c r="J310" s="3">
        <v>180</v>
      </c>
      <c r="K310" s="3">
        <f>VLOOKUP($A310,'SegEnds_NonXtal_BW#'!$A:$Z,8,FALSE)+VLOOKUP($A310,A:AL,10,FALSE)-50</f>
        <v>194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214</v>
      </c>
      <c r="P310" s="3">
        <v>241</v>
      </c>
      <c r="Q310" s="3">
        <f>VLOOKUP($A310,'SegEnds_NonXtal_BW#'!$A:$Z,12,FALSE)+VLOOKUP($A310,A:AL,16,FALSE)-50</f>
        <v>247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254</v>
      </c>
      <c r="V310" s="3">
        <v>264</v>
      </c>
      <c r="W310" s="3">
        <f>IF(ISERROR(VLOOKUP($A310,'SegEnds_NonXtal_BW#'!$A:$Z,16,FALSE)+VLOOKUP($A310,A:AL,22,FALSE)-50),"-",(VLOOKUP($A310,'SegEnds_NonXtal_BW#'!$A:$Z,16,FALSE)+VLOOKUP($A310,A:AL,22,FALSE)-50))</f>
        <v>282</v>
      </c>
      <c r="X310" s="3">
        <f>IF(ISERROR(VLOOKUP($A310,'SegEnds_NonXtal_BW#'!$A:$Z,17,FALSE)+VLOOKUP($A310,A:AL,25,FALSE)-50),"-",(VLOOKUP($A310,'SegEnds_NonXtal_BW#'!$A:$Z,17,FALSE)+VLOOKUP($A310,A:AL,25,FALSE)-50))</f>
        <v>286</v>
      </c>
      <c r="Y310" s="3">
        <v>286</v>
      </c>
      <c r="Z310" s="3">
        <f t="shared" si="220"/>
        <v>288</v>
      </c>
      <c r="AA310" s="3">
        <f>IF(ISERROR(VLOOKUP($A310,'SegEnds_NonXtal_BW#'!$A:$Z,19,FALSE)+VLOOKUP($A310,A:AL,28,FALSE)-50),"-",(VLOOKUP($A310,'SegEnds_NonXtal_BW#'!$A:$Z,19,FALSE)+VLOOKUP($A310,A:AL,28,FALSE)-50))</f>
        <v>296</v>
      </c>
      <c r="AB310" s="3">
        <v>306</v>
      </c>
      <c r="AC310" s="3">
        <f>IF(ISERROR((VLOOKUP($A310,'SegEnds_NonXtal_BW#'!$A:$Z,20,FALSE)+VLOOKUP($A310,A:AL,28,FALSE)-50)),"-",(VLOOKUP($A310,'SegEnds_NonXtal_BW#'!$A:$Z,20,FALSE)+VLOOKUP($A310,A:AL,28,FALSE)-50))</f>
        <v>327</v>
      </c>
      <c r="AD310" s="3">
        <f>IF(ISERROR(VLOOKUP($A310,'SegEnds_NonXtal_BW#'!$A:$Z,21,FALSE)+VLOOKUP($A310,A:AL,31,FALSE)-50),"-",(VLOOKUP($A310,'SegEnds_NonXtal_BW#'!$A:$Z,21,FALSE)+VLOOKUP($A310,A:AL,31,FALSE)-50))</f>
        <v>334</v>
      </c>
      <c r="AE310" s="3">
        <v>356</v>
      </c>
      <c r="AF310" s="3">
        <f>IF(ISERROR((VLOOKUP($A310,'SegEnds_NonXtal_BW#'!$A:$Z,22,FALSE)+VLOOKUP($A310,A:AL,31,FALSE)-50)),"-",(VLOOKUP($A310,'SegEnds_NonXtal_BW#'!$A:$Z,22,FALSE)+VLOOKUP($A310,A:AL,31,FALSE)-50))</f>
        <v>359</v>
      </c>
      <c r="AG310" s="3">
        <f>IF(ISERROR(VLOOKUP($A310,'SegEnds_NonXtal_BW#'!$A:$Z,23,FALSE)+VLOOKUP($A310,A:AL,34,FALSE)-50),"-",(VLOOKUP($A310,'SegEnds_NonXtal_BW#'!$A:$Z,23,FALSE)+VLOOKUP($A310,A:AL,34,FALSE)-50))</f>
        <v>367</v>
      </c>
      <c r="AH310" s="3">
        <v>389</v>
      </c>
      <c r="AI310" s="3">
        <f>IF(ISERROR((VLOOKUP($A310,'SegEnds_NonXtal_BW#'!$A:$Z,24,FALSE)+VLOOKUP($A310,A:AL,34,FALSE)-50)),"-",(VLOOKUP($A310,'SegEnds_NonXtal_BW#'!$A:$Z,24,FALSE)+VLOOKUP($A310,A:AL,34,FALSE)-50))</f>
        <v>395</v>
      </c>
      <c r="AJ310" s="3">
        <f>IF(ISERROR(VLOOKUP($A310,'SegEnds_NonXtal_BW#'!$A:$Z,25,FALSE)+VLOOKUP($A310,A:AL,37,FALSE)-50),"-",(VLOOKUP($A310,'SegEnds_NonXtal_BW#'!$A:$Z,25,FALSE)+VLOOKUP($A310,A:AL,37,FALSE)-50))</f>
        <v>396</v>
      </c>
      <c r="AK310" s="3">
        <v>399</v>
      </c>
      <c r="AL310" s="3">
        <f>IF(ISERROR((VLOOKUP($A310,'SegEnds_NonXtal_BW#'!$A:$Z,26,FALSE)+VLOOKUP($A310,A:AL,37,FALSE)-50)),"-",(VLOOKUP($A310,'SegEnds_NonXtal_BW#'!$A:$Z,26,FALSE)+VLOOKUP($A310,A:AL,37,FALSE)-50))</f>
        <v>421</v>
      </c>
      <c r="AM310" s="28" t="str">
        <f>VLOOKUP(A310,Classification!A:B,2,FALSE)</f>
        <v>B1</v>
      </c>
      <c r="AN310" s="28" t="b">
        <f t="shared" si="211"/>
        <v>1</v>
      </c>
      <c r="AO310" s="3" t="str">
        <f>IF(ISERROR(MATCH(A310,'SegEnds_Xtal_Prot#'!B:B, 0)), "NoXtal", "Xtal")</f>
        <v>NoXtal</v>
      </c>
      <c r="AP310" s="3">
        <f t="shared" si="196"/>
        <v>1</v>
      </c>
      <c r="AQ310" s="3">
        <f t="shared" si="197"/>
        <v>1</v>
      </c>
      <c r="AR310" s="3" t="str">
        <f t="shared" si="198"/>
        <v>-</v>
      </c>
      <c r="AS310" s="3" t="str">
        <f t="shared" si="199"/>
        <v>-</v>
      </c>
      <c r="AT310" s="3" t="str">
        <f t="shared" si="200"/>
        <v>-</v>
      </c>
      <c r="AU310" s="3" t="str">
        <f t="shared" si="201"/>
        <v>-</v>
      </c>
      <c r="AV310" s="3">
        <f t="shared" si="202"/>
        <v>4</v>
      </c>
      <c r="AW310" s="3">
        <f t="shared" si="203"/>
        <v>8</v>
      </c>
      <c r="AX310" s="3">
        <f t="shared" si="204"/>
        <v>7</v>
      </c>
      <c r="AY310" s="3">
        <f t="shared" si="205"/>
        <v>8</v>
      </c>
      <c r="AZ310" s="3">
        <f t="shared" si="206"/>
        <v>1</v>
      </c>
      <c r="BA310" s="3">
        <f>IF(ISERROR(LEN(VLOOKUP(A310,Seqs!A:E,2,FALSE))-AL310),"-",LEN(VLOOKUP(A310,Seqs!A:E,2,FALSE))-AL310)</f>
        <v>45</v>
      </c>
      <c r="BB310" s="16">
        <f t="shared" si="207"/>
        <v>28</v>
      </c>
      <c r="BC310" s="9" t="str">
        <f t="shared" si="208"/>
        <v>-</v>
      </c>
      <c r="BD310" s="3">
        <f t="shared" si="209"/>
        <v>28</v>
      </c>
      <c r="BE310" s="3">
        <f t="shared" si="210"/>
        <v>50</v>
      </c>
    </row>
    <row r="311" spans="1:58" s="3" customFormat="1" x14ac:dyDescent="0.2">
      <c r="A311" s="3" t="s">
        <v>405</v>
      </c>
      <c r="B311" s="3" t="str">
        <f>LOWER(VLOOKUP(A311,Xtal_Templ!A:B,2,FALSE))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215"/>
        <v>170</v>
      </c>
      <c r="G311" s="3">
        <v>172</v>
      </c>
      <c r="H311" s="3">
        <f t="shared" si="221"/>
        <v>173</v>
      </c>
      <c r="I311" s="3">
        <f t="shared" si="221"/>
        <v>174</v>
      </c>
      <c r="J311" s="3">
        <v>187</v>
      </c>
      <c r="K311" s="3">
        <f>VLOOKUP($A311,'SegEnds_NonXtal_BW#'!$A:$Z,8,FALSE)+VLOOKUP($A311,A:AL,10,FALSE)-50</f>
        <v>201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224</v>
      </c>
      <c r="P311" s="3">
        <v>251</v>
      </c>
      <c r="Q311" s="3">
        <f>VLOOKUP($A311,'SegEnds_NonXtal_BW#'!$A:$Z,12,FALSE)+VLOOKUP($A311,A:AL,16,FALSE)-50</f>
        <v>257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262</v>
      </c>
      <c r="V311" s="3">
        <v>274</v>
      </c>
      <c r="W311" s="3">
        <f>IF(ISERROR(VLOOKUP($A311,'SegEnds_NonXtal_BW#'!$A:$Z,16,FALSE)+VLOOKUP($A311,A:AL,22,FALSE)-50),"-",(VLOOKUP($A311,'SegEnds_NonXtal_BW#'!$A:$Z,16,FALSE)+VLOOKUP($A311,A:AL,22,FALSE)-50))</f>
        <v>292</v>
      </c>
      <c r="X311" s="3">
        <f>IF(ISERROR(VLOOKUP($A311,'SegEnds_NonXtal_BW#'!$A:$Z,17,FALSE)+VLOOKUP($A311,A:AL,25,FALSE)-50),"-",(VLOOKUP($A311,'SegEnds_NonXtal_BW#'!$A:$Z,17,FALSE)+VLOOKUP($A311,A:AL,25,FALSE)-50))</f>
        <v>296</v>
      </c>
      <c r="Y311" s="3">
        <v>296</v>
      </c>
      <c r="Z311" s="3">
        <f t="shared" si="220"/>
        <v>298</v>
      </c>
      <c r="AA311" s="3">
        <f>IF(ISERROR(VLOOKUP($A311,'SegEnds_NonXtal_BW#'!$A:$Z,19,FALSE)+VLOOKUP($A311,A:AL,28,FALSE)-50),"-",(VLOOKUP($A311,'SegEnds_NonXtal_BW#'!$A:$Z,19,FALSE)+VLOOKUP($A311,A:AL,28,FALSE)-50))</f>
        <v>302</v>
      </c>
      <c r="AB311" s="3">
        <v>316</v>
      </c>
      <c r="AC311" s="3">
        <f>IF(ISERROR((VLOOKUP($A311,'SegEnds_NonXtal_BW#'!$A:$Z,20,FALSE)+VLOOKUP($A311,A:AL,28,FALSE)-50)),"-",(VLOOKUP($A311,'SegEnds_NonXtal_BW#'!$A:$Z,20,FALSE)+VLOOKUP($A311,A:AL,28,FALSE)-50))</f>
        <v>339</v>
      </c>
      <c r="AD311" s="3">
        <f>IF(ISERROR(VLOOKUP($A311,'SegEnds_NonXtal_BW#'!$A:$Z,21,FALSE)+VLOOKUP($A311,A:AL,31,FALSE)-50),"-",(VLOOKUP($A311,'SegEnds_NonXtal_BW#'!$A:$Z,21,FALSE)+VLOOKUP($A311,A:AL,31,FALSE)-50))</f>
        <v>341</v>
      </c>
      <c r="AE311" s="3">
        <v>366</v>
      </c>
      <c r="AF311" s="3">
        <f>IF(ISERROR((VLOOKUP($A311,'SegEnds_NonXtal_BW#'!$A:$Z,22,FALSE)+VLOOKUP($A311,A:AL,31,FALSE)-50)),"-",(VLOOKUP($A311,'SegEnds_NonXtal_BW#'!$A:$Z,22,FALSE)+VLOOKUP($A311,A:AL,31,FALSE)-50))</f>
        <v>371</v>
      </c>
      <c r="AG311" s="3">
        <f>IF(ISERROR(VLOOKUP($A311,'SegEnds_NonXtal_BW#'!$A:$Z,23,FALSE)+VLOOKUP($A311,A:AL,34,FALSE)-50),"-",(VLOOKUP($A311,'SegEnds_NonXtal_BW#'!$A:$Z,23,FALSE)+VLOOKUP($A311,A:AL,34,FALSE)-50))</f>
        <v>377</v>
      </c>
      <c r="AH311" s="3">
        <v>399</v>
      </c>
      <c r="AI311" s="3">
        <f>IF(ISERROR((VLOOKUP($A311,'SegEnds_NonXtal_BW#'!$A:$Z,24,FALSE)+VLOOKUP($A311,A:AL,34,FALSE)-50)),"-",(VLOOKUP($A311,'SegEnds_NonXtal_BW#'!$A:$Z,24,FALSE)+VLOOKUP($A311,A:AL,34,FALSE)-50))</f>
        <v>405</v>
      </c>
      <c r="AJ311" s="3">
        <f>IF(ISERROR(VLOOKUP($A311,'SegEnds_NonXtal_BW#'!$A:$Z,25,FALSE)+VLOOKUP($A311,A:AL,37,FALSE)-50),"-",(VLOOKUP($A311,'SegEnds_NonXtal_BW#'!$A:$Z,25,FALSE)+VLOOKUP($A311,A:AL,37,FALSE)-50))</f>
        <v>406</v>
      </c>
      <c r="AK311" s="3">
        <v>409</v>
      </c>
      <c r="AL311" s="3">
        <f>IF(ISERROR((VLOOKUP($A311,'SegEnds_NonXtal_BW#'!$A:$Z,26,FALSE)+VLOOKUP($A311,A:AL,37,FALSE)-50)),"-",(VLOOKUP($A311,'SegEnds_NonXtal_BW#'!$A:$Z,26,FALSE)+VLOOKUP($A311,A:AL,37,FALSE)-50))</f>
        <v>431</v>
      </c>
      <c r="AM311" s="28" t="str">
        <f>VLOOKUP(A311,Classification!A:B,2,FALSE)</f>
        <v>B1</v>
      </c>
      <c r="AN311" s="28" t="b">
        <f t="shared" si="211"/>
        <v>1</v>
      </c>
      <c r="AO311" s="3" t="str">
        <f>IF(ISERROR(MATCH(A311,'SegEnds_Xtal_Prot#'!B:B, 0)), "NoXtal", "Xtal")</f>
        <v>Xtal</v>
      </c>
      <c r="AP311" s="3">
        <f t="shared" si="196"/>
        <v>1</v>
      </c>
      <c r="AQ311" s="3">
        <f t="shared" si="197"/>
        <v>1</v>
      </c>
      <c r="AR311" s="3" t="str">
        <f t="shared" si="198"/>
        <v>-</v>
      </c>
      <c r="AS311" s="3" t="str">
        <f t="shared" si="199"/>
        <v>-</v>
      </c>
      <c r="AT311" s="3" t="str">
        <f t="shared" si="200"/>
        <v>-</v>
      </c>
      <c r="AU311" s="3" t="str">
        <f t="shared" si="201"/>
        <v>-</v>
      </c>
      <c r="AV311" s="3">
        <f t="shared" si="202"/>
        <v>4</v>
      </c>
      <c r="AW311" s="3">
        <f t="shared" si="203"/>
        <v>4</v>
      </c>
      <c r="AX311" s="3">
        <f t="shared" si="204"/>
        <v>2</v>
      </c>
      <c r="AY311" s="3">
        <f t="shared" si="205"/>
        <v>6</v>
      </c>
      <c r="AZ311" s="3">
        <f t="shared" si="206"/>
        <v>1</v>
      </c>
      <c r="BA311" s="3">
        <f>IF(ISERROR(LEN(VLOOKUP(A311,Seqs!A:E,2,FALSE))-AL311),"-",LEN(VLOOKUP(A311,Seqs!A:E,2,FALSE))-AL311)</f>
        <v>32</v>
      </c>
      <c r="BB311" s="16">
        <f t="shared" si="207"/>
        <v>28</v>
      </c>
      <c r="BC311" s="9" t="str">
        <f t="shared" si="208"/>
        <v>-</v>
      </c>
      <c r="BD311" s="3">
        <f t="shared" si="209"/>
        <v>28</v>
      </c>
      <c r="BE311" s="3">
        <f t="shared" si="210"/>
        <v>50</v>
      </c>
    </row>
    <row r="312" spans="1:58" s="3" customFormat="1" x14ac:dyDescent="0.2">
      <c r="A312" s="3" t="s">
        <v>406</v>
      </c>
      <c r="B312" s="3" t="str">
        <f>LOWER(VLOOKUP(A312,Xtal_Templ!A:B,2,FALSE))</f>
        <v>glr_human</v>
      </c>
      <c r="C312" s="3">
        <f>VLOOKUP($A312,'SegEnds_NonXtal_BW#'!$A:$Z,3,FALSE)+D312-50</f>
        <v>168</v>
      </c>
      <c r="D312" s="3">
        <v>193</v>
      </c>
      <c r="E312" s="3">
        <f>IF(ISERROR(VLOOKUP($A312,'SegEnds_NonXtal_BW#'!$A:$Z,4,FALSE)+VLOOKUP($A312,A:AL,4,FALSE)-50),"-",(VLOOKUP($A312,'SegEnds_NonXtal_BW#'!$A:$Z,4,FALSE)+VLOOKUP($A312,A:AL,4,FALSE)-50))</f>
        <v>203</v>
      </c>
      <c r="F312" s="3">
        <f t="shared" si="215"/>
        <v>204</v>
      </c>
      <c r="G312" s="3">
        <v>206</v>
      </c>
      <c r="H312" s="3">
        <f t="shared" si="221"/>
        <v>207</v>
      </c>
      <c r="I312" s="3">
        <f t="shared" si="221"/>
        <v>208</v>
      </c>
      <c r="J312" s="3">
        <v>221</v>
      </c>
      <c r="K312" s="3">
        <f>VLOOKUP($A312,'SegEnds_NonXtal_BW#'!$A:$Z,8,FALSE)+VLOOKUP($A312,A:AL,10,FALSE)-50</f>
        <v>235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258</v>
      </c>
      <c r="P312" s="3">
        <v>285</v>
      </c>
      <c r="Q312" s="3">
        <f>VLOOKUP($A312,'SegEnds_NonXtal_BW#'!$A:$Z,12,FALSE)+VLOOKUP($A312,A:AL,16,FALSE)-50</f>
        <v>291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298</v>
      </c>
      <c r="V312" s="3">
        <v>308</v>
      </c>
      <c r="W312" s="3">
        <f>IF(ISERROR(VLOOKUP($A312,'SegEnds_NonXtal_BW#'!$A:$Z,16,FALSE)+VLOOKUP($A312,A:AL,22,FALSE)-50),"-",(VLOOKUP($A312,'SegEnds_NonXtal_BW#'!$A:$Z,16,FALSE)+VLOOKUP($A312,A:AL,22,FALSE)-50))</f>
        <v>326</v>
      </c>
      <c r="X312" s="3">
        <f>IF(ISERROR(VLOOKUP($A312,'SegEnds_NonXtal_BW#'!$A:$Z,17,FALSE)+VLOOKUP($A312,A:AL,25,FALSE)-50),"-",(VLOOKUP($A312,'SegEnds_NonXtal_BW#'!$A:$Z,17,FALSE)+VLOOKUP($A312,A:AL,25,FALSE)-50))</f>
        <v>330</v>
      </c>
      <c r="Y312" s="3">
        <v>330</v>
      </c>
      <c r="Z312" s="3">
        <f t="shared" si="220"/>
        <v>332</v>
      </c>
      <c r="AA312" s="3">
        <f>IF(ISERROR(VLOOKUP($A312,'SegEnds_NonXtal_BW#'!$A:$Z,19,FALSE)+VLOOKUP($A312,A:AL,28,FALSE)-50),"-",(VLOOKUP($A312,'SegEnds_NonXtal_BW#'!$A:$Z,19,FALSE)+VLOOKUP($A312,A:AL,28,FALSE)-50))</f>
        <v>340</v>
      </c>
      <c r="AB312" s="3">
        <v>350</v>
      </c>
      <c r="AC312" s="3">
        <f>IF(ISERROR((VLOOKUP($A312,'SegEnds_NonXtal_BW#'!$A:$Z,20,FALSE)+VLOOKUP($A312,A:AL,28,FALSE)-50)),"-",(VLOOKUP($A312,'SegEnds_NonXtal_BW#'!$A:$Z,20,FALSE)+VLOOKUP($A312,A:AL,28,FALSE)-50))</f>
        <v>371</v>
      </c>
      <c r="AD312" s="3">
        <f>IF(ISERROR(VLOOKUP($A312,'SegEnds_NonXtal_BW#'!$A:$Z,21,FALSE)+VLOOKUP($A312,A:AL,31,FALSE)-50),"-",(VLOOKUP($A312,'SegEnds_NonXtal_BW#'!$A:$Z,21,FALSE)+VLOOKUP($A312,A:AL,31,FALSE)-50))</f>
        <v>378</v>
      </c>
      <c r="AE312" s="3">
        <v>400</v>
      </c>
      <c r="AF312" s="3">
        <f>IF(ISERROR((VLOOKUP($A312,'SegEnds_NonXtal_BW#'!$A:$Z,22,FALSE)+VLOOKUP($A312,A:AL,31,FALSE)-50)),"-",(VLOOKUP($A312,'SegEnds_NonXtal_BW#'!$A:$Z,22,FALSE)+VLOOKUP($A312,A:AL,31,FALSE)-50))</f>
        <v>403</v>
      </c>
      <c r="AG312" s="3">
        <f>IF(ISERROR(VLOOKUP($A312,'SegEnds_NonXtal_BW#'!$A:$Z,23,FALSE)+VLOOKUP($A312,A:AL,34,FALSE)-50),"-",(VLOOKUP($A312,'SegEnds_NonXtal_BW#'!$A:$Z,23,FALSE)+VLOOKUP($A312,A:AL,34,FALSE)-50))</f>
        <v>411</v>
      </c>
      <c r="AH312" s="3">
        <v>433</v>
      </c>
      <c r="AI312" s="3">
        <f>IF(ISERROR((VLOOKUP($A312,'SegEnds_NonXtal_BW#'!$A:$Z,24,FALSE)+VLOOKUP($A312,A:AL,34,FALSE)-50)),"-",(VLOOKUP($A312,'SegEnds_NonXtal_BW#'!$A:$Z,24,FALSE)+VLOOKUP($A312,A:AL,34,FALSE)-50))</f>
        <v>439</v>
      </c>
      <c r="AJ312" s="3">
        <f>IF(ISERROR(VLOOKUP($A312,'SegEnds_NonXtal_BW#'!$A:$Z,25,FALSE)+VLOOKUP($A312,A:AL,37,FALSE)-50),"-",(VLOOKUP($A312,'SegEnds_NonXtal_BW#'!$A:$Z,25,FALSE)+VLOOKUP($A312,A:AL,37,FALSE)-50))</f>
        <v>440</v>
      </c>
      <c r="AK312" s="3">
        <v>443</v>
      </c>
      <c r="AL312" s="3">
        <f>IF(ISERROR((VLOOKUP($A312,'SegEnds_NonXtal_BW#'!$A:$Z,26,FALSE)+VLOOKUP($A312,A:AL,37,FALSE)-50)),"-",(VLOOKUP($A312,'SegEnds_NonXtal_BW#'!$A:$Z,26,FALSE)+VLOOKUP($A312,A:AL,37,FALSE)-50))</f>
        <v>465</v>
      </c>
      <c r="AM312" s="28" t="str">
        <f>VLOOKUP(A312,Classification!A:B,2,FALSE)</f>
        <v>B1</v>
      </c>
      <c r="AN312" s="28" t="b">
        <f t="shared" si="211"/>
        <v>1</v>
      </c>
      <c r="AO312" s="3" t="str">
        <f>IF(ISERROR(MATCH(A312,'SegEnds_Xtal_Prot#'!B:B, 0)), "NoXtal", "Xtal")</f>
        <v>NoXtal</v>
      </c>
      <c r="AP312" s="3">
        <f t="shared" si="196"/>
        <v>1</v>
      </c>
      <c r="AQ312" s="3">
        <f t="shared" si="197"/>
        <v>1</v>
      </c>
      <c r="AR312" s="3" t="str">
        <f t="shared" si="198"/>
        <v>-</v>
      </c>
      <c r="AS312" s="3" t="str">
        <f t="shared" si="199"/>
        <v>-</v>
      </c>
      <c r="AT312" s="3" t="str">
        <f t="shared" si="200"/>
        <v>-</v>
      </c>
      <c r="AU312" s="3" t="str">
        <f t="shared" si="201"/>
        <v>-</v>
      </c>
      <c r="AV312" s="3">
        <f t="shared" si="202"/>
        <v>4</v>
      </c>
      <c r="AW312" s="3">
        <f t="shared" si="203"/>
        <v>8</v>
      </c>
      <c r="AX312" s="3">
        <f t="shared" si="204"/>
        <v>7</v>
      </c>
      <c r="AY312" s="3">
        <f t="shared" si="205"/>
        <v>8</v>
      </c>
      <c r="AZ312" s="3">
        <f t="shared" si="206"/>
        <v>1</v>
      </c>
      <c r="BA312" s="3">
        <f>IF(ISERROR(LEN(VLOOKUP(A312,Seqs!A:E,2,FALSE))-AL312),"-",LEN(VLOOKUP(A312,Seqs!A:E,2,FALSE))-AL312)</f>
        <v>88</v>
      </c>
      <c r="BB312" s="16">
        <f t="shared" si="207"/>
        <v>28</v>
      </c>
      <c r="BC312" s="9" t="str">
        <f t="shared" si="208"/>
        <v>-</v>
      </c>
      <c r="BD312" s="3">
        <f t="shared" si="209"/>
        <v>28</v>
      </c>
      <c r="BE312" s="3">
        <f t="shared" si="210"/>
        <v>50</v>
      </c>
    </row>
    <row r="313" spans="1:58" s="3" customFormat="1" x14ac:dyDescent="0.2">
      <c r="A313" s="3" t="s">
        <v>32</v>
      </c>
      <c r="B313" s="3" t="str">
        <f>LOWER(VLOOKUP(A313,Xtal_Templ!A:B,2,FALSE))</f>
        <v>glr_human</v>
      </c>
      <c r="C313" s="3">
        <f>VLOOKUP($A313,'SegEnds_NonXtal_BW#'!$A:$Z,3,FALSE)+D313-50</f>
        <v>131</v>
      </c>
      <c r="D313" s="3">
        <v>156</v>
      </c>
      <c r="E313" s="3">
        <f>IF(ISERROR(VLOOKUP($A313,'SegEnds_NonXtal_BW#'!$A:$Z,4,FALSE)+VLOOKUP($A313,A:AL,4,FALSE)-50),"-",(VLOOKUP($A313,'SegEnds_NonXtal_BW#'!$A:$Z,4,FALSE)+VLOOKUP($A313,A:AL,4,FALSE)-50))</f>
        <v>166</v>
      </c>
      <c r="F313" s="3">
        <f t="shared" si="215"/>
        <v>167</v>
      </c>
      <c r="G313" s="3">
        <v>169</v>
      </c>
      <c r="H313" s="3">
        <f t="shared" si="221"/>
        <v>170</v>
      </c>
      <c r="I313" s="3">
        <f t="shared" si="221"/>
        <v>171</v>
      </c>
      <c r="J313" s="3">
        <v>184</v>
      </c>
      <c r="K313" s="3">
        <f>VLOOKUP($A313,'SegEnds_NonXtal_BW#'!$A:$Z,8,FALSE)+VLOOKUP($A313,A:AL,10,FALSE)-50</f>
        <v>203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220</v>
      </c>
      <c r="P313" s="3">
        <v>249</v>
      </c>
      <c r="Q313" s="3">
        <f>VLOOKUP($A313,'SegEnds_NonXtal_BW#'!$A:$Z,12,FALSE)+VLOOKUP($A313,A:AL,16,FALSE)-50</f>
        <v>255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262</v>
      </c>
      <c r="V313" s="3">
        <v>272</v>
      </c>
      <c r="W313" s="3">
        <f>IF(ISERROR(VLOOKUP($A313,'SegEnds_NonXtal_BW#'!$A:$Z,16,FALSE)+VLOOKUP($A313,A:AL,22,FALSE)-50),"-",(VLOOKUP($A313,'SegEnds_NonXtal_BW#'!$A:$Z,16,FALSE)+VLOOKUP($A313,A:AL,22,FALSE)-50))</f>
        <v>290</v>
      </c>
      <c r="X313" s="3">
        <f>IF(ISERROR(VLOOKUP($A313,'SegEnds_NonXtal_BW#'!$A:$Z,17,FALSE)+VLOOKUP($A313,A:AL,25,FALSE)-50),"-",(VLOOKUP($A313,'SegEnds_NonXtal_BW#'!$A:$Z,17,FALSE)+VLOOKUP($A313,A:AL,25,FALSE)-50))</f>
        <v>294</v>
      </c>
      <c r="Y313" s="3">
        <v>294</v>
      </c>
      <c r="Z313" s="3">
        <f t="shared" si="220"/>
        <v>296</v>
      </c>
      <c r="AA313" s="3">
        <f>IF(ISERROR(VLOOKUP($A313,'SegEnds_NonXtal_BW#'!$A:$Z,19,FALSE)+VLOOKUP($A313,A:AL,28,FALSE)-50),"-",(VLOOKUP($A313,'SegEnds_NonXtal_BW#'!$A:$Z,19,FALSE)+VLOOKUP($A313,A:AL,28,FALSE)-50))</f>
        <v>304</v>
      </c>
      <c r="AB313" s="3">
        <v>314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342</v>
      </c>
      <c r="AE313" s="3">
        <v>364</v>
      </c>
      <c r="AF313" s="3">
        <f>IF(ISERROR((VLOOKUP($A313,'SegEnds_NonXtal_BW#'!$A:$Z,22,FALSE)+VLOOKUP($A313,A:AL,31,FALSE)-50)),"-",(VLOOKUP($A313,'SegEnds_NonXtal_BW#'!$A:$Z,22,FALSE)+VLOOKUP($A313,A:AL,31,FALSE)-50))</f>
        <v>367</v>
      </c>
      <c r="AG313" s="3">
        <f>IF(ISERROR(VLOOKUP($A313,'SegEnds_NonXtal_BW#'!$A:$Z,23,FALSE)+VLOOKUP($A313,A:AL,34,FALSE)-50),"-",(VLOOKUP($A313,'SegEnds_NonXtal_BW#'!$A:$Z,23,FALSE)+VLOOKUP($A313,A:AL,34,FALSE)-50))</f>
        <v>374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211"/>
        <v>1</v>
      </c>
      <c r="AO313" s="3" t="str">
        <f>IF(ISERROR(MATCH(A313,'SegEnds_Xtal_Prot#'!B:B, 0)), "NoXtal", "Xtal")</f>
        <v>Xtal</v>
      </c>
      <c r="AP313" s="3">
        <f t="shared" si="196"/>
        <v>1</v>
      </c>
      <c r="AQ313" s="3">
        <f t="shared" si="197"/>
        <v>1</v>
      </c>
      <c r="AR313" s="3" t="str">
        <f t="shared" si="198"/>
        <v>-</v>
      </c>
      <c r="AS313" s="3" t="str">
        <f t="shared" si="199"/>
        <v>-</v>
      </c>
      <c r="AT313" s="3" t="str">
        <f t="shared" si="200"/>
        <v>-</v>
      </c>
      <c r="AU313" s="3" t="str">
        <f t="shared" si="201"/>
        <v>-</v>
      </c>
      <c r="AV313" s="3">
        <f t="shared" si="202"/>
        <v>4</v>
      </c>
      <c r="AW313" s="3">
        <f t="shared" si="203"/>
        <v>8</v>
      </c>
      <c r="AX313" s="3">
        <f t="shared" si="204"/>
        <v>7</v>
      </c>
      <c r="AY313" s="3">
        <f t="shared" si="205"/>
        <v>7</v>
      </c>
      <c r="AZ313" s="3">
        <f t="shared" si="206"/>
        <v>1</v>
      </c>
      <c r="BA313" s="3">
        <f>IF(ISERROR(LEN(VLOOKUP(A313,Seqs!A:E,2,FALSE))-AL313),"-",LEN(VLOOKUP(A313,Seqs!A:E,2,FALSE))-AL313)</f>
        <v>48</v>
      </c>
      <c r="BB313" s="16">
        <f t="shared" si="207"/>
        <v>28</v>
      </c>
      <c r="BC313" s="9" t="str">
        <f t="shared" si="208"/>
        <v>-</v>
      </c>
      <c r="BD313" s="3">
        <f t="shared" si="209"/>
        <v>28</v>
      </c>
      <c r="BE313" s="3">
        <f t="shared" si="210"/>
        <v>50</v>
      </c>
    </row>
    <row r="314" spans="1:58" s="3" customFormat="1" x14ac:dyDescent="0.2">
      <c r="A314" s="3" t="s">
        <v>407</v>
      </c>
      <c r="B314" s="3" t="str">
        <f>LOWER(VLOOKUP(A314,Xtal_Templ!A:B,2,FALSE))</f>
        <v>pacr_human</v>
      </c>
      <c r="C314" s="3">
        <f>VLOOKUP($A314,'SegEnds_NonXtal_BW#'!$A:$Z,3,FALSE)+D314-50</f>
        <v>139</v>
      </c>
      <c r="D314" s="3">
        <v>168</v>
      </c>
      <c r="E314" s="3">
        <f>IF(ISERROR(VLOOKUP($A314,'SegEnds_NonXtal_BW#'!$A:$Z,4,FALSE)+VLOOKUP($A314,A:AL,4,FALSE)-50),"-",(VLOOKUP($A314,'SegEnds_NonXtal_BW#'!$A:$Z,4,FALSE)+VLOOKUP($A314,A:AL,4,FALSE)-50))</f>
        <v>178</v>
      </c>
      <c r="F314" s="3">
        <f t="shared" si="215"/>
        <v>179</v>
      </c>
      <c r="G314" s="3">
        <v>181</v>
      </c>
      <c r="H314" s="3">
        <f t="shared" si="221"/>
        <v>182</v>
      </c>
      <c r="I314" s="3">
        <f t="shared" si="221"/>
        <v>183</v>
      </c>
      <c r="J314" s="3">
        <v>196</v>
      </c>
      <c r="K314" s="3">
        <f>VLOOKUP($A314,'SegEnds_NonXtal_BW#'!$A:$Z,8,FALSE)+VLOOKUP($A314,A:AL,10,FALSE)-50</f>
        <v>210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223</v>
      </c>
      <c r="P314" s="3">
        <v>251</v>
      </c>
      <c r="Q314" s="3">
        <f>VLOOKUP($A314,'SegEnds_NonXtal_BW#'!$A:$Z,12,FALSE)+VLOOKUP($A314,A:AL,16,FALSE)-50</f>
        <v>257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264</v>
      </c>
      <c r="V314" s="3">
        <v>274</v>
      </c>
      <c r="W314" s="3">
        <f>IF(ISERROR(VLOOKUP($A314,'SegEnds_NonXtal_BW#'!$A:$Z,16,FALSE)+VLOOKUP($A314,A:AL,22,FALSE)-50),"-",(VLOOKUP($A314,'SegEnds_NonXtal_BW#'!$A:$Z,16,FALSE)+VLOOKUP($A314,A:AL,22,FALSE)-50))</f>
        <v>292</v>
      </c>
      <c r="X314" s="3">
        <f>IF(ISERROR(VLOOKUP($A314,'SegEnds_NonXtal_BW#'!$A:$Z,17,FALSE)+VLOOKUP($A314,A:AL,25,FALSE)-50),"-",(VLOOKUP($A314,'SegEnds_NonXtal_BW#'!$A:$Z,17,FALSE)+VLOOKUP($A314,A:AL,25,FALSE)-50))</f>
        <v>296</v>
      </c>
      <c r="Y314" s="3">
        <v>296</v>
      </c>
      <c r="Z314" s="3">
        <f t="shared" si="220"/>
        <v>298</v>
      </c>
      <c r="AA314" s="3">
        <f>IF(ISERROR(VLOOKUP($A314,'SegEnds_NonXtal_BW#'!$A:$Z,19,FALSE)+VLOOKUP($A314,A:AL,28,FALSE)-50),"-",(VLOOKUP($A314,'SegEnds_NonXtal_BW#'!$A:$Z,19,FALSE)+VLOOKUP($A314,A:AL,28,FALSE)-50))</f>
        <v>302</v>
      </c>
      <c r="AB314" s="3">
        <v>316</v>
      </c>
      <c r="AC314" s="3">
        <f>IF(ISERROR((VLOOKUP($A314,'SegEnds_NonXtal_BW#'!$A:$Z,20,FALSE)+VLOOKUP($A314,A:AL,28,FALSE)-50)),"-",(VLOOKUP($A314,'SegEnds_NonXtal_BW#'!$A:$Z,20,FALSE)+VLOOKUP($A314,A:AL,28,FALSE)-50))</f>
        <v>335</v>
      </c>
      <c r="AD314" s="3">
        <f>IF(ISERROR(VLOOKUP($A314,'SegEnds_NonXtal_BW#'!$A:$Z,21,FALSE)+VLOOKUP($A314,A:AL,31,FALSE)-50),"-",(VLOOKUP($A314,'SegEnds_NonXtal_BW#'!$A:$Z,21,FALSE)+VLOOKUP($A314,A:AL,31,FALSE)-50))</f>
        <v>343</v>
      </c>
      <c r="AE314" s="3">
        <v>368</v>
      </c>
      <c r="AF314" s="3">
        <f>IF(ISERROR((VLOOKUP($A314,'SegEnds_NonXtal_BW#'!$A:$Z,22,FALSE)+VLOOKUP($A314,A:AL,31,FALSE)-50)),"-",(VLOOKUP($A314,'SegEnds_NonXtal_BW#'!$A:$Z,22,FALSE)+VLOOKUP($A314,A:AL,31,FALSE)-50))</f>
        <v>372</v>
      </c>
      <c r="AG314" s="3">
        <f>IF(ISERROR(VLOOKUP($A314,'SegEnds_NonXtal_BW#'!$A:$Z,23,FALSE)+VLOOKUP($A314,A:AL,34,FALSE)-50),"-",(VLOOKUP($A314,'SegEnds_NonXtal_BW#'!$A:$Z,23,FALSE)+VLOOKUP($A314,A:AL,34,FALSE)-50))</f>
        <v>378</v>
      </c>
      <c r="AH314" s="3">
        <v>397</v>
      </c>
      <c r="AI314" s="3">
        <f>IF(ISERROR((VLOOKUP($A314,'SegEnds_NonXtal_BW#'!$A:$Z,24,FALSE)+VLOOKUP($A314,A:AL,34,FALSE)-50)),"-",(VLOOKUP($A314,'SegEnds_NonXtal_BW#'!$A:$Z,24,FALSE)+VLOOKUP($A314,A:AL,34,FALSE)-50))</f>
        <v>403</v>
      </c>
      <c r="AJ314" s="3">
        <f>IF(ISERROR(VLOOKUP($A314,'SegEnds_NonXtal_BW#'!$A:$Z,25,FALSE)+VLOOKUP($A314,A:AL,37,FALSE)-50),"-",(VLOOKUP($A314,'SegEnds_NonXtal_BW#'!$A:$Z,25,FALSE)+VLOOKUP($A314,A:AL,37,FALSE)-50))</f>
        <v>404</v>
      </c>
      <c r="AK314" s="3">
        <v>407</v>
      </c>
      <c r="AL314" s="3">
        <f>IF(ISERROR((VLOOKUP($A314,'SegEnds_NonXtal_BW#'!$A:$Z,26,FALSE)+VLOOKUP($A314,A:AL,37,FALSE)-50)),"-",(VLOOKUP($A314,'SegEnds_NonXtal_BW#'!$A:$Z,26,FALSE)+VLOOKUP($A314,A:AL,37,FALSE)-50))</f>
        <v>429</v>
      </c>
      <c r="AM314" s="28" t="str">
        <f>VLOOKUP(A314,Classification!A:B,2,FALSE)</f>
        <v>B1</v>
      </c>
      <c r="AN314" s="28" t="b">
        <f t="shared" si="211"/>
        <v>1</v>
      </c>
      <c r="AO314" s="3" t="str">
        <f>IF(ISERROR(MATCH(A314,'SegEnds_Xtal_Prot#'!B:B, 0)), "NoXtal", "Xtal")</f>
        <v>Xtal</v>
      </c>
      <c r="AP314" s="3">
        <f t="shared" si="196"/>
        <v>1</v>
      </c>
      <c r="AQ314" s="3">
        <f t="shared" si="197"/>
        <v>1</v>
      </c>
      <c r="AR314" s="3" t="str">
        <f t="shared" si="198"/>
        <v>-</v>
      </c>
      <c r="AS314" s="3" t="str">
        <f t="shared" si="199"/>
        <v>-</v>
      </c>
      <c r="AT314" s="3" t="str">
        <f t="shared" si="200"/>
        <v>-</v>
      </c>
      <c r="AU314" s="3" t="str">
        <f t="shared" si="201"/>
        <v>-</v>
      </c>
      <c r="AV314" s="3">
        <f t="shared" si="202"/>
        <v>4</v>
      </c>
      <c r="AW314" s="3">
        <f t="shared" si="203"/>
        <v>4</v>
      </c>
      <c r="AX314" s="3">
        <f t="shared" si="204"/>
        <v>8</v>
      </c>
      <c r="AY314" s="3">
        <f t="shared" si="205"/>
        <v>6</v>
      </c>
      <c r="AZ314" s="3">
        <f t="shared" si="206"/>
        <v>1</v>
      </c>
      <c r="BA314" s="3">
        <f>IF(ISERROR(LEN(VLOOKUP(A314,Seqs!A:E,2,FALSE))-AL314),"-",LEN(VLOOKUP(A314,Seqs!A:E,2,FALSE))-AL314)</f>
        <v>39</v>
      </c>
      <c r="BB314" s="16">
        <f t="shared" si="207"/>
        <v>28</v>
      </c>
      <c r="BC314" s="9" t="str">
        <f t="shared" si="208"/>
        <v>-</v>
      </c>
      <c r="BD314" s="3">
        <f t="shared" si="209"/>
        <v>28</v>
      </c>
      <c r="BE314" s="3">
        <f t="shared" si="210"/>
        <v>52</v>
      </c>
    </row>
    <row r="315" spans="1:58" s="3" customFormat="1" x14ac:dyDescent="0.2">
      <c r="A315" s="3" t="s">
        <v>408</v>
      </c>
      <c r="B315" s="3" t="str">
        <f>LOWER(VLOOKUP(A315,Xtal_Templ!A:B,2,FALSE))</f>
        <v>pth1r_human</v>
      </c>
      <c r="C315" s="3">
        <f>VLOOKUP($A315,'SegEnds_NonXtal_BW#'!$A:$Z,3,FALSE)+D315-50</f>
        <v>173</v>
      </c>
      <c r="D315" s="3">
        <v>202</v>
      </c>
      <c r="E315" s="3">
        <f>IF(ISERROR(VLOOKUP($A315,'SegEnds_NonXtal_BW#'!$A:$Z,4,FALSE)+VLOOKUP($A315,A:AL,4,FALSE)-50),"-",(VLOOKUP($A315,'SegEnds_NonXtal_BW#'!$A:$Z,4,FALSE)+VLOOKUP($A315,A:AL,4,FALSE)-50))</f>
        <v>212</v>
      </c>
      <c r="F315" s="3">
        <f t="shared" si="215"/>
        <v>213</v>
      </c>
      <c r="G315" s="3">
        <v>215</v>
      </c>
      <c r="H315" s="3">
        <f t="shared" si="221"/>
        <v>216</v>
      </c>
      <c r="I315" s="3">
        <f t="shared" si="221"/>
        <v>217</v>
      </c>
      <c r="J315" s="3">
        <v>230</v>
      </c>
      <c r="K315" s="3">
        <f>VLOOKUP($A315,'SegEnds_NonXtal_BW#'!$A:$Z,8,FALSE)+VLOOKUP($A315,A:AL,10,FALSE)-50</f>
        <v>249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277</v>
      </c>
      <c r="P315" s="3">
        <v>306</v>
      </c>
      <c r="Q315" s="3">
        <f>VLOOKUP($A315,'SegEnds_NonXtal_BW#'!$A:$Z,12,FALSE)+VLOOKUP($A315,A:AL,16,FALSE)-50</f>
        <v>312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316</v>
      </c>
      <c r="V315" s="3">
        <v>329</v>
      </c>
      <c r="W315" s="3">
        <f>IF(ISERROR(VLOOKUP($A315,'SegEnds_NonXtal_BW#'!$A:$Z,16,FALSE)+VLOOKUP($A315,A:AL,22,FALSE)-50),"-",(VLOOKUP($A315,'SegEnds_NonXtal_BW#'!$A:$Z,16,FALSE)+VLOOKUP($A315,A:AL,22,FALSE)-50))</f>
        <v>347</v>
      </c>
      <c r="X315" s="3">
        <f>IF(ISERROR(VLOOKUP($A315,'SegEnds_NonXtal_BW#'!$A:$Z,17,FALSE)+VLOOKUP($A315,A:AL,25,FALSE)-50),"-",(VLOOKUP($A315,'SegEnds_NonXtal_BW#'!$A:$Z,17,FALSE)+VLOOKUP($A315,A:AL,25,FALSE)-50))</f>
        <v>351</v>
      </c>
      <c r="Y315" s="3">
        <v>351</v>
      </c>
      <c r="Z315" s="3">
        <f t="shared" si="220"/>
        <v>353</v>
      </c>
      <c r="AA315" s="3">
        <f>IF(ISERROR(VLOOKUP($A315,'SegEnds_NonXtal_BW#'!$A:$Z,19,FALSE)+VLOOKUP($A315,A:AL,28,FALSE)-50),"-",(VLOOKUP($A315,'SegEnds_NonXtal_BW#'!$A:$Z,19,FALSE)+VLOOKUP($A315,A:AL,28,FALSE)-50))</f>
        <v>357</v>
      </c>
      <c r="AB315" s="3">
        <v>370</v>
      </c>
      <c r="AC315" s="3">
        <f>IF(ISERROR((VLOOKUP($A315,'SegEnds_NonXtal_BW#'!$A:$Z,20,FALSE)+VLOOKUP($A315,A:AL,28,FALSE)-50)),"-",(VLOOKUP($A315,'SegEnds_NonXtal_BW#'!$A:$Z,20,FALSE)+VLOOKUP($A315,A:AL,28,FALSE)-50))</f>
        <v>389</v>
      </c>
      <c r="AD315" s="3">
        <f>IF(ISERROR(VLOOKUP($A315,'SegEnds_NonXtal_BW#'!$A:$Z,21,FALSE)+VLOOKUP($A315,A:AL,31,FALSE)-50),"-",(VLOOKUP($A315,'SegEnds_NonXtal_BW#'!$A:$Z,21,FALSE)+VLOOKUP($A315,A:AL,31,FALSE)-50))</f>
        <v>398</v>
      </c>
      <c r="AE315" s="3">
        <v>423</v>
      </c>
      <c r="AF315" s="3">
        <f>IF(ISERROR((VLOOKUP($A315,'SegEnds_NonXtal_BW#'!$A:$Z,22,FALSE)+VLOOKUP($A315,A:AL,31,FALSE)-50)),"-",(VLOOKUP($A315,'SegEnds_NonXtal_BW#'!$A:$Z,22,FALSE)+VLOOKUP($A315,A:AL,31,FALSE)-50))</f>
        <v>427</v>
      </c>
      <c r="AG315" s="3">
        <f>IF(ISERROR(VLOOKUP($A315,'SegEnds_NonXtal_BW#'!$A:$Z,23,FALSE)+VLOOKUP($A315,A:AL,34,FALSE)-50),"-",(VLOOKUP($A315,'SegEnds_NonXtal_BW#'!$A:$Z,23,FALSE)+VLOOKUP($A315,A:AL,34,FALSE)-50))</f>
        <v>434</v>
      </c>
      <c r="AH315" s="3">
        <v>456</v>
      </c>
      <c r="AI315" s="3">
        <f>IF(ISERROR((VLOOKUP($A315,'SegEnds_NonXtal_BW#'!$A:$Z,24,FALSE)+VLOOKUP($A315,A:AL,34,FALSE)-50)),"-",(VLOOKUP($A315,'SegEnds_NonXtal_BW#'!$A:$Z,24,FALSE)+VLOOKUP($A315,A:AL,34,FALSE)-50))</f>
        <v>462</v>
      </c>
      <c r="AJ315" s="3">
        <f>IF(ISERROR(VLOOKUP($A315,'SegEnds_NonXtal_BW#'!$A:$Z,25,FALSE)+VLOOKUP($A315,A:AL,37,FALSE)-50),"-",(VLOOKUP($A315,'SegEnds_NonXtal_BW#'!$A:$Z,25,FALSE)+VLOOKUP($A315,A:AL,37,FALSE)-50))</f>
        <v>463</v>
      </c>
      <c r="AK315" s="3">
        <v>466</v>
      </c>
      <c r="AL315" s="3">
        <f>IF(ISERROR((VLOOKUP($A315,'SegEnds_NonXtal_BW#'!$A:$Z,26,FALSE)+VLOOKUP($A315,A:AL,37,FALSE)-50)),"-",(VLOOKUP($A315,'SegEnds_NonXtal_BW#'!$A:$Z,26,FALSE)+VLOOKUP($A315,A:AL,37,FALSE)-50))</f>
        <v>488</v>
      </c>
      <c r="AM315" s="28" t="str">
        <f>VLOOKUP(A315,Classification!A:B,2,FALSE)</f>
        <v>B1</v>
      </c>
      <c r="AN315" s="28" t="b">
        <f t="shared" si="211"/>
        <v>1</v>
      </c>
      <c r="AO315" s="3" t="str">
        <f>IF(ISERROR(MATCH(A315,'SegEnds_Xtal_Prot#'!B:B, 0)), "NoXtal", "Xtal")</f>
        <v>Xtal</v>
      </c>
      <c r="AP315" s="3">
        <f t="shared" si="196"/>
        <v>1</v>
      </c>
      <c r="AQ315" s="3">
        <f t="shared" si="197"/>
        <v>1</v>
      </c>
      <c r="AR315" s="3" t="str">
        <f t="shared" si="198"/>
        <v>-</v>
      </c>
      <c r="AS315" s="3" t="str">
        <f t="shared" si="199"/>
        <v>-</v>
      </c>
      <c r="AT315" s="3" t="str">
        <f t="shared" si="200"/>
        <v>-</v>
      </c>
      <c r="AU315" s="3" t="str">
        <f t="shared" si="201"/>
        <v>-</v>
      </c>
      <c r="AV315" s="3">
        <f t="shared" si="202"/>
        <v>4</v>
      </c>
      <c r="AW315" s="3">
        <f t="shared" si="203"/>
        <v>4</v>
      </c>
      <c r="AX315" s="3">
        <f t="shared" si="204"/>
        <v>9</v>
      </c>
      <c r="AY315" s="3">
        <f t="shared" si="205"/>
        <v>7</v>
      </c>
      <c r="AZ315" s="3">
        <f t="shared" si="206"/>
        <v>1</v>
      </c>
      <c r="BA315" s="3">
        <f>IF(ISERROR(LEN(VLOOKUP(A315,Seqs!A:E,2,FALSE))-AL315),"-",LEN(VLOOKUP(A315,Seqs!A:E,2,FALSE))-AL315)</f>
        <v>105</v>
      </c>
      <c r="BB315" s="16">
        <f t="shared" si="207"/>
        <v>28</v>
      </c>
      <c r="BC315" s="9" t="str">
        <f t="shared" si="208"/>
        <v>-</v>
      </c>
      <c r="BD315" s="3">
        <f t="shared" si="209"/>
        <v>28</v>
      </c>
      <c r="BE315" s="3">
        <f t="shared" si="210"/>
        <v>53</v>
      </c>
    </row>
    <row r="316" spans="1:58" s="3" customFormat="1" x14ac:dyDescent="0.2">
      <c r="A316" s="3" t="s">
        <v>409</v>
      </c>
      <c r="B316" s="3" t="str">
        <f>LOWER(VLOOKUP(A316,Xtal_Templ!A:B,2,FALSE))</f>
        <v>pth1r_human</v>
      </c>
      <c r="C316" s="3">
        <f>VLOOKUP($A316,'SegEnds_NonXtal_BW#'!$A:$Z,3,FALSE)+D316-50</f>
        <v>130</v>
      </c>
      <c r="D316" s="3">
        <v>159</v>
      </c>
      <c r="E316" s="3">
        <f>IF(ISERROR(VLOOKUP($A316,'SegEnds_NonXtal_BW#'!$A:$Z,4,FALSE)+VLOOKUP($A316,A:AL,4,FALSE)-50),"-",(VLOOKUP($A316,'SegEnds_NonXtal_BW#'!$A:$Z,4,FALSE)+VLOOKUP($A316,A:AL,4,FALSE)-50))</f>
        <v>169</v>
      </c>
      <c r="F316" s="3">
        <f t="shared" si="215"/>
        <v>170</v>
      </c>
      <c r="G316" s="3">
        <v>172</v>
      </c>
      <c r="H316" s="3">
        <f t="shared" si="221"/>
        <v>173</v>
      </c>
      <c r="I316" s="3">
        <f t="shared" si="221"/>
        <v>174</v>
      </c>
      <c r="J316" s="3">
        <v>187</v>
      </c>
      <c r="K316" s="3">
        <f>VLOOKUP($A316,'SegEnds_NonXtal_BW#'!$A:$Z,8,FALSE)+VLOOKUP($A316,A:AL,10,FALSE)-50</f>
        <v>206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232</v>
      </c>
      <c r="P316" s="3">
        <v>261</v>
      </c>
      <c r="Q316" s="3">
        <f>VLOOKUP($A316,'SegEnds_NonXtal_BW#'!$A:$Z,12,FALSE)+VLOOKUP($A316,A:AL,16,FALSE)-50</f>
        <v>267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271</v>
      </c>
      <c r="V316" s="3">
        <v>284</v>
      </c>
      <c r="W316" s="3">
        <f>IF(ISERROR(VLOOKUP($A316,'SegEnds_NonXtal_BW#'!$A:$Z,16,FALSE)+VLOOKUP($A316,A:AL,22,FALSE)-50),"-",(VLOOKUP($A316,'SegEnds_NonXtal_BW#'!$A:$Z,16,FALSE)+VLOOKUP($A316,A:AL,22,FALSE)-50))</f>
        <v>302</v>
      </c>
      <c r="X316" s="3">
        <f>IF(ISERROR(VLOOKUP($A316,'SegEnds_NonXtal_BW#'!$A:$Z,17,FALSE)+VLOOKUP($A316,A:AL,25,FALSE)-50),"-",(VLOOKUP($A316,'SegEnds_NonXtal_BW#'!$A:$Z,17,FALSE)+VLOOKUP($A316,A:AL,25,FALSE)-50))</f>
        <v>306</v>
      </c>
      <c r="Y316" s="3">
        <v>306</v>
      </c>
      <c r="Z316" s="3">
        <f t="shared" si="220"/>
        <v>308</v>
      </c>
      <c r="AA316" s="3">
        <f>IF(ISERROR(VLOOKUP($A316,'SegEnds_NonXtal_BW#'!$A:$Z,19,FALSE)+VLOOKUP($A316,A:AL,28,FALSE)-50),"-",(VLOOKUP($A316,'SegEnds_NonXtal_BW#'!$A:$Z,19,FALSE)+VLOOKUP($A316,A:AL,28,FALSE)-50))</f>
        <v>312</v>
      </c>
      <c r="AB316" s="3">
        <v>325</v>
      </c>
      <c r="AC316" s="3">
        <f>IF(ISERROR((VLOOKUP($A316,'SegEnds_NonXtal_BW#'!$A:$Z,20,FALSE)+VLOOKUP($A316,A:AL,28,FALSE)-50)),"-",(VLOOKUP($A316,'SegEnds_NonXtal_BW#'!$A:$Z,20,FALSE)+VLOOKUP($A316,A:AL,28,FALSE)-50))</f>
        <v>344</v>
      </c>
      <c r="AD316" s="3">
        <f>IF(ISERROR(VLOOKUP($A316,'SegEnds_NonXtal_BW#'!$A:$Z,21,FALSE)+VLOOKUP($A316,A:AL,31,FALSE)-50),"-",(VLOOKUP($A316,'SegEnds_NonXtal_BW#'!$A:$Z,21,FALSE)+VLOOKUP($A316,A:AL,31,FALSE)-50))</f>
        <v>353</v>
      </c>
      <c r="AE316" s="3">
        <v>378</v>
      </c>
      <c r="AF316" s="3">
        <f>IF(ISERROR((VLOOKUP($A316,'SegEnds_NonXtal_BW#'!$A:$Z,22,FALSE)+VLOOKUP($A316,A:AL,31,FALSE)-50)),"-",(VLOOKUP($A316,'SegEnds_NonXtal_BW#'!$A:$Z,22,FALSE)+VLOOKUP($A316,A:AL,31,FALSE)-50))</f>
        <v>382</v>
      </c>
      <c r="AG316" s="3">
        <f>IF(ISERROR(VLOOKUP($A316,'SegEnds_NonXtal_BW#'!$A:$Z,23,FALSE)+VLOOKUP($A316,A:AL,34,FALSE)-50),"-",(VLOOKUP($A316,'SegEnds_NonXtal_BW#'!$A:$Z,23,FALSE)+VLOOKUP($A316,A:AL,34,FALSE)-50))</f>
        <v>388</v>
      </c>
      <c r="AH316" s="3">
        <v>410</v>
      </c>
      <c r="AI316" s="3">
        <f>IF(ISERROR((VLOOKUP($A316,'SegEnds_NonXtal_BW#'!$A:$Z,24,FALSE)+VLOOKUP($A316,A:AL,34,FALSE)-50)),"-",(VLOOKUP($A316,'SegEnds_NonXtal_BW#'!$A:$Z,24,FALSE)+VLOOKUP($A316,A:AL,34,FALSE)-50))</f>
        <v>416</v>
      </c>
      <c r="AJ316" s="3">
        <f>IF(ISERROR(VLOOKUP($A316,'SegEnds_NonXtal_BW#'!$A:$Z,25,FALSE)+VLOOKUP($A316,A:AL,37,FALSE)-50),"-",(VLOOKUP($A316,'SegEnds_NonXtal_BW#'!$A:$Z,25,FALSE)+VLOOKUP($A316,A:AL,37,FALSE)-50))</f>
        <v>417</v>
      </c>
      <c r="AK316" s="3">
        <v>420</v>
      </c>
      <c r="AL316" s="3">
        <f>IF(ISERROR((VLOOKUP($A316,'SegEnds_NonXtal_BW#'!$A:$Z,26,FALSE)+VLOOKUP($A316,A:AL,37,FALSE)-50)),"-",(VLOOKUP($A316,'SegEnds_NonXtal_BW#'!$A:$Z,26,FALSE)+VLOOKUP($A316,A:AL,37,FALSE)-50))</f>
        <v>442</v>
      </c>
      <c r="AM316" s="28" t="str">
        <f>VLOOKUP(A316,Classification!A:B,2,FALSE)</f>
        <v>B1</v>
      </c>
      <c r="AN316" s="28" t="b">
        <f t="shared" si="211"/>
        <v>1</v>
      </c>
      <c r="AO316" s="3" t="str">
        <f>IF(ISERROR(MATCH(A316,'SegEnds_Xtal_Prot#'!B:B, 0)), "NoXtal", "Xtal")</f>
        <v>NoXtal</v>
      </c>
      <c r="AP316" s="3">
        <f t="shared" si="196"/>
        <v>1</v>
      </c>
      <c r="AQ316" s="3">
        <f t="shared" si="197"/>
        <v>1</v>
      </c>
      <c r="AR316" s="3" t="str">
        <f t="shared" si="198"/>
        <v>-</v>
      </c>
      <c r="AS316" s="3" t="str">
        <f t="shared" si="199"/>
        <v>-</v>
      </c>
      <c r="AT316" s="3" t="str">
        <f t="shared" si="200"/>
        <v>-</v>
      </c>
      <c r="AU316" s="3" t="str">
        <f t="shared" si="201"/>
        <v>-</v>
      </c>
      <c r="AV316" s="3">
        <f t="shared" si="202"/>
        <v>4</v>
      </c>
      <c r="AW316" s="3">
        <f t="shared" si="203"/>
        <v>4</v>
      </c>
      <c r="AX316" s="3">
        <f t="shared" si="204"/>
        <v>9</v>
      </c>
      <c r="AY316" s="3">
        <f t="shared" si="205"/>
        <v>6</v>
      </c>
      <c r="AZ316" s="3">
        <f t="shared" si="206"/>
        <v>1</v>
      </c>
      <c r="BA316" s="3">
        <f>IF(ISERROR(LEN(VLOOKUP(A316,Seqs!A:E,2,FALSE))-AL316),"-",LEN(VLOOKUP(A316,Seqs!A:E,2,FALSE))-AL316)</f>
        <v>108</v>
      </c>
      <c r="BB316" s="16">
        <f t="shared" si="207"/>
        <v>28</v>
      </c>
      <c r="BC316" s="9" t="str">
        <f t="shared" si="208"/>
        <v>-</v>
      </c>
      <c r="BD316" s="3">
        <f t="shared" si="209"/>
        <v>28</v>
      </c>
      <c r="BE316" s="3">
        <f t="shared" si="210"/>
        <v>53</v>
      </c>
    </row>
    <row r="317" spans="1:58" s="3" customFormat="1" x14ac:dyDescent="0.2">
      <c r="A317" s="3" t="s">
        <v>410</v>
      </c>
      <c r="B317" s="3" t="str">
        <f>LOWER(VLOOKUP(A317,Xtal_Templ!A:B,2,FALSE))</f>
        <v>sctr_human</v>
      </c>
      <c r="C317" s="3">
        <f>VLOOKUP($A317,'SegEnds_NonXtal_BW#'!$A:$Z,3,FALSE)+D317-50</f>
        <v>131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215"/>
        <v>168</v>
      </c>
      <c r="G317" s="3">
        <v>170</v>
      </c>
      <c r="H317" s="3">
        <f t="shared" si="221"/>
        <v>171</v>
      </c>
      <c r="I317" s="3">
        <f t="shared" si="221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253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220"/>
        <v>287</v>
      </c>
      <c r="AA317" s="3">
        <f>IF(ISERROR(VLOOKUP($A317,'SegEnds_NonXtal_BW#'!$A:$Z,19,FALSE)+VLOOKUP($A317,A:AL,28,FALSE)-50),"-",(VLOOKUP($A317,'SegEnds_NonXtal_BW#'!$A:$Z,19,FALSE)+VLOOKUP($A317,A:AL,28,FALSE)-50))</f>
        <v>291</v>
      </c>
      <c r="AB317" s="3">
        <v>305</v>
      </c>
      <c r="AC317" s="3">
        <f>IF(ISERROR((VLOOKUP($A317,'SegEnds_NonXtal_BW#'!$A:$Z,20,FALSE)+VLOOKUP($A317,A:AL,28,FALSE)-50)),"-",(VLOOKUP($A317,'SegEnds_NonXtal_BW#'!$A:$Z,20,FALSE)+VLOOKUP($A317,A:AL,28,FALSE)-50))</f>
        <v>326</v>
      </c>
      <c r="AD317" s="3">
        <f>IF(ISERROR(VLOOKUP($A317,'SegEnds_NonXtal_BW#'!$A:$Z,21,FALSE)+VLOOKUP($A317,A:AL,31,FALSE)-50),"-",(VLOOKUP($A317,'SegEnds_NonXtal_BW#'!$A:$Z,21,FALSE)+VLOOKUP($A317,A:AL,31,FALSE)-50))</f>
        <v>332</v>
      </c>
      <c r="AE317" s="3">
        <v>357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365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211"/>
        <v>1</v>
      </c>
      <c r="AO317" s="3" t="str">
        <f>IF(ISERROR(MATCH(A317,'SegEnds_Xtal_Prot#'!B:B, 0)), "NoXtal", "Xtal")</f>
        <v>Xtal</v>
      </c>
      <c r="AP317" s="3">
        <f t="shared" si="196"/>
        <v>1</v>
      </c>
      <c r="AQ317" s="3">
        <f t="shared" si="197"/>
        <v>1</v>
      </c>
      <c r="AR317" s="3" t="str">
        <f t="shared" si="198"/>
        <v>-</v>
      </c>
      <c r="AS317" s="3" t="str">
        <f t="shared" si="199"/>
        <v>-</v>
      </c>
      <c r="AT317" s="3" t="str">
        <f t="shared" si="200"/>
        <v>-</v>
      </c>
      <c r="AU317" s="3" t="str">
        <f t="shared" si="201"/>
        <v>-</v>
      </c>
      <c r="AV317" s="3">
        <f t="shared" si="202"/>
        <v>4</v>
      </c>
      <c r="AW317" s="3">
        <f t="shared" si="203"/>
        <v>4</v>
      </c>
      <c r="AX317" s="3">
        <f t="shared" si="204"/>
        <v>6</v>
      </c>
      <c r="AY317" s="3">
        <f t="shared" si="205"/>
        <v>4</v>
      </c>
      <c r="AZ317" s="3">
        <f t="shared" si="206"/>
        <v>1</v>
      </c>
      <c r="BA317" s="3">
        <f>IF(ISERROR(LEN(VLOOKUP(A317,Seqs!A:E,2,FALSE))-AL317),"-",LEN(VLOOKUP(A317,Seqs!A:E,2,FALSE))-AL317)</f>
        <v>23</v>
      </c>
      <c r="BB317" s="16">
        <f t="shared" si="207"/>
        <v>28</v>
      </c>
      <c r="BC317" s="9" t="str">
        <f t="shared" si="208"/>
        <v>-</v>
      </c>
      <c r="BD317" s="3">
        <f t="shared" si="209"/>
        <v>28</v>
      </c>
      <c r="BE317" s="3">
        <f t="shared" si="210"/>
        <v>52</v>
      </c>
      <c r="BF317" s="3">
        <f>AH317-AE317</f>
        <v>28</v>
      </c>
    </row>
    <row r="318" spans="1:58" s="3" customFormat="1" x14ac:dyDescent="0.2">
      <c r="A318" s="3" t="s">
        <v>411</v>
      </c>
      <c r="B318" s="3" t="str">
        <f>LOWER(VLOOKUP(A318,Xtal_Templ!A:B,2,FALSE))</f>
        <v>sctr_human</v>
      </c>
      <c r="C318" s="3">
        <f>VLOOKUP($A318,'SegEnds_NonXtal_BW#'!$A:$Z,3,FALSE)+D318-50</f>
        <v>131</v>
      </c>
      <c r="D318" s="3">
        <v>157</v>
      </c>
      <c r="E318" s="3">
        <f>IF(ISERROR(VLOOKUP($A318,'SegEnds_NonXtal_BW#'!$A:$Z,4,FALSE)+VLOOKUP($A318,A:AL,4,FALSE)-50),"-",(VLOOKUP($A318,'SegEnds_NonXtal_BW#'!$A:$Z,4,FALSE)+VLOOKUP($A318,A:AL,4,FALSE)-50))</f>
        <v>167</v>
      </c>
      <c r="F318" s="3">
        <f t="shared" si="215"/>
        <v>168</v>
      </c>
      <c r="G318" s="3">
        <v>170</v>
      </c>
      <c r="H318" s="3">
        <f t="shared" si="221"/>
        <v>171</v>
      </c>
      <c r="I318" s="3">
        <f t="shared" si="221"/>
        <v>172</v>
      </c>
      <c r="J318" s="3">
        <v>185</v>
      </c>
      <c r="K318" s="3">
        <f>VLOOKUP($A318,'SegEnds_NonXtal_BW#'!$A:$Z,8,FALSE)+VLOOKUP($A318,A:AL,10,FALSE)-50</f>
        <v>199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212</v>
      </c>
      <c r="P318" s="3">
        <v>240</v>
      </c>
      <c r="Q318" s="3">
        <f>VLOOKUP($A318,'SegEnds_NonXtal_BW#'!$A:$Z,12,FALSE)+VLOOKUP($A318,A:AL,16,FALSE)-50</f>
        <v>246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253</v>
      </c>
      <c r="V318" s="3">
        <v>263</v>
      </c>
      <c r="W318" s="3">
        <f>IF(ISERROR(VLOOKUP($A318,'SegEnds_NonXtal_BW#'!$A:$Z,16,FALSE)+VLOOKUP($A318,A:AL,22,FALSE)-50),"-",(VLOOKUP($A318,'SegEnds_NonXtal_BW#'!$A:$Z,16,FALSE)+VLOOKUP($A318,A:AL,22,FALSE)-50))</f>
        <v>281</v>
      </c>
      <c r="X318" s="3">
        <f>IF(ISERROR(VLOOKUP($A318,'SegEnds_NonXtal_BW#'!$A:$Z,17,FALSE)+VLOOKUP($A318,A:AL,25,FALSE)-50),"-",(VLOOKUP($A318,'SegEnds_NonXtal_BW#'!$A:$Z,17,FALSE)+VLOOKUP($A318,A:AL,25,FALSE)-50))</f>
        <v>285</v>
      </c>
      <c r="Y318" s="3">
        <v>285</v>
      </c>
      <c r="Z318" s="3">
        <f t="shared" si="220"/>
        <v>287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304</v>
      </c>
      <c r="AC318" s="3">
        <f>IF(ISERROR((VLOOKUP($A318,'SegEnds_NonXtal_BW#'!$A:$Z,20,FALSE)+VLOOKUP($A318,A:AL,28,FALSE)-50)),"-",(VLOOKUP($A318,'SegEnds_NonXtal_BW#'!$A:$Z,20,FALSE)+VLOOKUP($A318,A:AL,28,FALSE)-50))</f>
        <v>323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356</v>
      </c>
      <c r="AF318" s="3">
        <f>IF(ISERROR((VLOOKUP($A318,'SegEnds_NonXtal_BW#'!$A:$Z,22,FALSE)+VLOOKUP($A318,A:AL,31,FALSE)-50)),"-",(VLOOKUP($A318,'SegEnds_NonXtal_BW#'!$A:$Z,22,FALSE)+VLOOKUP($A318,A:AL,31,FALSE)-50))</f>
        <v>360</v>
      </c>
      <c r="AG318" s="3">
        <f>IF(ISERROR(VLOOKUP($A318,'SegEnds_NonXtal_BW#'!$A:$Z,23,FALSE)+VLOOKUP($A318,A:AL,34,FALSE)-50),"-",(VLOOKUP($A318,'SegEnds_NonXtal_BW#'!$A:$Z,23,FALSE)+VLOOKUP($A318,A:AL,34,FALSE)-50))</f>
        <v>366</v>
      </c>
      <c r="AH318" s="3">
        <v>385</v>
      </c>
      <c r="AI318" s="3">
        <f>IF(ISERROR((VLOOKUP($A318,'SegEnds_NonXtal_BW#'!$A:$Z,24,FALSE)+VLOOKUP($A318,A:AL,34,FALSE)-50)),"-",(VLOOKUP($A318,'SegEnds_NonXtal_BW#'!$A:$Z,24,FALSE)+VLOOKUP($A318,A:AL,34,FALSE)-50))</f>
        <v>391</v>
      </c>
      <c r="AJ318" s="3">
        <f>IF(ISERROR(VLOOKUP($A318,'SegEnds_NonXtal_BW#'!$A:$Z,25,FALSE)+VLOOKUP($A318,A:AL,37,FALSE)-50),"-",(VLOOKUP($A318,'SegEnds_NonXtal_BW#'!$A:$Z,25,FALSE)+VLOOKUP($A318,A:AL,37,FALSE)-50))</f>
        <v>392</v>
      </c>
      <c r="AK318" s="3">
        <v>395</v>
      </c>
      <c r="AL318" s="3">
        <f>IF(ISERROR((VLOOKUP($A318,'SegEnds_NonXtal_BW#'!$A:$Z,26,FALSE)+VLOOKUP($A318,A:AL,37,FALSE)-50)),"-",(VLOOKUP($A318,'SegEnds_NonXtal_BW#'!$A:$Z,26,FALSE)+VLOOKUP($A318,A:AL,37,FALSE)-50))</f>
        <v>417</v>
      </c>
      <c r="AM318" s="28" t="str">
        <f>VLOOKUP(A318,Classification!A:B,2,FALSE)</f>
        <v>B1</v>
      </c>
      <c r="AN318" s="28" t="b">
        <f t="shared" si="211"/>
        <v>1</v>
      </c>
      <c r="AO318" s="3" t="str">
        <f>IF(ISERROR(MATCH(A318,'SegEnds_Xtal_Prot#'!B:B, 0)), "NoXtal", "Xtal")</f>
        <v>NoXtal</v>
      </c>
      <c r="AP318" s="3">
        <f t="shared" si="196"/>
        <v>1</v>
      </c>
      <c r="AQ318" s="3">
        <f t="shared" si="197"/>
        <v>1</v>
      </c>
      <c r="AR318" s="3" t="str">
        <f t="shared" si="198"/>
        <v>-</v>
      </c>
      <c r="AS318" s="3" t="str">
        <f t="shared" si="199"/>
        <v>-</v>
      </c>
      <c r="AT318" s="3" t="str">
        <f t="shared" si="200"/>
        <v>-</v>
      </c>
      <c r="AU318" s="3" t="str">
        <f t="shared" si="201"/>
        <v>-</v>
      </c>
      <c r="AV318" s="3">
        <f t="shared" si="202"/>
        <v>4</v>
      </c>
      <c r="AW318" s="3">
        <f t="shared" si="203"/>
        <v>3</v>
      </c>
      <c r="AX318" s="3">
        <f t="shared" si="204"/>
        <v>8</v>
      </c>
      <c r="AY318" s="3">
        <f t="shared" si="205"/>
        <v>6</v>
      </c>
      <c r="AZ318" s="3">
        <f t="shared" si="206"/>
        <v>1</v>
      </c>
      <c r="BA318" s="3">
        <f>IF(ISERROR(LEN(VLOOKUP(A318,Seqs!A:E,2,FALSE))-AL318),"-",LEN(VLOOKUP(A318,Seqs!A:E,2,FALSE))-AL318)</f>
        <v>40</v>
      </c>
      <c r="BB318" s="16">
        <f t="shared" si="207"/>
        <v>28</v>
      </c>
      <c r="BC318" s="9" t="str">
        <f t="shared" si="208"/>
        <v>-</v>
      </c>
      <c r="BD318" s="3">
        <f t="shared" si="209"/>
        <v>28</v>
      </c>
      <c r="BE318" s="3">
        <f t="shared" si="210"/>
        <v>52</v>
      </c>
    </row>
    <row r="319" spans="1:58" s="3" customFormat="1" x14ac:dyDescent="0.2">
      <c r="A319" s="3" t="s">
        <v>412</v>
      </c>
      <c r="B319" s="3" t="str">
        <f>LOWER(VLOOKUP(A319,Xtal_Templ!A:B,2,FALSE))</f>
        <v>pacr_human</v>
      </c>
      <c r="C319" s="3">
        <f>VLOOKUP($A319,'SegEnds_NonXtal_BW#'!$A:$Z,3,FALSE)+D319-50</f>
        <v>112</v>
      </c>
      <c r="D319" s="3">
        <v>141</v>
      </c>
      <c r="E319" s="3">
        <f>IF(ISERROR(VLOOKUP($A319,'SegEnds_NonXtal_BW#'!$A:$Z,4,FALSE)+VLOOKUP($A319,A:AL,4,FALSE)-50),"-",(VLOOKUP($A319,'SegEnds_NonXtal_BW#'!$A:$Z,4,FALSE)+VLOOKUP($A319,A:AL,4,FALSE)-50))</f>
        <v>151</v>
      </c>
      <c r="F319" s="3">
        <f t="shared" si="215"/>
        <v>152</v>
      </c>
      <c r="G319" s="3">
        <v>154</v>
      </c>
      <c r="H319" s="3">
        <f t="shared" si="221"/>
        <v>155</v>
      </c>
      <c r="I319" s="3">
        <f t="shared" si="221"/>
        <v>156</v>
      </c>
      <c r="J319" s="3">
        <v>169</v>
      </c>
      <c r="K319" s="3">
        <f>VLOOKUP($A319,'SegEnds_NonXtal_BW#'!$A:$Z,8,FALSE)+VLOOKUP($A319,A:AL,10,FALSE)-50</f>
        <v>183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199</v>
      </c>
      <c r="P319" s="3">
        <v>227</v>
      </c>
      <c r="Q319" s="3">
        <f>VLOOKUP($A319,'SegEnds_NonXtal_BW#'!$A:$Z,12,FALSE)+VLOOKUP($A319,A:AL,16,FALSE)-50</f>
        <v>233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239</v>
      </c>
      <c r="V319" s="3">
        <v>249</v>
      </c>
      <c r="W319" s="3">
        <f>IF(ISERROR(VLOOKUP($A319,'SegEnds_NonXtal_BW#'!$A:$Z,16,FALSE)+VLOOKUP($A319,A:AL,22,FALSE)-50),"-",(VLOOKUP($A319,'SegEnds_NonXtal_BW#'!$A:$Z,16,FALSE)+VLOOKUP($A319,A:AL,22,FALSE)-50))</f>
        <v>267</v>
      </c>
      <c r="X319" s="3">
        <f>IF(ISERROR(VLOOKUP($A319,'SegEnds_NonXtal_BW#'!$A:$Z,17,FALSE)+VLOOKUP($A319,A:AL,25,FALSE)-50),"-",(VLOOKUP($A319,'SegEnds_NonXtal_BW#'!$A:$Z,17,FALSE)+VLOOKUP($A319,A:AL,25,FALSE)-50))</f>
        <v>271</v>
      </c>
      <c r="Y319" s="3">
        <v>271</v>
      </c>
      <c r="Z319" s="3">
        <f t="shared" si="220"/>
        <v>273</v>
      </c>
      <c r="AA319" s="3">
        <f>IF(ISERROR(VLOOKUP($A319,'SegEnds_NonXtal_BW#'!$A:$Z,19,FALSE)+VLOOKUP($A319,A:AL,28,FALSE)-50),"-",(VLOOKUP($A319,'SegEnds_NonXtal_BW#'!$A:$Z,19,FALSE)+VLOOKUP($A319,A:AL,28,FALSE)-50))</f>
        <v>277</v>
      </c>
      <c r="AB319" s="3">
        <v>291</v>
      </c>
      <c r="AC319" s="3">
        <f>IF(ISERROR((VLOOKUP($A319,'SegEnds_NonXtal_BW#'!$A:$Z,20,FALSE)+VLOOKUP($A319,A:AL,28,FALSE)-50)),"-",(VLOOKUP($A319,'SegEnds_NonXtal_BW#'!$A:$Z,20,FALSE)+VLOOKUP($A319,A:AL,28,FALSE)-50))</f>
        <v>310</v>
      </c>
      <c r="AD319" s="3">
        <f>IF(ISERROR(VLOOKUP($A319,'SegEnds_NonXtal_BW#'!$A:$Z,21,FALSE)+VLOOKUP($A319,A:AL,31,FALSE)-50),"-",(VLOOKUP($A319,'SegEnds_NonXtal_BW#'!$A:$Z,21,FALSE)+VLOOKUP($A319,A:AL,31,FALSE)-50))</f>
        <v>318</v>
      </c>
      <c r="AE319" s="3">
        <v>343</v>
      </c>
      <c r="AF319" s="3">
        <f>IF(ISERROR((VLOOKUP($A319,'SegEnds_NonXtal_BW#'!$A:$Z,22,FALSE)+VLOOKUP($A319,A:AL,31,FALSE)-50)),"-",(VLOOKUP($A319,'SegEnds_NonXtal_BW#'!$A:$Z,22,FALSE)+VLOOKUP($A319,A:AL,31,FALSE)-50))</f>
        <v>347</v>
      </c>
      <c r="AG319" s="3">
        <f>IF(ISERROR(VLOOKUP($A319,'SegEnds_NonXtal_BW#'!$A:$Z,23,FALSE)+VLOOKUP($A319,A:AL,34,FALSE)-50),"-",(VLOOKUP($A319,'SegEnds_NonXtal_BW#'!$A:$Z,23,FALSE)+VLOOKUP($A319,A:AL,34,FALSE)-50))</f>
        <v>353</v>
      </c>
      <c r="AH319" s="3">
        <v>372</v>
      </c>
      <c r="AI319" s="3">
        <f>IF(ISERROR((VLOOKUP($A319,'SegEnds_NonXtal_BW#'!$A:$Z,24,FALSE)+VLOOKUP($A319,A:AL,34,FALSE)-50)),"-",(VLOOKUP($A319,'SegEnds_NonXtal_BW#'!$A:$Z,24,FALSE)+VLOOKUP($A319,A:AL,34,FALSE)-50))</f>
        <v>378</v>
      </c>
      <c r="AJ319" s="3">
        <f>IF(ISERROR(VLOOKUP($A319,'SegEnds_NonXtal_BW#'!$A:$Z,25,FALSE)+VLOOKUP($A319,A:AL,37,FALSE)-50),"-",(VLOOKUP($A319,'SegEnds_NonXtal_BW#'!$A:$Z,25,FALSE)+VLOOKUP($A319,A:AL,37,FALSE)-50))</f>
        <v>379</v>
      </c>
      <c r="AK319" s="3">
        <v>382</v>
      </c>
      <c r="AL319" s="3">
        <f>IF(ISERROR((VLOOKUP($A319,'SegEnds_NonXtal_BW#'!$A:$Z,26,FALSE)+VLOOKUP($A319,A:AL,37,FALSE)-50)),"-",(VLOOKUP($A319,'SegEnds_NonXtal_BW#'!$A:$Z,26,FALSE)+VLOOKUP($A319,A:AL,37,FALSE)-50))</f>
        <v>404</v>
      </c>
      <c r="AM319" s="28" t="str">
        <f>VLOOKUP(A319,Classification!A:B,2,FALSE)</f>
        <v>B1</v>
      </c>
      <c r="AN319" s="28" t="b">
        <f t="shared" si="211"/>
        <v>1</v>
      </c>
      <c r="AO319" s="3" t="str">
        <f>IF(ISERROR(MATCH(A319,'SegEnds_Xtal_Prot#'!B:B, 0)), "NoXtal", "Xtal")</f>
        <v>NoXtal</v>
      </c>
      <c r="AP319" s="3">
        <f t="shared" si="196"/>
        <v>1</v>
      </c>
      <c r="AQ319" s="3">
        <f t="shared" si="197"/>
        <v>1</v>
      </c>
      <c r="AR319" s="3" t="str">
        <f t="shared" si="198"/>
        <v>-</v>
      </c>
      <c r="AS319" s="3" t="str">
        <f t="shared" si="199"/>
        <v>-</v>
      </c>
      <c r="AT319" s="3" t="str">
        <f t="shared" si="200"/>
        <v>-</v>
      </c>
      <c r="AU319" s="3" t="str">
        <f t="shared" si="201"/>
        <v>-</v>
      </c>
      <c r="AV319" s="3">
        <f t="shared" si="202"/>
        <v>4</v>
      </c>
      <c r="AW319" s="3">
        <f t="shared" si="203"/>
        <v>4</v>
      </c>
      <c r="AX319" s="3">
        <f t="shared" si="204"/>
        <v>8</v>
      </c>
      <c r="AY319" s="3">
        <f t="shared" si="205"/>
        <v>6</v>
      </c>
      <c r="AZ319" s="3">
        <f t="shared" si="206"/>
        <v>1</v>
      </c>
      <c r="BA319" s="3">
        <f>IF(ISERROR(LEN(VLOOKUP(A319,Seqs!A:E,2,FALSE))-AL319),"-",LEN(VLOOKUP(A319,Seqs!A:E,2,FALSE))-AL319)</f>
        <v>34</v>
      </c>
      <c r="BB319" s="16">
        <f t="shared" si="207"/>
        <v>28</v>
      </c>
      <c r="BC319" s="9" t="str">
        <f t="shared" si="208"/>
        <v>-</v>
      </c>
      <c r="BD319" s="3">
        <f t="shared" si="209"/>
        <v>28</v>
      </c>
      <c r="BE319" s="3">
        <f t="shared" si="210"/>
        <v>52</v>
      </c>
    </row>
    <row r="320" spans="1:58" s="3" customFormat="1" x14ac:dyDescent="0.2">
      <c r="A320" s="3" t="s">
        <v>1170</v>
      </c>
      <c r="B320" s="3" t="str">
        <f>LOWER(VLOOKUP(A320,Xtal_Templ!A:B,2,FALSE))</f>
        <v>pacr_human</v>
      </c>
      <c r="C320" s="3">
        <f>VLOOKUP($A320,'SegEnds_NonXtal_BW#'!$A:$Z,3,FALSE)+D320-50</f>
        <v>8</v>
      </c>
      <c r="D320" s="3">
        <v>35</v>
      </c>
      <c r="E320" s="3">
        <f>IF(ISERROR(VLOOKUP($A320,'SegEnds_NonXtal_BW#'!$A:$Z,4,FALSE)+VLOOKUP($A320,A:AL,4,FALSE)-50),"-",(VLOOKUP($A320,'SegEnds_NonXtal_BW#'!$A:$Z,4,FALSE)+VLOOKUP($A320,A:AL,4,FALSE)-50))</f>
        <v>45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48</v>
      </c>
      <c r="J320" s="3">
        <v>61</v>
      </c>
      <c r="K320" s="3">
        <f>VLOOKUP($A320,'SegEnds_NonXtal_BW#'!$A:$Z,8,FALSE)+VLOOKUP($A320,A:AL,10,FALSE)-50</f>
        <v>74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81</v>
      </c>
      <c r="P320" s="3">
        <v>108</v>
      </c>
      <c r="Q320" s="3">
        <f>VLOOKUP($A320,'SegEnds_NonXtal_BW#'!$A:$Z,12,FALSE)+VLOOKUP($A320,A:AL,16,FALSE)-50</f>
        <v>114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130</v>
      </c>
      <c r="V320" s="3">
        <v>140</v>
      </c>
      <c r="W320" s="3">
        <f>IF(ISERROR(VLOOKUP($A320,'SegEnds_NonXtal_BW#'!$A:$Z,16,FALSE)+VLOOKUP($A320,A:AL,22,FALSE)-50),"-",(VLOOKUP($A320,'SegEnds_NonXtal_BW#'!$A:$Z,16,FALSE)+VLOOKUP($A320,A:AL,22,FALSE)-50))</f>
        <v>158</v>
      </c>
      <c r="X320" s="3">
        <f>IF(ISERROR(VLOOKUP($A320,'SegEnds_NonXtal_BW#'!$A:$Z,17,FALSE)+VLOOKUP($A320,A:AL,25,FALSE)-50),"-",(VLOOKUP($A320,'SegEnds_NonXtal_BW#'!$A:$Z,17,FALSE)+VLOOKUP($A320,A:AL,25,FALSE)-50))</f>
        <v>168</v>
      </c>
      <c r="Y320" s="3">
        <v>168</v>
      </c>
      <c r="Z320" s="3">
        <f t="shared" si="220"/>
        <v>170</v>
      </c>
      <c r="AA320" s="3">
        <f>IF(ISERROR(VLOOKUP($A320,'SegEnds_NonXtal_BW#'!$A:$Z,19,FALSE)+VLOOKUP($A320,A:AL,28,FALSE)-50),"-",(VLOOKUP($A320,'SegEnds_NonXtal_BW#'!$A:$Z,19,FALSE)+VLOOKUP($A320,A:AL,28,FALSE)-50))</f>
        <v>172</v>
      </c>
      <c r="AB320" s="3">
        <v>186</v>
      </c>
      <c r="AC320" s="3">
        <f>IF(ISERROR((VLOOKUP($A320,'SegEnds_NonXtal_BW#'!$A:$Z,20,FALSE)+VLOOKUP($A320,A:AL,28,FALSE)-50)),"-",(VLOOKUP($A320,'SegEnds_NonXtal_BW#'!$A:$Z,20,FALSE)+VLOOKUP($A320,A:AL,28,FALSE)-50))</f>
        <v>205</v>
      </c>
      <c r="AD320" s="3">
        <f>IF(ISERROR(VLOOKUP($A320,'SegEnds_NonXtal_BW#'!$A:$Z,21,FALSE)+VLOOKUP($A320,A:AL,31,FALSE)-50),"-",(VLOOKUP($A320,'SegEnds_NonXtal_BW#'!$A:$Z,21,FALSE)+VLOOKUP($A320,A:AL,31,FALSE)-50))</f>
        <v>251</v>
      </c>
      <c r="AE320" s="3">
        <v>272</v>
      </c>
      <c r="AF320" s="3">
        <f>IF(ISERROR((VLOOKUP($A320,'SegEnds_NonXtal_BW#'!$A:$Z,22,FALSE)+VLOOKUP($A320,A:AL,31,FALSE)-50)),"-",(VLOOKUP($A320,'SegEnds_NonXtal_BW#'!$A:$Z,22,FALSE)+VLOOKUP($A320,A:AL,31,FALSE)-50))</f>
        <v>276</v>
      </c>
      <c r="AG320" s="3">
        <f>IF(ISERROR(VLOOKUP($A320,'SegEnds_NonXtal_BW#'!$A:$Z,23,FALSE)+VLOOKUP($A320,A:AL,34,FALSE)-50),"-",(VLOOKUP($A320,'SegEnds_NonXtal_BW#'!$A:$Z,23,FALSE)+VLOOKUP($A320,A:AL,34,FALSE)-50))</f>
        <v>282</v>
      </c>
      <c r="AH320" s="3">
        <v>303</v>
      </c>
      <c r="AI320" s="3">
        <f>IF(ISERROR((VLOOKUP($A320,'SegEnds_NonXtal_BW#'!$A:$Z,24,FALSE)+VLOOKUP($A320,A:AL,34,FALSE)-50)),"-",(VLOOKUP($A320,'SegEnds_NonXtal_BW#'!$A:$Z,24,FALSE)+VLOOKUP($A320,A:AL,34,FALSE)-50))</f>
        <v>309</v>
      </c>
      <c r="AJ320" s="3">
        <f>IF(ISERROR(VLOOKUP($A320,'SegEnds_NonXtal_BW#'!$A:$Z,25,FALSE)+VLOOKUP($A320,A:AL,37,FALSE)-50),"-",(VLOOKUP($A320,'SegEnds_NonXtal_BW#'!$A:$Z,25,FALSE)+VLOOKUP($A320,A:AL,37,FALSE)-50))</f>
        <v>310</v>
      </c>
      <c r="AK320" s="3">
        <v>313</v>
      </c>
      <c r="AL320" s="3">
        <f>IF(ISERROR((VLOOKUP($A320,'SegEnds_NonXtal_BW#'!$A:$Z,26,FALSE)+VLOOKUP($A320,A:AL,37,FALSE)-50)),"-",(VLOOKUP($A320,'SegEnds_NonXtal_BW#'!$A:$Z,26,FALSE)+VLOOKUP($A320,A:AL,37,FALSE)-50))</f>
        <v>326</v>
      </c>
      <c r="AM320" s="28" t="str">
        <f>VLOOKUP(A320,Classification!A:B,2,FALSE)</f>
        <v>B2</v>
      </c>
      <c r="AN320" s="28" t="b">
        <f t="shared" si="211"/>
        <v>1</v>
      </c>
      <c r="AO320" s="3" t="str">
        <f>IF(ISERROR(MATCH(A320,'SegEnds_Xtal_Prot#'!B:B, 0)), "NoXtal", "Xtal")</f>
        <v>NoXtal</v>
      </c>
      <c r="AP320" s="3" t="str">
        <f t="shared" si="196"/>
        <v>-</v>
      </c>
      <c r="AQ320" s="3" t="str">
        <f t="shared" si="197"/>
        <v>-</v>
      </c>
      <c r="AR320" s="3" t="str">
        <f t="shared" si="198"/>
        <v>-</v>
      </c>
      <c r="AS320" s="3" t="str">
        <f t="shared" si="199"/>
        <v>-</v>
      </c>
      <c r="AT320" s="3" t="str">
        <f t="shared" si="200"/>
        <v>-</v>
      </c>
      <c r="AU320" s="3" t="str">
        <f t="shared" si="201"/>
        <v>-</v>
      </c>
      <c r="AV320" s="3">
        <f t="shared" si="202"/>
        <v>10</v>
      </c>
      <c r="AW320" s="3">
        <f t="shared" si="203"/>
        <v>2</v>
      </c>
      <c r="AX320" s="3">
        <f t="shared" si="204"/>
        <v>46</v>
      </c>
      <c r="AY320" s="3">
        <f t="shared" si="205"/>
        <v>6</v>
      </c>
      <c r="AZ320" s="3">
        <f t="shared" si="206"/>
        <v>1</v>
      </c>
      <c r="BA320" s="3">
        <f>IF(ISERROR(LEN(VLOOKUP(A320,Seqs!A:E,2,FALSE))-AL320),"-",LEN(VLOOKUP(A320,Seqs!A:E,2,FALSE))-AL320)</f>
        <v>234</v>
      </c>
      <c r="BB320" s="16">
        <f t="shared" si="207"/>
        <v>26</v>
      </c>
      <c r="BC320" s="9" t="str">
        <f t="shared" si="208"/>
        <v>-</v>
      </c>
      <c r="BD320" s="3">
        <f t="shared" si="209"/>
        <v>26</v>
      </c>
      <c r="BE320" s="3">
        <f t="shared" si="210"/>
        <v>86</v>
      </c>
    </row>
    <row r="321" spans="1:59" s="3" customFormat="1" x14ac:dyDescent="0.2">
      <c r="A321" s="3" t="s">
        <v>1171</v>
      </c>
      <c r="B321" s="3" t="str">
        <f>LOWER(VLOOKUP(A321,Xtal_Templ!A:B,2,FALSE))</f>
        <v>crfr1_human</v>
      </c>
      <c r="C321" s="3">
        <f>VLOOKUP($A321,'SegEnds_NonXtal_BW#'!$A:$Z,3,FALSE)+D321-50</f>
        <v>760</v>
      </c>
      <c r="D321" s="3">
        <v>787</v>
      </c>
      <c r="E321" s="3">
        <f>IF(ISERROR(VLOOKUP($A321,'SegEnds_NonXtal_BW#'!$A:$Z,4,FALSE)+VLOOKUP($A321,A:AL,4,FALSE)-50),"-",(VLOOKUP($A321,'SegEnds_NonXtal_BW#'!$A:$Z,4,FALSE)+VLOOKUP($A321,A:AL,4,FALSE)-50))</f>
        <v>797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800</v>
      </c>
      <c r="J321" s="3">
        <v>813</v>
      </c>
      <c r="K321" s="3">
        <f>VLOOKUP($A321,'SegEnds_NonXtal_BW#'!$A:$Z,8,FALSE)+VLOOKUP($A321,A:AL,10,FALSE)-50</f>
        <v>826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833</v>
      </c>
      <c r="P321" s="3">
        <v>860</v>
      </c>
      <c r="Q321" s="3">
        <f>VLOOKUP($A321,'SegEnds_NonXtal_BW#'!$A:$Z,12,FALSE)+VLOOKUP($A321,A:AL,16,FALSE)-50</f>
        <v>866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882</v>
      </c>
      <c r="V321" s="3">
        <v>892</v>
      </c>
      <c r="W321" s="3">
        <f>IF(ISERROR(VLOOKUP($A321,'SegEnds_NonXtal_BW#'!$A:$Z,16,FALSE)+VLOOKUP($A321,A:AL,22,FALSE)-50),"-",(VLOOKUP($A321,'SegEnds_NonXtal_BW#'!$A:$Z,16,FALSE)+VLOOKUP($A321,A:AL,22,FALSE)-50))</f>
        <v>910</v>
      </c>
      <c r="X321" s="3">
        <f>IF(ISERROR(VLOOKUP($A321,'SegEnds_NonXtal_BW#'!$A:$Z,17,FALSE)+VLOOKUP($A321,A:AL,25,FALSE)-50),"-",(VLOOKUP($A321,'SegEnds_NonXtal_BW#'!$A:$Z,17,FALSE)+VLOOKUP($A321,A:AL,25,FALSE)-50))</f>
        <v>917</v>
      </c>
      <c r="Y321" s="3">
        <v>917</v>
      </c>
      <c r="Z321" s="3">
        <f t="shared" si="220"/>
        <v>919</v>
      </c>
      <c r="AA321" s="3">
        <f>IF(ISERROR(VLOOKUP($A321,'SegEnds_NonXtal_BW#'!$A:$Z,19,FALSE)+VLOOKUP($A321,A:AL,28,FALSE)-50),"-",(VLOOKUP($A321,'SegEnds_NonXtal_BW#'!$A:$Z,19,FALSE)+VLOOKUP($A321,A:AL,28,FALSE)-50))</f>
        <v>921</v>
      </c>
      <c r="AB321" s="3">
        <v>935</v>
      </c>
      <c r="AC321" s="3">
        <f>IF(ISERROR((VLOOKUP($A321,'SegEnds_NonXtal_BW#'!$A:$Z,20,FALSE)+VLOOKUP($A321,A:AL,28,FALSE)-50)),"-",(VLOOKUP($A321,'SegEnds_NonXtal_BW#'!$A:$Z,20,FALSE)+VLOOKUP($A321,A:AL,28,FALSE)-50))</f>
        <v>954</v>
      </c>
      <c r="AD321" s="3">
        <f>IF(ISERROR(VLOOKUP($A321,'SegEnds_NonXtal_BW#'!$A:$Z,21,FALSE)+VLOOKUP($A321,A:AL,31,FALSE)-50),"-",(VLOOKUP($A321,'SegEnds_NonXtal_BW#'!$A:$Z,21,FALSE)+VLOOKUP($A321,A:AL,31,FALSE)-50))</f>
        <v>1014</v>
      </c>
      <c r="AE321" s="3">
        <v>1035</v>
      </c>
      <c r="AF321" s="3">
        <f>IF(ISERROR((VLOOKUP($A321,'SegEnds_NonXtal_BW#'!$A:$Z,22,FALSE)+VLOOKUP($A321,A:AL,31,FALSE)-50)),"-",(VLOOKUP($A321,'SegEnds_NonXtal_BW#'!$A:$Z,22,FALSE)+VLOOKUP($A321,A:AL,31,FALSE)-50))</f>
        <v>1038</v>
      </c>
      <c r="AG321" s="3">
        <f>IF(ISERROR(VLOOKUP($A321,'SegEnds_NonXtal_BW#'!$A:$Z,23,FALSE)+VLOOKUP($A321,A:AL,34,FALSE)-50),"-",(VLOOKUP($A321,'SegEnds_NonXtal_BW#'!$A:$Z,23,FALSE)+VLOOKUP($A321,A:AL,34,FALSE)-50))</f>
        <v>1045</v>
      </c>
      <c r="AH321" s="3">
        <v>1066</v>
      </c>
      <c r="AI321" s="3">
        <f>IF(ISERROR((VLOOKUP($A321,'SegEnds_NonXtal_BW#'!$A:$Z,24,FALSE)+VLOOKUP($A321,A:AL,34,FALSE)-50)),"-",(VLOOKUP($A321,'SegEnds_NonXtal_BW#'!$A:$Z,24,FALSE)+VLOOKUP($A321,A:AL,34,FALSE)-50))</f>
        <v>1072</v>
      </c>
      <c r="AJ321" s="3">
        <f>IF(ISERROR(VLOOKUP($A321,'SegEnds_NonXtal_BW#'!$A:$Z,25,FALSE)+VLOOKUP($A321,A:AL,37,FALSE)-50),"-",(VLOOKUP($A321,'SegEnds_NonXtal_BW#'!$A:$Z,25,FALSE)+VLOOKUP($A321,A:AL,37,FALSE)-50))</f>
        <v>1073</v>
      </c>
      <c r="AK321" s="3">
        <v>1076</v>
      </c>
      <c r="AL321" s="3">
        <f>IF(ISERROR((VLOOKUP($A321,'SegEnds_NonXtal_BW#'!$A:$Z,26,FALSE)+VLOOKUP($A321,A:AL,37,FALSE)-50)),"-",(VLOOKUP($A321,'SegEnds_NonXtal_BW#'!$A:$Z,26,FALSE)+VLOOKUP($A321,A:AL,37,FALSE)-50))</f>
        <v>1089</v>
      </c>
      <c r="AM321" s="28" t="str">
        <f>VLOOKUP(A321,Classification!A:B,2,FALSE)</f>
        <v>B2</v>
      </c>
      <c r="AN321" s="28" t="b">
        <f t="shared" si="211"/>
        <v>1</v>
      </c>
      <c r="AO321" s="3" t="str">
        <f>IF(ISERROR(MATCH(A321,'SegEnds_Xtal_Prot#'!B:B, 0)), "NoXtal", "Xtal")</f>
        <v>NoXtal</v>
      </c>
      <c r="AP321" s="3" t="str">
        <f t="shared" si="196"/>
        <v>-</v>
      </c>
      <c r="AQ321" s="3" t="str">
        <f t="shared" si="197"/>
        <v>-</v>
      </c>
      <c r="AR321" s="3" t="str">
        <f t="shared" si="198"/>
        <v>-</v>
      </c>
      <c r="AS321" s="3" t="str">
        <f t="shared" si="199"/>
        <v>-</v>
      </c>
      <c r="AT321" s="3" t="str">
        <f t="shared" si="200"/>
        <v>-</v>
      </c>
      <c r="AU321" s="3" t="str">
        <f t="shared" si="201"/>
        <v>-</v>
      </c>
      <c r="AV321" s="3">
        <f t="shared" si="202"/>
        <v>7</v>
      </c>
      <c r="AW321" s="3">
        <f t="shared" si="203"/>
        <v>2</v>
      </c>
      <c r="AX321" s="3">
        <f t="shared" si="204"/>
        <v>60</v>
      </c>
      <c r="AY321" s="3">
        <f t="shared" si="205"/>
        <v>7</v>
      </c>
      <c r="AZ321" s="3">
        <f t="shared" si="206"/>
        <v>1</v>
      </c>
      <c r="BA321" s="3">
        <f>IF(ISERROR(LEN(VLOOKUP(A321,Seqs!A:E,2,FALSE))-AL321),"-",LEN(VLOOKUP(A321,Seqs!A:E,2,FALSE))-AL321)</f>
        <v>249</v>
      </c>
      <c r="BB321" s="16">
        <f t="shared" si="207"/>
        <v>26</v>
      </c>
      <c r="BC321" s="9" t="str">
        <f t="shared" si="208"/>
        <v>-</v>
      </c>
      <c r="BD321" s="3">
        <f t="shared" si="209"/>
        <v>26</v>
      </c>
      <c r="BE321" s="3">
        <f t="shared" si="210"/>
        <v>100</v>
      </c>
    </row>
    <row r="322" spans="1:59" s="3" customFormat="1" x14ac:dyDescent="0.2">
      <c r="A322" s="3" t="s">
        <v>1172</v>
      </c>
      <c r="B322" s="3" t="str">
        <f>LOWER(VLOOKUP(A322,Xtal_Templ!A:B,2,FALSE))</f>
        <v>sctr_human</v>
      </c>
      <c r="C322" s="3">
        <f>VLOOKUP($A322,'SegEnds_NonXtal_BW#'!$A:$Z,3,FALSE)+D322-50</f>
        <v>750</v>
      </c>
      <c r="D322" s="3">
        <v>777</v>
      </c>
      <c r="E322" s="3">
        <f>IF(ISERROR(VLOOKUP($A322,'SegEnds_NonXtal_BW#'!$A:$Z,4,FALSE)+VLOOKUP($A322,A:AL,4,FALSE)-50),"-",(VLOOKUP($A322,'SegEnds_NonXtal_BW#'!$A:$Z,4,FALSE)+VLOOKUP($A322,A:AL,4,FALSE)-50))</f>
        <v>787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790</v>
      </c>
      <c r="J322" s="3">
        <v>803</v>
      </c>
      <c r="K322" s="3">
        <f>VLOOKUP($A322,'SegEnds_NonXtal_BW#'!$A:$Z,8,FALSE)+VLOOKUP($A322,A:AL,10,FALSE)-50</f>
        <v>816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823</v>
      </c>
      <c r="P322" s="3">
        <v>850</v>
      </c>
      <c r="Q322" s="3">
        <f>VLOOKUP($A322,'SegEnds_NonXtal_BW#'!$A:$Z,12,FALSE)+VLOOKUP($A322,A:AL,16,FALSE)-50</f>
        <v>856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872</v>
      </c>
      <c r="V322" s="3">
        <v>882</v>
      </c>
      <c r="W322" s="3">
        <f>IF(ISERROR(VLOOKUP($A322,'SegEnds_NonXtal_BW#'!$A:$Z,16,FALSE)+VLOOKUP($A322,A:AL,22,FALSE)-50),"-",(VLOOKUP($A322,'SegEnds_NonXtal_BW#'!$A:$Z,16,FALSE)+VLOOKUP($A322,A:AL,22,FALSE)-50))</f>
        <v>900</v>
      </c>
      <c r="X322" s="3">
        <f>IF(ISERROR(VLOOKUP($A322,'SegEnds_NonXtal_BW#'!$A:$Z,17,FALSE)+VLOOKUP($A322,A:AL,25,FALSE)-50),"-",(VLOOKUP($A322,'SegEnds_NonXtal_BW#'!$A:$Z,17,FALSE)+VLOOKUP($A322,A:AL,25,FALSE)-50))</f>
        <v>909</v>
      </c>
      <c r="Y322" s="3">
        <v>909</v>
      </c>
      <c r="Z322" s="3">
        <f t="shared" si="220"/>
        <v>911</v>
      </c>
      <c r="AA322" s="3">
        <f>IF(ISERROR(VLOOKUP($A322,'SegEnds_NonXtal_BW#'!$A:$Z,19,FALSE)+VLOOKUP($A322,A:AL,28,FALSE)-50),"-",(VLOOKUP($A322,'SegEnds_NonXtal_BW#'!$A:$Z,19,FALSE)+VLOOKUP($A322,A:AL,28,FALSE)-50))</f>
        <v>913</v>
      </c>
      <c r="AB322" s="3">
        <v>927</v>
      </c>
      <c r="AC322" s="3">
        <f>IF(ISERROR((VLOOKUP($A322,'SegEnds_NonXtal_BW#'!$A:$Z,20,FALSE)+VLOOKUP($A322,A:AL,28,FALSE)-50)),"-",(VLOOKUP($A322,'SegEnds_NonXtal_BW#'!$A:$Z,20,FALSE)+VLOOKUP($A322,A:AL,28,FALSE)-50))</f>
        <v>946</v>
      </c>
      <c r="AD322" s="3">
        <f>IF(ISERROR(VLOOKUP($A322,'SegEnds_NonXtal_BW#'!$A:$Z,21,FALSE)+VLOOKUP($A322,A:AL,31,FALSE)-50),"-",(VLOOKUP($A322,'SegEnds_NonXtal_BW#'!$A:$Z,21,FALSE)+VLOOKUP($A322,A:AL,31,FALSE)-50))</f>
        <v>991</v>
      </c>
      <c r="AE322" s="3">
        <v>1012</v>
      </c>
      <c r="AF322" s="3">
        <f>IF(ISERROR((VLOOKUP($A322,'SegEnds_NonXtal_BW#'!$A:$Z,22,FALSE)+VLOOKUP($A322,A:AL,31,FALSE)-50)),"-",(VLOOKUP($A322,'SegEnds_NonXtal_BW#'!$A:$Z,22,FALSE)+VLOOKUP($A322,A:AL,31,FALSE)-50))</f>
        <v>1016</v>
      </c>
      <c r="AG322" s="3">
        <f>IF(ISERROR(VLOOKUP($A322,'SegEnds_NonXtal_BW#'!$A:$Z,23,FALSE)+VLOOKUP($A322,A:AL,34,FALSE)-50),"-",(VLOOKUP($A322,'SegEnds_NonXtal_BW#'!$A:$Z,23,FALSE)+VLOOKUP($A322,A:AL,34,FALSE)-50))</f>
        <v>1022</v>
      </c>
      <c r="AH322" s="3">
        <v>1043</v>
      </c>
      <c r="AI322" s="3">
        <f>IF(ISERROR((VLOOKUP($A322,'SegEnds_NonXtal_BW#'!$A:$Z,24,FALSE)+VLOOKUP($A322,A:AL,34,FALSE)-50)),"-",(VLOOKUP($A322,'SegEnds_NonXtal_BW#'!$A:$Z,24,FALSE)+VLOOKUP($A322,A:AL,34,FALSE)-50))</f>
        <v>1049</v>
      </c>
      <c r="AJ322" s="3">
        <f>IF(ISERROR(VLOOKUP($A322,'SegEnds_NonXtal_BW#'!$A:$Z,25,FALSE)+VLOOKUP($A322,A:AL,37,FALSE)-50),"-",(VLOOKUP($A322,'SegEnds_NonXtal_BW#'!$A:$Z,25,FALSE)+VLOOKUP($A322,A:AL,37,FALSE)-50))</f>
        <v>1050</v>
      </c>
      <c r="AK322" s="3">
        <v>1053</v>
      </c>
      <c r="AL322" s="3">
        <f>IF(ISERROR((VLOOKUP($A322,'SegEnds_NonXtal_BW#'!$A:$Z,26,FALSE)+VLOOKUP($A322,A:AL,37,FALSE)-50)),"-",(VLOOKUP($A322,'SegEnds_NonXtal_BW#'!$A:$Z,26,FALSE)+VLOOKUP($A322,A:AL,37,FALSE)-50))</f>
        <v>1066</v>
      </c>
      <c r="AM322" s="28" t="str">
        <f>VLOOKUP(A322,Classification!A:B,2,FALSE)</f>
        <v>B2</v>
      </c>
      <c r="AN322" s="28" t="b">
        <f t="shared" si="211"/>
        <v>1</v>
      </c>
      <c r="AO322" s="3" t="str">
        <f>IF(ISERROR(MATCH(A322,'SegEnds_Xtal_Prot#'!B:B, 0)), "NoXtal", "Xtal")</f>
        <v>NoXtal</v>
      </c>
      <c r="AP322" s="3" t="str">
        <f t="shared" si="196"/>
        <v>-</v>
      </c>
      <c r="AQ322" s="3" t="str">
        <f t="shared" si="197"/>
        <v>-</v>
      </c>
      <c r="AR322" s="3" t="str">
        <f t="shared" si="198"/>
        <v>-</v>
      </c>
      <c r="AS322" s="3" t="str">
        <f t="shared" si="199"/>
        <v>-</v>
      </c>
      <c r="AT322" s="3" t="str">
        <f t="shared" si="200"/>
        <v>-</v>
      </c>
      <c r="AU322" s="3" t="str">
        <f t="shared" si="201"/>
        <v>-</v>
      </c>
      <c r="AV322" s="3">
        <f t="shared" si="202"/>
        <v>9</v>
      </c>
      <c r="AW322" s="3">
        <f t="shared" si="203"/>
        <v>2</v>
      </c>
      <c r="AX322" s="3">
        <f t="shared" si="204"/>
        <v>45</v>
      </c>
      <c r="AY322" s="3">
        <f t="shared" si="205"/>
        <v>6</v>
      </c>
      <c r="AZ322" s="3">
        <f t="shared" si="206"/>
        <v>1</v>
      </c>
      <c r="BA322" s="3">
        <f>IF(ISERROR(LEN(VLOOKUP(A322,Seqs!A:E,2,FALSE))-AL322),"-",LEN(VLOOKUP(A322,Seqs!A:E,2,FALSE))-AL322)</f>
        <v>255</v>
      </c>
      <c r="BB322" s="16">
        <f t="shared" si="207"/>
        <v>26</v>
      </c>
      <c r="BC322" s="9" t="str">
        <f t="shared" si="208"/>
        <v>-</v>
      </c>
      <c r="BD322" s="3">
        <f t="shared" si="209"/>
        <v>26</v>
      </c>
      <c r="BE322" s="3">
        <f t="shared" si="210"/>
        <v>85</v>
      </c>
    </row>
    <row r="323" spans="1:59" s="3" customFormat="1" x14ac:dyDescent="0.2">
      <c r="A323" s="3" t="s">
        <v>1173</v>
      </c>
      <c r="B323" s="3" t="str">
        <f>LOWER(VLOOKUP(A323,Xtal_Templ!A:B,2,FALSE))</f>
        <v>crfr1_human</v>
      </c>
      <c r="C323" s="3">
        <f>VLOOKUP($A323,'SegEnds_NonXtal_BW#'!$A:$Z,3,FALSE)+D323-50</f>
        <v>920</v>
      </c>
      <c r="D323" s="3">
        <v>947</v>
      </c>
      <c r="E323" s="3">
        <f>IF(ISERROR(VLOOKUP($A323,'SegEnds_NonXtal_BW#'!$A:$Z,4,FALSE)+VLOOKUP($A323,A:AL,4,FALSE)-50),"-",(VLOOKUP($A323,'SegEnds_NonXtal_BW#'!$A:$Z,4,FALSE)+VLOOKUP($A323,A:AL,4,FALSE)-50))</f>
        <v>957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963</v>
      </c>
      <c r="J323" s="3">
        <v>976</v>
      </c>
      <c r="K323" s="3">
        <f>VLOOKUP($A323,'SegEnds_NonXtal_BW#'!$A:$Z,8,FALSE)+VLOOKUP($A323,A:AL,10,FALSE)-50</f>
        <v>989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994</v>
      </c>
      <c r="P323" s="3">
        <v>1021</v>
      </c>
      <c r="Q323" s="3">
        <f>VLOOKUP($A323,'SegEnds_NonXtal_BW#'!$A:$Z,12,FALSE)+VLOOKUP($A323,A:AL,16,FALSE)-50</f>
        <v>1027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1033</v>
      </c>
      <c r="V323" s="3">
        <v>1043</v>
      </c>
      <c r="W323" s="3">
        <f>IF(ISERROR(VLOOKUP($A323,'SegEnds_NonXtal_BW#'!$A:$Z,16,FALSE)+VLOOKUP($A323,A:AL,22,FALSE)-50),"-",(VLOOKUP($A323,'SegEnds_NonXtal_BW#'!$A:$Z,16,FALSE)+VLOOKUP($A323,A:AL,22,FALSE)-50))</f>
        <v>1061</v>
      </c>
      <c r="X323" s="3">
        <f>IF(ISERROR(VLOOKUP($A323,'SegEnds_NonXtal_BW#'!$A:$Z,17,FALSE)+VLOOKUP($A323,A:AL,25,FALSE)-50),"-",(VLOOKUP($A323,'SegEnds_NonXtal_BW#'!$A:$Z,17,FALSE)+VLOOKUP($A323,A:AL,25,FALSE)-50))</f>
        <v>1068</v>
      </c>
      <c r="Y323" s="3">
        <v>1068</v>
      </c>
      <c r="Z323" s="3">
        <f t="shared" si="220"/>
        <v>1070</v>
      </c>
      <c r="AA323" s="3">
        <f>IF(ISERROR(VLOOKUP($A323,'SegEnds_NonXtal_BW#'!$A:$Z,19,FALSE)+VLOOKUP($A323,A:AL,28,FALSE)-50),"-",(VLOOKUP($A323,'SegEnds_NonXtal_BW#'!$A:$Z,19,FALSE)+VLOOKUP($A323,A:AL,28,FALSE)-50))</f>
        <v>1073</v>
      </c>
      <c r="AB323" s="3">
        <v>1087</v>
      </c>
      <c r="AC323" s="3">
        <f>IF(ISERROR((VLOOKUP($A323,'SegEnds_NonXtal_BW#'!$A:$Z,20,FALSE)+VLOOKUP($A323,A:AL,28,FALSE)-50)),"-",(VLOOKUP($A323,'SegEnds_NonXtal_BW#'!$A:$Z,20,FALSE)+VLOOKUP($A323,A:AL,28,FALSE)-50))</f>
        <v>1106</v>
      </c>
      <c r="AD323" s="3">
        <f>IF(ISERROR(VLOOKUP($A323,'SegEnds_NonXtal_BW#'!$A:$Z,21,FALSE)+VLOOKUP($A323,A:AL,31,FALSE)-50),"-",(VLOOKUP($A323,'SegEnds_NonXtal_BW#'!$A:$Z,21,FALSE)+VLOOKUP($A323,A:AL,31,FALSE)-50))</f>
        <v>1149</v>
      </c>
      <c r="AE323" s="3">
        <v>1170</v>
      </c>
      <c r="AF323" s="3">
        <f>IF(ISERROR((VLOOKUP($A323,'SegEnds_NonXtal_BW#'!$A:$Z,22,FALSE)+VLOOKUP($A323,A:AL,31,FALSE)-50)),"-",(VLOOKUP($A323,'SegEnds_NonXtal_BW#'!$A:$Z,22,FALSE)+VLOOKUP($A323,A:AL,31,FALSE)-50))</f>
        <v>1173</v>
      </c>
      <c r="AG323" s="3">
        <f>IF(ISERROR(VLOOKUP($A323,'SegEnds_NonXtal_BW#'!$A:$Z,23,FALSE)+VLOOKUP($A323,A:AL,34,FALSE)-50),"-",(VLOOKUP($A323,'SegEnds_NonXtal_BW#'!$A:$Z,23,FALSE)+VLOOKUP($A323,A:AL,34,FALSE)-50))</f>
        <v>1180</v>
      </c>
      <c r="AH323" s="3">
        <v>1199</v>
      </c>
      <c r="AI323" s="3">
        <f>IF(ISERROR((VLOOKUP($A323,'SegEnds_NonXtal_BW#'!$A:$Z,24,FALSE)+VLOOKUP($A323,A:AL,34,FALSE)-50)),"-",(VLOOKUP($A323,'SegEnds_NonXtal_BW#'!$A:$Z,24,FALSE)+VLOOKUP($A323,A:AL,34,FALSE)-50))</f>
        <v>1205</v>
      </c>
      <c r="AJ323" s="3">
        <f>IF(ISERROR(VLOOKUP($A323,'SegEnds_NonXtal_BW#'!$A:$Z,25,FALSE)+VLOOKUP($A323,A:AL,37,FALSE)-50),"-",(VLOOKUP($A323,'SegEnds_NonXtal_BW#'!$A:$Z,25,FALSE)+VLOOKUP($A323,A:AL,37,FALSE)-50))</f>
        <v>1206</v>
      </c>
      <c r="AK323" s="3">
        <v>1209</v>
      </c>
      <c r="AL323" s="3">
        <f>IF(ISERROR((VLOOKUP($A323,'SegEnds_NonXtal_BW#'!$A:$Z,26,FALSE)+VLOOKUP($A323,A:AL,37,FALSE)-50)),"-",(VLOOKUP($A323,'SegEnds_NonXtal_BW#'!$A:$Z,26,FALSE)+VLOOKUP($A323,A:AL,37,FALSE)-50))</f>
        <v>1222</v>
      </c>
      <c r="AM323" s="28" t="str">
        <f>VLOOKUP(A323,Classification!A:B,2,FALSE)</f>
        <v>B2</v>
      </c>
      <c r="AN323" s="28" t="b">
        <f t="shared" si="211"/>
        <v>1</v>
      </c>
      <c r="AO323" s="3" t="str">
        <f>IF(ISERROR(MATCH(A323,'SegEnds_Xtal_Prot#'!B:B, 0)), "NoXtal", "Xtal")</f>
        <v>NoXtal</v>
      </c>
      <c r="AP323" s="3" t="str">
        <f t="shared" si="196"/>
        <v>-</v>
      </c>
      <c r="AQ323" s="3" t="str">
        <f t="shared" si="197"/>
        <v>-</v>
      </c>
      <c r="AR323" s="3" t="str">
        <f t="shared" si="198"/>
        <v>-</v>
      </c>
      <c r="AS323" s="3" t="str">
        <f t="shared" si="199"/>
        <v>-</v>
      </c>
      <c r="AT323" s="3" t="str">
        <f t="shared" si="200"/>
        <v>-</v>
      </c>
      <c r="AU323" s="3" t="str">
        <f t="shared" si="201"/>
        <v>-</v>
      </c>
      <c r="AV323" s="3">
        <f t="shared" si="202"/>
        <v>7</v>
      </c>
      <c r="AW323" s="3">
        <f t="shared" si="203"/>
        <v>3</v>
      </c>
      <c r="AX323" s="3">
        <f t="shared" si="204"/>
        <v>43</v>
      </c>
      <c r="AY323" s="3">
        <f t="shared" si="205"/>
        <v>7</v>
      </c>
      <c r="AZ323" s="3">
        <f t="shared" si="206"/>
        <v>1</v>
      </c>
      <c r="BA323" s="3">
        <f>IF(ISERROR(LEN(VLOOKUP(A323,Seqs!A:E,2,FALSE))-AL323),"-",LEN(VLOOKUP(A323,Seqs!A:E,2,FALSE))-AL323)</f>
        <v>363</v>
      </c>
      <c r="BB323" s="16">
        <f t="shared" si="207"/>
        <v>29</v>
      </c>
      <c r="BC323" s="9" t="str">
        <f t="shared" si="208"/>
        <v>-</v>
      </c>
      <c r="BD323" s="3">
        <f t="shared" si="209"/>
        <v>29</v>
      </c>
      <c r="BE323" s="3">
        <f t="shared" si="210"/>
        <v>83</v>
      </c>
    </row>
    <row r="324" spans="1:59" s="3" customFormat="1" x14ac:dyDescent="0.2">
      <c r="A324" s="3" t="s">
        <v>1174</v>
      </c>
      <c r="B324" s="3" t="str">
        <f>LOWER(VLOOKUP(A324,Xtal_Templ!A:B,2,FALSE))</f>
        <v>crfr1_human</v>
      </c>
      <c r="C324" s="3">
        <f>VLOOKUP($A324,'SegEnds_NonXtal_BW#'!$A:$Z,3,FALSE)+D324-50</f>
        <v>865</v>
      </c>
      <c r="D324" s="3">
        <v>892</v>
      </c>
      <c r="E324" s="3">
        <f>IF(ISERROR(VLOOKUP($A324,'SegEnds_NonXtal_BW#'!$A:$Z,4,FALSE)+VLOOKUP($A324,A:AL,4,FALSE)-50),"-",(VLOOKUP($A324,'SegEnds_NonXtal_BW#'!$A:$Z,4,FALSE)+VLOOKUP($A324,A:AL,4,FALSE)-50))</f>
        <v>902</v>
      </c>
      <c r="F324" s="3" t="s">
        <v>23</v>
      </c>
      <c r="G324" s="3" t="s">
        <v>23</v>
      </c>
      <c r="H324" s="3" t="s">
        <v>23</v>
      </c>
      <c r="I324" s="3">
        <f>VLOOKUP($A324,'SegEnds_NonXtal_BW#'!$A:$Z,7,FALSE)+J324-50</f>
        <v>908</v>
      </c>
      <c r="J324" s="3">
        <v>921</v>
      </c>
      <c r="K324" s="3">
        <f>VLOOKUP($A324,'SegEnds_NonXtal_BW#'!$A:$Z,8,FALSE)+VLOOKUP($A324,A:AL,10,FALSE)-50</f>
        <v>934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939</v>
      </c>
      <c r="P324" s="3">
        <v>966</v>
      </c>
      <c r="Q324" s="3">
        <f>VLOOKUP($A324,'SegEnds_NonXtal_BW#'!$A:$Z,12,FALSE)+VLOOKUP($A324,A:AL,16,FALSE)-50</f>
        <v>972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978</v>
      </c>
      <c r="V324" s="3">
        <v>988</v>
      </c>
      <c r="W324" s="3">
        <f>IF(ISERROR(VLOOKUP($A324,'SegEnds_NonXtal_BW#'!$A:$Z,16,FALSE)+VLOOKUP($A324,A:AL,22,FALSE)-50),"-",(VLOOKUP($A324,'SegEnds_NonXtal_BW#'!$A:$Z,16,FALSE)+VLOOKUP($A324,A:AL,22,FALSE)-50))</f>
        <v>1006</v>
      </c>
      <c r="X324" s="3">
        <f>IF(ISERROR(VLOOKUP($A324,'SegEnds_NonXtal_BW#'!$A:$Z,17,FALSE)+VLOOKUP($A324,A:AL,25,FALSE)-50),"-",(VLOOKUP($A324,'SegEnds_NonXtal_BW#'!$A:$Z,17,FALSE)+VLOOKUP($A324,A:AL,25,FALSE)-50))</f>
        <v>1013</v>
      </c>
      <c r="Y324" s="3">
        <v>1013</v>
      </c>
      <c r="Z324" s="3">
        <f t="shared" si="220"/>
        <v>1015</v>
      </c>
      <c r="AA324" s="3">
        <f>IF(ISERROR(VLOOKUP($A324,'SegEnds_NonXtal_BW#'!$A:$Z,19,FALSE)+VLOOKUP($A324,A:AL,28,FALSE)-50),"-",(VLOOKUP($A324,'SegEnds_NonXtal_BW#'!$A:$Z,19,FALSE)+VLOOKUP($A324,A:AL,28,FALSE)-50))</f>
        <v>1018</v>
      </c>
      <c r="AB324" s="3">
        <v>1032</v>
      </c>
      <c r="AC324" s="3">
        <f>IF(ISERROR((VLOOKUP($A324,'SegEnds_NonXtal_BW#'!$A:$Z,20,FALSE)+VLOOKUP($A324,A:AL,28,FALSE)-50)),"-",(VLOOKUP($A324,'SegEnds_NonXtal_BW#'!$A:$Z,20,FALSE)+VLOOKUP($A324,A:AL,28,FALSE)-50))</f>
        <v>1051</v>
      </c>
      <c r="AD324" s="3">
        <f>IF(ISERROR(VLOOKUP($A324,'SegEnds_NonXtal_BW#'!$A:$Z,21,FALSE)+VLOOKUP($A324,A:AL,31,FALSE)-50),"-",(VLOOKUP($A324,'SegEnds_NonXtal_BW#'!$A:$Z,21,FALSE)+VLOOKUP($A324,A:AL,31,FALSE)-50))</f>
        <v>1094</v>
      </c>
      <c r="AE324" s="3">
        <v>1115</v>
      </c>
      <c r="AF324" s="3">
        <f>IF(ISERROR((VLOOKUP($A324,'SegEnds_NonXtal_BW#'!$A:$Z,22,FALSE)+VLOOKUP($A324,A:AL,31,FALSE)-50)),"-",(VLOOKUP($A324,'SegEnds_NonXtal_BW#'!$A:$Z,22,FALSE)+VLOOKUP($A324,A:AL,31,FALSE)-50))</f>
        <v>1118</v>
      </c>
      <c r="AG324" s="3">
        <f>IF(ISERROR(VLOOKUP($A324,'SegEnds_NonXtal_BW#'!$A:$Z,23,FALSE)+VLOOKUP($A324,A:AL,34,FALSE)-50),"-",(VLOOKUP($A324,'SegEnds_NonXtal_BW#'!$A:$Z,23,FALSE)+VLOOKUP($A324,A:AL,34,FALSE)-50))</f>
        <v>1125</v>
      </c>
      <c r="AH324" s="3">
        <v>1144</v>
      </c>
      <c r="AI324" s="3">
        <f>IF(ISERROR((VLOOKUP($A324,'SegEnds_NonXtal_BW#'!$A:$Z,24,FALSE)+VLOOKUP($A324,A:AL,34,FALSE)-50)),"-",(VLOOKUP($A324,'SegEnds_NonXtal_BW#'!$A:$Z,24,FALSE)+VLOOKUP($A324,A:AL,34,FALSE)-50))</f>
        <v>1150</v>
      </c>
      <c r="AJ324" s="3">
        <f>IF(ISERROR(VLOOKUP($A324,'SegEnds_NonXtal_BW#'!$A:$Z,25,FALSE)+VLOOKUP($A324,A:AL,37,FALSE)-50),"-",(VLOOKUP($A324,'SegEnds_NonXtal_BW#'!$A:$Z,25,FALSE)+VLOOKUP($A324,A:AL,37,FALSE)-50))</f>
        <v>1151</v>
      </c>
      <c r="AK324" s="3">
        <v>1154</v>
      </c>
      <c r="AL324" s="3">
        <f>IF(ISERROR((VLOOKUP($A324,'SegEnds_NonXtal_BW#'!$A:$Z,26,FALSE)+VLOOKUP($A324,A:AL,37,FALSE)-50)),"-",(VLOOKUP($A324,'SegEnds_NonXtal_BW#'!$A:$Z,26,FALSE)+VLOOKUP($A324,A:AL,37,FALSE)-50))</f>
        <v>1167</v>
      </c>
      <c r="AM324" s="28" t="str">
        <f>VLOOKUP(A324,Classification!A:B,2,FALSE)</f>
        <v>B2</v>
      </c>
      <c r="AN324" s="28" t="b">
        <f t="shared" si="211"/>
        <v>1</v>
      </c>
      <c r="AO324" s="3" t="str">
        <f>IF(ISERROR(MATCH(A324,'SegEnds_Xtal_Prot#'!B:B, 0)), "NoXtal", "Xtal")</f>
        <v>NoXtal</v>
      </c>
      <c r="AP324" s="3" t="str">
        <f t="shared" si="196"/>
        <v>-</v>
      </c>
      <c r="AQ324" s="3" t="str">
        <f t="shared" si="197"/>
        <v>-</v>
      </c>
      <c r="AR324" s="3" t="str">
        <f t="shared" si="198"/>
        <v>-</v>
      </c>
      <c r="AS324" s="3" t="str">
        <f t="shared" si="199"/>
        <v>-</v>
      </c>
      <c r="AT324" s="3" t="str">
        <f t="shared" si="200"/>
        <v>-</v>
      </c>
      <c r="AU324" s="3" t="str">
        <f t="shared" si="201"/>
        <v>-</v>
      </c>
      <c r="AV324" s="3">
        <f t="shared" si="202"/>
        <v>7</v>
      </c>
      <c r="AW324" s="3">
        <f t="shared" si="203"/>
        <v>3</v>
      </c>
      <c r="AX324" s="3">
        <f t="shared" si="204"/>
        <v>43</v>
      </c>
      <c r="AY324" s="3">
        <f t="shared" si="205"/>
        <v>7</v>
      </c>
      <c r="AZ324" s="3">
        <f t="shared" si="206"/>
        <v>1</v>
      </c>
      <c r="BA324" s="3">
        <f>IF(ISERROR(LEN(VLOOKUP(A324,Seqs!A:E,2,FALSE))-AL324),"-",LEN(VLOOKUP(A324,Seqs!A:E,2,FALSE))-AL324)</f>
        <v>355</v>
      </c>
      <c r="BB324" s="16">
        <f t="shared" si="207"/>
        <v>29</v>
      </c>
      <c r="BC324" s="9" t="str">
        <f t="shared" si="208"/>
        <v>-</v>
      </c>
      <c r="BD324" s="3">
        <f t="shared" si="209"/>
        <v>29</v>
      </c>
      <c r="BE324" s="3">
        <f t="shared" si="210"/>
        <v>83</v>
      </c>
    </row>
    <row r="325" spans="1:59" s="3" customFormat="1" x14ac:dyDescent="0.2">
      <c r="A325" s="3" t="s">
        <v>1175</v>
      </c>
      <c r="B325" s="3" t="str">
        <f>LOWER(VLOOKUP(A325,Xtal_Templ!A:B,2,FALSE))</f>
        <v>crfr1_human</v>
      </c>
      <c r="C325" s="3">
        <f>VLOOKUP($A325,'SegEnds_NonXtal_BW#'!$A:$Z,3,FALSE)+D325-50</f>
        <v>554</v>
      </c>
      <c r="D325" s="3">
        <v>581</v>
      </c>
      <c r="E325" s="3">
        <f>IF(ISERROR(VLOOKUP($A325,'SegEnds_NonXtal_BW#'!$A:$Z,4,FALSE)+VLOOKUP($A325,A:AL,4,FALSE)-50),"-",(VLOOKUP($A325,'SegEnds_NonXtal_BW#'!$A:$Z,4,FALSE)+VLOOKUP($A325,A:AL,4,FALSE)-50))</f>
        <v>591</v>
      </c>
      <c r="F325" s="3">
        <f>G325-2</f>
        <v>592</v>
      </c>
      <c r="G325" s="3">
        <v>594</v>
      </c>
      <c r="H325" s="3">
        <f>G325+1</f>
        <v>595</v>
      </c>
      <c r="I325" s="3">
        <f>H325+1</f>
        <v>596</v>
      </c>
      <c r="J325" s="3">
        <v>612</v>
      </c>
      <c r="K325" s="3">
        <f>VLOOKUP($A325,'SegEnds_NonXtal_BW#'!$A:$Z,8,FALSE)+VLOOKUP($A325,A:AL,10,FALSE)-50</f>
        <v>625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630</v>
      </c>
      <c r="P325" s="3">
        <v>657</v>
      </c>
      <c r="Q325" s="3">
        <f>VLOOKUP($A325,'SegEnds_NonXtal_BW#'!$A:$Z,12,FALSE)+VLOOKUP($A325,A:AL,16,FALSE)-50</f>
        <v>663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670</v>
      </c>
      <c r="V325" s="3">
        <v>680</v>
      </c>
      <c r="W325" s="3">
        <f>IF(ISERROR(VLOOKUP($A325,'SegEnds_NonXtal_BW#'!$A:$Z,16,FALSE)+VLOOKUP($A325,A:AL,22,FALSE)-50),"-",(VLOOKUP($A325,'SegEnds_NonXtal_BW#'!$A:$Z,16,FALSE)+VLOOKUP($A325,A:AL,22,FALSE)-50))</f>
        <v>698</v>
      </c>
      <c r="X325" s="3">
        <f>IF(ISERROR(VLOOKUP($A325,'SegEnds_NonXtal_BW#'!$A:$Z,17,FALSE)+VLOOKUP($A325,A:AL,25,FALSE)-50),"-",(VLOOKUP($A325,'SegEnds_NonXtal_BW#'!$A:$Z,17,FALSE)+VLOOKUP($A325,A:AL,25,FALSE)-50))</f>
        <v>704</v>
      </c>
      <c r="Y325" s="3">
        <v>704</v>
      </c>
      <c r="Z325" s="3">
        <f t="shared" si="220"/>
        <v>706</v>
      </c>
      <c r="AA325" s="3">
        <f>IF(ISERROR(VLOOKUP($A325,'SegEnds_NonXtal_BW#'!$A:$Z,19,FALSE)+VLOOKUP($A325,A:AL,28,FALSE)-50),"-",(VLOOKUP($A325,'SegEnds_NonXtal_BW#'!$A:$Z,19,FALSE)+VLOOKUP($A325,A:AL,28,FALSE)-50))</f>
        <v>709</v>
      </c>
      <c r="AB325" s="3">
        <v>723</v>
      </c>
      <c r="AC325" s="3">
        <f>IF(ISERROR((VLOOKUP($A325,'SegEnds_NonXtal_BW#'!$A:$Z,20,FALSE)+VLOOKUP($A325,A:AL,28,FALSE)-50)),"-",(VLOOKUP($A325,'SegEnds_NonXtal_BW#'!$A:$Z,20,FALSE)+VLOOKUP($A325,A:AL,28,FALSE)-50))</f>
        <v>742</v>
      </c>
      <c r="AD325" s="3">
        <f>IF(ISERROR(VLOOKUP($A325,'SegEnds_NonXtal_BW#'!$A:$Z,21,FALSE)+VLOOKUP($A325,A:AL,31,FALSE)-50),"-",(VLOOKUP($A325,'SegEnds_NonXtal_BW#'!$A:$Z,21,FALSE)+VLOOKUP($A325,A:AL,31,FALSE)-50))</f>
        <v>754</v>
      </c>
      <c r="AE325" s="3">
        <v>775</v>
      </c>
      <c r="AF325" s="3">
        <f>IF(ISERROR((VLOOKUP($A325,'SegEnds_NonXtal_BW#'!$A:$Z,22,FALSE)+VLOOKUP($A325,A:AL,31,FALSE)-50)),"-",(VLOOKUP($A325,'SegEnds_NonXtal_BW#'!$A:$Z,22,FALSE)+VLOOKUP($A325,A:AL,31,FALSE)-50))</f>
        <v>778</v>
      </c>
      <c r="AG325" s="3">
        <f>IF(ISERROR(VLOOKUP($A325,'SegEnds_NonXtal_BW#'!$A:$Z,23,FALSE)+VLOOKUP($A325,A:AL,34,FALSE)-50),"-",(VLOOKUP($A325,'SegEnds_NonXtal_BW#'!$A:$Z,23,FALSE)+VLOOKUP($A325,A:AL,34,FALSE)-50))</f>
        <v>784</v>
      </c>
      <c r="AH325" s="3">
        <v>803</v>
      </c>
      <c r="AI325" s="3">
        <f>IF(ISERROR((VLOOKUP($A325,'SegEnds_NonXtal_BW#'!$A:$Z,24,FALSE)+VLOOKUP($A325,A:AL,34,FALSE)-50)),"-",(VLOOKUP($A325,'SegEnds_NonXtal_BW#'!$A:$Z,24,FALSE)+VLOOKUP($A325,A:AL,34,FALSE)-50))</f>
        <v>809</v>
      </c>
      <c r="AJ325" s="3">
        <f>IF(ISERROR(VLOOKUP($A325,'SegEnds_NonXtal_BW#'!$A:$Z,25,FALSE)+VLOOKUP($A325,A:AL,37,FALSE)-50),"-",(VLOOKUP($A325,'SegEnds_NonXtal_BW#'!$A:$Z,25,FALSE)+VLOOKUP($A325,A:AL,37,FALSE)-50))</f>
        <v>810</v>
      </c>
      <c r="AK325" s="3">
        <v>813</v>
      </c>
      <c r="AL325" s="3">
        <f>IF(ISERROR((VLOOKUP($A325,'SegEnds_NonXtal_BW#'!$A:$Z,26,FALSE)+VLOOKUP($A325,A:AL,37,FALSE)-50)),"-",(VLOOKUP($A325,'SegEnds_NonXtal_BW#'!$A:$Z,26,FALSE)+VLOOKUP($A325,A:AL,37,FALSE)-50))</f>
        <v>826</v>
      </c>
      <c r="AM325" s="28" t="str">
        <f>VLOOKUP(A325,Classification!A:B,2,FALSE)</f>
        <v>B2</v>
      </c>
      <c r="AN325" s="28" t="b">
        <f t="shared" si="211"/>
        <v>1</v>
      </c>
      <c r="AO325" s="3" t="str">
        <f>IF(ISERROR(MATCH(A325,'SegEnds_Xtal_Prot#'!B:B, 0)), "NoXtal", "Xtal")</f>
        <v>NoXtal</v>
      </c>
      <c r="AP325" s="3">
        <f t="shared" si="196"/>
        <v>1</v>
      </c>
      <c r="AQ325" s="3">
        <f t="shared" si="197"/>
        <v>1</v>
      </c>
      <c r="AR325" s="3" t="str">
        <f t="shared" si="198"/>
        <v>-</v>
      </c>
      <c r="AS325" s="3" t="str">
        <f t="shared" si="199"/>
        <v>-</v>
      </c>
      <c r="AT325" s="3" t="str">
        <f t="shared" si="200"/>
        <v>-</v>
      </c>
      <c r="AU325" s="3" t="str">
        <f t="shared" si="201"/>
        <v>-</v>
      </c>
      <c r="AV325" s="3">
        <f t="shared" si="202"/>
        <v>6</v>
      </c>
      <c r="AW325" s="3">
        <f t="shared" si="203"/>
        <v>3</v>
      </c>
      <c r="AX325" s="3">
        <f t="shared" si="204"/>
        <v>12</v>
      </c>
      <c r="AY325" s="3">
        <f t="shared" si="205"/>
        <v>6</v>
      </c>
      <c r="AZ325" s="3">
        <f t="shared" si="206"/>
        <v>1</v>
      </c>
      <c r="BA325" s="3">
        <f>IF(ISERROR(LEN(VLOOKUP(A325,Seqs!A:E,2,FALSE))-AL325),"-",LEN(VLOOKUP(A325,Seqs!A:E,2,FALSE))-AL325)</f>
        <v>48</v>
      </c>
      <c r="BB325" s="16">
        <f t="shared" si="207"/>
        <v>31</v>
      </c>
      <c r="BC325" s="9" t="str">
        <f t="shared" si="208"/>
        <v>-</v>
      </c>
      <c r="BD325" s="3">
        <f t="shared" si="209"/>
        <v>31</v>
      </c>
      <c r="BE325" s="3">
        <f t="shared" si="210"/>
        <v>52</v>
      </c>
    </row>
    <row r="326" spans="1:59" s="3" customFormat="1" x14ac:dyDescent="0.2">
      <c r="A326" s="3" t="s">
        <v>1176</v>
      </c>
      <c r="B326" s="3" t="str">
        <f>LOWER(VLOOKUP(A326,Xtal_Templ!A:B,2,FALSE))</f>
        <v>crfr1_human</v>
      </c>
      <c r="C326" s="3">
        <f>VLOOKUP($A326,'SegEnds_NonXtal_BW#'!$A:$Z,3,FALSE)+D326-50</f>
        <v>646</v>
      </c>
      <c r="D326" s="3">
        <v>673</v>
      </c>
      <c r="E326" s="3">
        <f>IF(ISERROR(VLOOKUP($A326,'SegEnds_NonXtal_BW#'!$A:$Z,4,FALSE)+VLOOKUP($A326,A:AL,4,FALSE)-50),"-",(VLOOKUP($A326,'SegEnds_NonXtal_BW#'!$A:$Z,4,FALSE)+VLOOKUP($A326,A:AL,4,FALSE)-50))</f>
        <v>683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688</v>
      </c>
      <c r="J326" s="3">
        <v>701</v>
      </c>
      <c r="K326" s="3">
        <f>VLOOKUP($A326,'SegEnds_NonXtal_BW#'!$A:$Z,8,FALSE)+VLOOKUP($A326,A:AL,10,FALSE)-50</f>
        <v>714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719</v>
      </c>
      <c r="P326" s="3">
        <v>746</v>
      </c>
      <c r="Q326" s="3">
        <f>VLOOKUP($A326,'SegEnds_NonXtal_BW#'!$A:$Z,12,FALSE)+VLOOKUP($A326,A:AL,16,FALSE)-50</f>
        <v>752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759</v>
      </c>
      <c r="V326" s="3">
        <v>769</v>
      </c>
      <c r="W326" s="3">
        <f>IF(ISERROR(VLOOKUP($A326,'SegEnds_NonXtal_BW#'!$A:$Z,16,FALSE)+VLOOKUP($A326,A:AL,22,FALSE)-50),"-",(VLOOKUP($A326,'SegEnds_NonXtal_BW#'!$A:$Z,16,FALSE)+VLOOKUP($A326,A:AL,22,FALSE)-50))</f>
        <v>787</v>
      </c>
      <c r="X326" s="3">
        <f>IF(ISERROR(VLOOKUP($A326,'SegEnds_NonXtal_BW#'!$A:$Z,17,FALSE)+VLOOKUP($A326,A:AL,25,FALSE)-50),"-",(VLOOKUP($A326,'SegEnds_NonXtal_BW#'!$A:$Z,17,FALSE)+VLOOKUP($A326,A:AL,25,FALSE)-50))</f>
        <v>793</v>
      </c>
      <c r="Y326" s="3">
        <v>793</v>
      </c>
      <c r="Z326" s="3">
        <f t="shared" si="220"/>
        <v>795</v>
      </c>
      <c r="AA326" s="3">
        <f>IF(ISERROR(VLOOKUP($A326,'SegEnds_NonXtal_BW#'!$A:$Z,19,FALSE)+VLOOKUP($A326,A:AL,28,FALSE)-50),"-",(VLOOKUP($A326,'SegEnds_NonXtal_BW#'!$A:$Z,19,FALSE)+VLOOKUP($A326,A:AL,28,FALSE)-50))</f>
        <v>798</v>
      </c>
      <c r="AB326" s="3">
        <v>812</v>
      </c>
      <c r="AC326" s="3">
        <f>IF(ISERROR((VLOOKUP($A326,'SegEnds_NonXtal_BW#'!$A:$Z,20,FALSE)+VLOOKUP($A326,A:AL,28,FALSE)-50)),"-",(VLOOKUP($A326,'SegEnds_NonXtal_BW#'!$A:$Z,20,FALSE)+VLOOKUP($A326,A:AL,28,FALSE)-50))</f>
        <v>831</v>
      </c>
      <c r="AD326" s="3">
        <f>IF(ISERROR(VLOOKUP($A326,'SegEnds_NonXtal_BW#'!$A:$Z,21,FALSE)+VLOOKUP($A326,A:AL,31,FALSE)-50),"-",(VLOOKUP($A326,'SegEnds_NonXtal_BW#'!$A:$Z,21,FALSE)+VLOOKUP($A326,A:AL,31,FALSE)-50))</f>
        <v>857</v>
      </c>
      <c r="AE326" s="3">
        <v>878</v>
      </c>
      <c r="AF326" s="3">
        <f>IF(ISERROR((VLOOKUP($A326,'SegEnds_NonXtal_BW#'!$A:$Z,22,FALSE)+VLOOKUP($A326,A:AL,31,FALSE)-50)),"-",(VLOOKUP($A326,'SegEnds_NonXtal_BW#'!$A:$Z,22,FALSE)+VLOOKUP($A326,A:AL,31,FALSE)-50))</f>
        <v>878</v>
      </c>
      <c r="AG326" s="3">
        <f>IF(ISERROR(VLOOKUP($A326,'SegEnds_NonXtal_BW#'!$A:$Z,23,FALSE)+VLOOKUP($A326,A:AL,34,FALSE)-50),"-",(VLOOKUP($A326,'SegEnds_NonXtal_BW#'!$A:$Z,23,FALSE)+VLOOKUP($A326,A:AL,34,FALSE)-50))</f>
        <v>881</v>
      </c>
      <c r="AH326" s="3">
        <v>898</v>
      </c>
      <c r="AI326" s="3">
        <f>IF(ISERROR((VLOOKUP($A326,'SegEnds_NonXtal_BW#'!$A:$Z,24,FALSE)+VLOOKUP($A326,A:AL,34,FALSE)-50)),"-",(VLOOKUP($A326,'SegEnds_NonXtal_BW#'!$A:$Z,24,FALSE)+VLOOKUP($A326,A:AL,34,FALSE)-50))</f>
        <v>904</v>
      </c>
      <c r="AJ326" s="3">
        <f>IF(ISERROR(VLOOKUP($A326,'SegEnds_NonXtal_BW#'!$A:$Z,25,FALSE)+VLOOKUP($A326,A:AL,37,FALSE)-50),"-",(VLOOKUP($A326,'SegEnds_NonXtal_BW#'!$A:$Z,25,FALSE)+VLOOKUP($A326,A:AL,37,FALSE)-50))</f>
        <v>905</v>
      </c>
      <c r="AK326" s="3">
        <v>908</v>
      </c>
      <c r="AL326" s="3">
        <f>IF(ISERROR((VLOOKUP($A326,'SegEnds_NonXtal_BW#'!$A:$Z,26,FALSE)+VLOOKUP($A326,A:AL,37,FALSE)-50)),"-",(VLOOKUP($A326,'SegEnds_NonXtal_BW#'!$A:$Z,26,FALSE)+VLOOKUP($A326,A:AL,37,FALSE)-50))</f>
        <v>921</v>
      </c>
      <c r="AM326" s="28" t="str">
        <f>VLOOKUP(A326,Classification!A:B,2,FALSE)</f>
        <v>B2</v>
      </c>
      <c r="AN326" s="28" t="b">
        <f t="shared" si="211"/>
        <v>1</v>
      </c>
      <c r="AO326" s="3" t="str">
        <f>IF(ISERROR(MATCH(A326,'SegEnds_Xtal_Prot#'!B:B, 0)), "NoXtal", "Xtal")</f>
        <v>NoXtal</v>
      </c>
      <c r="AP326" s="3" t="str">
        <f t="shared" si="196"/>
        <v>-</v>
      </c>
      <c r="AQ326" s="3" t="str">
        <f t="shared" si="197"/>
        <v>-</v>
      </c>
      <c r="AR326" s="3" t="str">
        <f t="shared" si="198"/>
        <v>-</v>
      </c>
      <c r="AS326" s="3" t="str">
        <f t="shared" si="199"/>
        <v>-</v>
      </c>
      <c r="AT326" s="3" t="str">
        <f t="shared" si="200"/>
        <v>-</v>
      </c>
      <c r="AU326" s="3" t="str">
        <f t="shared" si="201"/>
        <v>-</v>
      </c>
      <c r="AV326" s="3">
        <f t="shared" si="202"/>
        <v>6</v>
      </c>
      <c r="AW326" s="3">
        <f t="shared" si="203"/>
        <v>3</v>
      </c>
      <c r="AX326" s="3">
        <f t="shared" si="204"/>
        <v>26</v>
      </c>
      <c r="AY326" s="3">
        <f t="shared" si="205"/>
        <v>3</v>
      </c>
      <c r="AZ326" s="3">
        <f t="shared" si="206"/>
        <v>1</v>
      </c>
      <c r="BA326" s="3">
        <f>IF(ISERROR(LEN(VLOOKUP(A326,Seqs!A:E,2,FALSE))-AL326),"-",LEN(VLOOKUP(A326,Seqs!A:E,2,FALSE))-AL326)</f>
        <v>42</v>
      </c>
      <c r="BB326" s="16">
        <f t="shared" si="207"/>
        <v>28</v>
      </c>
      <c r="BC326" s="9" t="str">
        <f t="shared" si="208"/>
        <v>-</v>
      </c>
      <c r="BD326" s="3">
        <f t="shared" si="209"/>
        <v>28</v>
      </c>
      <c r="BE326" s="3">
        <f t="shared" si="210"/>
        <v>66</v>
      </c>
    </row>
    <row r="327" spans="1:59" s="3" customFormat="1" x14ac:dyDescent="0.2">
      <c r="A327" s="3" t="s">
        <v>1177</v>
      </c>
      <c r="B327" s="3" t="str">
        <f>LOWER(VLOOKUP(A327,Xtal_Templ!A:B,2,FALSE))</f>
        <v>pth1r_human</v>
      </c>
      <c r="C327" s="3">
        <f>VLOOKUP($A327,'SegEnds_NonXtal_BW#'!$A:$Z,3,FALSE)+D327-50</f>
        <v>590</v>
      </c>
      <c r="D327" s="3">
        <v>617</v>
      </c>
      <c r="E327" s="3">
        <f>IF(ISERROR(VLOOKUP($A327,'SegEnds_NonXtal_BW#'!$A:$Z,4,FALSE)+VLOOKUP($A327,A:AL,4,FALSE)-50),"-",(VLOOKUP($A327,'SegEnds_NonXtal_BW#'!$A:$Z,4,FALSE)+VLOOKUP($A327,A:AL,4,FALSE)-50))</f>
        <v>627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632</v>
      </c>
      <c r="J327" s="3">
        <v>645</v>
      </c>
      <c r="K327" s="3">
        <f>VLOOKUP($A327,'SegEnds_NonXtal_BW#'!$A:$Z,8,FALSE)+VLOOKUP($A327,A:AL,10,FALSE)-50</f>
        <v>658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663</v>
      </c>
      <c r="P327" s="3">
        <v>690</v>
      </c>
      <c r="Q327" s="3">
        <f>VLOOKUP($A327,'SegEnds_NonXtal_BW#'!$A:$Z,12,FALSE)+VLOOKUP($A327,A:AL,16,FALSE)-50</f>
        <v>696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705</v>
      </c>
      <c r="V327" s="3">
        <v>718</v>
      </c>
      <c r="W327" s="3">
        <f>IF(ISERROR(VLOOKUP($A327,'SegEnds_NonXtal_BW#'!$A:$Z,16,FALSE)+VLOOKUP($A327,A:AL,22,FALSE)-50),"-",(VLOOKUP($A327,'SegEnds_NonXtal_BW#'!$A:$Z,16,FALSE)+VLOOKUP($A327,A:AL,22,FALSE)-50))</f>
        <v>736</v>
      </c>
      <c r="X327" s="3">
        <f>IF(ISERROR(VLOOKUP($A327,'SegEnds_NonXtal_BW#'!$A:$Z,17,FALSE)+VLOOKUP($A327,A:AL,25,FALSE)-50),"-",(VLOOKUP($A327,'SegEnds_NonXtal_BW#'!$A:$Z,17,FALSE)+VLOOKUP($A327,A:AL,25,FALSE)-50))</f>
        <v>742</v>
      </c>
      <c r="Y327" s="3">
        <v>742</v>
      </c>
      <c r="Z327" s="3">
        <f t="shared" si="220"/>
        <v>744</v>
      </c>
      <c r="AA327" s="3">
        <f>IF(ISERROR(VLOOKUP($A327,'SegEnds_NonXtal_BW#'!$A:$Z,19,FALSE)+VLOOKUP($A327,A:AL,28,FALSE)-50),"-",(VLOOKUP($A327,'SegEnds_NonXtal_BW#'!$A:$Z,19,FALSE)+VLOOKUP($A327,A:AL,28,FALSE)-50))</f>
        <v>747</v>
      </c>
      <c r="AB327" s="3">
        <v>761</v>
      </c>
      <c r="AC327" s="3">
        <f>IF(ISERROR((VLOOKUP($A327,'SegEnds_NonXtal_BW#'!$A:$Z,20,FALSE)+VLOOKUP($A327,A:AL,28,FALSE)-50)),"-",(VLOOKUP($A327,'SegEnds_NonXtal_BW#'!$A:$Z,20,FALSE)+VLOOKUP($A327,A:AL,28,FALSE)-50))</f>
        <v>780</v>
      </c>
      <c r="AD327" s="3">
        <f>IF(ISERROR(VLOOKUP($A327,'SegEnds_NonXtal_BW#'!$A:$Z,21,FALSE)+VLOOKUP($A327,A:AL,31,FALSE)-50),"-",(VLOOKUP($A327,'SegEnds_NonXtal_BW#'!$A:$Z,21,FALSE)+VLOOKUP($A327,A:AL,31,FALSE)-50))</f>
        <v>792</v>
      </c>
      <c r="AE327" s="3">
        <v>813</v>
      </c>
      <c r="AF327" s="3">
        <f>IF(ISERROR((VLOOKUP($A327,'SegEnds_NonXtal_BW#'!$A:$Z,22,FALSE)+VLOOKUP($A327,A:AL,31,FALSE)-50)),"-",(VLOOKUP($A327,'SegEnds_NonXtal_BW#'!$A:$Z,22,FALSE)+VLOOKUP($A327,A:AL,31,FALSE)-50))</f>
        <v>817</v>
      </c>
      <c r="AG327" s="3">
        <f>IF(ISERROR(VLOOKUP($A327,'SegEnds_NonXtal_BW#'!$A:$Z,23,FALSE)+VLOOKUP($A327,A:AL,34,FALSE)-50),"-",(VLOOKUP($A327,'SegEnds_NonXtal_BW#'!$A:$Z,23,FALSE)+VLOOKUP($A327,A:AL,34,FALSE)-50))</f>
        <v>822</v>
      </c>
      <c r="AH327" s="3">
        <v>841</v>
      </c>
      <c r="AI327" s="3">
        <f>IF(ISERROR((VLOOKUP($A327,'SegEnds_NonXtal_BW#'!$A:$Z,24,FALSE)+VLOOKUP($A327,A:AL,34,FALSE)-50)),"-",(VLOOKUP($A327,'SegEnds_NonXtal_BW#'!$A:$Z,24,FALSE)+VLOOKUP($A327,A:AL,34,FALSE)-50))</f>
        <v>847</v>
      </c>
      <c r="AJ327" s="3">
        <f>IF(ISERROR(VLOOKUP($A327,'SegEnds_NonXtal_BW#'!$A:$Z,25,FALSE)+VLOOKUP($A327,A:AL,37,FALSE)-50),"-",(VLOOKUP($A327,'SegEnds_NonXtal_BW#'!$A:$Z,25,FALSE)+VLOOKUP($A327,A:AL,37,FALSE)-50))</f>
        <v>848</v>
      </c>
      <c r="AK327" s="3">
        <v>851</v>
      </c>
      <c r="AL327" s="3">
        <f>IF(ISERROR((VLOOKUP($A327,'SegEnds_NonXtal_BW#'!$A:$Z,26,FALSE)+VLOOKUP($A327,A:AL,37,FALSE)-50)),"-",(VLOOKUP($A327,'SegEnds_NonXtal_BW#'!$A:$Z,26,FALSE)+VLOOKUP($A327,A:AL,37,FALSE)-50))</f>
        <v>864</v>
      </c>
      <c r="AM327" s="28" t="str">
        <f>VLOOKUP(A327,Classification!A:B,2,FALSE)</f>
        <v>B2</v>
      </c>
      <c r="AN327" s="28" t="b">
        <f t="shared" si="211"/>
        <v>1</v>
      </c>
      <c r="AO327" s="3" t="str">
        <f>IF(ISERROR(MATCH(A327,'SegEnds_Xtal_Prot#'!B:B, 0)), "NoXtal", "Xtal")</f>
        <v>NoXtal</v>
      </c>
      <c r="AP327" s="3" t="str">
        <f t="shared" si="196"/>
        <v>-</v>
      </c>
      <c r="AQ327" s="3" t="str">
        <f t="shared" si="197"/>
        <v>-</v>
      </c>
      <c r="AR327" s="3" t="str">
        <f t="shared" si="198"/>
        <v>-</v>
      </c>
      <c r="AS327" s="3" t="str">
        <f t="shared" si="199"/>
        <v>-</v>
      </c>
      <c r="AT327" s="3" t="str">
        <f t="shared" si="200"/>
        <v>-</v>
      </c>
      <c r="AU327" s="3" t="str">
        <f t="shared" si="201"/>
        <v>-</v>
      </c>
      <c r="AV327" s="3">
        <f t="shared" si="202"/>
        <v>6</v>
      </c>
      <c r="AW327" s="3">
        <f t="shared" si="203"/>
        <v>3</v>
      </c>
      <c r="AX327" s="3">
        <f t="shared" si="204"/>
        <v>12</v>
      </c>
      <c r="AY327" s="3">
        <f t="shared" si="205"/>
        <v>5</v>
      </c>
      <c r="AZ327" s="3">
        <f t="shared" si="206"/>
        <v>1</v>
      </c>
      <c r="BA327" s="3">
        <f>IF(ISERROR(LEN(VLOOKUP(A327,Seqs!A:E,2,FALSE))-AL327),"-",LEN(VLOOKUP(A327,Seqs!A:E,2,FALSE))-AL327)</f>
        <v>22</v>
      </c>
      <c r="BB327" s="16">
        <f t="shared" si="207"/>
        <v>28</v>
      </c>
      <c r="BC327" s="9" t="str">
        <f t="shared" si="208"/>
        <v>-</v>
      </c>
      <c r="BD327" s="3">
        <f t="shared" si="209"/>
        <v>28</v>
      </c>
      <c r="BE327" s="3">
        <f t="shared" si="210"/>
        <v>52</v>
      </c>
      <c r="BF327" s="3">
        <f>AH327-AE327</f>
        <v>28</v>
      </c>
    </row>
    <row r="328" spans="1:59" s="3" customFormat="1" x14ac:dyDescent="0.2">
      <c r="A328" s="3" t="s">
        <v>1178</v>
      </c>
      <c r="B328" s="3" t="str">
        <f>LOWER(VLOOKUP(A328,Xtal_Templ!A:B,2,FALSE))</f>
        <v>glp1r_human</v>
      </c>
      <c r="C328" s="3">
        <f>VLOOKUP($A328,'SegEnds_NonXtal_BW#'!$A:$Z,3,FALSE)+D328-50</f>
        <v>524</v>
      </c>
      <c r="D328" s="3">
        <v>551</v>
      </c>
      <c r="E328" s="3">
        <f>IF(ISERROR(VLOOKUP($A328,'SegEnds_NonXtal_BW#'!$A:$Z,4,FALSE)+VLOOKUP($A328,A:AL,4,FALSE)-50),"-",(VLOOKUP($A328,'SegEnds_NonXtal_BW#'!$A:$Z,4,FALSE)+VLOOKUP($A328,A:AL,4,FALSE)-50))</f>
        <v>561</v>
      </c>
      <c r="F328" s="3">
        <f>G328-2</f>
        <v>562</v>
      </c>
      <c r="G328" s="3">
        <v>564</v>
      </c>
      <c r="H328" s="3">
        <f t="shared" ref="H328:I330" si="226">G328+1</f>
        <v>565</v>
      </c>
      <c r="I328" s="3">
        <f t="shared" si="226"/>
        <v>566</v>
      </c>
      <c r="J328" s="3">
        <v>579</v>
      </c>
      <c r="K328" s="3">
        <f>VLOOKUP($A328,'SegEnds_NonXtal_BW#'!$A:$Z,8,FALSE)+VLOOKUP($A328,A:AL,10,FALSE)-50</f>
        <v>592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597</v>
      </c>
      <c r="P328" s="3">
        <v>624</v>
      </c>
      <c r="Q328" s="3">
        <f>VLOOKUP($A328,'SegEnds_NonXtal_BW#'!$A:$Z,12,FALSE)+VLOOKUP($A328,A:AL,16,FALSE)-50</f>
        <v>630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640</v>
      </c>
      <c r="V328" s="3">
        <v>652</v>
      </c>
      <c r="W328" s="3">
        <f>IF(ISERROR(VLOOKUP($A328,'SegEnds_NonXtal_BW#'!$A:$Z,16,FALSE)+VLOOKUP($A328,A:AL,22,FALSE)-50),"-",(VLOOKUP($A328,'SegEnds_NonXtal_BW#'!$A:$Z,16,FALSE)+VLOOKUP($A328,A:AL,22,FALSE)-50))</f>
        <v>670</v>
      </c>
      <c r="X328" s="3">
        <f>IF(ISERROR(VLOOKUP($A328,'SegEnds_NonXtal_BW#'!$A:$Z,17,FALSE)+VLOOKUP($A328,A:AL,25,FALSE)-50),"-",(VLOOKUP($A328,'SegEnds_NonXtal_BW#'!$A:$Z,17,FALSE)+VLOOKUP($A328,A:AL,25,FALSE)-50))</f>
        <v>676</v>
      </c>
      <c r="Y328" s="3">
        <v>676</v>
      </c>
      <c r="Z328" s="3">
        <f t="shared" si="220"/>
        <v>678</v>
      </c>
      <c r="AA328" s="3">
        <f>IF(ISERROR(VLOOKUP($A328,'SegEnds_NonXtal_BW#'!$A:$Z,19,FALSE)+VLOOKUP($A328,A:AL,28,FALSE)-50),"-",(VLOOKUP($A328,'SegEnds_NonXtal_BW#'!$A:$Z,19,FALSE)+VLOOKUP($A328,A:AL,28,FALSE)-50))</f>
        <v>681</v>
      </c>
      <c r="AB328" s="3">
        <v>695</v>
      </c>
      <c r="AC328" s="3">
        <f>IF(ISERROR((VLOOKUP($A328,'SegEnds_NonXtal_BW#'!$A:$Z,20,FALSE)+VLOOKUP($A328,A:AL,28,FALSE)-50)),"-",(VLOOKUP($A328,'SegEnds_NonXtal_BW#'!$A:$Z,20,FALSE)+VLOOKUP($A328,A:AL,28,FALSE)-50))</f>
        <v>714</v>
      </c>
      <c r="AD328" s="3">
        <f>IF(ISERROR(VLOOKUP($A328,'SegEnds_NonXtal_BW#'!$A:$Z,21,FALSE)+VLOOKUP($A328,A:AL,31,FALSE)-50),"-",(VLOOKUP($A328,'SegEnds_NonXtal_BW#'!$A:$Z,21,FALSE)+VLOOKUP($A328,A:AL,31,FALSE)-50))</f>
        <v>726</v>
      </c>
      <c r="AE328" s="3">
        <v>747</v>
      </c>
      <c r="AF328" s="3">
        <f>IF(ISERROR((VLOOKUP($A328,'SegEnds_NonXtal_BW#'!$A:$Z,22,FALSE)+VLOOKUP($A328,A:AL,31,FALSE)-50)),"-",(VLOOKUP($A328,'SegEnds_NonXtal_BW#'!$A:$Z,22,FALSE)+VLOOKUP($A328,A:AL,31,FALSE)-50))</f>
        <v>752</v>
      </c>
      <c r="AG328" s="3">
        <f>IF(ISERROR(VLOOKUP($A328,'SegEnds_NonXtal_BW#'!$A:$Z,23,FALSE)+VLOOKUP($A328,A:AL,34,FALSE)-50),"-",(VLOOKUP($A328,'SegEnds_NonXtal_BW#'!$A:$Z,23,FALSE)+VLOOKUP($A328,A:AL,34,FALSE)-50))</f>
        <v>756</v>
      </c>
      <c r="AH328" s="3">
        <v>775</v>
      </c>
      <c r="AI328" s="3">
        <f>IF(ISERROR((VLOOKUP($A328,'SegEnds_NonXtal_BW#'!$A:$Z,24,FALSE)+VLOOKUP($A328,A:AL,34,FALSE)-50)),"-",(VLOOKUP($A328,'SegEnds_NonXtal_BW#'!$A:$Z,24,FALSE)+VLOOKUP($A328,A:AL,34,FALSE)-50))</f>
        <v>781</v>
      </c>
      <c r="AJ328" s="3">
        <f>IF(ISERROR(VLOOKUP($A328,'SegEnds_NonXtal_BW#'!$A:$Z,25,FALSE)+VLOOKUP($A328,A:AL,37,FALSE)-50),"-",(VLOOKUP($A328,'SegEnds_NonXtal_BW#'!$A:$Z,25,FALSE)+VLOOKUP($A328,A:AL,37,FALSE)-50))</f>
        <v>782</v>
      </c>
      <c r="AK328" s="3">
        <v>785</v>
      </c>
      <c r="AL328" s="3">
        <f>IF(ISERROR((VLOOKUP($A328,'SegEnds_NonXtal_BW#'!$A:$Z,26,FALSE)+VLOOKUP($A328,A:AL,37,FALSE)-50)),"-",(VLOOKUP($A328,'SegEnds_NonXtal_BW#'!$A:$Z,26,FALSE)+VLOOKUP($A328,A:AL,37,FALSE)-50))</f>
        <v>798</v>
      </c>
      <c r="AM328" s="28" t="str">
        <f>VLOOKUP(A328,Classification!A:B,2,FALSE)</f>
        <v>B2</v>
      </c>
      <c r="AN328" s="28" t="b">
        <f t="shared" si="211"/>
        <v>1</v>
      </c>
      <c r="AO328" s="3" t="str">
        <f>IF(ISERROR(MATCH(A328,'SegEnds_Xtal_Prot#'!B:B, 0)), "NoXtal", "Xtal")</f>
        <v>NoXtal</v>
      </c>
      <c r="AP328" s="3">
        <f t="shared" si="196"/>
        <v>1</v>
      </c>
      <c r="AQ328" s="3">
        <f t="shared" si="197"/>
        <v>1</v>
      </c>
      <c r="AR328" s="3" t="str">
        <f t="shared" si="198"/>
        <v>-</v>
      </c>
      <c r="AS328" s="3" t="str">
        <f t="shared" si="199"/>
        <v>-</v>
      </c>
      <c r="AT328" s="3" t="str">
        <f t="shared" si="200"/>
        <v>-</v>
      </c>
      <c r="AU328" s="3" t="str">
        <f t="shared" si="201"/>
        <v>-</v>
      </c>
      <c r="AV328" s="3">
        <f t="shared" si="202"/>
        <v>6</v>
      </c>
      <c r="AW328" s="3">
        <f t="shared" si="203"/>
        <v>3</v>
      </c>
      <c r="AX328" s="3">
        <f t="shared" si="204"/>
        <v>12</v>
      </c>
      <c r="AY328" s="3">
        <f t="shared" si="205"/>
        <v>4</v>
      </c>
      <c r="AZ328" s="3">
        <f t="shared" si="206"/>
        <v>1</v>
      </c>
      <c r="BA328" s="3">
        <f>IF(ISERROR(LEN(VLOOKUP(A328,Seqs!A:E,2,FALSE))-AL328),"-",LEN(VLOOKUP(A328,Seqs!A:E,2,FALSE))-AL328)</f>
        <v>25</v>
      </c>
      <c r="BB328" s="16">
        <f t="shared" si="207"/>
        <v>28</v>
      </c>
      <c r="BC328" s="9" t="str">
        <f t="shared" si="208"/>
        <v>-</v>
      </c>
      <c r="BD328" s="3">
        <f t="shared" si="209"/>
        <v>28</v>
      </c>
      <c r="BE328" s="3">
        <f t="shared" si="210"/>
        <v>52</v>
      </c>
      <c r="BF328" s="3">
        <f>AH328-AE328</f>
        <v>28</v>
      </c>
    </row>
    <row r="329" spans="1:59" s="3" customFormat="1" x14ac:dyDescent="0.2">
      <c r="A329" s="3" t="s">
        <v>1179</v>
      </c>
      <c r="B329" s="3" t="str">
        <f>LOWER(VLOOKUP(A329,Xtal_Templ!A:B,2,FALSE))</f>
        <v>sctr_human</v>
      </c>
      <c r="C329" s="3">
        <f>VLOOKUP($A329,'SegEnds_NonXtal_BW#'!$A:$Z,3,FALSE)+D329-50</f>
        <v>344</v>
      </c>
      <c r="D329" s="3">
        <v>371</v>
      </c>
      <c r="E329" s="3">
        <f>IF(ISERROR(VLOOKUP($A329,'SegEnds_NonXtal_BW#'!$A:$Z,4,FALSE)+VLOOKUP($A329,A:AL,4,FALSE)-50),"-",(VLOOKUP($A329,'SegEnds_NonXtal_BW#'!$A:$Z,4,FALSE)+VLOOKUP($A329,A:AL,4,FALSE)-50))</f>
        <v>381</v>
      </c>
      <c r="F329" s="3">
        <f>G329-2</f>
        <v>382</v>
      </c>
      <c r="G329" s="3">
        <v>384</v>
      </c>
      <c r="H329" s="3">
        <f t="shared" si="226"/>
        <v>385</v>
      </c>
      <c r="I329" s="3">
        <f t="shared" si="226"/>
        <v>386</v>
      </c>
      <c r="J329" s="3">
        <v>399</v>
      </c>
      <c r="K329" s="3">
        <f>VLOOKUP($A329,'SegEnds_NonXtal_BW#'!$A:$Z,8,FALSE)+VLOOKUP($A329,A:AL,10,FALSE)-50</f>
        <v>412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417</v>
      </c>
      <c r="P329" s="3">
        <v>444</v>
      </c>
      <c r="Q329" s="3">
        <f>VLOOKUP($A329,'SegEnds_NonXtal_BW#'!$A:$Z,12,FALSE)+VLOOKUP($A329,A:AL,16,FALSE)-50</f>
        <v>450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462</v>
      </c>
      <c r="V329" s="3">
        <v>472</v>
      </c>
      <c r="W329" s="3">
        <f>IF(ISERROR(VLOOKUP($A329,'SegEnds_NonXtal_BW#'!$A:$Z,16,FALSE)+VLOOKUP($A329,A:AL,22,FALSE)-50),"-",(VLOOKUP($A329,'SegEnds_NonXtal_BW#'!$A:$Z,16,FALSE)+VLOOKUP($A329,A:AL,22,FALSE)-50))</f>
        <v>490</v>
      </c>
      <c r="X329" s="3">
        <f>IF(ISERROR(VLOOKUP($A329,'SegEnds_NonXtal_BW#'!$A:$Z,17,FALSE)+VLOOKUP($A329,A:AL,25,FALSE)-50),"-",(VLOOKUP($A329,'SegEnds_NonXtal_BW#'!$A:$Z,17,FALSE)+VLOOKUP($A329,A:AL,25,FALSE)-50))</f>
        <v>496</v>
      </c>
      <c r="Y329" s="3">
        <v>496</v>
      </c>
      <c r="Z329" s="3">
        <f t="shared" si="220"/>
        <v>498</v>
      </c>
      <c r="AA329" s="3">
        <f>IF(ISERROR(VLOOKUP($A329,'SegEnds_NonXtal_BW#'!$A:$Z,19,FALSE)+VLOOKUP($A329,A:AL,28,FALSE)-50),"-",(VLOOKUP($A329,'SegEnds_NonXtal_BW#'!$A:$Z,19,FALSE)+VLOOKUP($A329,A:AL,28,FALSE)-50))</f>
        <v>501</v>
      </c>
      <c r="AB329" s="3">
        <v>515</v>
      </c>
      <c r="AC329" s="3">
        <f>IF(ISERROR((VLOOKUP($A329,'SegEnds_NonXtal_BW#'!$A:$Z,20,FALSE)+VLOOKUP($A329,A:AL,28,FALSE)-50)),"-",(VLOOKUP($A329,'SegEnds_NonXtal_BW#'!$A:$Z,20,FALSE)+VLOOKUP($A329,A:AL,28,FALSE)-50))</f>
        <v>534</v>
      </c>
      <c r="AD329" s="3">
        <f>IF(ISERROR(VLOOKUP($A329,'SegEnds_NonXtal_BW#'!$A:$Z,21,FALSE)+VLOOKUP($A329,A:AL,31,FALSE)-50),"-",(VLOOKUP($A329,'SegEnds_NonXtal_BW#'!$A:$Z,21,FALSE)+VLOOKUP($A329,A:AL,31,FALSE)-50))</f>
        <v>546</v>
      </c>
      <c r="AE329" s="3">
        <v>567</v>
      </c>
      <c r="AF329" s="3">
        <f>IF(ISERROR((VLOOKUP($A329,'SegEnds_NonXtal_BW#'!$A:$Z,22,FALSE)+VLOOKUP($A329,A:AL,31,FALSE)-50)),"-",(VLOOKUP($A329,'SegEnds_NonXtal_BW#'!$A:$Z,22,FALSE)+VLOOKUP($A329,A:AL,31,FALSE)-50))</f>
        <v>571</v>
      </c>
      <c r="AG329" s="3">
        <f>IF(ISERROR(VLOOKUP($A329,'SegEnds_NonXtal_BW#'!$A:$Z,23,FALSE)+VLOOKUP($A329,A:AL,34,FALSE)-50),"-",(VLOOKUP($A329,'SegEnds_NonXtal_BW#'!$A:$Z,23,FALSE)+VLOOKUP($A329,A:AL,34,FALSE)-50))</f>
        <v>576</v>
      </c>
      <c r="AH329" s="3">
        <v>595</v>
      </c>
      <c r="AI329" s="3">
        <f>IF(ISERROR((VLOOKUP($A329,'SegEnds_NonXtal_BW#'!$A:$Z,24,FALSE)+VLOOKUP($A329,A:AL,34,FALSE)-50)),"-",(VLOOKUP($A329,'SegEnds_NonXtal_BW#'!$A:$Z,24,FALSE)+VLOOKUP($A329,A:AL,34,FALSE)-50))</f>
        <v>601</v>
      </c>
      <c r="AJ329" s="3">
        <f>IF(ISERROR(VLOOKUP($A329,'SegEnds_NonXtal_BW#'!$A:$Z,25,FALSE)+VLOOKUP($A329,A:AL,37,FALSE)-50),"-",(VLOOKUP($A329,'SegEnds_NonXtal_BW#'!$A:$Z,25,FALSE)+VLOOKUP($A329,A:AL,37,FALSE)-50))</f>
        <v>602</v>
      </c>
      <c r="AK329" s="3">
        <v>605</v>
      </c>
      <c r="AL329" s="3">
        <f>IF(ISERROR((VLOOKUP($A329,'SegEnds_NonXtal_BW#'!$A:$Z,26,FALSE)+VLOOKUP($A329,A:AL,37,FALSE)-50)),"-",(VLOOKUP($A329,'SegEnds_NonXtal_BW#'!$A:$Z,26,FALSE)+VLOOKUP($A329,A:AL,37,FALSE)-50))</f>
        <v>618</v>
      </c>
      <c r="AM329" s="28" t="str">
        <f>VLOOKUP(A329,Classification!A:B,2,FALSE)</f>
        <v>B2</v>
      </c>
      <c r="AN329" s="28" t="b">
        <f t="shared" si="211"/>
        <v>1</v>
      </c>
      <c r="AO329" s="3" t="str">
        <f>IF(ISERROR(MATCH(A329,'SegEnds_Xtal_Prot#'!B:B, 0)), "NoXtal", "Xtal")</f>
        <v>NoXtal</v>
      </c>
      <c r="AP329" s="3">
        <f t="shared" si="196"/>
        <v>1</v>
      </c>
      <c r="AQ329" s="3">
        <f t="shared" si="197"/>
        <v>1</v>
      </c>
      <c r="AR329" s="3" t="str">
        <f t="shared" si="198"/>
        <v>-</v>
      </c>
      <c r="AS329" s="3" t="str">
        <f t="shared" si="199"/>
        <v>-</v>
      </c>
      <c r="AT329" s="3" t="str">
        <f t="shared" si="200"/>
        <v>-</v>
      </c>
      <c r="AU329" s="3" t="str">
        <f t="shared" si="201"/>
        <v>-</v>
      </c>
      <c r="AV329" s="3">
        <f t="shared" si="202"/>
        <v>6</v>
      </c>
      <c r="AW329" s="3">
        <f t="shared" si="203"/>
        <v>3</v>
      </c>
      <c r="AX329" s="3">
        <f t="shared" si="204"/>
        <v>12</v>
      </c>
      <c r="AY329" s="3">
        <f t="shared" si="205"/>
        <v>5</v>
      </c>
      <c r="AZ329" s="3">
        <f t="shared" si="206"/>
        <v>1</v>
      </c>
      <c r="BA329" s="3">
        <f>IF(ISERROR(LEN(VLOOKUP(A329,Seqs!A:E,2,FALSE))-AL329),"-",LEN(VLOOKUP(A329,Seqs!A:E,2,FALSE))-AL329)</f>
        <v>34</v>
      </c>
      <c r="BB329" s="16">
        <f t="shared" si="207"/>
        <v>28</v>
      </c>
      <c r="BC329" s="9" t="str">
        <f t="shared" si="208"/>
        <v>-</v>
      </c>
      <c r="BD329" s="3">
        <f t="shared" si="209"/>
        <v>28</v>
      </c>
      <c r="BE329" s="3">
        <f t="shared" si="210"/>
        <v>52</v>
      </c>
      <c r="BF329" s="3">
        <f>AH329-AE329</f>
        <v>28</v>
      </c>
    </row>
    <row r="330" spans="1:59" s="3" customFormat="1" x14ac:dyDescent="0.2">
      <c r="A330" s="3" t="s">
        <v>1180</v>
      </c>
      <c r="B330" s="3" t="str">
        <f>LOWER(VLOOKUP(A330,Xtal_Templ!A:B,2,FALSE))</f>
        <v>sctr_human</v>
      </c>
      <c r="C330" s="3">
        <f>VLOOKUP($A330,'SegEnds_NonXtal_BW#'!$A:$Z,3,FALSE)+D330-50</f>
        <v>178</v>
      </c>
      <c r="D330" s="3">
        <v>205</v>
      </c>
      <c r="E330" s="3">
        <f>IF(ISERROR(VLOOKUP($A330,'SegEnds_NonXtal_BW#'!$A:$Z,4,FALSE)+VLOOKUP($A330,A:AL,4,FALSE)-50),"-",(VLOOKUP($A330,'SegEnds_NonXtal_BW#'!$A:$Z,4,FALSE)+VLOOKUP($A330,A:AL,4,FALSE)-50))</f>
        <v>215</v>
      </c>
      <c r="F330" s="3">
        <f>G330-2</f>
        <v>216</v>
      </c>
      <c r="G330" s="3">
        <v>218</v>
      </c>
      <c r="H330" s="3">
        <f t="shared" si="226"/>
        <v>219</v>
      </c>
      <c r="I330" s="3">
        <f t="shared" si="226"/>
        <v>220</v>
      </c>
      <c r="J330" s="3">
        <v>233</v>
      </c>
      <c r="K330" s="3">
        <f>VLOOKUP($A330,'SegEnds_NonXtal_BW#'!$A:$Z,8,FALSE)+VLOOKUP($A330,A:AL,10,FALSE)-50</f>
        <v>246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251</v>
      </c>
      <c r="P330" s="3">
        <v>278</v>
      </c>
      <c r="Q330" s="3">
        <f>VLOOKUP($A330,'SegEnds_NonXtal_BW#'!$A:$Z,12,FALSE)+VLOOKUP($A330,A:AL,16,FALSE)-50</f>
        <v>284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296</v>
      </c>
      <c r="V330" s="3">
        <v>306</v>
      </c>
      <c r="W330" s="3">
        <f>IF(ISERROR(VLOOKUP($A330,'SegEnds_NonXtal_BW#'!$A:$Z,16,FALSE)+VLOOKUP($A330,A:AL,22,FALSE)-50),"-",(VLOOKUP($A330,'SegEnds_NonXtal_BW#'!$A:$Z,16,FALSE)+VLOOKUP($A330,A:AL,22,FALSE)-50))</f>
        <v>324</v>
      </c>
      <c r="X330" s="3">
        <f>IF(ISERROR(VLOOKUP($A330,'SegEnds_NonXtal_BW#'!$A:$Z,17,FALSE)+VLOOKUP($A330,A:AL,25,FALSE)-50),"-",(VLOOKUP($A330,'SegEnds_NonXtal_BW#'!$A:$Z,17,FALSE)+VLOOKUP($A330,A:AL,25,FALSE)-50))</f>
        <v>329</v>
      </c>
      <c r="Y330" s="3">
        <v>329</v>
      </c>
      <c r="Z330" s="3">
        <f t="shared" ref="Z330:Z355" si="227">Y330+2</f>
        <v>331</v>
      </c>
      <c r="AA330" s="3">
        <f>IF(ISERROR(VLOOKUP($A330,'SegEnds_NonXtal_BW#'!$A:$Z,19,FALSE)+VLOOKUP($A330,A:AL,28,FALSE)-50),"-",(VLOOKUP($A330,'SegEnds_NonXtal_BW#'!$A:$Z,19,FALSE)+VLOOKUP($A330,A:AL,28,FALSE)-50))</f>
        <v>334</v>
      </c>
      <c r="AB330" s="3">
        <v>348</v>
      </c>
      <c r="AC330" s="3">
        <f>IF(ISERROR((VLOOKUP($A330,'SegEnds_NonXtal_BW#'!$A:$Z,20,FALSE)+VLOOKUP($A330,A:AL,28,FALSE)-50)),"-",(VLOOKUP($A330,'SegEnds_NonXtal_BW#'!$A:$Z,20,FALSE)+VLOOKUP($A330,A:AL,28,FALSE)-50))</f>
        <v>367</v>
      </c>
      <c r="AD330" s="3">
        <f>IF(ISERROR(VLOOKUP($A330,'SegEnds_NonXtal_BW#'!$A:$Z,21,FALSE)+VLOOKUP($A330,A:AL,31,FALSE)-50),"-",(VLOOKUP($A330,'SegEnds_NonXtal_BW#'!$A:$Z,21,FALSE)+VLOOKUP($A330,A:AL,31,FALSE)-50))</f>
        <v>379</v>
      </c>
      <c r="AE330" s="3">
        <v>400</v>
      </c>
      <c r="AF330" s="3">
        <f>IF(ISERROR((VLOOKUP($A330,'SegEnds_NonXtal_BW#'!$A:$Z,22,FALSE)+VLOOKUP($A330,A:AL,31,FALSE)-50)),"-",(VLOOKUP($A330,'SegEnds_NonXtal_BW#'!$A:$Z,22,FALSE)+VLOOKUP($A330,A:AL,31,FALSE)-50))</f>
        <v>404</v>
      </c>
      <c r="AG330" s="3">
        <f>IF(ISERROR(VLOOKUP($A330,'SegEnds_NonXtal_BW#'!$A:$Z,23,FALSE)+VLOOKUP($A330,A:AL,34,FALSE)-50),"-",(VLOOKUP($A330,'SegEnds_NonXtal_BW#'!$A:$Z,23,FALSE)+VLOOKUP($A330,A:AL,34,FALSE)-50))</f>
        <v>410</v>
      </c>
      <c r="AH330" s="3">
        <v>432</v>
      </c>
      <c r="AI330" s="3">
        <f>IF(ISERROR((VLOOKUP($A330,'SegEnds_NonXtal_BW#'!$A:$Z,24,FALSE)+VLOOKUP($A330,A:AL,34,FALSE)-50)),"-",(VLOOKUP($A330,'SegEnds_NonXtal_BW#'!$A:$Z,24,FALSE)+VLOOKUP($A330,A:AL,34,FALSE)-50))</f>
        <v>438</v>
      </c>
      <c r="AJ330" s="3">
        <f>IF(ISERROR(VLOOKUP($A330,'SegEnds_NonXtal_BW#'!$A:$Z,25,FALSE)+VLOOKUP($A330,A:AL,37,FALSE)-50),"-",(VLOOKUP($A330,'SegEnds_NonXtal_BW#'!$A:$Z,25,FALSE)+VLOOKUP($A330,A:AL,37,FALSE)-50))</f>
        <v>439</v>
      </c>
      <c r="AK330" s="3">
        <v>442</v>
      </c>
      <c r="AL330" s="3">
        <f>IF(ISERROR((VLOOKUP($A330,'SegEnds_NonXtal_BW#'!$A:$Z,26,FALSE)+VLOOKUP($A330,A:AL,37,FALSE)-50)),"-",(VLOOKUP($A330,'SegEnds_NonXtal_BW#'!$A:$Z,26,FALSE)+VLOOKUP($A330,A:AL,37,FALSE)-50))</f>
        <v>455</v>
      </c>
      <c r="AM330" s="28" t="str">
        <f>VLOOKUP(A330,Classification!A:B,2,FALSE)</f>
        <v>B2</v>
      </c>
      <c r="AN330" s="28" t="b">
        <f t="shared" si="211"/>
        <v>1</v>
      </c>
      <c r="AO330" s="3" t="str">
        <f>IF(ISERROR(MATCH(A330,'SegEnds_Xtal_Prot#'!B:B, 0)), "NoXtal", "Xtal")</f>
        <v>NoXtal</v>
      </c>
      <c r="AP330" s="3">
        <f t="shared" ref="AP330:AP395" si="228">IF(ISERROR(F330-E330),"-",F330-E330)</f>
        <v>1</v>
      </c>
      <c r="AQ330" s="3">
        <f t="shared" ref="AQ330:AQ395" si="229">IF(ISERROR(I330-H330),"-",I330-H330)</f>
        <v>1</v>
      </c>
      <c r="AR330" s="3" t="str">
        <f t="shared" ref="AR330:AR395" si="230">IF(ISERROR(L330-K330),"-",L330-K330)</f>
        <v>-</v>
      </c>
      <c r="AS330" s="3" t="str">
        <f t="shared" ref="AS330:AS395" si="231">IF(ISERROR(O330-N330),"-",O330-N330)</f>
        <v>-</v>
      </c>
      <c r="AT330" s="3" t="str">
        <f t="shared" ref="AT330:AT395" si="232">IF(ISERROR(R330-Q330),"-",R330-Q330)</f>
        <v>-</v>
      </c>
      <c r="AU330" s="3" t="str">
        <f t="shared" ref="AU330:AU395" si="233">IF(ISERROR(U330-T330),"-",U330-T330)</f>
        <v>-</v>
      </c>
      <c r="AV330" s="3">
        <f t="shared" ref="AV330:AV395" si="234">IF(ISERROR(X330-W330),"-",X330-W330)</f>
        <v>5</v>
      </c>
      <c r="AW330" s="3">
        <f t="shared" ref="AW330:AW395" si="235">IF(ISERROR(AA330-Z330),"-",AA330-Z330)</f>
        <v>3</v>
      </c>
      <c r="AX330" s="3">
        <f t="shared" ref="AX330:AX395" si="236">IF(ISERROR(AD330-AC330),"-",AD330-AC330)</f>
        <v>12</v>
      </c>
      <c r="AY330" s="3">
        <f t="shared" ref="AY330:AY395" si="237">IF(ISERROR(AG330-AF330),"-",AG330-AF330)</f>
        <v>6</v>
      </c>
      <c r="AZ330" s="3">
        <f t="shared" ref="AZ330:AZ395" si="238">IF(ISERROR(AJ330-AI330),"-",AJ330-AI330)</f>
        <v>1</v>
      </c>
      <c r="BA330" s="3">
        <f>IF(ISERROR(LEN(VLOOKUP(A330,Seqs!A:E,2,FALSE))-AL330),"-",LEN(VLOOKUP(A330,Seqs!A:E,2,FALSE))-AL330)</f>
        <v>2</v>
      </c>
      <c r="BB330" s="16">
        <f t="shared" ref="BB330:BB395" si="239">J330-D330</f>
        <v>28</v>
      </c>
      <c r="BC330" s="9" t="str">
        <f t="shared" ref="BC330:BC395" si="240">IF(ISERROR(V330-S330),"-",V330-S330)</f>
        <v>-</v>
      </c>
      <c r="BD330" s="3">
        <f t="shared" ref="BD330:BD395" si="241">J330-D330</f>
        <v>28</v>
      </c>
      <c r="BE330" s="3">
        <f t="shared" ref="BE330:BE395" si="242">AE330-AB330</f>
        <v>52</v>
      </c>
      <c r="BF330" s="3">
        <f>AH330-AE330</f>
        <v>32</v>
      </c>
    </row>
    <row r="331" spans="1:59" s="3" customFormat="1" x14ac:dyDescent="0.2">
      <c r="A331" s="3" t="s">
        <v>1181</v>
      </c>
      <c r="B331" s="3" t="str">
        <f>LOWER(VLOOKUP(A331,Xtal_Templ!A:B,2,FALSE))</f>
        <v>pth1r_human</v>
      </c>
      <c r="C331" s="3">
        <f>VLOOKUP($A331,'SegEnds_NonXtal_BW#'!$A:$Z,3,FALSE)+D331-50</f>
        <v>573</v>
      </c>
      <c r="D331" s="3">
        <v>600</v>
      </c>
      <c r="E331" s="3">
        <f>IF(ISERROR(VLOOKUP($A331,'SegEnds_NonXtal_BW#'!$A:$Z,4,FALSE)+VLOOKUP($A331,A:AL,4,FALSE)-50),"-",(VLOOKUP($A331,'SegEnds_NonXtal_BW#'!$A:$Z,4,FALSE)+VLOOKUP($A331,A:AL,4,FALSE)-50))</f>
        <v>610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618</v>
      </c>
      <c r="J331" s="3">
        <v>631</v>
      </c>
      <c r="K331" s="3">
        <f>VLOOKUP($A331,'SegEnds_NonXtal_BW#'!$A:$Z,8,FALSE)+VLOOKUP($A331,A:AL,10,FALSE)-50</f>
        <v>644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655</v>
      </c>
      <c r="P331" s="3">
        <v>682</v>
      </c>
      <c r="Q331" s="3">
        <f>VLOOKUP($A331,'SegEnds_NonXtal_BW#'!$A:$Z,12,FALSE)+VLOOKUP($A331,A:AL,16,FALSE)-50</f>
        <v>688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694</v>
      </c>
      <c r="V331" s="3">
        <v>707</v>
      </c>
      <c r="W331" s="3">
        <f>IF(ISERROR(VLOOKUP($A331,'SegEnds_NonXtal_BW#'!$A:$Z,16,FALSE)+VLOOKUP($A331,A:AL,22,FALSE)-50),"-",(VLOOKUP($A331,'SegEnds_NonXtal_BW#'!$A:$Z,16,FALSE)+VLOOKUP($A331,A:AL,22,FALSE)-50))</f>
        <v>725</v>
      </c>
      <c r="X331" s="3">
        <f>IF(ISERROR(VLOOKUP($A331,'SegEnds_NonXtal_BW#'!$A:$Z,17,FALSE)+VLOOKUP($A331,A:AL,25,FALSE)-50),"-",(VLOOKUP($A331,'SegEnds_NonXtal_BW#'!$A:$Z,17,FALSE)+VLOOKUP($A331,A:AL,25,FALSE)-50))</f>
        <v>733</v>
      </c>
      <c r="Y331" s="3">
        <v>733</v>
      </c>
      <c r="Z331" s="3">
        <f t="shared" si="227"/>
        <v>735</v>
      </c>
      <c r="AA331" s="3">
        <f>IF(ISERROR(VLOOKUP($A331,'SegEnds_NonXtal_BW#'!$A:$Z,19,FALSE)+VLOOKUP($A331,A:AL,28,FALSE)-50),"-",(VLOOKUP($A331,'SegEnds_NonXtal_BW#'!$A:$Z,19,FALSE)+VLOOKUP($A331,A:AL,28,FALSE)-50))</f>
        <v>740</v>
      </c>
      <c r="AB331" s="3">
        <v>754</v>
      </c>
      <c r="AC331" s="3">
        <f>IF(ISERROR((VLOOKUP($A331,'SegEnds_NonXtal_BW#'!$A:$Z,20,FALSE)+VLOOKUP($A331,A:AL,28,FALSE)-50)),"-",(VLOOKUP($A331,'SegEnds_NonXtal_BW#'!$A:$Z,20,FALSE)+VLOOKUP($A331,A:AL,28,FALSE)-50))</f>
        <v>773</v>
      </c>
      <c r="AD331" s="3">
        <f>IF(ISERROR(VLOOKUP($A331,'SegEnds_NonXtal_BW#'!$A:$Z,21,FALSE)+VLOOKUP($A331,A:AL,31,FALSE)-50),"-",(VLOOKUP($A331,'SegEnds_NonXtal_BW#'!$A:$Z,21,FALSE)+VLOOKUP($A331,A:AL,31,FALSE)-50))</f>
        <v>785</v>
      </c>
      <c r="AE331" s="3">
        <v>806</v>
      </c>
      <c r="AF331" s="3">
        <f>IF(ISERROR((VLOOKUP($A331,'SegEnds_NonXtal_BW#'!$A:$Z,22,FALSE)+VLOOKUP($A331,A:AL,31,FALSE)-50)),"-",(VLOOKUP($A331,'SegEnds_NonXtal_BW#'!$A:$Z,22,FALSE)+VLOOKUP($A331,A:AL,31,FALSE)-50))</f>
        <v>810</v>
      </c>
      <c r="AG331" s="3">
        <f>IF(ISERROR(VLOOKUP($A331,'SegEnds_NonXtal_BW#'!$A:$Z,23,FALSE)+VLOOKUP($A331,A:AL,34,FALSE)-50),"-",(VLOOKUP($A331,'SegEnds_NonXtal_BW#'!$A:$Z,23,FALSE)+VLOOKUP($A331,A:AL,34,FALSE)-50))</f>
        <v>816</v>
      </c>
      <c r="AH331" s="3">
        <v>835</v>
      </c>
      <c r="AI331" s="3">
        <f>IF(ISERROR((VLOOKUP($A331,'SegEnds_NonXtal_BW#'!$A:$Z,24,FALSE)+VLOOKUP($A331,A:AL,34,FALSE)-50)),"-",(VLOOKUP($A331,'SegEnds_NonXtal_BW#'!$A:$Z,24,FALSE)+VLOOKUP($A331,A:AL,34,FALSE)-50))</f>
        <v>841</v>
      </c>
      <c r="AJ331" s="3">
        <f>IF(ISERROR(VLOOKUP($A331,'SegEnds_NonXtal_BW#'!$A:$Z,25,FALSE)+VLOOKUP($A331,A:AL,37,FALSE)-50),"-",(VLOOKUP($A331,'SegEnds_NonXtal_BW#'!$A:$Z,25,FALSE)+VLOOKUP($A331,A:AL,37,FALSE)-50))</f>
        <v>842</v>
      </c>
      <c r="AK331" s="3">
        <v>845</v>
      </c>
      <c r="AL331" s="3">
        <f>IF(ISERROR((VLOOKUP($A331,'SegEnds_NonXtal_BW#'!$A:$Z,26,FALSE)+VLOOKUP($A331,A:AL,37,FALSE)-50)),"-",(VLOOKUP($A331,'SegEnds_NonXtal_BW#'!$A:$Z,26,FALSE)+VLOOKUP($A331,A:AL,37,FALSE)-50))</f>
        <v>858</v>
      </c>
      <c r="AM331" s="28" t="str">
        <f>VLOOKUP(A331,Classification!A:B,2,FALSE)</f>
        <v>B2</v>
      </c>
      <c r="AN331" s="28" t="b">
        <f t="shared" ref="AN331:AN396" si="243">AND(IF(Y331="-",IF(AA331-W331&gt;3,TRUE,FALSE),TRUE),IF(M331="-",IF(O331-K331&gt;3,TRUE,FALSE),TRUE),IF(AG331-AF331&gt;1,TRUE,FALSE),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    <v>1</v>
      </c>
      <c r="AO331" s="3" t="str">
        <f>IF(ISERROR(MATCH(A331,'SegEnds_Xtal_Prot#'!B:B, 0)), "NoXtal", "Xtal")</f>
        <v>NoXtal</v>
      </c>
      <c r="AP331" s="3" t="str">
        <f t="shared" si="228"/>
        <v>-</v>
      </c>
      <c r="AQ331" s="3" t="str">
        <f t="shared" si="229"/>
        <v>-</v>
      </c>
      <c r="AR331" s="3" t="str">
        <f t="shared" si="230"/>
        <v>-</v>
      </c>
      <c r="AS331" s="3" t="str">
        <f t="shared" si="231"/>
        <v>-</v>
      </c>
      <c r="AT331" s="3" t="str">
        <f t="shared" si="232"/>
        <v>-</v>
      </c>
      <c r="AU331" s="3" t="str">
        <f t="shared" si="233"/>
        <v>-</v>
      </c>
      <c r="AV331" s="3">
        <f t="shared" si="234"/>
        <v>8</v>
      </c>
      <c r="AW331" s="3">
        <f t="shared" si="235"/>
        <v>5</v>
      </c>
      <c r="AX331" s="3">
        <f t="shared" si="236"/>
        <v>12</v>
      </c>
      <c r="AY331" s="3">
        <f t="shared" si="237"/>
        <v>6</v>
      </c>
      <c r="AZ331" s="3">
        <f t="shared" si="238"/>
        <v>1</v>
      </c>
      <c r="BA331" s="3">
        <f>IF(ISERROR(LEN(VLOOKUP(A331,Seqs!A:E,2,FALSE))-AL331),"-",LEN(VLOOKUP(A331,Seqs!A:E,2,FALSE))-AL331)</f>
        <v>52</v>
      </c>
      <c r="BB331" s="16">
        <f t="shared" si="239"/>
        <v>31</v>
      </c>
      <c r="BC331" s="9" t="str">
        <f t="shared" si="240"/>
        <v>-</v>
      </c>
      <c r="BD331" s="3">
        <f t="shared" si="241"/>
        <v>31</v>
      </c>
      <c r="BE331" s="3">
        <f t="shared" si="242"/>
        <v>52</v>
      </c>
    </row>
    <row r="332" spans="1:59" s="3" customFormat="1" x14ac:dyDescent="0.2">
      <c r="A332" s="3" t="s">
        <v>1182</v>
      </c>
      <c r="B332" s="3" t="str">
        <f>LOWER(VLOOKUP(A332,Xtal_Templ!A:B,2,FALSE))</f>
        <v>calrl_human</v>
      </c>
      <c r="C332" s="3">
        <f>VLOOKUP($A332,'SegEnds_NonXtal_BW#'!$A:$Z,3,FALSE)+D332-50</f>
        <v>434</v>
      </c>
      <c r="D332" s="3">
        <v>461</v>
      </c>
      <c r="E332" s="3">
        <f>IF(ISERROR(VLOOKUP($A332,'SegEnds_NonXtal_BW#'!$A:$Z,4,FALSE)+VLOOKUP($A332,A:AL,4,FALSE)-50),"-",(VLOOKUP($A332,'SegEnds_NonXtal_BW#'!$A:$Z,4,FALSE)+VLOOKUP($A332,A:AL,4,FALSE)-50))</f>
        <v>471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479</v>
      </c>
      <c r="J332" s="3">
        <v>492</v>
      </c>
      <c r="K332" s="3">
        <f>VLOOKUP($A332,'SegEnds_NonXtal_BW#'!$A:$Z,8,FALSE)+VLOOKUP($A332,A:AL,10,FALSE)-50</f>
        <v>505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516</v>
      </c>
      <c r="P332" s="3">
        <v>543</v>
      </c>
      <c r="Q332" s="3">
        <f>VLOOKUP($A332,'SegEnds_NonXtal_BW#'!$A:$Z,12,FALSE)+VLOOKUP($A332,A:AL,16,FALSE)-50</f>
        <v>549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559</v>
      </c>
      <c r="V332" s="3">
        <v>568</v>
      </c>
      <c r="W332" s="3">
        <f>IF(ISERROR(VLOOKUP($A332,'SegEnds_NonXtal_BW#'!$A:$Z,16,FALSE)+VLOOKUP($A332,A:AL,22,FALSE)-50),"-",(VLOOKUP($A332,'SegEnds_NonXtal_BW#'!$A:$Z,16,FALSE)+VLOOKUP($A332,A:AL,22,FALSE)-50))</f>
        <v>585</v>
      </c>
      <c r="X332" s="3">
        <f>IF(ISERROR(VLOOKUP($A332,'SegEnds_NonXtal_BW#'!$A:$Z,17,FALSE)+VLOOKUP($A332,A:AL,25,FALSE)-50),"-",(VLOOKUP($A332,'SegEnds_NonXtal_BW#'!$A:$Z,17,FALSE)+VLOOKUP($A332,A:AL,25,FALSE)-50))</f>
        <v>594</v>
      </c>
      <c r="Y332" s="3">
        <v>594</v>
      </c>
      <c r="Z332" s="3">
        <f t="shared" si="227"/>
        <v>596</v>
      </c>
      <c r="AA332" s="3">
        <f>IF(ISERROR(VLOOKUP($A332,'SegEnds_NonXtal_BW#'!$A:$Z,19,FALSE)+VLOOKUP($A332,A:AL,28,FALSE)-50),"-",(VLOOKUP($A332,'SegEnds_NonXtal_BW#'!$A:$Z,19,FALSE)+VLOOKUP($A332,A:AL,28,FALSE)-50))</f>
        <v>600</v>
      </c>
      <c r="AB332" s="3">
        <v>614</v>
      </c>
      <c r="AC332" s="3">
        <f>IF(ISERROR((VLOOKUP($A332,'SegEnds_NonXtal_BW#'!$A:$Z,20,FALSE)+VLOOKUP($A332,A:AL,28,FALSE)-50)),"-",(VLOOKUP($A332,'SegEnds_NonXtal_BW#'!$A:$Z,20,FALSE)+VLOOKUP($A332,A:AL,28,FALSE)-50))</f>
        <v>633</v>
      </c>
      <c r="AD332" s="3">
        <f>IF(ISERROR(VLOOKUP($A332,'SegEnds_NonXtal_BW#'!$A:$Z,21,FALSE)+VLOOKUP($A332,A:AL,31,FALSE)-50),"-",(VLOOKUP($A332,'SegEnds_NonXtal_BW#'!$A:$Z,21,FALSE)+VLOOKUP($A332,A:AL,31,FALSE)-50))</f>
        <v>650</v>
      </c>
      <c r="AE332" s="3">
        <v>671</v>
      </c>
      <c r="AF332" s="3">
        <f>IF(ISERROR((VLOOKUP($A332,'SegEnds_NonXtal_BW#'!$A:$Z,22,FALSE)+VLOOKUP($A332,A:AL,31,FALSE)-50)),"-",(VLOOKUP($A332,'SegEnds_NonXtal_BW#'!$A:$Z,22,FALSE)+VLOOKUP($A332,A:AL,31,FALSE)-50))</f>
        <v>671</v>
      </c>
      <c r="AG332" s="3">
        <f>IF(ISERROR(VLOOKUP($A332,'SegEnds_NonXtal_BW#'!$A:$Z,23,FALSE)+VLOOKUP($A332,A:AL,34,FALSE)-50),"-",(VLOOKUP($A332,'SegEnds_NonXtal_BW#'!$A:$Z,23,FALSE)+VLOOKUP($A332,A:AL,34,FALSE)-50))</f>
        <v>675</v>
      </c>
      <c r="AH332" s="3">
        <v>694</v>
      </c>
      <c r="AI332" s="3">
        <f>IF(ISERROR((VLOOKUP($A332,'SegEnds_NonXtal_BW#'!$A:$Z,24,FALSE)+VLOOKUP($A332,A:AL,34,FALSE)-50)),"-",(VLOOKUP($A332,'SegEnds_NonXtal_BW#'!$A:$Z,24,FALSE)+VLOOKUP($A332,A:AL,34,FALSE)-50))</f>
        <v>700</v>
      </c>
      <c r="AJ332" s="3" t="s">
        <v>23</v>
      </c>
      <c r="AK332" s="3" t="s">
        <v>23</v>
      </c>
      <c r="AL332" s="3" t="s">
        <v>23</v>
      </c>
      <c r="AM332" s="28" t="str">
        <f>VLOOKUP(A332,Classification!A:B,2,FALSE)</f>
        <v>B2</v>
      </c>
      <c r="AN332" s="28" t="b">
        <f t="shared" si="243"/>
        <v>1</v>
      </c>
      <c r="AO332" s="3" t="str">
        <f>IF(ISERROR(MATCH(A332,'SegEnds_Xtal_Prot#'!B:B, 0)), "NoXtal", "Xtal")</f>
        <v>NoXtal</v>
      </c>
      <c r="AP332" s="3" t="str">
        <f t="shared" si="228"/>
        <v>-</v>
      </c>
      <c r="AQ332" s="3" t="str">
        <f t="shared" si="229"/>
        <v>-</v>
      </c>
      <c r="AR332" s="3" t="str">
        <f t="shared" si="230"/>
        <v>-</v>
      </c>
      <c r="AS332" s="3" t="str">
        <f t="shared" si="231"/>
        <v>-</v>
      </c>
      <c r="AT332" s="3" t="str">
        <f t="shared" si="232"/>
        <v>-</v>
      </c>
      <c r="AU332" s="3" t="str">
        <f t="shared" si="233"/>
        <v>-</v>
      </c>
      <c r="AV332" s="3">
        <f t="shared" si="234"/>
        <v>9</v>
      </c>
      <c r="AW332" s="3">
        <f t="shared" si="235"/>
        <v>4</v>
      </c>
      <c r="AX332" s="3">
        <f t="shared" si="236"/>
        <v>17</v>
      </c>
      <c r="AY332" s="3">
        <f t="shared" si="237"/>
        <v>4</v>
      </c>
      <c r="AZ332" s="3" t="str">
        <f t="shared" si="238"/>
        <v>-</v>
      </c>
      <c r="BA332" s="3" t="str">
        <f>IF(ISERROR(LEN(VLOOKUP(A332,Seqs!A:E,2,FALSE))-AL332),"-",LEN(VLOOKUP(A332,Seqs!A:E,2,FALSE))-AL332)</f>
        <v>-</v>
      </c>
      <c r="BB332" s="16">
        <f t="shared" si="239"/>
        <v>31</v>
      </c>
      <c r="BC332" s="9" t="str">
        <f t="shared" si="240"/>
        <v>-</v>
      </c>
      <c r="BD332" s="3">
        <f t="shared" si="241"/>
        <v>31</v>
      </c>
      <c r="BE332" s="3">
        <f t="shared" si="242"/>
        <v>57</v>
      </c>
      <c r="BF332" s="3">
        <f>AH332-AE332</f>
        <v>23</v>
      </c>
      <c r="BG332" s="3" t="s">
        <v>1300</v>
      </c>
    </row>
    <row r="333" spans="1:59" s="3" customFormat="1" x14ac:dyDescent="0.2">
      <c r="A333" s="3" t="s">
        <v>1183</v>
      </c>
      <c r="B333" s="3" t="str">
        <f>LOWER(VLOOKUP(A333,Xtal_Templ!A:B,2,FALSE))</f>
        <v>calrl_human</v>
      </c>
      <c r="C333" s="3">
        <f>VLOOKUP($A333,'SegEnds_NonXtal_BW#'!$A:$Z,3,FALSE)+D333-50</f>
        <v>758</v>
      </c>
      <c r="D333" s="3">
        <v>785</v>
      </c>
      <c r="E333" s="3">
        <f>IF(ISERROR(VLOOKUP($A333,'SegEnds_NonXtal_BW#'!$A:$Z,4,FALSE)+VLOOKUP($A333,A:AL,4,FALSE)-50),"-",(VLOOKUP($A333,'SegEnds_NonXtal_BW#'!$A:$Z,4,FALSE)+VLOOKUP($A333,A:AL,4,FALSE)-50))</f>
        <v>795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803</v>
      </c>
      <c r="J333" s="3">
        <v>816</v>
      </c>
      <c r="K333" s="3">
        <f>VLOOKUP($A333,'SegEnds_NonXtal_BW#'!$A:$Z,8,FALSE)+VLOOKUP($A333,A:AL,10,FALSE)-50</f>
        <v>829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839</v>
      </c>
      <c r="P333" s="3">
        <v>866</v>
      </c>
      <c r="Q333" s="3">
        <f>VLOOKUP($A333,'SegEnds_NonXtal_BW#'!$A:$Z,12,FALSE)+VLOOKUP($A333,A:AL,16,FALSE)-50</f>
        <v>872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882</v>
      </c>
      <c r="V333" s="3">
        <v>891</v>
      </c>
      <c r="W333" s="3">
        <f>IF(ISERROR(VLOOKUP($A333,'SegEnds_NonXtal_BW#'!$A:$Z,16,FALSE)+VLOOKUP($A333,A:AL,22,FALSE)-50),"-",(VLOOKUP($A333,'SegEnds_NonXtal_BW#'!$A:$Z,16,FALSE)+VLOOKUP($A333,A:AL,22,FALSE)-50))</f>
        <v>908</v>
      </c>
      <c r="X333" s="3">
        <f>IF(ISERROR(VLOOKUP($A333,'SegEnds_NonXtal_BW#'!$A:$Z,17,FALSE)+VLOOKUP($A333,A:AL,25,FALSE)-50),"-",(VLOOKUP($A333,'SegEnds_NonXtal_BW#'!$A:$Z,17,FALSE)+VLOOKUP($A333,A:AL,25,FALSE)-50))</f>
        <v>917</v>
      </c>
      <c r="Y333" s="3">
        <v>917</v>
      </c>
      <c r="Z333" s="3">
        <f t="shared" si="227"/>
        <v>919</v>
      </c>
      <c r="AA333" s="3">
        <f>IF(ISERROR(VLOOKUP($A333,'SegEnds_NonXtal_BW#'!$A:$Z,19,FALSE)+VLOOKUP($A333,A:AL,28,FALSE)-50),"-",(VLOOKUP($A333,'SegEnds_NonXtal_BW#'!$A:$Z,19,FALSE)+VLOOKUP($A333,A:AL,28,FALSE)-50))</f>
        <v>922</v>
      </c>
      <c r="AB333" s="3">
        <v>936</v>
      </c>
      <c r="AC333" s="3">
        <f>IF(ISERROR((VLOOKUP($A333,'SegEnds_NonXtal_BW#'!$A:$Z,20,FALSE)+VLOOKUP($A333,A:AL,28,FALSE)-50)),"-",(VLOOKUP($A333,'SegEnds_NonXtal_BW#'!$A:$Z,20,FALSE)+VLOOKUP($A333,A:AL,28,FALSE)-50))</f>
        <v>955</v>
      </c>
      <c r="AD333" s="3">
        <f>IF(ISERROR(VLOOKUP($A333,'SegEnds_NonXtal_BW#'!$A:$Z,21,FALSE)+VLOOKUP($A333,A:AL,31,FALSE)-50),"-",(VLOOKUP($A333,'SegEnds_NonXtal_BW#'!$A:$Z,21,FALSE)+VLOOKUP($A333,A:AL,31,FALSE)-50))</f>
        <v>967</v>
      </c>
      <c r="AE333" s="3">
        <v>988</v>
      </c>
      <c r="AF333" s="3">
        <f>IF(ISERROR((VLOOKUP($A333,'SegEnds_NonXtal_BW#'!$A:$Z,22,FALSE)+VLOOKUP($A333,A:AL,31,FALSE)-50)),"-",(VLOOKUP($A333,'SegEnds_NonXtal_BW#'!$A:$Z,22,FALSE)+VLOOKUP($A333,A:AL,31,FALSE)-50))</f>
        <v>991</v>
      </c>
      <c r="AG333" s="3">
        <f>IF(ISERROR(VLOOKUP($A333,'SegEnds_NonXtal_BW#'!$A:$Z,23,FALSE)+VLOOKUP($A333,A:AL,34,FALSE)-50),"-",(VLOOKUP($A333,'SegEnds_NonXtal_BW#'!$A:$Z,23,FALSE)+VLOOKUP($A333,A:AL,34,FALSE)-50))</f>
        <v>998</v>
      </c>
      <c r="AH333" s="3">
        <v>1017</v>
      </c>
      <c r="AI333" s="3">
        <f>IF(ISERROR((VLOOKUP($A333,'SegEnds_NonXtal_BW#'!$A:$Z,24,FALSE)+VLOOKUP($A333,A:AL,34,FALSE)-50)),"-",(VLOOKUP($A333,'SegEnds_NonXtal_BW#'!$A:$Z,24,FALSE)+VLOOKUP($A333,A:AL,34,FALSE)-50))</f>
        <v>1023</v>
      </c>
      <c r="AJ333" s="3">
        <f>IF(ISERROR(VLOOKUP($A333,'SegEnds_NonXtal_BW#'!$A:$Z,25,FALSE)+VLOOKUP($A333,A:AL,37,FALSE)-50),"-",(VLOOKUP($A333,'SegEnds_NonXtal_BW#'!$A:$Z,25,FALSE)+VLOOKUP($A333,A:AL,37,FALSE)-50))</f>
        <v>1024</v>
      </c>
      <c r="AK333" s="3">
        <v>1027</v>
      </c>
      <c r="AL333" s="3">
        <f>IF(ISERROR((VLOOKUP($A333,'SegEnds_NonXtal_BW#'!$A:$Z,26,FALSE)+VLOOKUP($A333,A:AL,37,FALSE)-50)),"-",(VLOOKUP($A333,'SegEnds_NonXtal_BW#'!$A:$Z,26,FALSE)+VLOOKUP($A333,A:AL,37,FALSE)-50))</f>
        <v>1040</v>
      </c>
      <c r="AM333" s="28" t="str">
        <f>VLOOKUP(A333,Classification!A:B,2,FALSE)</f>
        <v>B2</v>
      </c>
      <c r="AN333" s="28" t="b">
        <f t="shared" si="243"/>
        <v>1</v>
      </c>
      <c r="AO333" s="3" t="str">
        <f>IF(ISERROR(MATCH(A333,'SegEnds_Xtal_Prot#'!B:B, 0)), "NoXtal", "Xtal")</f>
        <v>NoXtal</v>
      </c>
      <c r="AP333" s="3" t="str">
        <f t="shared" si="228"/>
        <v>-</v>
      </c>
      <c r="AQ333" s="3" t="str">
        <f t="shared" si="229"/>
        <v>-</v>
      </c>
      <c r="AR333" s="3" t="str">
        <f t="shared" si="230"/>
        <v>-</v>
      </c>
      <c r="AS333" s="3" t="str">
        <f t="shared" si="231"/>
        <v>-</v>
      </c>
      <c r="AT333" s="3" t="str">
        <f t="shared" si="232"/>
        <v>-</v>
      </c>
      <c r="AU333" s="3" t="str">
        <f t="shared" si="233"/>
        <v>-</v>
      </c>
      <c r="AV333" s="3">
        <f t="shared" si="234"/>
        <v>9</v>
      </c>
      <c r="AW333" s="3">
        <f t="shared" si="235"/>
        <v>3</v>
      </c>
      <c r="AX333" s="3">
        <f t="shared" si="236"/>
        <v>12</v>
      </c>
      <c r="AY333" s="3">
        <f t="shared" si="237"/>
        <v>7</v>
      </c>
      <c r="AZ333" s="3">
        <f t="shared" si="238"/>
        <v>1</v>
      </c>
      <c r="BA333" s="3">
        <f>IF(ISERROR(LEN(VLOOKUP(A333,Seqs!A:E,2,FALSE))-AL333),"-",LEN(VLOOKUP(A333,Seqs!A:E,2,FALSE))-AL333)</f>
        <v>39</v>
      </c>
      <c r="BB333" s="16">
        <f t="shared" si="239"/>
        <v>31</v>
      </c>
      <c r="BC333" s="9" t="str">
        <f t="shared" si="240"/>
        <v>-</v>
      </c>
      <c r="BD333" s="3">
        <f t="shared" si="241"/>
        <v>31</v>
      </c>
      <c r="BE333" s="3">
        <f t="shared" si="242"/>
        <v>52</v>
      </c>
    </row>
    <row r="334" spans="1:59" s="3" customFormat="1" x14ac:dyDescent="0.2">
      <c r="A334" s="3" t="s">
        <v>1184</v>
      </c>
      <c r="B334" s="3" t="str">
        <f>LOWER(VLOOKUP(A334,Xtal_Templ!A:B,2,FALSE))</f>
        <v>crfr1_human</v>
      </c>
      <c r="C334" s="3">
        <f>VLOOKUP($A334,'SegEnds_NonXtal_BW#'!$A:$Z,3,FALSE)+D334-50</f>
        <v>389</v>
      </c>
      <c r="D334" s="3">
        <v>416</v>
      </c>
      <c r="E334" s="3">
        <f>IF(ISERROR(VLOOKUP($A334,'SegEnds_NonXtal_BW#'!$A:$Z,4,FALSE)+VLOOKUP($A334,A:AL,4,FALSE)-50),"-",(VLOOKUP($A334,'SegEnds_NonXtal_BW#'!$A:$Z,4,FALSE)+VLOOKUP($A334,A:AL,4,FALSE)-50))</f>
        <v>426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434</v>
      </c>
      <c r="J334" s="3">
        <v>447</v>
      </c>
      <c r="K334" s="3">
        <f>VLOOKUP($A334,'SegEnds_NonXtal_BW#'!$A:$Z,8,FALSE)+VLOOKUP($A334,A:AL,10,FALSE)-50</f>
        <v>460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471</v>
      </c>
      <c r="P334" s="3">
        <v>498</v>
      </c>
      <c r="Q334" s="3">
        <f>VLOOKUP($A334,'SegEnds_NonXtal_BW#'!$A:$Z,12,FALSE)+VLOOKUP($A334,A:AL,16,FALSE)-50</f>
        <v>504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513</v>
      </c>
      <c r="V334" s="3">
        <v>523</v>
      </c>
      <c r="W334" s="3">
        <f>IF(ISERROR(VLOOKUP($A334,'SegEnds_NonXtal_BW#'!$A:$Z,16,FALSE)+VLOOKUP($A334,A:AL,22,FALSE)-50),"-",(VLOOKUP($A334,'SegEnds_NonXtal_BW#'!$A:$Z,16,FALSE)+VLOOKUP($A334,A:AL,22,FALSE)-50))</f>
        <v>541</v>
      </c>
      <c r="X334" s="3">
        <f>IF(ISERROR(VLOOKUP($A334,'SegEnds_NonXtal_BW#'!$A:$Z,17,FALSE)+VLOOKUP($A334,A:AL,25,FALSE)-50),"-",(VLOOKUP($A334,'SegEnds_NonXtal_BW#'!$A:$Z,17,FALSE)+VLOOKUP($A334,A:AL,25,FALSE)-50))</f>
        <v>549</v>
      </c>
      <c r="Y334" s="3">
        <v>549</v>
      </c>
      <c r="Z334" s="3">
        <f t="shared" si="227"/>
        <v>551</v>
      </c>
      <c r="AA334" s="3">
        <f>IF(ISERROR(VLOOKUP($A334,'SegEnds_NonXtal_BW#'!$A:$Z,19,FALSE)+VLOOKUP($A334,A:AL,28,FALSE)-50),"-",(VLOOKUP($A334,'SegEnds_NonXtal_BW#'!$A:$Z,19,FALSE)+VLOOKUP($A334,A:AL,28,FALSE)-50))</f>
        <v>555</v>
      </c>
      <c r="AB334" s="3">
        <v>569</v>
      </c>
      <c r="AC334" s="3">
        <f>IF(ISERROR((VLOOKUP($A334,'SegEnds_NonXtal_BW#'!$A:$Z,20,FALSE)+VLOOKUP($A334,A:AL,28,FALSE)-50)),"-",(VLOOKUP($A334,'SegEnds_NonXtal_BW#'!$A:$Z,20,FALSE)+VLOOKUP($A334,A:AL,28,FALSE)-50))</f>
        <v>588</v>
      </c>
      <c r="AD334" s="3">
        <f>IF(ISERROR(VLOOKUP($A334,'SegEnds_NonXtal_BW#'!$A:$Z,21,FALSE)+VLOOKUP($A334,A:AL,31,FALSE)-50),"-",(VLOOKUP($A334,'SegEnds_NonXtal_BW#'!$A:$Z,21,FALSE)+VLOOKUP($A334,A:AL,31,FALSE)-50))</f>
        <v>599</v>
      </c>
      <c r="AE334" s="3">
        <v>620</v>
      </c>
      <c r="AF334" s="3">
        <f>IF(ISERROR((VLOOKUP($A334,'SegEnds_NonXtal_BW#'!$A:$Z,22,FALSE)+VLOOKUP($A334,A:AL,31,FALSE)-50)),"-",(VLOOKUP($A334,'SegEnds_NonXtal_BW#'!$A:$Z,22,FALSE)+VLOOKUP($A334,A:AL,31,FALSE)-50))</f>
        <v>623</v>
      </c>
      <c r="AG334" s="3">
        <f>IF(ISERROR(VLOOKUP($A334,'SegEnds_NonXtal_BW#'!$A:$Z,23,FALSE)+VLOOKUP($A334,A:AL,34,FALSE)-50),"-",(VLOOKUP($A334,'SegEnds_NonXtal_BW#'!$A:$Z,23,FALSE)+VLOOKUP($A334,A:AL,34,FALSE)-50))</f>
        <v>630</v>
      </c>
      <c r="AH334" s="3">
        <v>649</v>
      </c>
      <c r="AI334" s="3">
        <f>IF(ISERROR((VLOOKUP($A334,'SegEnds_NonXtal_BW#'!$A:$Z,24,FALSE)+VLOOKUP($A334,A:AL,34,FALSE)-50)),"-",(VLOOKUP($A334,'SegEnds_NonXtal_BW#'!$A:$Z,24,FALSE)+VLOOKUP($A334,A:AL,34,FALSE)-50))</f>
        <v>655</v>
      </c>
      <c r="AJ334" s="3">
        <f>IF(ISERROR(VLOOKUP($A334,'SegEnds_NonXtal_BW#'!$A:$Z,25,FALSE)+VLOOKUP($A334,A:AL,37,FALSE)-50),"-",(VLOOKUP($A334,'SegEnds_NonXtal_BW#'!$A:$Z,25,FALSE)+VLOOKUP($A334,A:AL,37,FALSE)-50))</f>
        <v>656</v>
      </c>
      <c r="AK334" s="3">
        <v>659</v>
      </c>
      <c r="AL334" s="3">
        <f>IF(ISERROR((VLOOKUP($A334,'SegEnds_NonXtal_BW#'!$A:$Z,26,FALSE)+VLOOKUP($A334,A:AL,37,FALSE)-50)),"-",(VLOOKUP($A334,'SegEnds_NonXtal_BW#'!$A:$Z,26,FALSE)+VLOOKUP($A334,A:AL,37,FALSE)-50))</f>
        <v>672</v>
      </c>
      <c r="AM334" s="28" t="str">
        <f>VLOOKUP(A334,Classification!A:B,2,FALSE)</f>
        <v>B2</v>
      </c>
      <c r="AN334" s="28" t="b">
        <f t="shared" si="243"/>
        <v>1</v>
      </c>
      <c r="AO334" s="3" t="str">
        <f>IF(ISERROR(MATCH(A334,'SegEnds_Xtal_Prot#'!B:B, 0)), "NoXtal", "Xtal")</f>
        <v>NoXtal</v>
      </c>
      <c r="AP334" s="3" t="str">
        <f t="shared" si="228"/>
        <v>-</v>
      </c>
      <c r="AQ334" s="3" t="str">
        <f t="shared" si="229"/>
        <v>-</v>
      </c>
      <c r="AR334" s="3" t="str">
        <f t="shared" si="230"/>
        <v>-</v>
      </c>
      <c r="AS334" s="3" t="str">
        <f t="shared" si="231"/>
        <v>-</v>
      </c>
      <c r="AT334" s="3" t="str">
        <f t="shared" si="232"/>
        <v>-</v>
      </c>
      <c r="AU334" s="3" t="str">
        <f t="shared" si="233"/>
        <v>-</v>
      </c>
      <c r="AV334" s="3">
        <f t="shared" si="234"/>
        <v>8</v>
      </c>
      <c r="AW334" s="3">
        <f t="shared" si="235"/>
        <v>4</v>
      </c>
      <c r="AX334" s="3">
        <f t="shared" si="236"/>
        <v>11</v>
      </c>
      <c r="AY334" s="3">
        <f t="shared" si="237"/>
        <v>7</v>
      </c>
      <c r="AZ334" s="3">
        <f t="shared" si="238"/>
        <v>1</v>
      </c>
      <c r="BA334" s="3">
        <f>IF(ISERROR(LEN(VLOOKUP(A334,Seqs!A:E,2,FALSE))-AL334),"-",LEN(VLOOKUP(A334,Seqs!A:E,2,FALSE))-AL334)</f>
        <v>23</v>
      </c>
      <c r="BB334" s="16">
        <f t="shared" si="239"/>
        <v>31</v>
      </c>
      <c r="BC334" s="9" t="str">
        <f t="shared" si="240"/>
        <v>-</v>
      </c>
      <c r="BD334" s="3">
        <f t="shared" si="241"/>
        <v>31</v>
      </c>
      <c r="BE334" s="3">
        <f t="shared" si="242"/>
        <v>51</v>
      </c>
      <c r="BF334" s="3">
        <f>AH334-AE334</f>
        <v>29</v>
      </c>
    </row>
    <row r="335" spans="1:59" s="3" customFormat="1" x14ac:dyDescent="0.2">
      <c r="A335" s="3" t="s">
        <v>1185</v>
      </c>
      <c r="B335" s="3" t="str">
        <f>LOWER(VLOOKUP(A335,Xtal_Templ!A:B,2,FALSE))</f>
        <v>crfr1_human</v>
      </c>
      <c r="C335" s="3">
        <f>VLOOKUP($A335,'SegEnds_NonXtal_BW#'!$A:$Z,3,FALSE)+D335-50</f>
        <v>1000</v>
      </c>
      <c r="D335" s="3">
        <v>1027</v>
      </c>
      <c r="E335" s="3">
        <f>IF(ISERROR(VLOOKUP($A335,'SegEnds_NonXtal_BW#'!$A:$Z,4,FALSE)+VLOOKUP($A335,A:AL,4,FALSE)-50),"-",(VLOOKUP($A335,'SegEnds_NonXtal_BW#'!$A:$Z,4,FALSE)+VLOOKUP($A335,A:AL,4,FALSE)-50))</f>
        <v>1037</v>
      </c>
      <c r="F335" s="3">
        <f>G335-2</f>
        <v>1039</v>
      </c>
      <c r="G335" s="3">
        <v>1041</v>
      </c>
      <c r="H335" s="3">
        <f>G335+1</f>
        <v>1042</v>
      </c>
      <c r="I335" s="3">
        <f>H335+1</f>
        <v>1043</v>
      </c>
      <c r="J335" s="3">
        <v>1058</v>
      </c>
      <c r="K335" s="3">
        <f>VLOOKUP($A335,'SegEnds_NonXtal_BW#'!$A:$Z,8,FALSE)+VLOOKUP($A335,A:AL,10,FALSE)-50</f>
        <v>1071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1084</v>
      </c>
      <c r="P335" s="3">
        <v>1111</v>
      </c>
      <c r="Q335" s="3">
        <f>VLOOKUP($A335,'SegEnds_NonXtal_BW#'!$A:$Z,12,FALSE)+VLOOKUP($A335,A:AL,16,FALSE)-50</f>
        <v>1117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1126</v>
      </c>
      <c r="V335" s="3">
        <v>1136</v>
      </c>
      <c r="W335" s="3">
        <f>IF(ISERROR(VLOOKUP($A335,'SegEnds_NonXtal_BW#'!$A:$Z,16,FALSE)+VLOOKUP($A335,A:AL,22,FALSE)-50),"-",(VLOOKUP($A335,'SegEnds_NonXtal_BW#'!$A:$Z,16,FALSE)+VLOOKUP($A335,A:AL,22,FALSE)-50))</f>
        <v>1154</v>
      </c>
      <c r="X335" s="3">
        <f>IF(ISERROR(VLOOKUP($A335,'SegEnds_NonXtal_BW#'!$A:$Z,17,FALSE)+VLOOKUP($A335,A:AL,25,FALSE)-50),"-",(VLOOKUP($A335,'SegEnds_NonXtal_BW#'!$A:$Z,17,FALSE)+VLOOKUP($A335,A:AL,25,FALSE)-50))</f>
        <v>1162</v>
      </c>
      <c r="Y335" s="3">
        <v>1162</v>
      </c>
      <c r="Z335" s="3">
        <f t="shared" si="227"/>
        <v>1164</v>
      </c>
      <c r="AA335" s="3">
        <f>IF(ISERROR(VLOOKUP($A335,'SegEnds_NonXtal_BW#'!$A:$Z,19,FALSE)+VLOOKUP($A335,A:AL,28,FALSE)-50),"-",(VLOOKUP($A335,'SegEnds_NonXtal_BW#'!$A:$Z,19,FALSE)+VLOOKUP($A335,A:AL,28,FALSE)-50))</f>
        <v>1168</v>
      </c>
      <c r="AB335" s="3">
        <v>1182</v>
      </c>
      <c r="AC335" s="3">
        <f>IF(ISERROR((VLOOKUP($A335,'SegEnds_NonXtal_BW#'!$A:$Z,20,FALSE)+VLOOKUP($A335,A:AL,28,FALSE)-50)),"-",(VLOOKUP($A335,'SegEnds_NonXtal_BW#'!$A:$Z,20,FALSE)+VLOOKUP($A335,A:AL,28,FALSE)-50))</f>
        <v>1201</v>
      </c>
      <c r="AD335" s="3">
        <f>IF(ISERROR(VLOOKUP($A335,'SegEnds_NonXtal_BW#'!$A:$Z,21,FALSE)+VLOOKUP($A335,A:AL,31,FALSE)-50),"-",(VLOOKUP($A335,'SegEnds_NonXtal_BW#'!$A:$Z,21,FALSE)+VLOOKUP($A335,A:AL,31,FALSE)-50))</f>
        <v>1213</v>
      </c>
      <c r="AE335" s="3">
        <v>1234</v>
      </c>
      <c r="AF335" s="3">
        <f>IF(ISERROR((VLOOKUP($A335,'SegEnds_NonXtal_BW#'!$A:$Z,22,FALSE)+VLOOKUP($A335,A:AL,31,FALSE)-50)),"-",(VLOOKUP($A335,'SegEnds_NonXtal_BW#'!$A:$Z,22,FALSE)+VLOOKUP($A335,A:AL,31,FALSE)-50))</f>
        <v>1237</v>
      </c>
      <c r="AG335" s="3">
        <f>IF(ISERROR(VLOOKUP($A335,'SegEnds_NonXtal_BW#'!$A:$Z,23,FALSE)+VLOOKUP($A335,A:AL,34,FALSE)-50),"-",(VLOOKUP($A335,'SegEnds_NonXtal_BW#'!$A:$Z,23,FALSE)+VLOOKUP($A335,A:AL,34,FALSE)-50))</f>
        <v>1244</v>
      </c>
      <c r="AH335" s="3">
        <v>1263</v>
      </c>
      <c r="AI335" s="3">
        <f>IF(ISERROR((VLOOKUP($A335,'SegEnds_NonXtal_BW#'!$A:$Z,24,FALSE)+VLOOKUP($A335,A:AL,34,FALSE)-50)),"-",(VLOOKUP($A335,'SegEnds_NonXtal_BW#'!$A:$Z,24,FALSE)+VLOOKUP($A335,A:AL,34,FALSE)-50))</f>
        <v>1269</v>
      </c>
      <c r="AJ335" s="3">
        <f>IF(ISERROR(VLOOKUP($A335,'SegEnds_NonXtal_BW#'!$A:$Z,25,FALSE)+VLOOKUP($A335,A:AL,37,FALSE)-50),"-",(VLOOKUP($A335,'SegEnds_NonXtal_BW#'!$A:$Z,25,FALSE)+VLOOKUP($A335,A:AL,37,FALSE)-50))</f>
        <v>1270</v>
      </c>
      <c r="AK335" s="3">
        <v>1273</v>
      </c>
      <c r="AL335" s="3">
        <f>IF(ISERROR((VLOOKUP($A335,'SegEnds_NonXtal_BW#'!$A:$Z,26,FALSE)+VLOOKUP($A335,A:AL,37,FALSE)-50)),"-",(VLOOKUP($A335,'SegEnds_NonXtal_BW#'!$A:$Z,26,FALSE)+VLOOKUP($A335,A:AL,37,FALSE)-50))</f>
        <v>1286</v>
      </c>
      <c r="AM335" s="28" t="str">
        <f>VLOOKUP(A335,Classification!A:B,2,FALSE)</f>
        <v>B2</v>
      </c>
      <c r="AN335" s="28" t="b">
        <f t="shared" si="243"/>
        <v>1</v>
      </c>
      <c r="AO335" s="3" t="str">
        <f>IF(ISERROR(MATCH(A335,'SegEnds_Xtal_Prot#'!B:B, 0)), "NoXtal", "Xtal")</f>
        <v>NoXtal</v>
      </c>
      <c r="AP335" s="3">
        <f t="shared" si="228"/>
        <v>2</v>
      </c>
      <c r="AQ335" s="3">
        <f t="shared" si="229"/>
        <v>1</v>
      </c>
      <c r="AR335" s="3" t="str">
        <f t="shared" si="230"/>
        <v>-</v>
      </c>
      <c r="AS335" s="3" t="str">
        <f t="shared" si="231"/>
        <v>-</v>
      </c>
      <c r="AT335" s="3" t="str">
        <f t="shared" si="232"/>
        <v>-</v>
      </c>
      <c r="AU335" s="3" t="str">
        <f t="shared" si="233"/>
        <v>-</v>
      </c>
      <c r="AV335" s="3">
        <f t="shared" si="234"/>
        <v>8</v>
      </c>
      <c r="AW335" s="3">
        <f t="shared" si="235"/>
        <v>4</v>
      </c>
      <c r="AX335" s="3">
        <f t="shared" si="236"/>
        <v>12</v>
      </c>
      <c r="AY335" s="3">
        <f t="shared" si="237"/>
        <v>7</v>
      </c>
      <c r="AZ335" s="3">
        <f t="shared" si="238"/>
        <v>1</v>
      </c>
      <c r="BA335" s="3">
        <f>IF(ISERROR(LEN(VLOOKUP(A335,Seqs!A:E,2,FALSE))-AL335),"-",LEN(VLOOKUP(A335,Seqs!A:E,2,FALSE))-AL335)</f>
        <v>60</v>
      </c>
      <c r="BB335" s="16">
        <f t="shared" si="239"/>
        <v>31</v>
      </c>
      <c r="BC335" s="9" t="str">
        <f t="shared" si="240"/>
        <v>-</v>
      </c>
      <c r="BD335" s="3">
        <f t="shared" si="241"/>
        <v>31</v>
      </c>
      <c r="BE335" s="3">
        <f t="shared" si="242"/>
        <v>52</v>
      </c>
    </row>
    <row r="336" spans="1:59" s="3" customFormat="1" x14ac:dyDescent="0.2">
      <c r="A336" s="3" t="s">
        <v>1186</v>
      </c>
      <c r="B336" s="3" t="str">
        <f>LOWER(VLOOKUP(A336,Xtal_Templ!A:B,2,FALSE))</f>
        <v>glr_human</v>
      </c>
      <c r="C336" s="3">
        <f>VLOOKUP($A336,'SegEnds_NonXtal_BW#'!$A:$Z,3,FALSE)+D336-50</f>
        <v>391</v>
      </c>
      <c r="D336" s="3">
        <v>418</v>
      </c>
      <c r="E336" s="3">
        <f>IF(ISERROR(VLOOKUP($A336,'SegEnds_NonXtal_BW#'!$A:$Z,4,FALSE)+VLOOKUP($A336,A:AL,4,FALSE)-50),"-",(VLOOKUP($A336,'SegEnds_NonXtal_BW#'!$A:$Z,4,FALSE)+VLOOKUP($A336,A:AL,4,FALSE)-50))</f>
        <v>428</v>
      </c>
      <c r="F336" s="3">
        <f>G336-2</f>
        <v>430</v>
      </c>
      <c r="G336" s="3">
        <v>432</v>
      </c>
      <c r="H336" s="3">
        <f>G336+1</f>
        <v>433</v>
      </c>
      <c r="I336" s="3">
        <f>H336+1</f>
        <v>434</v>
      </c>
      <c r="J336" s="3">
        <v>453</v>
      </c>
      <c r="K336" s="3">
        <f>VLOOKUP($A336,'SegEnds_NonXtal_BW#'!$A:$Z,8,FALSE)+VLOOKUP($A336,A:AL,10,FALSE)-50</f>
        <v>466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473</v>
      </c>
      <c r="P336" s="3">
        <v>500</v>
      </c>
      <c r="Q336" s="3">
        <f>VLOOKUP($A336,'SegEnds_NonXtal_BW#'!$A:$Z,12,FALSE)+VLOOKUP($A336,A:AL,16,FALSE)-50</f>
        <v>506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514</v>
      </c>
      <c r="V336" s="3">
        <v>524</v>
      </c>
      <c r="W336" s="3">
        <f>IF(ISERROR(VLOOKUP($A336,'SegEnds_NonXtal_BW#'!$A:$Z,16,FALSE)+VLOOKUP($A336,A:AL,22,FALSE)-50),"-",(VLOOKUP($A336,'SegEnds_NonXtal_BW#'!$A:$Z,16,FALSE)+VLOOKUP($A336,A:AL,22,FALSE)-50))</f>
        <v>542</v>
      </c>
      <c r="X336" s="3">
        <f>IF(ISERROR(VLOOKUP($A336,'SegEnds_NonXtal_BW#'!$A:$Z,17,FALSE)+VLOOKUP($A336,A:AL,25,FALSE)-50),"-",(VLOOKUP($A336,'SegEnds_NonXtal_BW#'!$A:$Z,17,FALSE)+VLOOKUP($A336,A:AL,25,FALSE)-50))</f>
        <v>562</v>
      </c>
      <c r="Y336" s="3">
        <v>562</v>
      </c>
      <c r="Z336" s="3">
        <f t="shared" si="227"/>
        <v>564</v>
      </c>
      <c r="AA336" s="3">
        <f>IF(ISERROR(VLOOKUP($A336,'SegEnds_NonXtal_BW#'!$A:$Z,19,FALSE)+VLOOKUP($A336,A:AL,28,FALSE)-50),"-",(VLOOKUP($A336,'SegEnds_NonXtal_BW#'!$A:$Z,19,FALSE)+VLOOKUP($A336,A:AL,28,FALSE)-50))</f>
        <v>567</v>
      </c>
      <c r="AB336" s="3">
        <v>581</v>
      </c>
      <c r="AC336" s="3">
        <f>IF(ISERROR((VLOOKUP($A336,'SegEnds_NonXtal_BW#'!$A:$Z,20,FALSE)+VLOOKUP($A336,A:AL,28,FALSE)-50)),"-",(VLOOKUP($A336,'SegEnds_NonXtal_BW#'!$A:$Z,20,FALSE)+VLOOKUP($A336,A:AL,28,FALSE)-50))</f>
        <v>600</v>
      </c>
      <c r="AD336" s="3">
        <f>IF(ISERROR(VLOOKUP($A336,'SegEnds_NonXtal_BW#'!$A:$Z,21,FALSE)+VLOOKUP($A336,A:AL,31,FALSE)-50),"-",(VLOOKUP($A336,'SegEnds_NonXtal_BW#'!$A:$Z,21,FALSE)+VLOOKUP($A336,A:AL,31,FALSE)-50))</f>
        <v>604</v>
      </c>
      <c r="AE336" s="3">
        <v>625</v>
      </c>
      <c r="AF336" s="3">
        <f>IF(ISERROR((VLOOKUP($A336,'SegEnds_NonXtal_BW#'!$A:$Z,22,FALSE)+VLOOKUP($A336,A:AL,31,FALSE)-50)),"-",(VLOOKUP($A336,'SegEnds_NonXtal_BW#'!$A:$Z,22,FALSE)+VLOOKUP($A336,A:AL,31,FALSE)-50))</f>
        <v>628</v>
      </c>
      <c r="AG336" s="3">
        <f>IF(ISERROR(VLOOKUP($A336,'SegEnds_NonXtal_BW#'!$A:$Z,23,FALSE)+VLOOKUP($A336,A:AL,34,FALSE)-50),"-",(VLOOKUP($A336,'SegEnds_NonXtal_BW#'!$A:$Z,23,FALSE)+VLOOKUP($A336,A:AL,34,FALSE)-50))</f>
        <v>633</v>
      </c>
      <c r="AH336" s="3">
        <v>655</v>
      </c>
      <c r="AI336" s="3">
        <f>IF(ISERROR((VLOOKUP($A336,'SegEnds_NonXtal_BW#'!$A:$Z,24,FALSE)+VLOOKUP($A336,A:AL,34,FALSE)-50)),"-",(VLOOKUP($A336,'SegEnds_NonXtal_BW#'!$A:$Z,24,FALSE)+VLOOKUP($A336,A:AL,34,FALSE)-50))</f>
        <v>661</v>
      </c>
      <c r="AJ336" s="3">
        <f>IF(ISERROR(VLOOKUP($A336,'SegEnds_NonXtal_BW#'!$A:$Z,25,FALSE)+VLOOKUP($A336,A:AL,37,FALSE)-50),"-",(VLOOKUP($A336,'SegEnds_NonXtal_BW#'!$A:$Z,25,FALSE)+VLOOKUP($A336,A:AL,37,FALSE)-50))</f>
        <v>662</v>
      </c>
      <c r="AK336" s="3">
        <v>665</v>
      </c>
      <c r="AL336" s="3">
        <f>IF(ISERROR((VLOOKUP($A336,'SegEnds_NonXtal_BW#'!$A:$Z,26,FALSE)+VLOOKUP($A336,A:AL,37,FALSE)-50)),"-",(VLOOKUP($A336,'SegEnds_NonXtal_BW#'!$A:$Z,26,FALSE)+VLOOKUP($A336,A:AL,37,FALSE)-50))</f>
        <v>678</v>
      </c>
      <c r="AM336" s="28" t="str">
        <f>VLOOKUP(A336,Classification!A:B,2,FALSE)</f>
        <v>B2</v>
      </c>
      <c r="AN336" s="28" t="b">
        <f t="shared" si="243"/>
        <v>1</v>
      </c>
      <c r="AO336" s="3" t="str">
        <f>IF(ISERROR(MATCH(A336,'SegEnds_Xtal_Prot#'!B:B, 0)), "NoXtal", "Xtal")</f>
        <v>NoXtal</v>
      </c>
      <c r="AP336" s="3">
        <f t="shared" si="228"/>
        <v>2</v>
      </c>
      <c r="AQ336" s="3">
        <f t="shared" si="229"/>
        <v>1</v>
      </c>
      <c r="AR336" s="3" t="str">
        <f t="shared" si="230"/>
        <v>-</v>
      </c>
      <c r="AS336" s="3" t="str">
        <f t="shared" si="231"/>
        <v>-</v>
      </c>
      <c r="AT336" s="3" t="str">
        <f t="shared" si="232"/>
        <v>-</v>
      </c>
      <c r="AU336" s="3" t="str">
        <f t="shared" si="233"/>
        <v>-</v>
      </c>
      <c r="AV336" s="3">
        <f t="shared" si="234"/>
        <v>20</v>
      </c>
      <c r="AW336" s="3">
        <f t="shared" si="235"/>
        <v>3</v>
      </c>
      <c r="AX336" s="3">
        <f t="shared" si="236"/>
        <v>4</v>
      </c>
      <c r="AY336" s="3">
        <f t="shared" si="237"/>
        <v>5</v>
      </c>
      <c r="AZ336" s="3">
        <f t="shared" si="238"/>
        <v>1</v>
      </c>
      <c r="BA336" s="3">
        <f>IF(ISERROR(LEN(VLOOKUP(A336,Seqs!A:E,2,FALSE))-AL336),"-",LEN(VLOOKUP(A336,Seqs!A:E,2,FALSE))-AL336)</f>
        <v>15</v>
      </c>
      <c r="BB336" s="16">
        <f t="shared" si="239"/>
        <v>35</v>
      </c>
      <c r="BC336" s="9" t="str">
        <f t="shared" si="240"/>
        <v>-</v>
      </c>
      <c r="BD336" s="3">
        <f t="shared" si="241"/>
        <v>35</v>
      </c>
      <c r="BE336" s="3">
        <f t="shared" si="242"/>
        <v>44</v>
      </c>
      <c r="BF336" s="3">
        <f>AH336-AE336</f>
        <v>30</v>
      </c>
    </row>
    <row r="337" spans="1:58" s="3" customFormat="1" x14ac:dyDescent="0.2">
      <c r="A337" s="3" t="s">
        <v>1187</v>
      </c>
      <c r="B337" s="3" t="str">
        <f>LOWER(VLOOKUP(A337,Xtal_Templ!A:B,2,FALSE))</f>
        <v>pacr_human</v>
      </c>
      <c r="C337" s="3">
        <f>VLOOKUP($A337,'SegEnds_NonXtal_BW#'!$A:$Z,3,FALSE)+D337-50</f>
        <v>616</v>
      </c>
      <c r="D337" s="3">
        <v>643</v>
      </c>
      <c r="E337" s="3">
        <f>IF(ISERROR(VLOOKUP($A337,'SegEnds_NonXtal_BW#'!$A:$Z,4,FALSE)+VLOOKUP($A337,A:AL,4,FALSE)-50),"-",(VLOOKUP($A337,'SegEnds_NonXtal_BW#'!$A:$Z,4,FALSE)+VLOOKUP($A337,A:AL,4,FALSE)-50))</f>
        <v>653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659</v>
      </c>
      <c r="J337" s="3">
        <v>672</v>
      </c>
      <c r="K337" s="3">
        <f>VLOOKUP($A337,'SegEnds_NonXtal_BW#'!$A:$Z,8,FALSE)+VLOOKUP($A337,A:AL,10,FALSE)-50</f>
        <v>685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692</v>
      </c>
      <c r="P337" s="3">
        <v>719</v>
      </c>
      <c r="Q337" s="3">
        <f>VLOOKUP($A337,'SegEnds_NonXtal_BW#'!$A:$Z,12,FALSE)+VLOOKUP($A337,A:AL,16,FALSE)-50</f>
        <v>725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733</v>
      </c>
      <c r="V337" s="3">
        <v>743</v>
      </c>
      <c r="W337" s="3">
        <f>IF(ISERROR(VLOOKUP($A337,'SegEnds_NonXtal_BW#'!$A:$Z,16,FALSE)+VLOOKUP($A337,A:AL,22,FALSE)-50),"-",(VLOOKUP($A337,'SegEnds_NonXtal_BW#'!$A:$Z,16,FALSE)+VLOOKUP($A337,A:AL,22,FALSE)-50))</f>
        <v>761</v>
      </c>
      <c r="X337" s="3">
        <f>IF(ISERROR(VLOOKUP($A337,'SegEnds_NonXtal_BW#'!$A:$Z,17,FALSE)+VLOOKUP($A337,A:AL,25,FALSE)-50),"-",(VLOOKUP($A337,'SegEnds_NonXtal_BW#'!$A:$Z,17,FALSE)+VLOOKUP($A337,A:AL,25,FALSE)-50))</f>
        <v>778</v>
      </c>
      <c r="Y337" s="3">
        <v>778</v>
      </c>
      <c r="Z337" s="3">
        <f t="shared" si="227"/>
        <v>780</v>
      </c>
      <c r="AA337" s="3">
        <f>IF(ISERROR(VLOOKUP($A337,'SegEnds_NonXtal_BW#'!$A:$Z,19,FALSE)+VLOOKUP($A337,A:AL,28,FALSE)-50),"-",(VLOOKUP($A337,'SegEnds_NonXtal_BW#'!$A:$Z,19,FALSE)+VLOOKUP($A337,A:AL,28,FALSE)-50))</f>
        <v>783</v>
      </c>
      <c r="AB337" s="3">
        <v>797</v>
      </c>
      <c r="AC337" s="3">
        <f>IF(ISERROR((VLOOKUP($A337,'SegEnds_NonXtal_BW#'!$A:$Z,20,FALSE)+VLOOKUP($A337,A:AL,28,FALSE)-50)),"-",(VLOOKUP($A337,'SegEnds_NonXtal_BW#'!$A:$Z,20,FALSE)+VLOOKUP($A337,A:AL,28,FALSE)-50))</f>
        <v>816</v>
      </c>
      <c r="AD337" s="3">
        <f>IF(ISERROR(VLOOKUP($A337,'SegEnds_NonXtal_BW#'!$A:$Z,21,FALSE)+VLOOKUP($A337,A:AL,31,FALSE)-50),"-",(VLOOKUP($A337,'SegEnds_NonXtal_BW#'!$A:$Z,21,FALSE)+VLOOKUP($A337,A:AL,31,FALSE)-50))</f>
        <v>827</v>
      </c>
      <c r="AE337" s="3">
        <v>848</v>
      </c>
      <c r="AF337" s="3">
        <f>IF(ISERROR((VLOOKUP($A337,'SegEnds_NonXtal_BW#'!$A:$Z,22,FALSE)+VLOOKUP($A337,A:AL,31,FALSE)-50)),"-",(VLOOKUP($A337,'SegEnds_NonXtal_BW#'!$A:$Z,22,FALSE)+VLOOKUP($A337,A:AL,31,FALSE)-50))</f>
        <v>852</v>
      </c>
      <c r="AG337" s="3">
        <f>IF(ISERROR(VLOOKUP($A337,'SegEnds_NonXtal_BW#'!$A:$Z,23,FALSE)+VLOOKUP($A337,A:AL,34,FALSE)-50),"-",(VLOOKUP($A337,'SegEnds_NonXtal_BW#'!$A:$Z,23,FALSE)+VLOOKUP($A337,A:AL,34,FALSE)-50))</f>
        <v>857</v>
      </c>
      <c r="AH337" s="3">
        <v>876</v>
      </c>
      <c r="AI337" s="3">
        <f>IF(ISERROR((VLOOKUP($A337,'SegEnds_NonXtal_BW#'!$A:$Z,24,FALSE)+VLOOKUP($A337,A:AL,34,FALSE)-50)),"-",(VLOOKUP($A337,'SegEnds_NonXtal_BW#'!$A:$Z,24,FALSE)+VLOOKUP($A337,A:AL,34,FALSE)-50))</f>
        <v>882</v>
      </c>
      <c r="AJ337" s="3">
        <f>IF(ISERROR(VLOOKUP($A337,'SegEnds_NonXtal_BW#'!$A:$Z,25,FALSE)+VLOOKUP($A337,A:AL,37,FALSE)-50),"-",(VLOOKUP($A337,'SegEnds_NonXtal_BW#'!$A:$Z,25,FALSE)+VLOOKUP($A337,A:AL,37,FALSE)-50))</f>
        <v>883</v>
      </c>
      <c r="AK337" s="3">
        <v>886</v>
      </c>
      <c r="AL337" s="3">
        <f>IF(ISERROR((VLOOKUP($A337,'SegEnds_NonXtal_BW#'!$A:$Z,26,FALSE)+VLOOKUP($A337,A:AL,37,FALSE)-50)),"-",(VLOOKUP($A337,'SegEnds_NonXtal_BW#'!$A:$Z,26,FALSE)+VLOOKUP($A337,A:AL,37,FALSE)-50))</f>
        <v>899</v>
      </c>
      <c r="AM337" s="28" t="str">
        <f>VLOOKUP(A337,Classification!A:B,2,FALSE)</f>
        <v>B2</v>
      </c>
      <c r="AN337" s="28" t="b">
        <f t="shared" si="243"/>
        <v>1</v>
      </c>
      <c r="AO337" s="3" t="str">
        <f>IF(ISERROR(MATCH(A337,'SegEnds_Xtal_Prot#'!B:B, 0)), "NoXtal", "Xtal")</f>
        <v>NoXtal</v>
      </c>
      <c r="AP337" s="3" t="str">
        <f t="shared" si="228"/>
        <v>-</v>
      </c>
      <c r="AQ337" s="3" t="str">
        <f t="shared" si="229"/>
        <v>-</v>
      </c>
      <c r="AR337" s="3" t="str">
        <f t="shared" si="230"/>
        <v>-</v>
      </c>
      <c r="AS337" s="3" t="str">
        <f t="shared" si="231"/>
        <v>-</v>
      </c>
      <c r="AT337" s="3" t="str">
        <f t="shared" si="232"/>
        <v>-</v>
      </c>
      <c r="AU337" s="3" t="str">
        <f t="shared" si="233"/>
        <v>-</v>
      </c>
      <c r="AV337" s="3">
        <f t="shared" si="234"/>
        <v>17</v>
      </c>
      <c r="AW337" s="3">
        <f t="shared" si="235"/>
        <v>3</v>
      </c>
      <c r="AX337" s="3">
        <f t="shared" si="236"/>
        <v>11</v>
      </c>
      <c r="AY337" s="3">
        <f t="shared" si="237"/>
        <v>5</v>
      </c>
      <c r="AZ337" s="3">
        <f t="shared" si="238"/>
        <v>1</v>
      </c>
      <c r="BA337" s="3">
        <f>IF(ISERROR(LEN(VLOOKUP(A337,Seqs!A:E,2,FALSE))-AL337),"-",LEN(VLOOKUP(A337,Seqs!A:E,2,FALSE))-AL337)</f>
        <v>118</v>
      </c>
      <c r="BB337" s="16">
        <f t="shared" si="239"/>
        <v>29</v>
      </c>
      <c r="BC337" s="9" t="str">
        <f t="shared" si="240"/>
        <v>-</v>
      </c>
      <c r="BD337" s="3">
        <f t="shared" si="241"/>
        <v>29</v>
      </c>
      <c r="BE337" s="3">
        <f t="shared" si="242"/>
        <v>51</v>
      </c>
    </row>
    <row r="338" spans="1:58" s="3" customFormat="1" x14ac:dyDescent="0.2">
      <c r="A338" s="3" t="s">
        <v>1188</v>
      </c>
      <c r="B338" s="3" t="str">
        <f>LOWER(VLOOKUP(A338,Xtal_Templ!A:B,2,FALSE))</f>
        <v>pth1r_human</v>
      </c>
      <c r="C338" s="3">
        <f>VLOOKUP($A338,'SegEnds_NonXtal_BW#'!$A:$Z,3,FALSE)+D338-50</f>
        <v>256</v>
      </c>
      <c r="D338" s="3">
        <v>283</v>
      </c>
      <c r="E338" s="3">
        <f>IF(ISERROR(VLOOKUP($A338,'SegEnds_NonXtal_BW#'!$A:$Z,4,FALSE)+VLOOKUP($A338,A:AL,4,FALSE)-50),"-",(VLOOKUP($A338,'SegEnds_NonXtal_BW#'!$A:$Z,4,FALSE)+VLOOKUP($A338,A:AL,4,FALSE)-50))</f>
        <v>293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303</v>
      </c>
      <c r="J338" s="3">
        <v>316</v>
      </c>
      <c r="K338" s="3">
        <f>VLOOKUP($A338,'SegEnds_NonXtal_BW#'!$A:$Z,8,FALSE)+VLOOKUP($A338,A:AL,10,FALSE)-50</f>
        <v>329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336</v>
      </c>
      <c r="P338" s="3">
        <v>363</v>
      </c>
      <c r="Q338" s="3">
        <f>VLOOKUP($A338,'SegEnds_NonXtal_BW#'!$A:$Z,12,FALSE)+VLOOKUP($A338,A:AL,16,FALSE)-50</f>
        <v>369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374</v>
      </c>
      <c r="V338" s="3">
        <v>387</v>
      </c>
      <c r="W338" s="3">
        <f>IF(ISERROR(VLOOKUP($A338,'SegEnds_NonXtal_BW#'!$A:$Z,16,FALSE)+VLOOKUP($A338,A:AL,22,FALSE)-50),"-",(VLOOKUP($A338,'SegEnds_NonXtal_BW#'!$A:$Z,16,FALSE)+VLOOKUP($A338,A:AL,22,FALSE)-50))</f>
        <v>405</v>
      </c>
      <c r="X338" s="3">
        <f>IF(ISERROR(VLOOKUP($A338,'SegEnds_NonXtal_BW#'!$A:$Z,17,FALSE)+VLOOKUP($A338,A:AL,25,FALSE)-50),"-",(VLOOKUP($A338,'SegEnds_NonXtal_BW#'!$A:$Z,17,FALSE)+VLOOKUP($A338,A:AL,25,FALSE)-50))</f>
        <v>420</v>
      </c>
      <c r="Y338" s="3">
        <v>420</v>
      </c>
      <c r="Z338" s="3">
        <f t="shared" si="227"/>
        <v>422</v>
      </c>
      <c r="AA338" s="3">
        <f>IF(ISERROR(VLOOKUP($A338,'SegEnds_NonXtal_BW#'!$A:$Z,19,FALSE)+VLOOKUP($A338,A:AL,28,FALSE)-50),"-",(VLOOKUP($A338,'SegEnds_NonXtal_BW#'!$A:$Z,19,FALSE)+VLOOKUP($A338,A:AL,28,FALSE)-50))</f>
        <v>424</v>
      </c>
      <c r="AB338" s="3">
        <v>438</v>
      </c>
      <c r="AC338" s="3">
        <f>IF(ISERROR((VLOOKUP($A338,'SegEnds_NonXtal_BW#'!$A:$Z,20,FALSE)+VLOOKUP($A338,A:AL,28,FALSE)-50)),"-",(VLOOKUP($A338,'SegEnds_NonXtal_BW#'!$A:$Z,20,FALSE)+VLOOKUP($A338,A:AL,28,FALSE)-50))</f>
        <v>457</v>
      </c>
      <c r="AD338" s="3">
        <f>IF(ISERROR(VLOOKUP($A338,'SegEnds_NonXtal_BW#'!$A:$Z,21,FALSE)+VLOOKUP($A338,A:AL,31,FALSE)-50),"-",(VLOOKUP($A338,'SegEnds_NonXtal_BW#'!$A:$Z,21,FALSE)+VLOOKUP($A338,A:AL,31,FALSE)-50))</f>
        <v>471</v>
      </c>
      <c r="AE338" s="3">
        <v>492</v>
      </c>
      <c r="AF338" s="3">
        <f>IF(ISERROR((VLOOKUP($A338,'SegEnds_NonXtal_BW#'!$A:$Z,22,FALSE)+VLOOKUP($A338,A:AL,31,FALSE)-50)),"-",(VLOOKUP($A338,'SegEnds_NonXtal_BW#'!$A:$Z,22,FALSE)+VLOOKUP($A338,A:AL,31,FALSE)-50))</f>
        <v>492</v>
      </c>
      <c r="AG338" s="3">
        <f>IF(ISERROR(VLOOKUP($A338,'SegEnds_NonXtal_BW#'!$A:$Z,23,FALSE)+VLOOKUP($A338,A:AL,34,FALSE)-50),"-",(VLOOKUP($A338,'SegEnds_NonXtal_BW#'!$A:$Z,23,FALSE)+VLOOKUP($A338,A:AL,34,FALSE)-50))</f>
        <v>499</v>
      </c>
      <c r="AH338" s="3">
        <v>518</v>
      </c>
      <c r="AI338" s="3">
        <f>IF(ISERROR((VLOOKUP($A338,'SegEnds_NonXtal_BW#'!$A:$Z,24,FALSE)+VLOOKUP($A338,A:AL,34,FALSE)-50)),"-",(VLOOKUP($A338,'SegEnds_NonXtal_BW#'!$A:$Z,24,FALSE)+VLOOKUP($A338,A:AL,34,FALSE)-50))</f>
        <v>524</v>
      </c>
      <c r="AJ338" s="3">
        <f>IF(ISERROR(VLOOKUP($A338,'SegEnds_NonXtal_BW#'!$A:$Z,25,FALSE)+VLOOKUP($A338,A:AL,37,FALSE)-50),"-",(VLOOKUP($A338,'SegEnds_NonXtal_BW#'!$A:$Z,25,FALSE)+VLOOKUP($A338,A:AL,37,FALSE)-50))</f>
        <v>525</v>
      </c>
      <c r="AK338" s="3">
        <v>528</v>
      </c>
      <c r="AL338" s="3">
        <f>IF(ISERROR((VLOOKUP($A338,'SegEnds_NonXtal_BW#'!$A:$Z,26,FALSE)+VLOOKUP($A338,A:AL,37,FALSE)-50)),"-",(VLOOKUP($A338,'SegEnds_NonXtal_BW#'!$A:$Z,26,FALSE)+VLOOKUP($A338,A:AL,37,FALSE)-50))</f>
        <v>541</v>
      </c>
      <c r="AM338" s="28" t="str">
        <f>VLOOKUP(A338,Classification!A:B,2,FALSE)</f>
        <v>B2</v>
      </c>
      <c r="AN338" s="28" t="b">
        <f t="shared" si="243"/>
        <v>1</v>
      </c>
      <c r="AO338" s="3" t="str">
        <f>IF(ISERROR(MATCH(A338,'SegEnds_Xtal_Prot#'!B:B, 0)), "NoXtal", "Xtal")</f>
        <v>NoXtal</v>
      </c>
      <c r="AP338" s="3" t="str">
        <f t="shared" si="228"/>
        <v>-</v>
      </c>
      <c r="AQ338" s="3" t="str">
        <f t="shared" si="229"/>
        <v>-</v>
      </c>
      <c r="AR338" s="3" t="str">
        <f t="shared" si="230"/>
        <v>-</v>
      </c>
      <c r="AS338" s="3" t="str">
        <f t="shared" si="231"/>
        <v>-</v>
      </c>
      <c r="AT338" s="3" t="str">
        <f t="shared" si="232"/>
        <v>-</v>
      </c>
      <c r="AU338" s="3" t="str">
        <f t="shared" si="233"/>
        <v>-</v>
      </c>
      <c r="AV338" s="3">
        <f t="shared" si="234"/>
        <v>15</v>
      </c>
      <c r="AW338" s="3">
        <f t="shared" si="235"/>
        <v>2</v>
      </c>
      <c r="AX338" s="3">
        <f t="shared" si="236"/>
        <v>14</v>
      </c>
      <c r="AY338" s="3">
        <f t="shared" si="237"/>
        <v>7</v>
      </c>
      <c r="AZ338" s="3">
        <f t="shared" si="238"/>
        <v>1</v>
      </c>
      <c r="BA338" s="3">
        <f>IF(ISERROR(LEN(VLOOKUP(A338,Seqs!A:E,2,FALSE))-AL338),"-",LEN(VLOOKUP(A338,Seqs!A:E,2,FALSE))-AL338)</f>
        <v>8</v>
      </c>
      <c r="BB338" s="16">
        <f t="shared" si="239"/>
        <v>33</v>
      </c>
      <c r="BC338" s="9" t="str">
        <f t="shared" si="240"/>
        <v>-</v>
      </c>
      <c r="BD338" s="3">
        <f t="shared" si="241"/>
        <v>33</v>
      </c>
      <c r="BE338" s="3">
        <f t="shared" si="242"/>
        <v>54</v>
      </c>
      <c r="BF338" s="3">
        <f>AH338-AE338</f>
        <v>26</v>
      </c>
    </row>
    <row r="339" spans="1:58" s="3" customFormat="1" x14ac:dyDescent="0.2">
      <c r="A339" s="3" t="s">
        <v>1189</v>
      </c>
      <c r="B339" s="3" t="str">
        <f>LOWER(VLOOKUP(A339,Xtal_Templ!A:B,2,FALSE))</f>
        <v>pth1r_human</v>
      </c>
      <c r="C339" s="3">
        <f>VLOOKUP($A339,'SegEnds_NonXtal_BW#'!$A:$Z,3,FALSE)+D339-50</f>
        <v>2731</v>
      </c>
      <c r="D339" s="3">
        <v>2758</v>
      </c>
      <c r="E339" s="3">
        <f>IF(ISERROR(VLOOKUP($A339,'SegEnds_NonXtal_BW#'!$A:$Z,4,FALSE)+VLOOKUP($A339,A:AL,4,FALSE)-50),"-",(VLOOKUP($A339,'SegEnds_NonXtal_BW#'!$A:$Z,4,FALSE)+VLOOKUP($A339,A:AL,4,FALSE)-50))</f>
        <v>2768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2774</v>
      </c>
      <c r="J339" s="3">
        <v>2787</v>
      </c>
      <c r="K339" s="3">
        <f>VLOOKUP($A339,'SegEnds_NonXtal_BW#'!$A:$Z,8,FALSE)+VLOOKUP($A339,A:AL,10,FALSE)-50</f>
        <v>2800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2807</v>
      </c>
      <c r="P339" s="3">
        <v>2834</v>
      </c>
      <c r="Q339" s="3">
        <f>VLOOKUP($A339,'SegEnds_NonXtal_BW#'!$A:$Z,12,FALSE)+VLOOKUP($A339,A:AL,16,FALSE)-50</f>
        <v>2840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2845</v>
      </c>
      <c r="V339" s="3">
        <v>2858</v>
      </c>
      <c r="W339" s="3">
        <f>IF(ISERROR(VLOOKUP($A339,'SegEnds_NonXtal_BW#'!$A:$Z,16,FALSE)+VLOOKUP($A339,A:AL,22,FALSE)-50),"-",(VLOOKUP($A339,'SegEnds_NonXtal_BW#'!$A:$Z,16,FALSE)+VLOOKUP($A339,A:AL,22,FALSE)-50))</f>
        <v>2876</v>
      </c>
      <c r="X339" s="3">
        <f>IF(ISERROR(VLOOKUP($A339,'SegEnds_NonXtal_BW#'!$A:$Z,17,FALSE)+VLOOKUP($A339,A:AL,25,FALSE)-50),"-",(VLOOKUP($A339,'SegEnds_NonXtal_BW#'!$A:$Z,17,FALSE)+VLOOKUP($A339,A:AL,25,FALSE)-50))</f>
        <v>2886</v>
      </c>
      <c r="Y339" s="3">
        <v>2886</v>
      </c>
      <c r="Z339" s="3">
        <f t="shared" si="227"/>
        <v>2888</v>
      </c>
      <c r="AA339" s="3">
        <f>IF(ISERROR(VLOOKUP($A339,'SegEnds_NonXtal_BW#'!$A:$Z,19,FALSE)+VLOOKUP($A339,A:AL,28,FALSE)-50),"-",(VLOOKUP($A339,'SegEnds_NonXtal_BW#'!$A:$Z,19,FALSE)+VLOOKUP($A339,A:AL,28,FALSE)-50))</f>
        <v>2891</v>
      </c>
      <c r="AB339" s="3">
        <v>2905</v>
      </c>
      <c r="AC339" s="3">
        <f>IF(ISERROR((VLOOKUP($A339,'SegEnds_NonXtal_BW#'!$A:$Z,20,FALSE)+VLOOKUP($A339,A:AL,28,FALSE)-50)),"-",(VLOOKUP($A339,'SegEnds_NonXtal_BW#'!$A:$Z,20,FALSE)+VLOOKUP($A339,A:AL,28,FALSE)-50))</f>
        <v>2924</v>
      </c>
      <c r="AD339" s="3">
        <f>IF(ISERROR(VLOOKUP($A339,'SegEnds_NonXtal_BW#'!$A:$Z,21,FALSE)+VLOOKUP($A339,A:AL,31,FALSE)-50),"-",(VLOOKUP($A339,'SegEnds_NonXtal_BW#'!$A:$Z,21,FALSE)+VLOOKUP($A339,A:AL,31,FALSE)-50))</f>
        <v>2934</v>
      </c>
      <c r="AE339" s="3">
        <v>2955</v>
      </c>
      <c r="AF339" s="3">
        <f>IF(ISERROR((VLOOKUP($A339,'SegEnds_NonXtal_BW#'!$A:$Z,22,FALSE)+VLOOKUP($A339,A:AL,31,FALSE)-50)),"-",(VLOOKUP($A339,'SegEnds_NonXtal_BW#'!$A:$Z,22,FALSE)+VLOOKUP($A339,A:AL,31,FALSE)-50))</f>
        <v>2959</v>
      </c>
      <c r="AG339" s="3">
        <f>IF(ISERROR(VLOOKUP($A339,'SegEnds_NonXtal_BW#'!$A:$Z,23,FALSE)+VLOOKUP($A339,A:AL,34,FALSE)-50),"-",(VLOOKUP($A339,'SegEnds_NonXtal_BW#'!$A:$Z,23,FALSE)+VLOOKUP($A339,A:AL,34,FALSE)-50))</f>
        <v>2964</v>
      </c>
      <c r="AH339" s="3">
        <v>2983</v>
      </c>
      <c r="AI339" s="3">
        <f>IF(ISERROR((VLOOKUP($A339,'SegEnds_NonXtal_BW#'!$A:$Z,24,FALSE)+VLOOKUP($A339,A:AL,34,FALSE)-50)),"-",(VLOOKUP($A339,'SegEnds_NonXtal_BW#'!$A:$Z,24,FALSE)+VLOOKUP($A339,A:AL,34,FALSE)-50))</f>
        <v>2989</v>
      </c>
      <c r="AJ339" s="3">
        <f>IF(ISERROR(VLOOKUP($A339,'SegEnds_NonXtal_BW#'!$A:$Z,25,FALSE)+VLOOKUP($A339,A:AL,37,FALSE)-50),"-",(VLOOKUP($A339,'SegEnds_NonXtal_BW#'!$A:$Z,25,FALSE)+VLOOKUP($A339,A:AL,37,FALSE)-50))</f>
        <v>2990</v>
      </c>
      <c r="AK339" s="3">
        <v>2993</v>
      </c>
      <c r="AL339" s="3">
        <f>IF(ISERROR((VLOOKUP($A339,'SegEnds_NonXtal_BW#'!$A:$Z,26,FALSE)+VLOOKUP($A339,A:AL,37,FALSE)-50)),"-",(VLOOKUP($A339,'SegEnds_NonXtal_BW#'!$A:$Z,26,FALSE)+VLOOKUP($A339,A:AL,37,FALSE)-50))</f>
        <v>3006</v>
      </c>
      <c r="AM339" s="28" t="str">
        <f>VLOOKUP(A339,Classification!A:B,2,FALSE)</f>
        <v>B2</v>
      </c>
      <c r="AN339" s="28" t="b">
        <f t="shared" si="243"/>
        <v>1</v>
      </c>
      <c r="AO339" s="3" t="str">
        <f>IF(ISERROR(MATCH(A339,'SegEnds_Xtal_Prot#'!B:B, 0)), "NoXtal", "Xtal")</f>
        <v>NoXtal</v>
      </c>
      <c r="AP339" s="3" t="str">
        <f t="shared" si="228"/>
        <v>-</v>
      </c>
      <c r="AQ339" s="3" t="str">
        <f t="shared" si="229"/>
        <v>-</v>
      </c>
      <c r="AR339" s="3" t="str">
        <f t="shared" si="230"/>
        <v>-</v>
      </c>
      <c r="AS339" s="3" t="str">
        <f t="shared" si="231"/>
        <v>-</v>
      </c>
      <c r="AT339" s="3" t="str">
        <f t="shared" si="232"/>
        <v>-</v>
      </c>
      <c r="AU339" s="3" t="str">
        <f t="shared" si="233"/>
        <v>-</v>
      </c>
      <c r="AV339" s="3">
        <f t="shared" si="234"/>
        <v>10</v>
      </c>
      <c r="AW339" s="3">
        <f t="shared" si="235"/>
        <v>3</v>
      </c>
      <c r="AX339" s="3">
        <f t="shared" si="236"/>
        <v>10</v>
      </c>
      <c r="AY339" s="3">
        <f t="shared" si="237"/>
        <v>5</v>
      </c>
      <c r="AZ339" s="3">
        <f t="shared" si="238"/>
        <v>1</v>
      </c>
      <c r="BA339" s="3">
        <f>IF(ISERROR(LEN(VLOOKUP(A339,Seqs!A:E,2,FALSE))-AL339),"-",LEN(VLOOKUP(A339,Seqs!A:E,2,FALSE))-AL339)</f>
        <v>74</v>
      </c>
      <c r="BB339" s="16">
        <f t="shared" si="239"/>
        <v>29</v>
      </c>
      <c r="BC339" s="9" t="str">
        <f t="shared" si="240"/>
        <v>-</v>
      </c>
      <c r="BD339" s="3">
        <f t="shared" si="241"/>
        <v>29</v>
      </c>
      <c r="BE339" s="3">
        <f t="shared" si="242"/>
        <v>50</v>
      </c>
    </row>
    <row r="340" spans="1:58" s="3" customFormat="1" x14ac:dyDescent="0.2">
      <c r="A340" s="3" t="s">
        <v>1190</v>
      </c>
      <c r="B340" s="3" t="str">
        <f>LOWER(VLOOKUP(A340,Xtal_Templ!A:B,2,FALSE))</f>
        <v>pth1r_human</v>
      </c>
      <c r="C340" s="3">
        <f>VLOOKUP($A340,'SegEnds_NonXtal_BW#'!$A:$Z,3,FALSE)+D340-50</f>
        <v>236</v>
      </c>
      <c r="D340" s="3">
        <v>263</v>
      </c>
      <c r="E340" s="3">
        <f>IF(ISERROR(VLOOKUP($A340,'SegEnds_NonXtal_BW#'!$A:$Z,4,FALSE)+VLOOKUP($A340,A:AL,4,FALSE)-50),"-",(VLOOKUP($A340,'SegEnds_NonXtal_BW#'!$A:$Z,4,FALSE)+VLOOKUP($A340,A:AL,4,FALSE)-50))</f>
        <v>273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278</v>
      </c>
      <c r="J340" s="3">
        <v>291</v>
      </c>
      <c r="K340" s="3">
        <f>VLOOKUP($A340,'SegEnds_NonXtal_BW#'!$A:$Z,8,FALSE)+VLOOKUP($A340,A:AL,10,FALSE)-50</f>
        <v>304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312</v>
      </c>
      <c r="P340" s="3">
        <v>339</v>
      </c>
      <c r="Q340" s="3">
        <f>VLOOKUP($A340,'SegEnds_NonXtal_BW#'!$A:$Z,12,FALSE)+VLOOKUP($A340,A:AL,16,FALSE)-50</f>
        <v>345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350</v>
      </c>
      <c r="V340" s="3">
        <v>363</v>
      </c>
      <c r="W340" s="3">
        <f>IF(ISERROR(VLOOKUP($A340,'SegEnds_NonXtal_BW#'!$A:$Z,16,FALSE)+VLOOKUP($A340,A:AL,22,FALSE)-50),"-",(VLOOKUP($A340,'SegEnds_NonXtal_BW#'!$A:$Z,16,FALSE)+VLOOKUP($A340,A:AL,22,FALSE)-50))</f>
        <v>381</v>
      </c>
      <c r="X340" s="3">
        <f>IF(ISERROR(VLOOKUP($A340,'SegEnds_NonXtal_BW#'!$A:$Z,17,FALSE)+VLOOKUP($A340,A:AL,25,FALSE)-50),"-",(VLOOKUP($A340,'SegEnds_NonXtal_BW#'!$A:$Z,17,FALSE)+VLOOKUP($A340,A:AL,25,FALSE)-50))</f>
        <v>404</v>
      </c>
      <c r="Y340" s="3">
        <v>404</v>
      </c>
      <c r="Z340" s="3">
        <f t="shared" si="227"/>
        <v>406</v>
      </c>
      <c r="AA340" s="3">
        <f>IF(ISERROR(VLOOKUP($A340,'SegEnds_NonXtal_BW#'!$A:$Z,19,FALSE)+VLOOKUP($A340,A:AL,28,FALSE)-50),"-",(VLOOKUP($A340,'SegEnds_NonXtal_BW#'!$A:$Z,19,FALSE)+VLOOKUP($A340,A:AL,28,FALSE)-50))</f>
        <v>409</v>
      </c>
      <c r="AB340" s="3">
        <v>423</v>
      </c>
      <c r="AC340" s="3">
        <f>IF(ISERROR((VLOOKUP($A340,'SegEnds_NonXtal_BW#'!$A:$Z,20,FALSE)+VLOOKUP($A340,A:AL,28,FALSE)-50)),"-",(VLOOKUP($A340,'SegEnds_NonXtal_BW#'!$A:$Z,20,FALSE)+VLOOKUP($A340,A:AL,28,FALSE)-50))</f>
        <v>442</v>
      </c>
      <c r="AD340" s="3">
        <f>IF(ISERROR(VLOOKUP($A340,'SegEnds_NonXtal_BW#'!$A:$Z,21,FALSE)+VLOOKUP($A340,A:AL,31,FALSE)-50),"-",(VLOOKUP($A340,'SegEnds_NonXtal_BW#'!$A:$Z,21,FALSE)+VLOOKUP($A340,A:AL,31,FALSE)-50))</f>
        <v>451</v>
      </c>
      <c r="AE340" s="3">
        <v>472</v>
      </c>
      <c r="AF340" s="3">
        <f>IF(ISERROR((VLOOKUP($A340,'SegEnds_NonXtal_BW#'!$A:$Z,22,FALSE)+VLOOKUP($A340,A:AL,31,FALSE)-50)),"-",(VLOOKUP($A340,'SegEnds_NonXtal_BW#'!$A:$Z,22,FALSE)+VLOOKUP($A340,A:AL,31,FALSE)-50))</f>
        <v>476</v>
      </c>
      <c r="AG340" s="3">
        <f>IF(ISERROR(VLOOKUP($A340,'SegEnds_NonXtal_BW#'!$A:$Z,23,FALSE)+VLOOKUP($A340,A:AL,34,FALSE)-50),"-",(VLOOKUP($A340,'SegEnds_NonXtal_BW#'!$A:$Z,23,FALSE)+VLOOKUP($A340,A:AL,34,FALSE)-50))</f>
        <v>481</v>
      </c>
      <c r="AH340" s="3">
        <v>500</v>
      </c>
      <c r="AI340" s="3">
        <f>IF(ISERROR((VLOOKUP($A340,'SegEnds_NonXtal_BW#'!$A:$Z,24,FALSE)+VLOOKUP($A340,A:AL,34,FALSE)-50)),"-",(VLOOKUP($A340,'SegEnds_NonXtal_BW#'!$A:$Z,24,FALSE)+VLOOKUP($A340,A:AL,34,FALSE)-50))</f>
        <v>506</v>
      </c>
      <c r="AJ340" s="3">
        <f>IF(ISERROR(VLOOKUP($A340,'SegEnds_NonXtal_BW#'!$A:$Z,25,FALSE)+VLOOKUP($A340,A:AL,37,FALSE)-50),"-",(VLOOKUP($A340,'SegEnds_NonXtal_BW#'!$A:$Z,25,FALSE)+VLOOKUP($A340,A:AL,37,FALSE)-50))</f>
        <v>507</v>
      </c>
      <c r="AK340" s="3">
        <v>510</v>
      </c>
      <c r="AL340" s="3">
        <f>IF(ISERROR((VLOOKUP($A340,'SegEnds_NonXtal_BW#'!$A:$Z,26,FALSE)+VLOOKUP($A340,A:AL,37,FALSE)-50)),"-",(VLOOKUP($A340,'SegEnds_NonXtal_BW#'!$A:$Z,26,FALSE)+VLOOKUP($A340,A:AL,37,FALSE)-50))</f>
        <v>523</v>
      </c>
      <c r="AM340" s="28" t="str">
        <f>VLOOKUP(A340,Classification!A:B,2,FALSE)</f>
        <v>B2</v>
      </c>
      <c r="AN340" s="28" t="b">
        <f t="shared" si="243"/>
        <v>1</v>
      </c>
      <c r="AO340" s="3" t="str">
        <f>IF(ISERROR(MATCH(A340,'SegEnds_Xtal_Prot#'!B:B, 0)), "NoXtal", "Xtal")</f>
        <v>NoXtal</v>
      </c>
      <c r="AP340" s="3" t="str">
        <f t="shared" si="228"/>
        <v>-</v>
      </c>
      <c r="AQ340" s="3" t="str">
        <f t="shared" si="229"/>
        <v>-</v>
      </c>
      <c r="AR340" s="3" t="str">
        <f t="shared" si="230"/>
        <v>-</v>
      </c>
      <c r="AS340" s="3" t="str">
        <f t="shared" si="231"/>
        <v>-</v>
      </c>
      <c r="AT340" s="3" t="str">
        <f t="shared" si="232"/>
        <v>-</v>
      </c>
      <c r="AU340" s="3" t="str">
        <f t="shared" si="233"/>
        <v>-</v>
      </c>
      <c r="AV340" s="3">
        <f t="shared" si="234"/>
        <v>23</v>
      </c>
      <c r="AW340" s="3">
        <f t="shared" si="235"/>
        <v>3</v>
      </c>
      <c r="AX340" s="3">
        <f t="shared" si="236"/>
        <v>9</v>
      </c>
      <c r="AY340" s="3">
        <f t="shared" si="237"/>
        <v>5</v>
      </c>
      <c r="AZ340" s="3">
        <f t="shared" si="238"/>
        <v>1</v>
      </c>
      <c r="BA340" s="3">
        <f>IF(ISERROR(LEN(VLOOKUP(A340,Seqs!A:E,2,FALSE))-AL340),"-",LEN(VLOOKUP(A340,Seqs!A:E,2,FALSE))-AL340)</f>
        <v>5</v>
      </c>
      <c r="BB340" s="16">
        <f t="shared" si="239"/>
        <v>28</v>
      </c>
      <c r="BC340" s="9" t="str">
        <f t="shared" si="240"/>
        <v>-</v>
      </c>
      <c r="BD340" s="3">
        <f t="shared" si="241"/>
        <v>28</v>
      </c>
      <c r="BE340" s="3">
        <f t="shared" si="242"/>
        <v>49</v>
      </c>
      <c r="BF340" s="3">
        <f>AH340-AE340</f>
        <v>28</v>
      </c>
    </row>
    <row r="341" spans="1:58" s="3" customFormat="1" x14ac:dyDescent="0.2">
      <c r="A341" s="3" t="s">
        <v>1407</v>
      </c>
      <c r="B341" s="3" t="str">
        <f>LOWER(VLOOKUP(A341,Xtal_Templ!A:B,2,FALSE))</f>
        <v>crfr2_human</v>
      </c>
      <c r="C341" s="3">
        <f>VLOOKUP($A341,'SegEnds_NonXtal_BW#'!$A:$Z,3,FALSE)+D341-50</f>
        <v>852</v>
      </c>
      <c r="D341" s="3">
        <v>879</v>
      </c>
      <c r="E341" s="3">
        <f>IF(ISERROR(VLOOKUP($A341,'SegEnds_NonXtal_BW#'!$A:$Z,4,FALSE)+VLOOKUP($A341,A:AL,4,FALSE)-50),"-",(VLOOKUP($A341,'SegEnds_NonXtal_BW#'!$A:$Z,4,FALSE)+VLOOKUP($A341,A:AL,4,FALSE)-50))</f>
        <v>889</v>
      </c>
      <c r="F341" s="3">
        <f>G341-2</f>
        <v>890</v>
      </c>
      <c r="G341" s="3">
        <v>892</v>
      </c>
      <c r="H341" s="3">
        <f>G341+1</f>
        <v>893</v>
      </c>
      <c r="I341" s="3">
        <f>H341+1</f>
        <v>894</v>
      </c>
      <c r="J341" s="3">
        <v>908</v>
      </c>
      <c r="K341" s="3">
        <f>VLOOKUP($A341,'SegEnds_NonXtal_BW#'!$A:$Z,8,FALSE)+VLOOKUP($A341,A:AL,10,FALSE)-50</f>
        <v>921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928</v>
      </c>
      <c r="P341" s="3">
        <v>955</v>
      </c>
      <c r="Q341" s="3">
        <f>VLOOKUP($A341,'SegEnds_NonXtal_BW#'!$A:$Z,12,FALSE)+VLOOKUP($A341,A:AL,16,FALSE)-50</f>
        <v>961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970</v>
      </c>
      <c r="V341" s="3">
        <v>979</v>
      </c>
      <c r="W341" s="3">
        <f>IF(ISERROR(VLOOKUP($A341,'SegEnds_NonXtal_BW#'!$A:$Z,16,FALSE)+VLOOKUP($A341,A:AL,22,FALSE)-50),"-",(VLOOKUP($A341,'SegEnds_NonXtal_BW#'!$A:$Z,16,FALSE)+VLOOKUP($A341,A:AL,22,FALSE)-50))</f>
        <v>997</v>
      </c>
      <c r="X341" s="3">
        <f>IF(ISERROR(VLOOKUP($A341,'SegEnds_NonXtal_BW#'!$A:$Z,17,FALSE)+VLOOKUP($A341,A:AL,25,FALSE)-50),"-",(VLOOKUP($A341,'SegEnds_NonXtal_BW#'!$A:$Z,17,FALSE)+VLOOKUP($A341,A:AL,25,FALSE)-50))</f>
        <v>1013</v>
      </c>
      <c r="Y341" s="3">
        <v>1013</v>
      </c>
      <c r="Z341" s="3">
        <f t="shared" si="227"/>
        <v>1015</v>
      </c>
      <c r="AA341" s="3">
        <f>IF(ISERROR(VLOOKUP($A341,'SegEnds_NonXtal_BW#'!$A:$Z,19,FALSE)+VLOOKUP($A341,A:AL,28,FALSE)-50),"-",(VLOOKUP($A341,'SegEnds_NonXtal_BW#'!$A:$Z,19,FALSE)+VLOOKUP($A341,A:AL,28,FALSE)-50))</f>
        <v>1018</v>
      </c>
      <c r="AB341" s="3">
        <v>1032</v>
      </c>
      <c r="AC341" s="3">
        <f>IF(ISERROR((VLOOKUP($A341,'SegEnds_NonXtal_BW#'!$A:$Z,20,FALSE)+VLOOKUP($A341,A:AL,28,FALSE)-50)),"-",(VLOOKUP($A341,'SegEnds_NonXtal_BW#'!$A:$Z,20,FALSE)+VLOOKUP($A341,A:AL,28,FALSE)-50))</f>
        <v>1051</v>
      </c>
      <c r="AD341" s="3">
        <f>IF(ISERROR(VLOOKUP($A341,'SegEnds_NonXtal_BW#'!$A:$Z,21,FALSE)+VLOOKUP($A341,A:AL,31,FALSE)-50),"-",(VLOOKUP($A341,'SegEnds_NonXtal_BW#'!$A:$Z,21,FALSE)+VLOOKUP($A341,A:AL,31,FALSE)-50))</f>
        <v>1062</v>
      </c>
      <c r="AE341" s="3">
        <v>1083</v>
      </c>
      <c r="AF341" s="3">
        <f>IF(ISERROR((VLOOKUP($A341,'SegEnds_NonXtal_BW#'!$A:$Z,22,FALSE)+VLOOKUP($A341,A:AL,31,FALSE)-50)),"-",(VLOOKUP($A341,'SegEnds_NonXtal_BW#'!$A:$Z,22,FALSE)+VLOOKUP($A341,A:AL,31,FALSE)-50))</f>
        <v>1086</v>
      </c>
      <c r="AG341" s="3">
        <f>IF(ISERROR(VLOOKUP($A341,'SegEnds_NonXtal_BW#'!$A:$Z,23,FALSE)+VLOOKUP($A341,A:AL,34,FALSE)-50),"-",(VLOOKUP($A341,'SegEnds_NonXtal_BW#'!$A:$Z,23,FALSE)+VLOOKUP($A341,A:AL,34,FALSE)-50))</f>
        <v>1092</v>
      </c>
      <c r="AH341" s="3">
        <v>1111</v>
      </c>
      <c r="AI341" s="3">
        <f>IF(ISERROR((VLOOKUP($A341,'SegEnds_NonXtal_BW#'!$A:$Z,24,FALSE)+VLOOKUP($A341,A:AL,34,FALSE)-50)),"-",(VLOOKUP($A341,'SegEnds_NonXtal_BW#'!$A:$Z,24,FALSE)+VLOOKUP($A341,A:AL,34,FALSE)-50))</f>
        <v>1117</v>
      </c>
      <c r="AJ341" s="3">
        <f>IF(ISERROR(VLOOKUP($A341,'SegEnds_NonXtal_BW#'!$A:$Z,25,FALSE)+VLOOKUP($A341,A:AL,37,FALSE)-50),"-",(VLOOKUP($A341,'SegEnds_NonXtal_BW#'!$A:$Z,25,FALSE)+VLOOKUP($A341,A:AL,37,FALSE)-50))</f>
        <v>1118</v>
      </c>
      <c r="AK341" s="3">
        <v>1121</v>
      </c>
      <c r="AL341" s="3">
        <f>IF(ISERROR((VLOOKUP($A341,'SegEnds_NonXtal_BW#'!$A:$Z,26,FALSE)+VLOOKUP($A341,A:AL,37,FALSE)-50)),"-",(VLOOKUP($A341,'SegEnds_NonXtal_BW#'!$A:$Z,26,FALSE)+VLOOKUP($A341,A:AL,37,FALSE)-50))</f>
        <v>1134</v>
      </c>
      <c r="AM341" s="28" t="str">
        <f>VLOOKUP(A341,Classification!A:B,2,FALSE)</f>
        <v>B2</v>
      </c>
      <c r="AN341" s="28" t="b">
        <f t="shared" si="243"/>
        <v>1</v>
      </c>
      <c r="AO341" s="3" t="str">
        <f>IF(ISERROR(MATCH(A341,'SegEnds_Xtal_Prot#'!B:B, 0)), "NoXtal", "Xtal")</f>
        <v>NoXtal</v>
      </c>
      <c r="AP341" s="3">
        <f t="shared" si="228"/>
        <v>1</v>
      </c>
      <c r="AQ341" s="3">
        <f t="shared" si="229"/>
        <v>1</v>
      </c>
      <c r="AR341" s="3" t="str">
        <f t="shared" si="230"/>
        <v>-</v>
      </c>
      <c r="AS341" s="3" t="str">
        <f t="shared" si="231"/>
        <v>-</v>
      </c>
      <c r="AT341" s="3" t="str">
        <f t="shared" si="232"/>
        <v>-</v>
      </c>
      <c r="AU341" s="3" t="str">
        <f t="shared" si="233"/>
        <v>-</v>
      </c>
      <c r="AV341" s="3">
        <f t="shared" si="234"/>
        <v>16</v>
      </c>
      <c r="AW341" s="3">
        <f t="shared" si="235"/>
        <v>3</v>
      </c>
      <c r="AX341" s="3">
        <f t="shared" si="236"/>
        <v>11</v>
      </c>
      <c r="AY341" s="3">
        <f t="shared" si="237"/>
        <v>6</v>
      </c>
      <c r="AZ341" s="3">
        <f t="shared" si="238"/>
        <v>1</v>
      </c>
      <c r="BA341" s="3">
        <f>IF(ISERROR(LEN(VLOOKUP(A341,Seqs!A:E,2,FALSE))-AL341),"-",LEN(VLOOKUP(A341,Seqs!A:E,2,FALSE))-AL341)</f>
        <v>87</v>
      </c>
      <c r="BB341" s="16">
        <f t="shared" si="239"/>
        <v>29</v>
      </c>
      <c r="BC341" s="9" t="str">
        <f t="shared" si="240"/>
        <v>-</v>
      </c>
      <c r="BD341" s="3">
        <f t="shared" si="241"/>
        <v>29</v>
      </c>
      <c r="BE341" s="3">
        <f t="shared" si="242"/>
        <v>51</v>
      </c>
    </row>
    <row r="342" spans="1:58" s="3" customFormat="1" x14ac:dyDescent="0.2">
      <c r="A342" s="3" t="s">
        <v>1191</v>
      </c>
      <c r="B342" s="3" t="str">
        <f>LOWER(VLOOKUP(A342,Xtal_Templ!A:B,2,FALSE))</f>
        <v>pth1r_human</v>
      </c>
      <c r="C342" s="3">
        <f>VLOOKUP($A342,'SegEnds_NonXtal_BW#'!$A:$Z,3,FALSE)+D342-50</f>
        <v>422</v>
      </c>
      <c r="D342" s="3">
        <v>449</v>
      </c>
      <c r="E342" s="3">
        <f>IF(ISERROR(VLOOKUP($A342,'SegEnds_NonXtal_BW#'!$A:$Z,4,FALSE)+VLOOKUP($A342,A:AL,4,FALSE)-50),"-",(VLOOKUP($A342,'SegEnds_NonXtal_BW#'!$A:$Z,4,FALSE)+VLOOKUP($A342,A:AL,4,FALSE)-50))</f>
        <v>459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465</v>
      </c>
      <c r="J342" s="3">
        <v>478</v>
      </c>
      <c r="K342" s="3">
        <f>VLOOKUP($A342,'SegEnds_NonXtal_BW#'!$A:$Z,8,FALSE)+VLOOKUP($A342,A:AL,10,FALSE)-50</f>
        <v>493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519</v>
      </c>
      <c r="P342" s="3">
        <v>551</v>
      </c>
      <c r="Q342" s="3">
        <f>VLOOKUP($A342,'SegEnds_NonXtal_BW#'!$A:$Z,12,FALSE)+VLOOKUP($A342,A:AL,16,FALSE)-50</f>
        <v>557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562</v>
      </c>
      <c r="V342" s="3">
        <v>575</v>
      </c>
      <c r="W342" s="3">
        <f>IF(ISERROR(VLOOKUP($A342,'SegEnds_NonXtal_BW#'!$A:$Z,16,FALSE)+VLOOKUP($A342,A:AL,22,FALSE)-50),"-",(VLOOKUP($A342,'SegEnds_NonXtal_BW#'!$A:$Z,16,FALSE)+VLOOKUP($A342,A:AL,22,FALSE)-50))</f>
        <v>593</v>
      </c>
      <c r="X342" s="3">
        <f>IF(ISERROR(VLOOKUP($A342,'SegEnds_NonXtal_BW#'!$A:$Z,17,FALSE)+VLOOKUP($A342,A:AL,25,FALSE)-50),"-",(VLOOKUP($A342,'SegEnds_NonXtal_BW#'!$A:$Z,17,FALSE)+VLOOKUP($A342,A:AL,25,FALSE)-50))</f>
        <v>609</v>
      </c>
      <c r="Y342" s="3">
        <v>609</v>
      </c>
      <c r="Z342" s="3">
        <f t="shared" si="227"/>
        <v>611</v>
      </c>
      <c r="AA342" s="3">
        <f>IF(ISERROR(VLOOKUP($A342,'SegEnds_NonXtal_BW#'!$A:$Z,19,FALSE)+VLOOKUP($A342,A:AL,28,FALSE)-50),"-",(VLOOKUP($A342,'SegEnds_NonXtal_BW#'!$A:$Z,19,FALSE)+VLOOKUP($A342,A:AL,28,FALSE)-50))</f>
        <v>621</v>
      </c>
      <c r="AB342" s="3">
        <v>635</v>
      </c>
      <c r="AC342" s="3">
        <f>IF(ISERROR((VLOOKUP($A342,'SegEnds_NonXtal_BW#'!$A:$Z,20,FALSE)+VLOOKUP($A342,A:AL,28,FALSE)-50)),"-",(VLOOKUP($A342,'SegEnds_NonXtal_BW#'!$A:$Z,20,FALSE)+VLOOKUP($A342,A:AL,28,FALSE)-50))</f>
        <v>654</v>
      </c>
      <c r="AD342" s="3">
        <f>IF(ISERROR(VLOOKUP($A342,'SegEnds_NonXtal_BW#'!$A:$Z,21,FALSE)+VLOOKUP($A342,A:AL,31,FALSE)-50),"-",(VLOOKUP($A342,'SegEnds_NonXtal_BW#'!$A:$Z,21,FALSE)+VLOOKUP($A342,A:AL,31,FALSE)-50))</f>
        <v>665</v>
      </c>
      <c r="AE342" s="3">
        <v>686</v>
      </c>
      <c r="AF342" s="3">
        <f>IF(ISERROR((VLOOKUP($A342,'SegEnds_NonXtal_BW#'!$A:$Z,22,FALSE)+VLOOKUP($A342,A:AL,31,FALSE)-50)),"-",(VLOOKUP($A342,'SegEnds_NonXtal_BW#'!$A:$Z,22,FALSE)+VLOOKUP($A342,A:AL,31,FALSE)-50))</f>
        <v>690</v>
      </c>
      <c r="AG342" s="3">
        <f>IF(ISERROR(VLOOKUP($A342,'SegEnds_NonXtal_BW#'!$A:$Z,23,FALSE)+VLOOKUP($A342,A:AL,34,FALSE)-50),"-",(VLOOKUP($A342,'SegEnds_NonXtal_BW#'!$A:$Z,23,FALSE)+VLOOKUP($A342,A:AL,34,FALSE)-50))</f>
        <v>696</v>
      </c>
      <c r="AH342" s="3">
        <v>717</v>
      </c>
      <c r="AI342" s="3">
        <f>IF(ISERROR((VLOOKUP($A342,'SegEnds_NonXtal_BW#'!$A:$Z,24,FALSE)+VLOOKUP($A342,A:AL,34,FALSE)-50)),"-",(VLOOKUP($A342,'SegEnds_NonXtal_BW#'!$A:$Z,24,FALSE)+VLOOKUP($A342,A:AL,34,FALSE)-50))</f>
        <v>723</v>
      </c>
      <c r="AJ342" s="3">
        <f>IF(ISERROR(VLOOKUP($A342,'SegEnds_NonXtal_BW#'!$A:$Z,25,FALSE)+VLOOKUP($A342,A:AL,37,FALSE)-50),"-",(VLOOKUP($A342,'SegEnds_NonXtal_BW#'!$A:$Z,25,FALSE)+VLOOKUP($A342,A:AL,37,FALSE)-50))</f>
        <v>724</v>
      </c>
      <c r="AK342" s="3">
        <v>727</v>
      </c>
      <c r="AL342" s="3">
        <f>IF(ISERROR((VLOOKUP($A342,'SegEnds_NonXtal_BW#'!$A:$Z,26,FALSE)+VLOOKUP($A342,A:AL,37,FALSE)-50)),"-",(VLOOKUP($A342,'SegEnds_NonXtal_BW#'!$A:$Z,26,FALSE)+VLOOKUP($A342,A:AL,37,FALSE)-50))</f>
        <v>740</v>
      </c>
      <c r="AM342" s="28" t="str">
        <f>VLOOKUP(A342,Classification!A:B,2,FALSE)</f>
        <v>B2</v>
      </c>
      <c r="AN342" s="28" t="b">
        <f t="shared" si="243"/>
        <v>1</v>
      </c>
      <c r="AO342" s="3" t="str">
        <f>IF(ISERROR(MATCH(A342,'SegEnds_Xtal_Prot#'!B:B, 0)), "NoXtal", "Xtal")</f>
        <v>NoXtal</v>
      </c>
      <c r="AP342" s="3" t="str">
        <f t="shared" si="228"/>
        <v>-</v>
      </c>
      <c r="AQ342" s="3" t="str">
        <f t="shared" si="229"/>
        <v>-</v>
      </c>
      <c r="AR342" s="3" t="str">
        <f t="shared" si="230"/>
        <v>-</v>
      </c>
      <c r="AS342" s="3" t="str">
        <f t="shared" si="231"/>
        <v>-</v>
      </c>
      <c r="AT342" s="3" t="str">
        <f t="shared" si="232"/>
        <v>-</v>
      </c>
      <c r="AU342" s="3" t="str">
        <f t="shared" si="233"/>
        <v>-</v>
      </c>
      <c r="AV342" s="3">
        <f t="shared" si="234"/>
        <v>16</v>
      </c>
      <c r="AW342" s="3">
        <f t="shared" si="235"/>
        <v>10</v>
      </c>
      <c r="AX342" s="3">
        <f t="shared" si="236"/>
        <v>11</v>
      </c>
      <c r="AY342" s="3">
        <f t="shared" si="237"/>
        <v>6</v>
      </c>
      <c r="AZ342" s="3">
        <f t="shared" si="238"/>
        <v>1</v>
      </c>
      <c r="BA342" s="3">
        <f>IF(ISERROR(LEN(VLOOKUP(A342,Seqs!A:E,2,FALSE))-AL342),"-",LEN(VLOOKUP(A342,Seqs!A:E,2,FALSE))-AL342)</f>
        <v>57</v>
      </c>
      <c r="BB342" s="16">
        <f t="shared" si="239"/>
        <v>29</v>
      </c>
      <c r="BC342" s="9" t="str">
        <f t="shared" si="240"/>
        <v>-</v>
      </c>
      <c r="BD342" s="3">
        <f t="shared" si="241"/>
        <v>29</v>
      </c>
      <c r="BE342" s="3">
        <f t="shared" si="242"/>
        <v>51</v>
      </c>
    </row>
    <row r="343" spans="1:58" s="3" customFormat="1" x14ac:dyDescent="0.2">
      <c r="A343" s="3" t="s">
        <v>1192</v>
      </c>
      <c r="B343" s="3" t="str">
        <f>LOWER(VLOOKUP(A343,Xtal_Templ!A:B,2,FALSE))</f>
        <v>sctr_human</v>
      </c>
      <c r="C343" s="3">
        <f>VLOOKUP($A343,'SegEnds_NonXtal_BW#'!$A:$Z,3,FALSE)+D343-50</f>
        <v>848</v>
      </c>
      <c r="D343" s="3">
        <v>875</v>
      </c>
      <c r="E343" s="3">
        <f>IF(ISERROR(VLOOKUP($A343,'SegEnds_NonXtal_BW#'!$A:$Z,4,FALSE)+VLOOKUP($A343,A:AL,4,FALSE)-50),"-",(VLOOKUP($A343,'SegEnds_NonXtal_BW#'!$A:$Z,4,FALSE)+VLOOKUP($A343,A:AL,4,FALSE)-50))</f>
        <v>885</v>
      </c>
      <c r="F343" s="3">
        <f>G343-2</f>
        <v>886</v>
      </c>
      <c r="G343" s="3">
        <v>888</v>
      </c>
      <c r="H343" s="3">
        <f>G343+1</f>
        <v>889</v>
      </c>
      <c r="I343" s="3">
        <f>H343+1</f>
        <v>890</v>
      </c>
      <c r="J343" s="3">
        <v>903</v>
      </c>
      <c r="K343" s="3">
        <f>VLOOKUP($A343,'SegEnds_NonXtal_BW#'!$A:$Z,8,FALSE)+VLOOKUP($A343,A:AL,10,FALSE)-50</f>
        <v>916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921</v>
      </c>
      <c r="P343" s="3">
        <v>948</v>
      </c>
      <c r="Q343" s="3">
        <f>VLOOKUP($A343,'SegEnds_NonXtal_BW#'!$A:$Z,12,FALSE)+VLOOKUP($A343,A:AL,16,FALSE)-50</f>
        <v>954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961</v>
      </c>
      <c r="V343" s="3">
        <v>971</v>
      </c>
      <c r="W343" s="3">
        <f>IF(ISERROR(VLOOKUP($A343,'SegEnds_NonXtal_BW#'!$A:$Z,16,FALSE)+VLOOKUP($A343,A:AL,22,FALSE)-50),"-",(VLOOKUP($A343,'SegEnds_NonXtal_BW#'!$A:$Z,16,FALSE)+VLOOKUP($A343,A:AL,22,FALSE)-50))</f>
        <v>989</v>
      </c>
      <c r="X343" s="3">
        <f>IF(ISERROR(VLOOKUP($A343,'SegEnds_NonXtal_BW#'!$A:$Z,17,FALSE)+VLOOKUP($A343,A:AL,25,FALSE)-50),"-",(VLOOKUP($A343,'SegEnds_NonXtal_BW#'!$A:$Z,17,FALSE)+VLOOKUP($A343,A:AL,25,FALSE)-50))</f>
        <v>995</v>
      </c>
      <c r="Y343" s="3">
        <v>995</v>
      </c>
      <c r="Z343" s="3">
        <f t="shared" si="227"/>
        <v>997</v>
      </c>
      <c r="AA343" s="3">
        <f>IF(ISERROR(VLOOKUP($A343,'SegEnds_NonXtal_BW#'!$A:$Z,19,FALSE)+VLOOKUP($A343,A:AL,28,FALSE)-50),"-",(VLOOKUP($A343,'SegEnds_NonXtal_BW#'!$A:$Z,19,FALSE)+VLOOKUP($A343,A:AL,28,FALSE)-50))</f>
        <v>1000</v>
      </c>
      <c r="AB343" s="3">
        <v>1014</v>
      </c>
      <c r="AC343" s="3">
        <f>IF(ISERROR((VLOOKUP($A343,'SegEnds_NonXtal_BW#'!$A:$Z,20,FALSE)+VLOOKUP($A343,A:AL,28,FALSE)-50)),"-",(VLOOKUP($A343,'SegEnds_NonXtal_BW#'!$A:$Z,20,FALSE)+VLOOKUP($A343,A:AL,28,FALSE)-50))</f>
        <v>1033</v>
      </c>
      <c r="AD343" s="3">
        <f>IF(ISERROR(VLOOKUP($A343,'SegEnds_NonXtal_BW#'!$A:$Z,21,FALSE)+VLOOKUP($A343,A:AL,31,FALSE)-50),"-",(VLOOKUP($A343,'SegEnds_NonXtal_BW#'!$A:$Z,21,FALSE)+VLOOKUP($A343,A:AL,31,FALSE)-50))</f>
        <v>1045</v>
      </c>
      <c r="AE343" s="3">
        <v>1066</v>
      </c>
      <c r="AF343" s="3">
        <f>IF(ISERROR((VLOOKUP($A343,'SegEnds_NonXtal_BW#'!$A:$Z,22,FALSE)+VLOOKUP($A343,A:AL,31,FALSE)-50)),"-",(VLOOKUP($A343,'SegEnds_NonXtal_BW#'!$A:$Z,22,FALSE)+VLOOKUP($A343,A:AL,31,FALSE)-50))</f>
        <v>1070</v>
      </c>
      <c r="AG343" s="3">
        <f>IF(ISERROR(VLOOKUP($A343,'SegEnds_NonXtal_BW#'!$A:$Z,23,FALSE)+VLOOKUP($A343,A:AL,34,FALSE)-50),"-",(VLOOKUP($A343,'SegEnds_NonXtal_BW#'!$A:$Z,23,FALSE)+VLOOKUP($A343,A:AL,34,FALSE)-50))</f>
        <v>1075</v>
      </c>
      <c r="AH343" s="3">
        <v>1094</v>
      </c>
      <c r="AI343" s="3">
        <f>IF(ISERROR((VLOOKUP($A343,'SegEnds_NonXtal_BW#'!$A:$Z,24,FALSE)+VLOOKUP($A343,A:AL,34,FALSE)-50)),"-",(VLOOKUP($A343,'SegEnds_NonXtal_BW#'!$A:$Z,24,FALSE)+VLOOKUP($A343,A:AL,34,FALSE)-50))</f>
        <v>1100</v>
      </c>
      <c r="AJ343" s="3">
        <f>IF(ISERROR(VLOOKUP($A343,'SegEnds_NonXtal_BW#'!$A:$Z,25,FALSE)+VLOOKUP($A343,A:AL,37,FALSE)-50),"-",(VLOOKUP($A343,'SegEnds_NonXtal_BW#'!$A:$Z,25,FALSE)+VLOOKUP($A343,A:AL,37,FALSE)-50))</f>
        <v>1101</v>
      </c>
      <c r="AK343" s="3">
        <v>1104</v>
      </c>
      <c r="AL343" s="3">
        <f>IF(ISERROR((VLOOKUP($A343,'SegEnds_NonXtal_BW#'!$A:$Z,26,FALSE)+VLOOKUP($A343,A:AL,37,FALSE)-50)),"-",(VLOOKUP($A343,'SegEnds_NonXtal_BW#'!$A:$Z,26,FALSE)+VLOOKUP($A343,A:AL,37,FALSE)-50))</f>
        <v>1117</v>
      </c>
      <c r="AM343" s="28" t="str">
        <f>VLOOKUP(A343,Classification!A:B,2,FALSE)</f>
        <v>B2</v>
      </c>
      <c r="AN343" s="28" t="b">
        <f t="shared" si="243"/>
        <v>1</v>
      </c>
      <c r="AO343" s="3" t="str">
        <f>IF(ISERROR(MATCH(A343,'SegEnds_Xtal_Prot#'!B:B, 0)), "NoXtal", "Xtal")</f>
        <v>NoXtal</v>
      </c>
      <c r="AP343" s="3">
        <f t="shared" si="228"/>
        <v>1</v>
      </c>
      <c r="AQ343" s="3">
        <f t="shared" si="229"/>
        <v>1</v>
      </c>
      <c r="AR343" s="3" t="str">
        <f t="shared" si="230"/>
        <v>-</v>
      </c>
      <c r="AS343" s="3" t="str">
        <f t="shared" si="231"/>
        <v>-</v>
      </c>
      <c r="AT343" s="3" t="str">
        <f t="shared" si="232"/>
        <v>-</v>
      </c>
      <c r="AU343" s="3" t="str">
        <f t="shared" si="233"/>
        <v>-</v>
      </c>
      <c r="AV343" s="3">
        <f t="shared" si="234"/>
        <v>6</v>
      </c>
      <c r="AW343" s="3">
        <f t="shared" si="235"/>
        <v>3</v>
      </c>
      <c r="AX343" s="3">
        <f t="shared" si="236"/>
        <v>12</v>
      </c>
      <c r="AY343" s="3">
        <f t="shared" si="237"/>
        <v>5</v>
      </c>
      <c r="AZ343" s="3">
        <f t="shared" si="238"/>
        <v>1</v>
      </c>
      <c r="BA343" s="3">
        <f>IF(ISERROR(LEN(VLOOKUP(A343,Seqs!A:E,2,FALSE))-AL343),"-",LEN(VLOOKUP(A343,Seqs!A:E,2,FALSE))-AL343)</f>
        <v>357</v>
      </c>
      <c r="BB343" s="16">
        <f t="shared" si="239"/>
        <v>28</v>
      </c>
      <c r="BC343" s="9" t="str">
        <f t="shared" si="240"/>
        <v>-</v>
      </c>
      <c r="BD343" s="3">
        <f t="shared" si="241"/>
        <v>28</v>
      </c>
      <c r="BE343" s="3">
        <f t="shared" si="242"/>
        <v>52</v>
      </c>
    </row>
    <row r="344" spans="1:58" s="3" customFormat="1" x14ac:dyDescent="0.2">
      <c r="A344" s="3" t="s">
        <v>1193</v>
      </c>
      <c r="B344" s="3" t="str">
        <f>LOWER(VLOOKUP(A344,Xtal_Templ!A:B,2,FALSE))</f>
        <v>sctr_human</v>
      </c>
      <c r="C344" s="3">
        <f>VLOOKUP($A344,'SegEnds_NonXtal_BW#'!$A:$Z,3,FALSE)+D344-50</f>
        <v>835</v>
      </c>
      <c r="D344" s="3">
        <v>862</v>
      </c>
      <c r="E344" s="3">
        <f>IF(ISERROR(VLOOKUP($A344,'SegEnds_NonXtal_BW#'!$A:$Z,4,FALSE)+VLOOKUP($A344,A:AL,4,FALSE)-50),"-",(VLOOKUP($A344,'SegEnds_NonXtal_BW#'!$A:$Z,4,FALSE)+VLOOKUP($A344,A:AL,4,FALSE)-50))</f>
        <v>872</v>
      </c>
      <c r="F344" s="3" t="s">
        <v>23</v>
      </c>
      <c r="G344" s="3" t="s">
        <v>23</v>
      </c>
      <c r="H344" s="3" t="s">
        <v>23</v>
      </c>
      <c r="I344" s="3">
        <f>VLOOKUP($A344,'SegEnds_NonXtal_BW#'!$A:$Z,7,FALSE)+J344-50</f>
        <v>877</v>
      </c>
      <c r="J344" s="3">
        <v>890</v>
      </c>
      <c r="K344" s="3">
        <f>VLOOKUP($A344,'SegEnds_NonXtal_BW#'!$A:$Z,8,FALSE)+VLOOKUP($A344,A:AL,10,FALSE)-50</f>
        <v>903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908</v>
      </c>
      <c r="P344" s="3">
        <v>935</v>
      </c>
      <c r="Q344" s="3">
        <f>VLOOKUP($A344,'SegEnds_NonXtal_BW#'!$A:$Z,12,FALSE)+VLOOKUP($A344,A:AL,16,FALSE)-50</f>
        <v>941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948</v>
      </c>
      <c r="V344" s="3">
        <v>958</v>
      </c>
      <c r="W344" s="3">
        <f>IF(ISERROR(VLOOKUP($A344,'SegEnds_NonXtal_BW#'!$A:$Z,16,FALSE)+VLOOKUP($A344,A:AL,22,FALSE)-50),"-",(VLOOKUP($A344,'SegEnds_NonXtal_BW#'!$A:$Z,16,FALSE)+VLOOKUP($A344,A:AL,22,FALSE)-50))</f>
        <v>976</v>
      </c>
      <c r="X344" s="3">
        <f>IF(ISERROR(VLOOKUP($A344,'SegEnds_NonXtal_BW#'!$A:$Z,17,FALSE)+VLOOKUP($A344,A:AL,25,FALSE)-50),"-",(VLOOKUP($A344,'SegEnds_NonXtal_BW#'!$A:$Z,17,FALSE)+VLOOKUP($A344,A:AL,25,FALSE)-50))</f>
        <v>982</v>
      </c>
      <c r="Y344" s="3">
        <v>982</v>
      </c>
      <c r="Z344" s="3">
        <f t="shared" si="227"/>
        <v>984</v>
      </c>
      <c r="AA344" s="3">
        <f>IF(ISERROR(VLOOKUP($A344,'SegEnds_NonXtal_BW#'!$A:$Z,19,FALSE)+VLOOKUP($A344,A:AL,28,FALSE)-50),"-",(VLOOKUP($A344,'SegEnds_NonXtal_BW#'!$A:$Z,19,FALSE)+VLOOKUP($A344,A:AL,28,FALSE)-50))</f>
        <v>987</v>
      </c>
      <c r="AB344" s="3">
        <v>1001</v>
      </c>
      <c r="AC344" s="3">
        <f>IF(ISERROR((VLOOKUP($A344,'SegEnds_NonXtal_BW#'!$A:$Z,20,FALSE)+VLOOKUP($A344,A:AL,28,FALSE)-50)),"-",(VLOOKUP($A344,'SegEnds_NonXtal_BW#'!$A:$Z,20,FALSE)+VLOOKUP($A344,A:AL,28,FALSE)-50))</f>
        <v>1020</v>
      </c>
      <c r="AD344" s="3">
        <f>IF(ISERROR(VLOOKUP($A344,'SegEnds_NonXtal_BW#'!$A:$Z,21,FALSE)+VLOOKUP($A344,A:AL,31,FALSE)-50),"-",(VLOOKUP($A344,'SegEnds_NonXtal_BW#'!$A:$Z,21,FALSE)+VLOOKUP($A344,A:AL,31,FALSE)-50))</f>
        <v>1032</v>
      </c>
      <c r="AE344" s="3">
        <v>1053</v>
      </c>
      <c r="AF344" s="3">
        <f>IF(ISERROR((VLOOKUP($A344,'SegEnds_NonXtal_BW#'!$A:$Z,22,FALSE)+VLOOKUP($A344,A:AL,31,FALSE)-50)),"-",(VLOOKUP($A344,'SegEnds_NonXtal_BW#'!$A:$Z,22,FALSE)+VLOOKUP($A344,A:AL,31,FALSE)-50))</f>
        <v>1057</v>
      </c>
      <c r="AG344" s="3">
        <f>IF(ISERROR(VLOOKUP($A344,'SegEnds_NonXtal_BW#'!$A:$Z,23,FALSE)+VLOOKUP($A344,A:AL,34,FALSE)-50),"-",(VLOOKUP($A344,'SegEnds_NonXtal_BW#'!$A:$Z,23,FALSE)+VLOOKUP($A344,A:AL,34,FALSE)-50))</f>
        <v>1062</v>
      </c>
      <c r="AH344" s="3">
        <v>1081</v>
      </c>
      <c r="AI344" s="3">
        <f>IF(ISERROR((VLOOKUP($A344,'SegEnds_NonXtal_BW#'!$A:$Z,24,FALSE)+VLOOKUP($A344,A:AL,34,FALSE)-50)),"-",(VLOOKUP($A344,'SegEnds_NonXtal_BW#'!$A:$Z,24,FALSE)+VLOOKUP($A344,A:AL,34,FALSE)-50))</f>
        <v>1087</v>
      </c>
      <c r="AJ344" s="3">
        <f>IF(ISERROR(VLOOKUP($A344,'SegEnds_NonXtal_BW#'!$A:$Z,25,FALSE)+VLOOKUP($A344,A:AL,37,FALSE)-50),"-",(VLOOKUP($A344,'SegEnds_NonXtal_BW#'!$A:$Z,25,FALSE)+VLOOKUP($A344,A:AL,37,FALSE)-50))</f>
        <v>1088</v>
      </c>
      <c r="AK344" s="3">
        <v>1091</v>
      </c>
      <c r="AL344" s="3">
        <f>IF(ISERROR((VLOOKUP($A344,'SegEnds_NonXtal_BW#'!$A:$Z,26,FALSE)+VLOOKUP($A344,A:AL,37,FALSE)-50)),"-",(VLOOKUP($A344,'SegEnds_NonXtal_BW#'!$A:$Z,26,FALSE)+VLOOKUP($A344,A:AL,37,FALSE)-50))</f>
        <v>1104</v>
      </c>
      <c r="AM344" s="28" t="str">
        <f>VLOOKUP(A344,Classification!A:B,2,FALSE)</f>
        <v>B2</v>
      </c>
      <c r="AN344" s="28" t="b">
        <f t="shared" si="243"/>
        <v>1</v>
      </c>
      <c r="AO344" s="3" t="str">
        <f>IF(ISERROR(MATCH(A344,'SegEnds_Xtal_Prot#'!B:B, 0)), "NoXtal", "Xtal")</f>
        <v>NoXtal</v>
      </c>
      <c r="AP344" s="3" t="str">
        <f t="shared" si="228"/>
        <v>-</v>
      </c>
      <c r="AQ344" s="3" t="str">
        <f t="shared" si="229"/>
        <v>-</v>
      </c>
      <c r="AR344" s="3" t="str">
        <f t="shared" si="230"/>
        <v>-</v>
      </c>
      <c r="AS344" s="3" t="str">
        <f t="shared" si="231"/>
        <v>-</v>
      </c>
      <c r="AT344" s="3" t="str">
        <f t="shared" si="232"/>
        <v>-</v>
      </c>
      <c r="AU344" s="3" t="str">
        <f t="shared" si="233"/>
        <v>-</v>
      </c>
      <c r="AV344" s="3">
        <f t="shared" si="234"/>
        <v>6</v>
      </c>
      <c r="AW344" s="3">
        <f t="shared" si="235"/>
        <v>3</v>
      </c>
      <c r="AX344" s="3">
        <f t="shared" si="236"/>
        <v>12</v>
      </c>
      <c r="AY344" s="3">
        <f t="shared" si="237"/>
        <v>5</v>
      </c>
      <c r="AZ344" s="3">
        <f t="shared" si="238"/>
        <v>1</v>
      </c>
      <c r="BA344" s="3">
        <f>IF(ISERROR(LEN(VLOOKUP(A344,Seqs!A:E,2,FALSE))-AL344),"-",LEN(VLOOKUP(A344,Seqs!A:E,2,FALSE))-AL344)</f>
        <v>355</v>
      </c>
      <c r="BB344" s="16">
        <f t="shared" si="239"/>
        <v>28</v>
      </c>
      <c r="BC344" s="9" t="str">
        <f t="shared" si="240"/>
        <v>-</v>
      </c>
      <c r="BD344" s="3">
        <f t="shared" si="241"/>
        <v>28</v>
      </c>
      <c r="BE344" s="3">
        <f t="shared" si="242"/>
        <v>52</v>
      </c>
    </row>
    <row r="345" spans="1:58" s="3" customFormat="1" x14ac:dyDescent="0.2">
      <c r="A345" s="3" t="s">
        <v>1194</v>
      </c>
      <c r="B345" s="3" t="str">
        <f>LOWER(VLOOKUP(A345,Xtal_Templ!A:B,2,FALSE))</f>
        <v>crfr2_human</v>
      </c>
      <c r="C345" s="3">
        <f>VLOOKUP($A345,'SegEnds_NonXtal_BW#'!$A:$Z,3,FALSE)+D345-50</f>
        <v>852</v>
      </c>
      <c r="D345" s="3">
        <v>879</v>
      </c>
      <c r="E345" s="3">
        <f>IF(ISERROR(VLOOKUP($A345,'SegEnds_NonXtal_BW#'!$A:$Z,4,FALSE)+VLOOKUP($A345,A:AL,4,FALSE)-50),"-",(VLOOKUP($A345,'SegEnds_NonXtal_BW#'!$A:$Z,4,FALSE)+VLOOKUP($A345,A:AL,4,FALSE)-50))</f>
        <v>889</v>
      </c>
      <c r="F345" s="3">
        <f>G345-2</f>
        <v>890</v>
      </c>
      <c r="G345" s="3">
        <v>892</v>
      </c>
      <c r="H345" s="3">
        <f>G345+1</f>
        <v>893</v>
      </c>
      <c r="I345" s="3">
        <f>H345+1</f>
        <v>894</v>
      </c>
      <c r="J345" s="3">
        <v>907</v>
      </c>
      <c r="K345" s="3">
        <f>VLOOKUP($A345,'SegEnds_NonXtal_BW#'!$A:$Z,8,FALSE)+VLOOKUP($A345,A:AL,10,FALSE)-50</f>
        <v>920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925</v>
      </c>
      <c r="P345" s="3">
        <v>952</v>
      </c>
      <c r="Q345" s="3">
        <f>VLOOKUP($A345,'SegEnds_NonXtal_BW#'!$A:$Z,12,FALSE)+VLOOKUP($A345,A:AL,16,FALSE)-50</f>
        <v>958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966</v>
      </c>
      <c r="V345" s="3">
        <v>975</v>
      </c>
      <c r="W345" s="3">
        <f>IF(ISERROR(VLOOKUP($A345,'SegEnds_NonXtal_BW#'!$A:$Z,16,FALSE)+VLOOKUP($A345,A:AL,22,FALSE)-50),"-",(VLOOKUP($A345,'SegEnds_NonXtal_BW#'!$A:$Z,16,FALSE)+VLOOKUP($A345,A:AL,22,FALSE)-50))</f>
        <v>993</v>
      </c>
      <c r="X345" s="3">
        <f>IF(ISERROR(VLOOKUP($A345,'SegEnds_NonXtal_BW#'!$A:$Z,17,FALSE)+VLOOKUP($A345,A:AL,25,FALSE)-50),"-",(VLOOKUP($A345,'SegEnds_NonXtal_BW#'!$A:$Z,17,FALSE)+VLOOKUP($A345,A:AL,25,FALSE)-50))</f>
        <v>999</v>
      </c>
      <c r="Y345" s="3">
        <v>999</v>
      </c>
      <c r="Z345" s="3">
        <f t="shared" si="227"/>
        <v>1001</v>
      </c>
      <c r="AA345" s="3">
        <f>IF(ISERROR(VLOOKUP($A345,'SegEnds_NonXtal_BW#'!$A:$Z,19,FALSE)+VLOOKUP($A345,A:AL,28,FALSE)-50),"-",(VLOOKUP($A345,'SegEnds_NonXtal_BW#'!$A:$Z,19,FALSE)+VLOOKUP($A345,A:AL,28,FALSE)-50))</f>
        <v>1004</v>
      </c>
      <c r="AB345" s="3">
        <v>1018</v>
      </c>
      <c r="AC345" s="3">
        <f>IF(ISERROR((VLOOKUP($A345,'SegEnds_NonXtal_BW#'!$A:$Z,20,FALSE)+VLOOKUP($A345,A:AL,28,FALSE)-50)),"-",(VLOOKUP($A345,'SegEnds_NonXtal_BW#'!$A:$Z,20,FALSE)+VLOOKUP($A345,A:AL,28,FALSE)-50))</f>
        <v>1037</v>
      </c>
      <c r="AD345" s="3">
        <f>IF(ISERROR(VLOOKUP($A345,'SegEnds_NonXtal_BW#'!$A:$Z,21,FALSE)+VLOOKUP($A345,A:AL,31,FALSE)-50),"-",(VLOOKUP($A345,'SegEnds_NonXtal_BW#'!$A:$Z,21,FALSE)+VLOOKUP($A345,A:AL,31,FALSE)-50))</f>
        <v>1049</v>
      </c>
      <c r="AE345" s="3">
        <v>1070</v>
      </c>
      <c r="AF345" s="3">
        <f>IF(ISERROR((VLOOKUP($A345,'SegEnds_NonXtal_BW#'!$A:$Z,22,FALSE)+VLOOKUP($A345,A:AL,31,FALSE)-50)),"-",(VLOOKUP($A345,'SegEnds_NonXtal_BW#'!$A:$Z,22,FALSE)+VLOOKUP($A345,A:AL,31,FALSE)-50))</f>
        <v>1073</v>
      </c>
      <c r="AG345" s="3">
        <f>IF(ISERROR(VLOOKUP($A345,'SegEnds_NonXtal_BW#'!$A:$Z,23,FALSE)+VLOOKUP($A345,A:AL,34,FALSE)-50),"-",(VLOOKUP($A345,'SegEnds_NonXtal_BW#'!$A:$Z,23,FALSE)+VLOOKUP($A345,A:AL,34,FALSE)-50))</f>
        <v>1079</v>
      </c>
      <c r="AH345" s="3">
        <v>1098</v>
      </c>
      <c r="AI345" s="3">
        <f>IF(ISERROR((VLOOKUP($A345,'SegEnds_NonXtal_BW#'!$A:$Z,24,FALSE)+VLOOKUP($A345,A:AL,34,FALSE)-50)),"-",(VLOOKUP($A345,'SegEnds_NonXtal_BW#'!$A:$Z,24,FALSE)+VLOOKUP($A345,A:AL,34,FALSE)-50))</f>
        <v>1104</v>
      </c>
      <c r="AJ345" s="3">
        <f>IF(ISERROR(VLOOKUP($A345,'SegEnds_NonXtal_BW#'!$A:$Z,25,FALSE)+VLOOKUP($A345,A:AL,37,FALSE)-50),"-",(VLOOKUP($A345,'SegEnds_NonXtal_BW#'!$A:$Z,25,FALSE)+VLOOKUP($A345,A:AL,37,FALSE)-50))</f>
        <v>1105</v>
      </c>
      <c r="AK345" s="3">
        <v>1108</v>
      </c>
      <c r="AL345" s="3">
        <f>IF(ISERROR((VLOOKUP($A345,'SegEnds_NonXtal_BW#'!$A:$Z,26,FALSE)+VLOOKUP($A345,A:AL,37,FALSE)-50)),"-",(VLOOKUP($A345,'SegEnds_NonXtal_BW#'!$A:$Z,26,FALSE)+VLOOKUP($A345,A:AL,37,FALSE)-50))</f>
        <v>1121</v>
      </c>
      <c r="AM345" s="28" t="str">
        <f>VLOOKUP(A345,Classification!A:B,2,FALSE)</f>
        <v>B2</v>
      </c>
      <c r="AN345" s="28" t="b">
        <f t="shared" si="243"/>
        <v>1</v>
      </c>
      <c r="AO345" s="3" t="str">
        <f>IF(ISERROR(MATCH(A345,'SegEnds_Xtal_Prot#'!B:B, 0)), "NoXtal", "Xtal")</f>
        <v>NoXtal</v>
      </c>
      <c r="AP345" s="3">
        <f t="shared" si="228"/>
        <v>1</v>
      </c>
      <c r="AQ345" s="3">
        <f t="shared" si="229"/>
        <v>1</v>
      </c>
      <c r="AR345" s="3" t="str">
        <f t="shared" si="230"/>
        <v>-</v>
      </c>
      <c r="AS345" s="3" t="str">
        <f t="shared" si="231"/>
        <v>-</v>
      </c>
      <c r="AT345" s="3" t="str">
        <f t="shared" si="232"/>
        <v>-</v>
      </c>
      <c r="AU345" s="3" t="str">
        <f t="shared" si="233"/>
        <v>-</v>
      </c>
      <c r="AV345" s="3">
        <f t="shared" si="234"/>
        <v>6</v>
      </c>
      <c r="AW345" s="3">
        <f t="shared" si="235"/>
        <v>3</v>
      </c>
      <c r="AX345" s="3">
        <f t="shared" si="236"/>
        <v>12</v>
      </c>
      <c r="AY345" s="3">
        <f t="shared" si="237"/>
        <v>6</v>
      </c>
      <c r="AZ345" s="3">
        <f t="shared" si="238"/>
        <v>1</v>
      </c>
      <c r="BA345" s="3">
        <f>IF(ISERROR(LEN(VLOOKUP(A345,Seqs!A:E,2,FALSE))-AL345),"-",LEN(VLOOKUP(A345,Seqs!A:E,2,FALSE))-AL345)</f>
        <v>326</v>
      </c>
      <c r="BB345" s="16">
        <f t="shared" si="239"/>
        <v>28</v>
      </c>
      <c r="BC345" s="9" t="str">
        <f t="shared" si="240"/>
        <v>-</v>
      </c>
      <c r="BD345" s="3">
        <f t="shared" si="241"/>
        <v>28</v>
      </c>
      <c r="BE345" s="3">
        <f t="shared" si="242"/>
        <v>52</v>
      </c>
    </row>
    <row r="346" spans="1:58" s="3" customFormat="1" x14ac:dyDescent="0.2">
      <c r="A346" s="3" t="s">
        <v>1195</v>
      </c>
      <c r="B346" s="3" t="str">
        <f>LOWER(VLOOKUP(A346,Xtal_Templ!A:B,2,FALSE))</f>
        <v>sctr_human</v>
      </c>
      <c r="C346" s="3">
        <f>VLOOKUP($A346,'SegEnds_NonXtal_BW#'!$A:$Z,3,FALSE)+D346-50</f>
        <v>415</v>
      </c>
      <c r="D346" s="3">
        <v>442</v>
      </c>
      <c r="E346" s="3">
        <f>IF(ISERROR(VLOOKUP($A346,'SegEnds_NonXtal_BW#'!$A:$Z,4,FALSE)+VLOOKUP($A346,A:AL,4,FALSE)-50),"-",(VLOOKUP($A346,'SegEnds_NonXtal_BW#'!$A:$Z,4,FALSE)+VLOOKUP($A346,A:AL,4,FALSE)-50))</f>
        <v>452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457</v>
      </c>
      <c r="J346" s="3">
        <v>470</v>
      </c>
      <c r="K346" s="3">
        <f>VLOOKUP($A346,'SegEnds_NonXtal_BW#'!$A:$Z,8,FALSE)+VLOOKUP($A346,A:AL,10,FALSE)-50</f>
        <v>483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488</v>
      </c>
      <c r="P346" s="3">
        <v>515</v>
      </c>
      <c r="Q346" s="3">
        <f>VLOOKUP($A346,'SegEnds_NonXtal_BW#'!$A:$Z,12,FALSE)+VLOOKUP($A346,A:AL,16,FALSE)-50</f>
        <v>521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528</v>
      </c>
      <c r="V346" s="3">
        <v>538</v>
      </c>
      <c r="W346" s="3">
        <f>IF(ISERROR(VLOOKUP($A346,'SegEnds_NonXtal_BW#'!$A:$Z,16,FALSE)+VLOOKUP($A346,A:AL,22,FALSE)-50),"-",(VLOOKUP($A346,'SegEnds_NonXtal_BW#'!$A:$Z,16,FALSE)+VLOOKUP($A346,A:AL,22,FALSE)-50))</f>
        <v>556</v>
      </c>
      <c r="X346" s="3">
        <f>IF(ISERROR(VLOOKUP($A346,'SegEnds_NonXtal_BW#'!$A:$Z,17,FALSE)+VLOOKUP($A346,A:AL,25,FALSE)-50),"-",(VLOOKUP($A346,'SegEnds_NonXtal_BW#'!$A:$Z,17,FALSE)+VLOOKUP($A346,A:AL,25,FALSE)-50))</f>
        <v>562</v>
      </c>
      <c r="Y346" s="3">
        <v>562</v>
      </c>
      <c r="Z346" s="3">
        <f t="shared" si="227"/>
        <v>564</v>
      </c>
      <c r="AA346" s="3">
        <f>IF(ISERROR(VLOOKUP($A346,'SegEnds_NonXtal_BW#'!$A:$Z,19,FALSE)+VLOOKUP($A346,A:AL,28,FALSE)-50),"-",(VLOOKUP($A346,'SegEnds_NonXtal_BW#'!$A:$Z,19,FALSE)+VLOOKUP($A346,A:AL,28,FALSE)-50))</f>
        <v>567</v>
      </c>
      <c r="AB346" s="3">
        <v>581</v>
      </c>
      <c r="AC346" s="3">
        <f>IF(ISERROR((VLOOKUP($A346,'SegEnds_NonXtal_BW#'!$A:$Z,20,FALSE)+VLOOKUP($A346,A:AL,28,FALSE)-50)),"-",(VLOOKUP($A346,'SegEnds_NonXtal_BW#'!$A:$Z,20,FALSE)+VLOOKUP($A346,A:AL,28,FALSE)-50))</f>
        <v>600</v>
      </c>
      <c r="AD346" s="3">
        <f>IF(ISERROR(VLOOKUP($A346,'SegEnds_NonXtal_BW#'!$A:$Z,21,FALSE)+VLOOKUP($A346,A:AL,31,FALSE)-50),"-",(VLOOKUP($A346,'SegEnds_NonXtal_BW#'!$A:$Z,21,FALSE)+VLOOKUP($A346,A:AL,31,FALSE)-50))</f>
        <v>612</v>
      </c>
      <c r="AE346" s="3">
        <v>633</v>
      </c>
      <c r="AF346" s="3">
        <f>IF(ISERROR((VLOOKUP($A346,'SegEnds_NonXtal_BW#'!$A:$Z,22,FALSE)+VLOOKUP($A346,A:AL,31,FALSE)-50)),"-",(VLOOKUP($A346,'SegEnds_NonXtal_BW#'!$A:$Z,22,FALSE)+VLOOKUP($A346,A:AL,31,FALSE)-50))</f>
        <v>637</v>
      </c>
      <c r="AG346" s="3">
        <f>IF(ISERROR(VLOOKUP($A346,'SegEnds_NonXtal_BW#'!$A:$Z,23,FALSE)+VLOOKUP($A346,A:AL,34,FALSE)-50),"-",(VLOOKUP($A346,'SegEnds_NonXtal_BW#'!$A:$Z,23,FALSE)+VLOOKUP($A346,A:AL,34,FALSE)-50))</f>
        <v>642</v>
      </c>
      <c r="AH346" s="3">
        <v>661</v>
      </c>
      <c r="AI346" s="3">
        <f>IF(ISERROR((VLOOKUP($A346,'SegEnds_NonXtal_BW#'!$A:$Z,24,FALSE)+VLOOKUP($A346,A:AL,34,FALSE)-50)),"-",(VLOOKUP($A346,'SegEnds_NonXtal_BW#'!$A:$Z,24,FALSE)+VLOOKUP($A346,A:AL,34,FALSE)-50))</f>
        <v>667</v>
      </c>
      <c r="AJ346" s="3">
        <f>IF(ISERROR(VLOOKUP($A346,'SegEnds_NonXtal_BW#'!$A:$Z,25,FALSE)+VLOOKUP($A346,A:AL,37,FALSE)-50),"-",(VLOOKUP($A346,'SegEnds_NonXtal_BW#'!$A:$Z,25,FALSE)+VLOOKUP($A346,A:AL,37,FALSE)-50))</f>
        <v>668</v>
      </c>
      <c r="AK346" s="3">
        <v>671</v>
      </c>
      <c r="AL346" s="3">
        <f>IF(ISERROR((VLOOKUP($A346,'SegEnds_NonXtal_BW#'!$A:$Z,26,FALSE)+VLOOKUP($A346,A:AL,37,FALSE)-50)),"-",(VLOOKUP($A346,'SegEnds_NonXtal_BW#'!$A:$Z,26,FALSE)+VLOOKUP($A346,A:AL,37,FALSE)-50))</f>
        <v>684</v>
      </c>
      <c r="AM346" s="28" t="str">
        <f>VLOOKUP(A346,Classification!A:B,2,FALSE)</f>
        <v>B2</v>
      </c>
      <c r="AN346" s="28" t="b">
        <f t="shared" si="243"/>
        <v>1</v>
      </c>
      <c r="AO346" s="3" t="str">
        <f>IF(ISERROR(MATCH(A346,'SegEnds_Xtal_Prot#'!B:B, 0)), "NoXtal", "Xtal")</f>
        <v>NoXtal</v>
      </c>
      <c r="AP346" s="3" t="str">
        <f t="shared" si="228"/>
        <v>-</v>
      </c>
      <c r="AQ346" s="3" t="str">
        <f t="shared" si="229"/>
        <v>-</v>
      </c>
      <c r="AR346" s="3" t="str">
        <f t="shared" si="230"/>
        <v>-</v>
      </c>
      <c r="AS346" s="3" t="str">
        <f t="shared" si="231"/>
        <v>-</v>
      </c>
      <c r="AT346" s="3" t="str">
        <f t="shared" si="232"/>
        <v>-</v>
      </c>
      <c r="AU346" s="3" t="str">
        <f t="shared" si="233"/>
        <v>-</v>
      </c>
      <c r="AV346" s="3">
        <f t="shared" si="234"/>
        <v>6</v>
      </c>
      <c r="AW346" s="3">
        <f t="shared" si="235"/>
        <v>3</v>
      </c>
      <c r="AX346" s="3">
        <f t="shared" si="236"/>
        <v>12</v>
      </c>
      <c r="AY346" s="3">
        <f t="shared" si="237"/>
        <v>5</v>
      </c>
      <c r="AZ346" s="3">
        <f t="shared" si="238"/>
        <v>1</v>
      </c>
      <c r="BA346" s="3">
        <f>IF(ISERROR(LEN(VLOOKUP(A346,Seqs!A:E,2,FALSE))-AL346),"-",LEN(VLOOKUP(A346,Seqs!A:E,2,FALSE))-AL346)</f>
        <v>6</v>
      </c>
      <c r="BB346" s="16">
        <f t="shared" si="239"/>
        <v>28</v>
      </c>
      <c r="BC346" s="9" t="str">
        <f t="shared" si="240"/>
        <v>-</v>
      </c>
      <c r="BD346" s="3">
        <f t="shared" si="241"/>
        <v>28</v>
      </c>
      <c r="BE346" s="3">
        <f t="shared" si="242"/>
        <v>52</v>
      </c>
      <c r="BF346" s="3">
        <f>AH346-AE346</f>
        <v>28</v>
      </c>
    </row>
    <row r="347" spans="1:58" s="3" customFormat="1" x14ac:dyDescent="0.2">
      <c r="A347" s="3" t="s">
        <v>1691</v>
      </c>
      <c r="B347" s="3" t="str">
        <f>LOWER(VLOOKUP(A347,Xtal_Templ!A:B,2,FALSE))</f>
        <v>crfr1_human</v>
      </c>
      <c r="C347" s="3">
        <f>VLOOKUP($A347,'SegEnds_NonXtal_BW#'!$A:$Z,3,FALSE)+D347-50</f>
        <v>935</v>
      </c>
      <c r="D347" s="3">
        <v>962</v>
      </c>
      <c r="E347" s="3">
        <f>IF(ISERROR(VLOOKUP($A347,'SegEnds_NonXtal_BW#'!$A:$Z,4,FALSE)+VLOOKUP($A347,A:AL,4,FALSE)-50),"-",(VLOOKUP($A347,'SegEnds_NonXtal_BW#'!$A:$Z,4,FALSE)+VLOOKUP($A347,A:AL,4,FALSE)-50))</f>
        <v>972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978</v>
      </c>
      <c r="J347" s="3">
        <v>991</v>
      </c>
      <c r="K347" s="3">
        <f>VLOOKUP($A347,'SegEnds_NonXtal_BW#'!$A:$Z,8,FALSE)+VLOOKUP($A347,A:AL,10,FALSE)-50</f>
        <v>1004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1009</v>
      </c>
      <c r="P347" s="3">
        <v>1036</v>
      </c>
      <c r="Q347" s="3">
        <f>VLOOKUP($A347,'SegEnds_NonXtal_BW#'!$A:$Z,12,FALSE)+VLOOKUP($A347,A:AL,16,FALSE)-50</f>
        <v>1042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1048</v>
      </c>
      <c r="V347" s="3">
        <v>1058</v>
      </c>
      <c r="W347" s="3">
        <f>IF(ISERROR(VLOOKUP($A347,'SegEnds_NonXtal_BW#'!$A:$Z,16,FALSE)+VLOOKUP($A347,A:AL,22,FALSE)-50),"-",(VLOOKUP($A347,'SegEnds_NonXtal_BW#'!$A:$Z,16,FALSE)+VLOOKUP($A347,A:AL,22,FALSE)-50))</f>
        <v>1076</v>
      </c>
      <c r="X347" s="3">
        <f>IF(ISERROR(VLOOKUP($A347,'SegEnds_NonXtal_BW#'!$A:$Z,17,FALSE)+VLOOKUP($A347,A:AL,25,FALSE)-50),"-",(VLOOKUP($A347,'SegEnds_NonXtal_BW#'!$A:$Z,17,FALSE)+VLOOKUP($A347,A:AL,25,FALSE)-50))</f>
        <v>1083</v>
      </c>
      <c r="Y347" s="3">
        <v>1083</v>
      </c>
      <c r="Z347" s="3">
        <f t="shared" si="227"/>
        <v>1085</v>
      </c>
      <c r="AA347" s="3">
        <f>IF(ISERROR(VLOOKUP($A347,'SegEnds_NonXtal_BW#'!$A:$Z,19,FALSE)+VLOOKUP($A347,A:AL,28,FALSE)-50),"-",(VLOOKUP($A347,'SegEnds_NonXtal_BW#'!$A:$Z,19,FALSE)+VLOOKUP($A347,A:AL,28,FALSE)-50))</f>
        <v>1088</v>
      </c>
      <c r="AB347" s="3">
        <v>1102</v>
      </c>
      <c r="AC347" s="3">
        <f>IF(ISERROR((VLOOKUP($A347,'SegEnds_NonXtal_BW#'!$A:$Z,20,FALSE)+VLOOKUP($A347,A:AL,28,FALSE)-50)),"-",(VLOOKUP($A347,'SegEnds_NonXtal_BW#'!$A:$Z,20,FALSE)+VLOOKUP($A347,A:AL,28,FALSE)-50))</f>
        <v>1121</v>
      </c>
      <c r="AD347" s="3">
        <f>IF(ISERROR(VLOOKUP($A347,'SegEnds_NonXtal_BW#'!$A:$Z,21,FALSE)+VLOOKUP($A347,A:AL,31,FALSE)-50),"-",(VLOOKUP($A347,'SegEnds_NonXtal_BW#'!$A:$Z,21,FALSE)+VLOOKUP($A347,A:AL,31,FALSE)-50))</f>
        <v>1131</v>
      </c>
      <c r="AE347" s="3">
        <v>1152</v>
      </c>
      <c r="AF347" s="3">
        <f>IF(ISERROR((VLOOKUP($A347,'SegEnds_NonXtal_BW#'!$A:$Z,22,FALSE)+VLOOKUP($A347,A:AL,31,FALSE)-50)),"-",(VLOOKUP($A347,'SegEnds_NonXtal_BW#'!$A:$Z,22,FALSE)+VLOOKUP($A347,A:AL,31,FALSE)-50))</f>
        <v>1155</v>
      </c>
      <c r="AG347" s="3">
        <f>IF(ISERROR(VLOOKUP($A347,'SegEnds_NonXtal_BW#'!$A:$Z,23,FALSE)+VLOOKUP($A347,A:AL,34,FALSE)-50),"-",(VLOOKUP($A347,'SegEnds_NonXtal_BW#'!$A:$Z,23,FALSE)+VLOOKUP($A347,A:AL,34,FALSE)-50))</f>
        <v>1162</v>
      </c>
      <c r="AH347" s="3">
        <v>1181</v>
      </c>
      <c r="AI347" s="3">
        <f>IF(ISERROR((VLOOKUP($A347,'SegEnds_NonXtal_BW#'!$A:$Z,24,FALSE)+VLOOKUP($A347,A:AL,34,FALSE)-50)),"-",(VLOOKUP($A347,'SegEnds_NonXtal_BW#'!$A:$Z,24,FALSE)+VLOOKUP($A347,A:AL,34,FALSE)-50))</f>
        <v>1187</v>
      </c>
      <c r="AJ347" s="3">
        <f>IF(ISERROR(VLOOKUP($A347,'SegEnds_NonXtal_BW#'!$A:$Z,25,FALSE)+VLOOKUP($A347,A:AL,37,FALSE)-50),"-",(VLOOKUP($A347,'SegEnds_NonXtal_BW#'!$A:$Z,25,FALSE)+VLOOKUP($A347,A:AL,37,FALSE)-50))</f>
        <v>1188</v>
      </c>
      <c r="AK347" s="3">
        <v>1191</v>
      </c>
      <c r="AL347" s="3">
        <f>IF(ISERROR((VLOOKUP($A347,'SegEnds_NonXtal_BW#'!$A:$Z,26,FALSE)+VLOOKUP($A347,A:AL,37,FALSE)-50)),"-",(VLOOKUP($A347,'SegEnds_NonXtal_BW#'!$A:$Z,26,FALSE)+VLOOKUP($A347,A:AL,37,FALSE)-50))</f>
        <v>1204</v>
      </c>
      <c r="AM347" s="28" t="str">
        <f>VLOOKUP(A347,Classification!A:B,2,FALSE)</f>
        <v>B2</v>
      </c>
      <c r="AN347" s="28" t="b">
        <f t="shared" si="243"/>
        <v>1</v>
      </c>
      <c r="AO347" s="3" t="str">
        <f>IF(ISERROR(MATCH(A347,'SegEnds_Xtal_Prot#'!B:B, 0)), "NoXtal", "Xtal")</f>
        <v>NoXtal</v>
      </c>
      <c r="AP347" s="3" t="str">
        <f t="shared" si="228"/>
        <v>-</v>
      </c>
      <c r="AQ347" s="3" t="str">
        <f t="shared" si="229"/>
        <v>-</v>
      </c>
      <c r="AR347" s="3" t="str">
        <f t="shared" si="230"/>
        <v>-</v>
      </c>
      <c r="AS347" s="3" t="str">
        <f t="shared" si="231"/>
        <v>-</v>
      </c>
      <c r="AT347" s="3" t="str">
        <f t="shared" si="232"/>
        <v>-</v>
      </c>
      <c r="AU347" s="3" t="str">
        <f t="shared" si="233"/>
        <v>-</v>
      </c>
      <c r="AV347" s="3">
        <f t="shared" si="234"/>
        <v>7</v>
      </c>
      <c r="AW347" s="3">
        <f t="shared" si="235"/>
        <v>3</v>
      </c>
      <c r="AX347" s="3">
        <f t="shared" si="236"/>
        <v>10</v>
      </c>
      <c r="AY347" s="3">
        <f t="shared" si="237"/>
        <v>7</v>
      </c>
      <c r="AZ347" s="3">
        <f t="shared" si="238"/>
        <v>1</v>
      </c>
      <c r="BA347" s="3">
        <f>IF(ISERROR(LEN(VLOOKUP(A347,Seqs!A:E,2,FALSE))-AL347),"-",LEN(VLOOKUP(A347,Seqs!A:E,2,FALSE))-AL347)</f>
        <v>380</v>
      </c>
      <c r="BB347" s="16">
        <f t="shared" si="239"/>
        <v>29</v>
      </c>
      <c r="BC347" s="9" t="str">
        <f t="shared" si="240"/>
        <v>-</v>
      </c>
      <c r="BD347" s="3">
        <f t="shared" si="241"/>
        <v>29</v>
      </c>
      <c r="BE347" s="3">
        <f t="shared" si="242"/>
        <v>50</v>
      </c>
    </row>
    <row r="348" spans="1:58" s="3" customFormat="1" x14ac:dyDescent="0.2">
      <c r="A348" s="3" t="s">
        <v>1692</v>
      </c>
      <c r="B348" s="3" t="str">
        <f>LOWER(VLOOKUP(A348,Xtal_Templ!A:B,2,FALSE))</f>
        <v>glp1r_human</v>
      </c>
      <c r="C348" s="3">
        <f>VLOOKUP($A348,'SegEnds_NonXtal_BW#'!$A:$Z,3,FALSE)+D348-50</f>
        <v>535</v>
      </c>
      <c r="D348" s="3">
        <v>562</v>
      </c>
      <c r="E348" s="3">
        <f>IF(ISERROR(VLOOKUP($A348,'SegEnds_NonXtal_BW#'!$A:$Z,4,FALSE)+VLOOKUP($A348,A:AL,4,FALSE)-50),"-",(VLOOKUP($A348,'SegEnds_NonXtal_BW#'!$A:$Z,4,FALSE)+VLOOKUP($A348,A:AL,4,FALSE)-50))</f>
        <v>572</v>
      </c>
      <c r="F348" s="3" t="s">
        <v>23</v>
      </c>
      <c r="G348" s="3" t="s">
        <v>23</v>
      </c>
      <c r="H348" s="3" t="s">
        <v>23</v>
      </c>
      <c r="I348" s="3">
        <f>VLOOKUP($A348,'SegEnds_NonXtal_BW#'!$A:$Z,7,FALSE)+J348-50</f>
        <v>577</v>
      </c>
      <c r="J348" s="3">
        <v>590</v>
      </c>
      <c r="K348" s="3">
        <f>VLOOKUP($A348,'SegEnds_NonXtal_BW#'!$A:$Z,8,FALSE)+VLOOKUP($A348,A:AL,10,FALSE)-50</f>
        <v>603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610</v>
      </c>
      <c r="P348" s="3">
        <v>637</v>
      </c>
      <c r="Q348" s="3">
        <f>VLOOKUP($A348,'SegEnds_NonXtal_BW#'!$A:$Z,12,FALSE)+VLOOKUP($A348,A:AL,16,FALSE)-50</f>
        <v>643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648</v>
      </c>
      <c r="V348" s="3">
        <v>660</v>
      </c>
      <c r="W348" s="3">
        <f>IF(ISERROR(VLOOKUP($A348,'SegEnds_NonXtal_BW#'!$A:$Z,16,FALSE)+VLOOKUP($A348,A:AL,22,FALSE)-50),"-",(VLOOKUP($A348,'SegEnds_NonXtal_BW#'!$A:$Z,16,FALSE)+VLOOKUP($A348,A:AL,22,FALSE)-50))</f>
        <v>678</v>
      </c>
      <c r="X348" s="3">
        <f>IF(ISERROR(VLOOKUP($A348,'SegEnds_NonXtal_BW#'!$A:$Z,17,FALSE)+VLOOKUP($A348,A:AL,25,FALSE)-50),"-",(VLOOKUP($A348,'SegEnds_NonXtal_BW#'!$A:$Z,17,FALSE)+VLOOKUP($A348,A:AL,25,FALSE)-50))</f>
        <v>684</v>
      </c>
      <c r="Y348" s="3">
        <v>684</v>
      </c>
      <c r="Z348" s="3">
        <f t="shared" si="227"/>
        <v>686</v>
      </c>
      <c r="AA348" s="3">
        <f>IF(ISERROR(VLOOKUP($A348,'SegEnds_NonXtal_BW#'!$A:$Z,19,FALSE)+VLOOKUP($A348,A:AL,28,FALSE)-50),"-",(VLOOKUP($A348,'SegEnds_NonXtal_BW#'!$A:$Z,19,FALSE)+VLOOKUP($A348,A:AL,28,FALSE)-50))</f>
        <v>689</v>
      </c>
      <c r="AB348" s="3">
        <v>703</v>
      </c>
      <c r="AC348" s="3">
        <f>IF(ISERROR((VLOOKUP($A348,'SegEnds_NonXtal_BW#'!$A:$Z,20,FALSE)+VLOOKUP($A348,A:AL,28,FALSE)-50)),"-",(VLOOKUP($A348,'SegEnds_NonXtal_BW#'!$A:$Z,20,FALSE)+VLOOKUP($A348,A:AL,28,FALSE)-50))</f>
        <v>722</v>
      </c>
      <c r="AD348" s="3">
        <f>IF(ISERROR(VLOOKUP($A348,'SegEnds_NonXtal_BW#'!$A:$Z,21,FALSE)+VLOOKUP($A348,A:AL,31,FALSE)-50),"-",(VLOOKUP($A348,'SegEnds_NonXtal_BW#'!$A:$Z,21,FALSE)+VLOOKUP($A348,A:AL,31,FALSE)-50))</f>
        <v>734</v>
      </c>
      <c r="AE348" s="3">
        <v>755</v>
      </c>
      <c r="AF348" s="3">
        <f>IF(ISERROR((VLOOKUP($A348,'SegEnds_NonXtal_BW#'!$A:$Z,22,FALSE)+VLOOKUP($A348,A:AL,31,FALSE)-50)),"-",(VLOOKUP($A348,'SegEnds_NonXtal_BW#'!$A:$Z,22,FALSE)+VLOOKUP($A348,A:AL,31,FALSE)-50))</f>
        <v>760</v>
      </c>
      <c r="AG348" s="3">
        <f>IF(ISERROR(VLOOKUP($A348,'SegEnds_NonXtal_BW#'!$A:$Z,23,FALSE)+VLOOKUP($A348,A:AL,34,FALSE)-50),"-",(VLOOKUP($A348,'SegEnds_NonXtal_BW#'!$A:$Z,23,FALSE)+VLOOKUP($A348,A:AL,34,FALSE)-50))</f>
        <v>764</v>
      </c>
      <c r="AH348" s="3">
        <v>783</v>
      </c>
      <c r="AI348" s="3">
        <f>IF(ISERROR((VLOOKUP($A348,'SegEnds_NonXtal_BW#'!$A:$Z,24,FALSE)+VLOOKUP($A348,A:AL,34,FALSE)-50)),"-",(VLOOKUP($A348,'SegEnds_NonXtal_BW#'!$A:$Z,24,FALSE)+VLOOKUP($A348,A:AL,34,FALSE)-50))</f>
        <v>789</v>
      </c>
      <c r="AJ348" s="3">
        <f>IF(ISERROR(VLOOKUP($A348,'SegEnds_NonXtal_BW#'!$A:$Z,25,FALSE)+VLOOKUP($A348,A:AL,37,FALSE)-50),"-",(VLOOKUP($A348,'SegEnds_NonXtal_BW#'!$A:$Z,25,FALSE)+VLOOKUP($A348,A:AL,37,FALSE)-50))</f>
        <v>790</v>
      </c>
      <c r="AK348" s="3">
        <v>793</v>
      </c>
      <c r="AL348" s="3">
        <f>IF(ISERROR((VLOOKUP($A348,'SegEnds_NonXtal_BW#'!$A:$Z,26,FALSE)+VLOOKUP($A348,A:AL,37,FALSE)-50)),"-",(VLOOKUP($A348,'SegEnds_NonXtal_BW#'!$A:$Z,26,FALSE)+VLOOKUP($A348,A:AL,37,FALSE)-50))</f>
        <v>806</v>
      </c>
      <c r="AM348" s="28" t="str">
        <f>VLOOKUP(A348,Classification!A:B,2,FALSE)</f>
        <v>B2</v>
      </c>
      <c r="AN348" s="28" t="b">
        <f t="shared" si="243"/>
        <v>1</v>
      </c>
      <c r="AO348" s="3" t="str">
        <f>IF(ISERROR(MATCH(A348,'SegEnds_Xtal_Prot#'!B:B, 0)), "NoXtal", "Xtal")</f>
        <v>NoXtal</v>
      </c>
      <c r="AP348" s="3" t="str">
        <f t="shared" si="228"/>
        <v>-</v>
      </c>
      <c r="AQ348" s="3" t="str">
        <f t="shared" si="229"/>
        <v>-</v>
      </c>
      <c r="AR348" s="3" t="str">
        <f t="shared" si="230"/>
        <v>-</v>
      </c>
      <c r="AS348" s="3" t="str">
        <f t="shared" si="231"/>
        <v>-</v>
      </c>
      <c r="AT348" s="3" t="str">
        <f t="shared" si="232"/>
        <v>-</v>
      </c>
      <c r="AU348" s="3" t="str">
        <f t="shared" si="233"/>
        <v>-</v>
      </c>
      <c r="AV348" s="3">
        <f t="shared" si="234"/>
        <v>6</v>
      </c>
      <c r="AW348" s="3">
        <f t="shared" si="235"/>
        <v>3</v>
      </c>
      <c r="AX348" s="3">
        <f t="shared" si="236"/>
        <v>12</v>
      </c>
      <c r="AY348" s="3">
        <f t="shared" si="237"/>
        <v>4</v>
      </c>
      <c r="AZ348" s="3">
        <f t="shared" si="238"/>
        <v>1</v>
      </c>
      <c r="BA348" s="3">
        <f>IF(ISERROR(LEN(VLOOKUP(A348,Seqs!A:E,2,FALSE))-AL348),"-",LEN(VLOOKUP(A348,Seqs!A:E,2,FALSE))-AL348)</f>
        <v>29</v>
      </c>
      <c r="BB348" s="16">
        <f t="shared" si="239"/>
        <v>28</v>
      </c>
      <c r="BC348" s="9" t="str">
        <f t="shared" si="240"/>
        <v>-</v>
      </c>
      <c r="BD348" s="3">
        <f t="shared" si="241"/>
        <v>28</v>
      </c>
      <c r="BE348" s="3">
        <f t="shared" si="242"/>
        <v>52</v>
      </c>
      <c r="BF348" s="3">
        <f>AH348-AE348</f>
        <v>28</v>
      </c>
    </row>
    <row r="349" spans="1:58" s="3" customFormat="1" x14ac:dyDescent="0.2">
      <c r="A349" s="3" t="s">
        <v>415</v>
      </c>
      <c r="B349" s="3" t="str">
        <f>LOWER(VLOOKUP(A349,Xtal_Templ!A:B,2,FALSE))</f>
        <v>sctr_human</v>
      </c>
      <c r="C349" s="3">
        <f>VLOOKUP($A349,'SegEnds_NonXtal_BW#'!$A:$Z,3,FALSE)+D349-50</f>
        <v>2456</v>
      </c>
      <c r="D349" s="3">
        <v>2483</v>
      </c>
      <c r="E349" s="3">
        <f>IF(ISERROR(VLOOKUP($A349,'SegEnds_NonXtal_BW#'!$A:$Z,4,FALSE)+VLOOKUP($A349,A:AL,4,FALSE)-50),"-",(VLOOKUP($A349,'SegEnds_NonXtal_BW#'!$A:$Z,4,FALSE)+VLOOKUP($A349,A:AL,4,FALSE)-50))</f>
        <v>2493</v>
      </c>
      <c r="F349" s="3">
        <f>G349-2</f>
        <v>2494</v>
      </c>
      <c r="G349" s="3">
        <v>2496</v>
      </c>
      <c r="H349" s="3">
        <f t="shared" ref="H349:I351" si="244">G349+1</f>
        <v>2497</v>
      </c>
      <c r="I349" s="3">
        <f t="shared" si="244"/>
        <v>2498</v>
      </c>
      <c r="J349" s="3">
        <v>2511</v>
      </c>
      <c r="K349" s="3">
        <f>VLOOKUP($A349,'SegEnds_NonXtal_BW#'!$A:$Z,8,FALSE)+VLOOKUP($A349,A:AL,10,FALSE)-50</f>
        <v>2524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2529</v>
      </c>
      <c r="P349" s="3">
        <v>2556</v>
      </c>
      <c r="Q349" s="3">
        <f>VLOOKUP($A349,'SegEnds_NonXtal_BW#'!$A:$Z,12,FALSE)+VLOOKUP($A349,A:AL,16,FALSE)-50</f>
        <v>2562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2569</v>
      </c>
      <c r="V349" s="3">
        <v>2579</v>
      </c>
      <c r="W349" s="3">
        <f>IF(ISERROR(VLOOKUP($A349,'SegEnds_NonXtal_BW#'!$A:$Z,16,FALSE)+VLOOKUP($A349,A:AL,22,FALSE)-50),"-",(VLOOKUP($A349,'SegEnds_NonXtal_BW#'!$A:$Z,16,FALSE)+VLOOKUP($A349,A:AL,22,FALSE)-50))</f>
        <v>2597</v>
      </c>
      <c r="X349" s="3">
        <f>IF(ISERROR(VLOOKUP($A349,'SegEnds_NonXtal_BW#'!$A:$Z,17,FALSE)+VLOOKUP($A349,A:AL,25,FALSE)-50),"-",(VLOOKUP($A349,'SegEnds_NonXtal_BW#'!$A:$Z,17,FALSE)+VLOOKUP($A349,A:AL,25,FALSE)-50))</f>
        <v>2603</v>
      </c>
      <c r="Y349" s="3">
        <v>2603</v>
      </c>
      <c r="Z349" s="3">
        <f t="shared" si="227"/>
        <v>2605</v>
      </c>
      <c r="AA349" s="3">
        <f>IF(ISERROR(VLOOKUP($A349,'SegEnds_NonXtal_BW#'!$A:$Z,19,FALSE)+VLOOKUP($A349,A:AL,28,FALSE)-50),"-",(VLOOKUP($A349,'SegEnds_NonXtal_BW#'!$A:$Z,19,FALSE)+VLOOKUP($A349,A:AL,28,FALSE)-50))</f>
        <v>2608</v>
      </c>
      <c r="AB349" s="3">
        <v>2622</v>
      </c>
      <c r="AC349" s="3">
        <f>IF(ISERROR((VLOOKUP($A349,'SegEnds_NonXtal_BW#'!$A:$Z,20,FALSE)+VLOOKUP($A349,A:AL,28,FALSE)-50)),"-",(VLOOKUP($A349,'SegEnds_NonXtal_BW#'!$A:$Z,20,FALSE)+VLOOKUP($A349,A:AL,28,FALSE)-50))</f>
        <v>2641</v>
      </c>
      <c r="AD349" s="3">
        <f>IF(ISERROR(VLOOKUP($A349,'SegEnds_NonXtal_BW#'!$A:$Z,21,FALSE)+VLOOKUP($A349,A:AL,31,FALSE)-50),"-",(VLOOKUP($A349,'SegEnds_NonXtal_BW#'!$A:$Z,21,FALSE)+VLOOKUP($A349,A:AL,31,FALSE)-50))</f>
        <v>2649</v>
      </c>
      <c r="AE349" s="3">
        <v>2670</v>
      </c>
      <c r="AF349" s="3">
        <f>IF(ISERROR((VLOOKUP($A349,'SegEnds_NonXtal_BW#'!$A:$Z,22,FALSE)+VLOOKUP($A349,A:AL,31,FALSE)-50)),"-",(VLOOKUP($A349,'SegEnds_NonXtal_BW#'!$A:$Z,22,FALSE)+VLOOKUP($A349,A:AL,31,FALSE)-50))</f>
        <v>2674</v>
      </c>
      <c r="AG349" s="3">
        <f>IF(ISERROR(VLOOKUP($A349,'SegEnds_NonXtal_BW#'!$A:$Z,23,FALSE)+VLOOKUP($A349,A:AL,34,FALSE)-50),"-",(VLOOKUP($A349,'SegEnds_NonXtal_BW#'!$A:$Z,23,FALSE)+VLOOKUP($A349,A:AL,34,FALSE)-50))</f>
        <v>2679</v>
      </c>
      <c r="AH349" s="3">
        <v>2698</v>
      </c>
      <c r="AI349" s="3">
        <f>IF(ISERROR((VLOOKUP($A349,'SegEnds_NonXtal_BW#'!$A:$Z,24,FALSE)+VLOOKUP($A349,A:AL,34,FALSE)-50)),"-",(VLOOKUP($A349,'SegEnds_NonXtal_BW#'!$A:$Z,24,FALSE)+VLOOKUP($A349,A:AL,34,FALSE)-50))</f>
        <v>2704</v>
      </c>
      <c r="AJ349" s="3">
        <f>IF(ISERROR(VLOOKUP($A349,'SegEnds_NonXtal_BW#'!$A:$Z,25,FALSE)+VLOOKUP($A349,A:AL,37,FALSE)-50),"-",(VLOOKUP($A349,'SegEnds_NonXtal_BW#'!$A:$Z,25,FALSE)+VLOOKUP($A349,A:AL,37,FALSE)-50))</f>
        <v>2705</v>
      </c>
      <c r="AK349" s="3">
        <v>2708</v>
      </c>
      <c r="AL349" s="3">
        <f>IF(ISERROR((VLOOKUP($A349,'SegEnds_NonXtal_BW#'!$A:$Z,26,FALSE)+VLOOKUP($A349,A:AL,37,FALSE)-50)),"-",(VLOOKUP($A349,'SegEnds_NonXtal_BW#'!$A:$Z,26,FALSE)+VLOOKUP($A349,A:AL,37,FALSE)-50))</f>
        <v>2721</v>
      </c>
      <c r="AM349" s="28" t="str">
        <f>VLOOKUP(A349,Classification!A:B,2,FALSE)</f>
        <v>B2</v>
      </c>
      <c r="AN349" s="28" t="b">
        <f t="shared" si="243"/>
        <v>1</v>
      </c>
      <c r="AO349" s="3" t="str">
        <f>IF(ISERROR(MATCH(A349,'SegEnds_Xtal_Prot#'!B:B, 0)), "NoXtal", "Xtal")</f>
        <v>NoXtal</v>
      </c>
      <c r="AP349" s="3">
        <f t="shared" si="228"/>
        <v>1</v>
      </c>
      <c r="AQ349" s="3">
        <f t="shared" si="229"/>
        <v>1</v>
      </c>
      <c r="AR349" s="3" t="str">
        <f t="shared" si="230"/>
        <v>-</v>
      </c>
      <c r="AS349" s="3" t="str">
        <f t="shared" si="231"/>
        <v>-</v>
      </c>
      <c r="AT349" s="3" t="str">
        <f t="shared" si="232"/>
        <v>-</v>
      </c>
      <c r="AU349" s="3" t="str">
        <f t="shared" si="233"/>
        <v>-</v>
      </c>
      <c r="AV349" s="3">
        <f t="shared" si="234"/>
        <v>6</v>
      </c>
      <c r="AW349" s="3">
        <f t="shared" si="235"/>
        <v>3</v>
      </c>
      <c r="AX349" s="3">
        <f t="shared" si="236"/>
        <v>8</v>
      </c>
      <c r="AY349" s="3">
        <f t="shared" si="237"/>
        <v>5</v>
      </c>
      <c r="AZ349" s="3">
        <f t="shared" si="238"/>
        <v>1</v>
      </c>
      <c r="BA349" s="3">
        <f>IF(ISERROR(LEN(VLOOKUP(A349,Seqs!A:E,2,FALSE))-AL349),"-",LEN(VLOOKUP(A349,Seqs!A:E,2,FALSE))-AL349)</f>
        <v>293</v>
      </c>
      <c r="BB349" s="16">
        <f t="shared" si="239"/>
        <v>28</v>
      </c>
      <c r="BC349" s="9" t="str">
        <f t="shared" si="240"/>
        <v>-</v>
      </c>
      <c r="BD349" s="3">
        <f t="shared" si="241"/>
        <v>28</v>
      </c>
      <c r="BE349" s="3">
        <f t="shared" si="242"/>
        <v>48</v>
      </c>
    </row>
    <row r="350" spans="1:58" s="3" customFormat="1" x14ac:dyDescent="0.2">
      <c r="A350" s="3" t="s">
        <v>416</v>
      </c>
      <c r="B350" s="3" t="str">
        <f>LOWER(VLOOKUP(A350,Xtal_Templ!A:B,2,FALSE))</f>
        <v>calrl_human</v>
      </c>
      <c r="C350" s="3">
        <f>VLOOKUP($A350,'SegEnds_NonXtal_BW#'!$A:$Z,3,FALSE)+D350-50</f>
        <v>2364</v>
      </c>
      <c r="D350" s="3">
        <v>2391</v>
      </c>
      <c r="E350" s="3">
        <f>IF(ISERROR(VLOOKUP($A350,'SegEnds_NonXtal_BW#'!$A:$Z,4,FALSE)+VLOOKUP($A350,A:AL,4,FALSE)-50),"-",(VLOOKUP($A350,'SegEnds_NonXtal_BW#'!$A:$Z,4,FALSE)+VLOOKUP($A350,A:AL,4,FALSE)-50))</f>
        <v>2401</v>
      </c>
      <c r="F350" s="3">
        <f>G350-2</f>
        <v>2402</v>
      </c>
      <c r="G350" s="3">
        <v>2404</v>
      </c>
      <c r="H350" s="3">
        <f t="shared" si="244"/>
        <v>2405</v>
      </c>
      <c r="I350" s="3">
        <f t="shared" si="244"/>
        <v>2406</v>
      </c>
      <c r="J350" s="3">
        <v>2419</v>
      </c>
      <c r="K350" s="3">
        <f>VLOOKUP($A350,'SegEnds_NonXtal_BW#'!$A:$Z,8,FALSE)+VLOOKUP($A350,A:AL,10,FALSE)-50</f>
        <v>2432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2437</v>
      </c>
      <c r="P350" s="3">
        <v>2464</v>
      </c>
      <c r="Q350" s="3">
        <f>VLOOKUP($A350,'SegEnds_NonXtal_BW#'!$A:$Z,12,FALSE)+VLOOKUP($A350,A:AL,16,FALSE)-50</f>
        <v>2470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2478</v>
      </c>
      <c r="V350" s="3">
        <v>2487</v>
      </c>
      <c r="W350" s="3">
        <f>IF(ISERROR(VLOOKUP($A350,'SegEnds_NonXtal_BW#'!$A:$Z,16,FALSE)+VLOOKUP($A350,A:AL,22,FALSE)-50),"-",(VLOOKUP($A350,'SegEnds_NonXtal_BW#'!$A:$Z,16,FALSE)+VLOOKUP($A350,A:AL,22,FALSE)-50))</f>
        <v>2504</v>
      </c>
      <c r="X350" s="3">
        <f>IF(ISERROR(VLOOKUP($A350,'SegEnds_NonXtal_BW#'!$A:$Z,17,FALSE)+VLOOKUP($A350,A:AL,25,FALSE)-50),"-",(VLOOKUP($A350,'SegEnds_NonXtal_BW#'!$A:$Z,17,FALSE)+VLOOKUP($A350,A:AL,25,FALSE)-50))</f>
        <v>2511</v>
      </c>
      <c r="Y350" s="3">
        <v>2511</v>
      </c>
      <c r="Z350" s="3">
        <f t="shared" si="227"/>
        <v>2513</v>
      </c>
      <c r="AA350" s="3">
        <f>IF(ISERROR(VLOOKUP($A350,'SegEnds_NonXtal_BW#'!$A:$Z,19,FALSE)+VLOOKUP($A350,A:AL,28,FALSE)-50),"-",(VLOOKUP($A350,'SegEnds_NonXtal_BW#'!$A:$Z,19,FALSE)+VLOOKUP($A350,A:AL,28,FALSE)-50))</f>
        <v>2516</v>
      </c>
      <c r="AB350" s="3">
        <v>2530</v>
      </c>
      <c r="AC350" s="3">
        <f>IF(ISERROR((VLOOKUP($A350,'SegEnds_NonXtal_BW#'!$A:$Z,20,FALSE)+VLOOKUP($A350,A:AL,28,FALSE)-50)),"-",(VLOOKUP($A350,'SegEnds_NonXtal_BW#'!$A:$Z,20,FALSE)+VLOOKUP($A350,A:AL,28,FALSE)-50))</f>
        <v>2549</v>
      </c>
      <c r="AD350" s="3">
        <f>IF(ISERROR(VLOOKUP($A350,'SegEnds_NonXtal_BW#'!$A:$Z,21,FALSE)+VLOOKUP($A350,A:AL,31,FALSE)-50),"-",(VLOOKUP($A350,'SegEnds_NonXtal_BW#'!$A:$Z,21,FALSE)+VLOOKUP($A350,A:AL,31,FALSE)-50))</f>
        <v>2557</v>
      </c>
      <c r="AE350" s="3">
        <v>2578</v>
      </c>
      <c r="AF350" s="3">
        <f>IF(ISERROR((VLOOKUP($A350,'SegEnds_NonXtal_BW#'!$A:$Z,22,FALSE)+VLOOKUP($A350,A:AL,31,FALSE)-50)),"-",(VLOOKUP($A350,'SegEnds_NonXtal_BW#'!$A:$Z,22,FALSE)+VLOOKUP($A350,A:AL,31,FALSE)-50))</f>
        <v>2581</v>
      </c>
      <c r="AG350" s="3">
        <f>IF(ISERROR(VLOOKUP($A350,'SegEnds_NonXtal_BW#'!$A:$Z,23,FALSE)+VLOOKUP($A350,A:AL,34,FALSE)-50),"-",(VLOOKUP($A350,'SegEnds_NonXtal_BW#'!$A:$Z,23,FALSE)+VLOOKUP($A350,A:AL,34,FALSE)-50))</f>
        <v>2587</v>
      </c>
      <c r="AH350" s="3">
        <v>2606</v>
      </c>
      <c r="AI350" s="3">
        <f>IF(ISERROR((VLOOKUP($A350,'SegEnds_NonXtal_BW#'!$A:$Z,24,FALSE)+VLOOKUP($A350,A:AL,34,FALSE)-50)),"-",(VLOOKUP($A350,'SegEnds_NonXtal_BW#'!$A:$Z,24,FALSE)+VLOOKUP($A350,A:AL,34,FALSE)-50))</f>
        <v>2612</v>
      </c>
      <c r="AJ350" s="3">
        <f>IF(ISERROR(VLOOKUP($A350,'SegEnds_NonXtal_BW#'!$A:$Z,25,FALSE)+VLOOKUP($A350,A:AL,37,FALSE)-50),"-",(VLOOKUP($A350,'SegEnds_NonXtal_BW#'!$A:$Z,25,FALSE)+VLOOKUP($A350,A:AL,37,FALSE)-50))</f>
        <v>2613</v>
      </c>
      <c r="AK350" s="3">
        <v>2616</v>
      </c>
      <c r="AL350" s="3">
        <f>IF(ISERROR((VLOOKUP($A350,'SegEnds_NonXtal_BW#'!$A:$Z,26,FALSE)+VLOOKUP($A350,A:AL,37,FALSE)-50)),"-",(VLOOKUP($A350,'SegEnds_NonXtal_BW#'!$A:$Z,26,FALSE)+VLOOKUP($A350,A:AL,37,FALSE)-50))</f>
        <v>2629</v>
      </c>
      <c r="AM350" s="28" t="str">
        <f>VLOOKUP(A350,Classification!A:B,2,FALSE)</f>
        <v>B2</v>
      </c>
      <c r="AN350" s="28" t="b">
        <f t="shared" si="243"/>
        <v>1</v>
      </c>
      <c r="AO350" s="3" t="str">
        <f>IF(ISERROR(MATCH(A350,'SegEnds_Xtal_Prot#'!B:B, 0)), "NoXtal", "Xtal")</f>
        <v>NoXtal</v>
      </c>
      <c r="AP350" s="3">
        <f t="shared" si="228"/>
        <v>1</v>
      </c>
      <c r="AQ350" s="3">
        <f t="shared" si="229"/>
        <v>1</v>
      </c>
      <c r="AR350" s="3" t="str">
        <f t="shared" si="230"/>
        <v>-</v>
      </c>
      <c r="AS350" s="3" t="str">
        <f t="shared" si="231"/>
        <v>-</v>
      </c>
      <c r="AT350" s="3" t="str">
        <f t="shared" si="232"/>
        <v>-</v>
      </c>
      <c r="AU350" s="3" t="str">
        <f t="shared" si="233"/>
        <v>-</v>
      </c>
      <c r="AV350" s="3">
        <f t="shared" si="234"/>
        <v>7</v>
      </c>
      <c r="AW350" s="3">
        <f t="shared" si="235"/>
        <v>3</v>
      </c>
      <c r="AX350" s="3">
        <f t="shared" si="236"/>
        <v>8</v>
      </c>
      <c r="AY350" s="3">
        <f t="shared" si="237"/>
        <v>6</v>
      </c>
      <c r="AZ350" s="3">
        <f t="shared" si="238"/>
        <v>1</v>
      </c>
      <c r="BA350" s="3">
        <f>IF(ISERROR(LEN(VLOOKUP(A350,Seqs!A:E,2,FALSE))-AL350),"-",LEN(VLOOKUP(A350,Seqs!A:E,2,FALSE))-AL350)</f>
        <v>294</v>
      </c>
      <c r="BB350" s="16">
        <f t="shared" si="239"/>
        <v>28</v>
      </c>
      <c r="BC350" s="9" t="str">
        <f t="shared" si="240"/>
        <v>-</v>
      </c>
      <c r="BD350" s="3">
        <f t="shared" si="241"/>
        <v>28</v>
      </c>
      <c r="BE350" s="3">
        <f t="shared" si="242"/>
        <v>48</v>
      </c>
    </row>
    <row r="351" spans="1:58" s="3" customFormat="1" x14ac:dyDescent="0.2">
      <c r="A351" s="3" t="s">
        <v>417</v>
      </c>
      <c r="B351" s="3" t="str">
        <f>LOWER(VLOOKUP(A351,Xtal_Templ!A:B,2,FALSE))</f>
        <v>crfr2_human</v>
      </c>
      <c r="C351" s="3">
        <f>VLOOKUP($A351,'SegEnds_NonXtal_BW#'!$A:$Z,3,FALSE)+D351-50</f>
        <v>2527</v>
      </c>
      <c r="D351" s="3">
        <v>2554</v>
      </c>
      <c r="E351" s="3">
        <f>IF(ISERROR(VLOOKUP($A351,'SegEnds_NonXtal_BW#'!$A:$Z,4,FALSE)+VLOOKUP($A351,A:AL,4,FALSE)-50),"-",(VLOOKUP($A351,'SegEnds_NonXtal_BW#'!$A:$Z,4,FALSE)+VLOOKUP($A351,A:AL,4,FALSE)-50))</f>
        <v>2564</v>
      </c>
      <c r="F351" s="3">
        <f>G351-2</f>
        <v>2565</v>
      </c>
      <c r="G351" s="3">
        <v>2567</v>
      </c>
      <c r="H351" s="3">
        <f t="shared" si="244"/>
        <v>2568</v>
      </c>
      <c r="I351" s="3">
        <f t="shared" si="244"/>
        <v>2569</v>
      </c>
      <c r="J351" s="3">
        <v>2582</v>
      </c>
      <c r="K351" s="3">
        <f>VLOOKUP($A351,'SegEnds_NonXtal_BW#'!$A:$Z,8,FALSE)+VLOOKUP($A351,A:AL,10,FALSE)-50</f>
        <v>2595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2600</v>
      </c>
      <c r="P351" s="3">
        <v>2627</v>
      </c>
      <c r="Q351" s="3">
        <f>VLOOKUP($A351,'SegEnds_NonXtal_BW#'!$A:$Z,12,FALSE)+VLOOKUP($A351,A:AL,16,FALSE)-50</f>
        <v>2633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2641</v>
      </c>
      <c r="V351" s="3">
        <v>2650</v>
      </c>
      <c r="W351" s="3">
        <f>IF(ISERROR(VLOOKUP($A351,'SegEnds_NonXtal_BW#'!$A:$Z,16,FALSE)+VLOOKUP($A351,A:AL,22,FALSE)-50),"-",(VLOOKUP($A351,'SegEnds_NonXtal_BW#'!$A:$Z,16,FALSE)+VLOOKUP($A351,A:AL,22,FALSE)-50))</f>
        <v>2668</v>
      </c>
      <c r="X351" s="3">
        <f>IF(ISERROR(VLOOKUP($A351,'SegEnds_NonXtal_BW#'!$A:$Z,17,FALSE)+VLOOKUP($A351,A:AL,25,FALSE)-50),"-",(VLOOKUP($A351,'SegEnds_NonXtal_BW#'!$A:$Z,17,FALSE)+VLOOKUP($A351,A:AL,25,FALSE)-50))</f>
        <v>2674</v>
      </c>
      <c r="Y351" s="3">
        <v>2674</v>
      </c>
      <c r="Z351" s="3">
        <f t="shared" si="227"/>
        <v>2676</v>
      </c>
      <c r="AA351" s="3">
        <f>IF(ISERROR(VLOOKUP($A351,'SegEnds_NonXtal_BW#'!$A:$Z,19,FALSE)+VLOOKUP($A351,A:AL,28,FALSE)-50),"-",(VLOOKUP($A351,'SegEnds_NonXtal_BW#'!$A:$Z,19,FALSE)+VLOOKUP($A351,A:AL,28,FALSE)-50))</f>
        <v>2679</v>
      </c>
      <c r="AB351" s="3">
        <v>2693</v>
      </c>
      <c r="AC351" s="3">
        <f>IF(ISERROR((VLOOKUP($A351,'SegEnds_NonXtal_BW#'!$A:$Z,20,FALSE)+VLOOKUP($A351,A:AL,28,FALSE)-50)),"-",(VLOOKUP($A351,'SegEnds_NonXtal_BW#'!$A:$Z,20,FALSE)+VLOOKUP($A351,A:AL,28,FALSE)-50))</f>
        <v>2712</v>
      </c>
      <c r="AD351" s="3">
        <f>IF(ISERROR(VLOOKUP($A351,'SegEnds_NonXtal_BW#'!$A:$Z,21,FALSE)+VLOOKUP($A351,A:AL,31,FALSE)-50),"-",(VLOOKUP($A351,'SegEnds_NonXtal_BW#'!$A:$Z,21,FALSE)+VLOOKUP($A351,A:AL,31,FALSE)-50))</f>
        <v>2719</v>
      </c>
      <c r="AE351" s="3">
        <v>2740</v>
      </c>
      <c r="AF351" s="3">
        <f>IF(ISERROR((VLOOKUP($A351,'SegEnds_NonXtal_BW#'!$A:$Z,22,FALSE)+VLOOKUP($A351,A:AL,31,FALSE)-50)),"-",(VLOOKUP($A351,'SegEnds_NonXtal_BW#'!$A:$Z,22,FALSE)+VLOOKUP($A351,A:AL,31,FALSE)-50))</f>
        <v>2743</v>
      </c>
      <c r="AG351" s="3">
        <f>IF(ISERROR(VLOOKUP($A351,'SegEnds_NonXtal_BW#'!$A:$Z,23,FALSE)+VLOOKUP($A351,A:AL,34,FALSE)-50),"-",(VLOOKUP($A351,'SegEnds_NonXtal_BW#'!$A:$Z,23,FALSE)+VLOOKUP($A351,A:AL,34,FALSE)-50))</f>
        <v>2749</v>
      </c>
      <c r="AH351" s="3">
        <v>2768</v>
      </c>
      <c r="AI351" s="3">
        <f>IF(ISERROR((VLOOKUP($A351,'SegEnds_NonXtal_BW#'!$A:$Z,24,FALSE)+VLOOKUP($A351,A:AL,34,FALSE)-50)),"-",(VLOOKUP($A351,'SegEnds_NonXtal_BW#'!$A:$Z,24,FALSE)+VLOOKUP($A351,A:AL,34,FALSE)-50))</f>
        <v>2774</v>
      </c>
      <c r="AJ351" s="3">
        <f>IF(ISERROR(VLOOKUP($A351,'SegEnds_NonXtal_BW#'!$A:$Z,25,FALSE)+VLOOKUP($A351,A:AL,37,FALSE)-50),"-",(VLOOKUP($A351,'SegEnds_NonXtal_BW#'!$A:$Z,25,FALSE)+VLOOKUP($A351,A:AL,37,FALSE)-50))</f>
        <v>2775</v>
      </c>
      <c r="AK351" s="3">
        <v>2778</v>
      </c>
      <c r="AL351" s="3">
        <f>IF(ISERROR((VLOOKUP($A351,'SegEnds_NonXtal_BW#'!$A:$Z,26,FALSE)+VLOOKUP($A351,A:AL,37,FALSE)-50)),"-",(VLOOKUP($A351,'SegEnds_NonXtal_BW#'!$A:$Z,26,FALSE)+VLOOKUP($A351,A:AL,37,FALSE)-50))</f>
        <v>2791</v>
      </c>
      <c r="AM351" s="28" t="str">
        <f>VLOOKUP(A351,Classification!A:B,2,FALSE)</f>
        <v>B2</v>
      </c>
      <c r="AN351" s="28" t="b">
        <f t="shared" si="243"/>
        <v>1</v>
      </c>
      <c r="AO351" s="3" t="str">
        <f>IF(ISERROR(MATCH(A351,'SegEnds_Xtal_Prot#'!B:B, 0)), "NoXtal", "Xtal")</f>
        <v>NoXtal</v>
      </c>
      <c r="AP351" s="3">
        <f t="shared" si="228"/>
        <v>1</v>
      </c>
      <c r="AQ351" s="3">
        <f t="shared" si="229"/>
        <v>1</v>
      </c>
      <c r="AR351" s="3" t="str">
        <f t="shared" si="230"/>
        <v>-</v>
      </c>
      <c r="AS351" s="3" t="str">
        <f t="shared" si="231"/>
        <v>-</v>
      </c>
      <c r="AT351" s="3" t="str">
        <f t="shared" si="232"/>
        <v>-</v>
      </c>
      <c r="AU351" s="3" t="str">
        <f t="shared" si="233"/>
        <v>-</v>
      </c>
      <c r="AV351" s="3">
        <f t="shared" si="234"/>
        <v>6</v>
      </c>
      <c r="AW351" s="3">
        <f t="shared" si="235"/>
        <v>3</v>
      </c>
      <c r="AX351" s="3">
        <f t="shared" si="236"/>
        <v>7</v>
      </c>
      <c r="AY351" s="3">
        <f t="shared" si="237"/>
        <v>6</v>
      </c>
      <c r="AZ351" s="3">
        <f t="shared" si="238"/>
        <v>1</v>
      </c>
      <c r="BA351" s="3">
        <f>IF(ISERROR(LEN(VLOOKUP(A351,Seqs!A:E,2,FALSE))-AL351),"-",LEN(VLOOKUP(A351,Seqs!A:E,2,FALSE))-AL351)</f>
        <v>521</v>
      </c>
      <c r="BB351" s="16">
        <f t="shared" si="239"/>
        <v>28</v>
      </c>
      <c r="BC351" s="9" t="str">
        <f t="shared" si="240"/>
        <v>-</v>
      </c>
      <c r="BD351" s="3">
        <f t="shared" si="241"/>
        <v>28</v>
      </c>
      <c r="BE351" s="3">
        <f t="shared" si="242"/>
        <v>47</v>
      </c>
    </row>
    <row r="352" spans="1:58" s="3" customFormat="1" x14ac:dyDescent="0.2">
      <c r="A352" s="3" t="s">
        <v>1693</v>
      </c>
      <c r="B352" s="3" t="str">
        <f>LOWER(VLOOKUP(A352,Xtal_Templ!A:B,2,FALSE))</f>
        <v>crfr1_human</v>
      </c>
      <c r="C352" s="3">
        <f>VLOOKUP($A352,'SegEnds_NonXtal_BW#'!$A:$Z,3,FALSE)+D352-50</f>
        <v>5895</v>
      </c>
      <c r="D352" s="3">
        <v>5922</v>
      </c>
      <c r="E352" s="3">
        <f>IF(ISERROR(VLOOKUP($A352,'SegEnds_NonXtal_BW#'!$A:$Z,4,FALSE)+VLOOKUP($A352,A:AL,4,FALSE)-50),"-",(VLOOKUP($A352,'SegEnds_NonXtal_BW#'!$A:$Z,4,FALSE)+VLOOKUP($A352,A:AL,4,FALSE)-50))</f>
        <v>5932</v>
      </c>
      <c r="F352" s="3" t="s">
        <v>23</v>
      </c>
      <c r="G352" s="3" t="s">
        <v>23</v>
      </c>
      <c r="H352" s="3" t="s">
        <v>23</v>
      </c>
      <c r="I352" s="3">
        <f>VLOOKUP($A352,'SegEnds_NonXtal_BW#'!$A:$Z,7,FALSE)+J352-50</f>
        <v>5935</v>
      </c>
      <c r="J352" s="3">
        <v>5948</v>
      </c>
      <c r="K352" s="3">
        <f>VLOOKUP($A352,'SegEnds_NonXtal_BW#'!$A:$Z,8,FALSE)+VLOOKUP($A352,A:AL,10,FALSE)-50</f>
        <v>5961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5968</v>
      </c>
      <c r="P352" s="3">
        <v>5995</v>
      </c>
      <c r="Q352" s="3">
        <f>VLOOKUP($A352,'SegEnds_NonXtal_BW#'!$A:$Z,12,FALSE)+VLOOKUP($A352,A:AL,16,FALSE)-50</f>
        <v>6001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6008</v>
      </c>
      <c r="V352" s="3">
        <v>6018</v>
      </c>
      <c r="W352" s="3">
        <f>IF(ISERROR(VLOOKUP($A352,'SegEnds_NonXtal_BW#'!$A:$Z,16,FALSE)+VLOOKUP($A352,A:AL,22,FALSE)-50),"-",(VLOOKUP($A352,'SegEnds_NonXtal_BW#'!$A:$Z,16,FALSE)+VLOOKUP($A352,A:AL,22,FALSE)-50))</f>
        <v>6036</v>
      </c>
      <c r="X352" s="3">
        <f>IF(ISERROR(VLOOKUP($A352,'SegEnds_NonXtal_BW#'!$A:$Z,17,FALSE)+VLOOKUP($A352,A:AL,25,FALSE)-50),"-",(VLOOKUP($A352,'SegEnds_NonXtal_BW#'!$A:$Z,17,FALSE)+VLOOKUP($A352,A:AL,25,FALSE)-50))</f>
        <v>6052</v>
      </c>
      <c r="Y352" s="3">
        <v>6052</v>
      </c>
      <c r="Z352" s="3">
        <f t="shared" si="227"/>
        <v>6054</v>
      </c>
      <c r="AA352" s="3">
        <f>IF(ISERROR(VLOOKUP($A352,'SegEnds_NonXtal_BW#'!$A:$Z,19,FALSE)+VLOOKUP($A352,A:AL,28,FALSE)-50),"-",(VLOOKUP($A352,'SegEnds_NonXtal_BW#'!$A:$Z,19,FALSE)+VLOOKUP($A352,A:AL,28,FALSE)-50))</f>
        <v>6058</v>
      </c>
      <c r="AB352" s="3">
        <v>6072</v>
      </c>
      <c r="AC352" s="3">
        <f>IF(ISERROR((VLOOKUP($A352,'SegEnds_NonXtal_BW#'!$A:$Z,20,FALSE)+VLOOKUP($A352,A:AL,28,FALSE)-50)),"-",(VLOOKUP($A352,'SegEnds_NonXtal_BW#'!$A:$Z,20,FALSE)+VLOOKUP($A352,A:AL,28,FALSE)-50))</f>
        <v>6091</v>
      </c>
      <c r="AD352" s="3">
        <f>IF(ISERROR(VLOOKUP($A352,'SegEnds_NonXtal_BW#'!$A:$Z,21,FALSE)+VLOOKUP($A352,A:AL,31,FALSE)-50),"-",(VLOOKUP($A352,'SegEnds_NonXtal_BW#'!$A:$Z,21,FALSE)+VLOOKUP($A352,A:AL,31,FALSE)-50))</f>
        <v>6100</v>
      </c>
      <c r="AE352" s="3">
        <v>6121</v>
      </c>
      <c r="AF352" s="3">
        <f>IF(ISERROR((VLOOKUP($A352,'SegEnds_NonXtal_BW#'!$A:$Z,22,FALSE)+VLOOKUP($A352,A:AL,31,FALSE)-50)),"-",(VLOOKUP($A352,'SegEnds_NonXtal_BW#'!$A:$Z,22,FALSE)+VLOOKUP($A352,A:AL,31,FALSE)-50))</f>
        <v>6124</v>
      </c>
      <c r="AG352" s="3">
        <f>IF(ISERROR(VLOOKUP($A352,'SegEnds_NonXtal_BW#'!$A:$Z,23,FALSE)+VLOOKUP($A352,A:AL,34,FALSE)-50),"-",(VLOOKUP($A352,'SegEnds_NonXtal_BW#'!$A:$Z,23,FALSE)+VLOOKUP($A352,A:AL,34,FALSE)-50))</f>
        <v>6130</v>
      </c>
      <c r="AH352" s="3">
        <v>6149</v>
      </c>
      <c r="AI352" s="3">
        <f>IF(ISERROR((VLOOKUP($A352,'SegEnds_NonXtal_BW#'!$A:$Z,24,FALSE)+VLOOKUP($A352,A:AL,34,FALSE)-50)),"-",(VLOOKUP($A352,'SegEnds_NonXtal_BW#'!$A:$Z,24,FALSE)+VLOOKUP($A352,A:AL,34,FALSE)-50))</f>
        <v>6155</v>
      </c>
      <c r="AJ352" s="3">
        <f>IF(ISERROR(VLOOKUP($A352,'SegEnds_NonXtal_BW#'!$A:$Z,25,FALSE)+VLOOKUP($A352,A:AL,37,FALSE)-50),"-",(VLOOKUP($A352,'SegEnds_NonXtal_BW#'!$A:$Z,25,FALSE)+VLOOKUP($A352,A:AL,37,FALSE)-50))</f>
        <v>6156</v>
      </c>
      <c r="AK352" s="3">
        <v>6159</v>
      </c>
      <c r="AL352" s="3">
        <f>IF(ISERROR((VLOOKUP($A352,'SegEnds_NonXtal_BW#'!$A:$Z,26,FALSE)+VLOOKUP($A352,A:AL,37,FALSE)-50)),"-",(VLOOKUP($A352,'SegEnds_NonXtal_BW#'!$A:$Z,26,FALSE)+VLOOKUP($A352,A:AL,37,FALSE)-50))</f>
        <v>6172</v>
      </c>
      <c r="AM352" s="28" t="str">
        <f>VLOOKUP(A352,Classification!A:B,2,FALSE)</f>
        <v>B2</v>
      </c>
      <c r="AN352" s="28" t="b">
        <f t="shared" si="243"/>
        <v>1</v>
      </c>
      <c r="AO352" s="3" t="str">
        <f>IF(ISERROR(MATCH(A352,'SegEnds_Xtal_Prot#'!B:B, 0)), "NoXtal", "Xtal")</f>
        <v>NoXtal</v>
      </c>
      <c r="AP352" s="3" t="str">
        <f t="shared" si="228"/>
        <v>-</v>
      </c>
      <c r="AQ352" s="3" t="str">
        <f t="shared" si="229"/>
        <v>-</v>
      </c>
      <c r="AR352" s="3" t="str">
        <f t="shared" si="230"/>
        <v>-</v>
      </c>
      <c r="AS352" s="3" t="str">
        <f t="shared" si="231"/>
        <v>-</v>
      </c>
      <c r="AT352" s="3" t="str">
        <f t="shared" si="232"/>
        <v>-</v>
      </c>
      <c r="AU352" s="3" t="str">
        <f t="shared" si="233"/>
        <v>-</v>
      </c>
      <c r="AV352" s="3">
        <f t="shared" si="234"/>
        <v>16</v>
      </c>
      <c r="AW352" s="3">
        <f t="shared" si="235"/>
        <v>4</v>
      </c>
      <c r="AX352" s="3">
        <f t="shared" si="236"/>
        <v>9</v>
      </c>
      <c r="AY352" s="3">
        <f t="shared" si="237"/>
        <v>6</v>
      </c>
      <c r="AZ352" s="3">
        <f t="shared" si="238"/>
        <v>1</v>
      </c>
      <c r="BA352" s="3">
        <f>IF(ISERROR(LEN(VLOOKUP(A352,Seqs!A:E,2,FALSE))-AL352),"-",LEN(VLOOKUP(A352,Seqs!A:E,2,FALSE))-AL352)</f>
        <v>134</v>
      </c>
      <c r="BB352" s="16">
        <f t="shared" si="239"/>
        <v>26</v>
      </c>
      <c r="BC352" s="9" t="str">
        <f t="shared" si="240"/>
        <v>-</v>
      </c>
      <c r="BD352" s="3">
        <f t="shared" si="241"/>
        <v>26</v>
      </c>
      <c r="BE352" s="3">
        <f t="shared" si="242"/>
        <v>49</v>
      </c>
    </row>
    <row r="353" spans="1:58" s="3" customFormat="1" x14ac:dyDescent="0.2">
      <c r="A353" s="3" t="s">
        <v>105</v>
      </c>
      <c r="B353" s="3" t="str">
        <f>LOWER(VLOOKUP(A353,Xtal_Templ!A:B,2,FALSE))</f>
        <v>grm5_human</v>
      </c>
      <c r="C353" s="3">
        <f>VLOOKUP($A353,'SegEnds_NonXtal_BW#'!$A:$Z,3,FALSE)+D353-50</f>
        <v>611</v>
      </c>
      <c r="D353" s="3">
        <v>627</v>
      </c>
      <c r="E353" s="3">
        <f>IF(ISERROR(VLOOKUP($A353,'SegEnds_NonXtal_BW#'!$A:$Z,4,FALSE)+VLOOKUP($A353,A:AL,4,FALSE)-50),"-",(VLOOKUP($A353,'SegEnds_NonXtal_BW#'!$A:$Z,4,FALSE)+VLOOKUP($A353,A:AL,4,FALSE)-50))</f>
        <v>637</v>
      </c>
      <c r="F353" s="3">
        <f t="shared" ref="F353:F385" si="245">G353-3</f>
        <v>640</v>
      </c>
      <c r="G353" s="3">
        <v>643</v>
      </c>
      <c r="H353" s="3">
        <f t="shared" ref="H353:H374" si="246">G353+3</f>
        <v>646</v>
      </c>
      <c r="I353" s="3">
        <f t="shared" ref="I353:I385" si="247">H353+1</f>
        <v>647</v>
      </c>
      <c r="J353" s="3">
        <v>658</v>
      </c>
      <c r="K353" s="3">
        <f>VLOOKUP($A353,'SegEnds_NonXtal_BW#'!$A:$Z,8,FALSE)+VLOOKUP($A353,A:AL,10,FALSE)-50</f>
        <v>669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673</v>
      </c>
      <c r="P353" s="3">
        <v>702</v>
      </c>
      <c r="Q353" s="3">
        <f>VLOOKUP($A353,'SegEnds_NonXtal_BW#'!$A:$Z,12,FALSE)+VLOOKUP($A353,A:AL,16,FALSE)-50</f>
        <v>706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720</v>
      </c>
      <c r="V353" s="3">
        <v>732</v>
      </c>
      <c r="W353" s="3">
        <f>IF(ISERROR(VLOOKUP($A353,'SegEnds_NonXtal_BW#'!$A:$Z,16,FALSE)+VLOOKUP($A353,A:AL,22,FALSE)-50),"-",(VLOOKUP($A353,'SegEnds_NonXtal_BW#'!$A:$Z,16,FALSE)+VLOOKUP($A353,A:AL,22,FALSE)-50))</f>
        <v>746</v>
      </c>
      <c r="X353" s="3">
        <f>IF(ISERROR(VLOOKUP($A353,'SegEnds_NonXtal_BW#'!$A:$Z,17,FALSE)+VLOOKUP($A353,A:AL,25,FALSE)-50),"-",(VLOOKUP($A353,'SegEnds_NonXtal_BW#'!$A:$Z,17,FALSE)+VLOOKUP($A353,A:AL,25,FALSE)-50))</f>
        <v>765</v>
      </c>
      <c r="Y353" s="3">
        <v>765</v>
      </c>
      <c r="Z353" s="3">
        <f t="shared" si="227"/>
        <v>767</v>
      </c>
      <c r="AA353" s="3">
        <f>IF(ISERROR(VLOOKUP($A353,'SegEnds_NonXtal_BW#'!$A:$Z,19,FALSE)+VLOOKUP($A353,A:AL,28,FALSE)-50),"-",(VLOOKUP($A353,'SegEnds_NonXtal_BW#'!$A:$Z,19,FALSE)+VLOOKUP($A353,A:AL,28,FALSE)-50))</f>
        <v>769</v>
      </c>
      <c r="AB353" s="3">
        <v>783</v>
      </c>
      <c r="AC353" s="3">
        <f>IF(ISERROR((VLOOKUP($A353,'SegEnds_NonXtal_BW#'!$A:$Z,20,FALSE)+VLOOKUP($A353,A:AL,28,FALSE)-50)),"-",(VLOOKUP($A353,'SegEnds_NonXtal_BW#'!$A:$Z,20,FALSE)+VLOOKUP($A353,A:AL,28,FALSE)-50))</f>
        <v>794</v>
      </c>
      <c r="AD353" s="3">
        <f>IF(ISERROR(VLOOKUP($A353,'SegEnds_NonXtal_BW#'!$A:$Z,21,FALSE)+VLOOKUP($A353,A:AL,31,FALSE)-50),"-",(VLOOKUP($A353,'SegEnds_NonXtal_BW#'!$A:$Z,21,FALSE)+VLOOKUP($A353,A:AL,31,FALSE)-50))</f>
        <v>803</v>
      </c>
      <c r="AE353" s="3">
        <v>820</v>
      </c>
      <c r="AF353" s="3">
        <f>IF(ISERROR((VLOOKUP($A353,'SegEnds_NonXtal_BW#'!$A:$Z,22,FALSE)+VLOOKUP($A353,A:AL,31,FALSE)-50)),"-",(VLOOKUP($A353,'SegEnds_NonXtal_BW#'!$A:$Z,22,FALSE)+VLOOKUP($A353,A:AL,31,FALSE)-50))</f>
        <v>827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43"/>
        <v>1</v>
      </c>
      <c r="AO353" s="3" t="str">
        <f>IF(ISERROR(MATCH(A353,'SegEnds_Xtal_Prot#'!B:B, 0)), "NoXtal", "Xtal")</f>
        <v>NoXtal</v>
      </c>
      <c r="AP353" s="3">
        <f t="shared" si="228"/>
        <v>3</v>
      </c>
      <c r="AQ353" s="3">
        <f t="shared" si="229"/>
        <v>1</v>
      </c>
      <c r="AR353" s="3" t="str">
        <f t="shared" si="230"/>
        <v>-</v>
      </c>
      <c r="AS353" s="3" t="str">
        <f t="shared" si="231"/>
        <v>-</v>
      </c>
      <c r="AT353" s="3" t="str">
        <f t="shared" si="232"/>
        <v>-</v>
      </c>
      <c r="AU353" s="3" t="str">
        <f t="shared" si="233"/>
        <v>-</v>
      </c>
      <c r="AV353" s="3">
        <f t="shared" si="234"/>
        <v>19</v>
      </c>
      <c r="AW353" s="3">
        <f t="shared" si="235"/>
        <v>2</v>
      </c>
      <c r="AX353" s="3">
        <f t="shared" si="236"/>
        <v>9</v>
      </c>
      <c r="AY353" s="3">
        <f t="shared" si="237"/>
        <v>5</v>
      </c>
      <c r="AZ353" s="3">
        <f t="shared" si="238"/>
        <v>1</v>
      </c>
      <c r="BA353" s="3">
        <f>IF(ISERROR(LEN(VLOOKUP(A353,Seqs!A:E,2,FALSE))-AL353),"-",LEN(VLOOKUP(A353,Seqs!A:E,2,FALSE))-AL353)</f>
        <v>203</v>
      </c>
      <c r="BB353" s="16">
        <f t="shared" si="239"/>
        <v>31</v>
      </c>
      <c r="BC353" s="9" t="str">
        <f t="shared" si="240"/>
        <v>-</v>
      </c>
      <c r="BD353" s="3">
        <f t="shared" si="241"/>
        <v>31</v>
      </c>
      <c r="BE353" s="3">
        <f t="shared" si="242"/>
        <v>37</v>
      </c>
    </row>
    <row r="354" spans="1:58" s="3" customFormat="1" x14ac:dyDescent="0.2">
      <c r="A354" s="3" t="s">
        <v>106</v>
      </c>
      <c r="B354" s="3" t="str">
        <f>LOWER(VLOOKUP(A354,Xtal_Templ!A:B,2,FALSE))</f>
        <v>gabr1_human</v>
      </c>
      <c r="C354" s="3">
        <f>VLOOKUP($A354,'SegEnds_NonXtal_BW#'!$A:$Z,3,FALSE)+D354-50</f>
        <v>590</v>
      </c>
      <c r="D354" s="3">
        <v>606</v>
      </c>
      <c r="E354" s="3">
        <f>IF(ISERROR(VLOOKUP($A354,'SegEnds_NonXtal_BW#'!$A:$Z,4,FALSE)+VLOOKUP($A354,A:AL,4,FALSE)-50),"-",(VLOOKUP($A354,'SegEnds_NonXtal_BW#'!$A:$Z,4,FALSE)+VLOOKUP($A354,A:AL,4,FALSE)-50))</f>
        <v>616</v>
      </c>
      <c r="F354" s="3">
        <f t="shared" si="245"/>
        <v>619</v>
      </c>
      <c r="G354" s="3">
        <v>622</v>
      </c>
      <c r="H354" s="3">
        <f t="shared" si="246"/>
        <v>625</v>
      </c>
      <c r="I354" s="3">
        <f t="shared" si="247"/>
        <v>626</v>
      </c>
      <c r="J354" s="3">
        <v>637</v>
      </c>
      <c r="K354" s="3">
        <f>VLOOKUP($A354,'SegEnds_NonXtal_BW#'!$A:$Z,8,FALSE)+VLOOKUP($A354,A:AL,10,FALSE)-50</f>
        <v>649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658</v>
      </c>
      <c r="P354" s="3">
        <v>688</v>
      </c>
      <c r="Q354" s="3">
        <f>VLOOKUP($A354,'SegEnds_NonXtal_BW#'!$A:$Z,12,FALSE)+VLOOKUP($A354,A:AL,16,FALSE)-50</f>
        <v>692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706</v>
      </c>
      <c r="V354" s="3">
        <v>718</v>
      </c>
      <c r="W354" s="3">
        <f>IF(ISERROR(VLOOKUP($A354,'SegEnds_NonXtal_BW#'!$A:$Z,16,FALSE)+VLOOKUP($A354,A:AL,22,FALSE)-50),"-",(VLOOKUP($A354,'SegEnds_NonXtal_BW#'!$A:$Z,16,FALSE)+VLOOKUP($A354,A:AL,22,FALSE)-50))</f>
        <v>732</v>
      </c>
      <c r="X354" s="3">
        <f>IF(ISERROR(VLOOKUP($A354,'SegEnds_NonXtal_BW#'!$A:$Z,17,FALSE)+VLOOKUP($A354,A:AL,25,FALSE)-50),"-",(VLOOKUP($A354,'SegEnds_NonXtal_BW#'!$A:$Z,17,FALSE)+VLOOKUP($A354,A:AL,25,FALSE)-50))</f>
        <v>761</v>
      </c>
      <c r="Y354" s="3">
        <v>761</v>
      </c>
      <c r="Z354" s="3">
        <f t="shared" si="227"/>
        <v>763</v>
      </c>
      <c r="AA354" s="3">
        <f>IF(ISERROR(VLOOKUP($A354,'SegEnds_NonXtal_BW#'!$A:$Z,19,FALSE)+VLOOKUP($A354,A:AL,28,FALSE)-50),"-",(VLOOKUP($A354,'SegEnds_NonXtal_BW#'!$A:$Z,19,FALSE)+VLOOKUP($A354,A:AL,28,FALSE)-50))</f>
        <v>765</v>
      </c>
      <c r="AB354" s="3">
        <v>780</v>
      </c>
      <c r="AC354" s="3">
        <f>IF(ISERROR((VLOOKUP($A354,'SegEnds_NonXtal_BW#'!$A:$Z,20,FALSE)+VLOOKUP($A354,A:AL,28,FALSE)-50)),"-",(VLOOKUP($A354,'SegEnds_NonXtal_BW#'!$A:$Z,20,FALSE)+VLOOKUP($A354,A:AL,28,FALSE)-50))</f>
        <v>792</v>
      </c>
      <c r="AD354" s="3">
        <f>IF(ISERROR(VLOOKUP($A354,'SegEnds_NonXtal_BW#'!$A:$Z,21,FALSE)+VLOOKUP($A354,A:AL,31,FALSE)-50),"-",(VLOOKUP($A354,'SegEnds_NonXtal_BW#'!$A:$Z,21,FALSE)+VLOOKUP($A354,A:AL,31,FALSE)-50))</f>
        <v>801</v>
      </c>
      <c r="AE354" s="3">
        <v>818</v>
      </c>
      <c r="AF354" s="3">
        <f>IF(ISERROR((VLOOKUP($A354,'SegEnds_NonXtal_BW#'!$A:$Z,22,FALSE)+VLOOKUP($A354,A:AL,31,FALSE)-50)),"-",(VLOOKUP($A354,'SegEnds_NonXtal_BW#'!$A:$Z,22,FALSE)+VLOOKUP($A354,A:AL,31,FALSE)-50))</f>
        <v>826</v>
      </c>
      <c r="AG354" s="3">
        <f>IF(ISERROR(VLOOKUP($A354,'SegEnds_NonXtal_BW#'!$A:$Z,23,FALSE)+VLOOKUP($A354,A:AL,34,FALSE)-50),"-",(VLOOKUP($A354,'SegEnds_NonXtal_BW#'!$A:$Z,23,FALSE)+VLOOKUP($A354,A:AL,34,FALSE)-50))</f>
        <v>832</v>
      </c>
      <c r="AH354" s="3">
        <v>849</v>
      </c>
      <c r="AI354" s="3">
        <f>IF(ISERROR((VLOOKUP($A354,'SegEnds_NonXtal_BW#'!$A:$Z,24,FALSE)+VLOOKUP($A354,A:AL,34,FALSE)-50)),"-",(VLOOKUP($A354,'SegEnds_NonXtal_BW#'!$A:$Z,24,FALSE)+VLOOKUP($A354,A:AL,34,FALSE)-50))</f>
        <v>863</v>
      </c>
      <c r="AJ354" s="3">
        <f>IF(ISERROR(VLOOKUP($A354,'SegEnds_NonXtal_BW#'!$A:$Z,25,FALSE)+VLOOKUP($A354,A:AL,37,FALSE)-50),"-",(VLOOKUP($A354,'SegEnds_NonXtal_BW#'!$A:$Z,25,FALSE)+VLOOKUP($A354,A:AL,37,FALSE)-50))</f>
        <v>864</v>
      </c>
      <c r="AK354" s="3">
        <v>868</v>
      </c>
      <c r="AL354" s="3">
        <f>IF(ISERROR((VLOOKUP($A354,'SegEnds_NonXtal_BW#'!$A:$Z,26,FALSE)+VLOOKUP($A354,A:AL,37,FALSE)-50)),"-",(VLOOKUP($A354,'SegEnds_NonXtal_BW#'!$A:$Z,26,FALSE)+VLOOKUP($A354,A:AL,37,FALSE)-50))</f>
        <v>875</v>
      </c>
      <c r="AM354" s="28" t="str">
        <f>VLOOKUP(A354,Classification!A:B,2,FALSE)</f>
        <v>C</v>
      </c>
      <c r="AN354" s="28" t="b">
        <f t="shared" si="243"/>
        <v>1</v>
      </c>
      <c r="AO354" s="3" t="str">
        <f>IF(ISERROR(MATCH(A354,'SegEnds_Xtal_Prot#'!B:B, 0)), "NoXtal", "Xtal")</f>
        <v>Xtal</v>
      </c>
      <c r="AP354" s="3">
        <f t="shared" si="228"/>
        <v>3</v>
      </c>
      <c r="AQ354" s="3">
        <f t="shared" si="229"/>
        <v>1</v>
      </c>
      <c r="AR354" s="3" t="str">
        <f t="shared" si="230"/>
        <v>-</v>
      </c>
      <c r="AS354" s="3" t="str">
        <f t="shared" si="231"/>
        <v>-</v>
      </c>
      <c r="AT354" s="3" t="str">
        <f t="shared" si="232"/>
        <v>-</v>
      </c>
      <c r="AU354" s="3" t="str">
        <f t="shared" si="233"/>
        <v>-</v>
      </c>
      <c r="AV354" s="3">
        <f t="shared" si="234"/>
        <v>29</v>
      </c>
      <c r="AW354" s="3">
        <f t="shared" si="235"/>
        <v>2</v>
      </c>
      <c r="AX354" s="3">
        <f t="shared" si="236"/>
        <v>9</v>
      </c>
      <c r="AY354" s="3">
        <f t="shared" si="237"/>
        <v>6</v>
      </c>
      <c r="AZ354" s="3">
        <f t="shared" si="238"/>
        <v>1</v>
      </c>
      <c r="BA354" s="3">
        <f>IF(ISERROR(LEN(VLOOKUP(A354,Seqs!A:E,2,FALSE))-AL354),"-",LEN(VLOOKUP(A354,Seqs!A:E,2,FALSE))-AL354)</f>
        <v>86</v>
      </c>
      <c r="BB354" s="16">
        <f t="shared" si="239"/>
        <v>31</v>
      </c>
      <c r="BC354" s="9" t="str">
        <f t="shared" si="240"/>
        <v>-</v>
      </c>
      <c r="BD354" s="3">
        <f t="shared" si="241"/>
        <v>31</v>
      </c>
      <c r="BE354" s="3">
        <f t="shared" si="242"/>
        <v>38</v>
      </c>
    </row>
    <row r="355" spans="1:58" s="3" customFormat="1" x14ac:dyDescent="0.2">
      <c r="A355" s="3" t="s">
        <v>107</v>
      </c>
      <c r="B355" s="3" t="str">
        <f>LOWER(VLOOKUP(A355,Xtal_Templ!A:B,2,FALSE))</f>
        <v>gabr2_human</v>
      </c>
      <c r="C355" s="3">
        <f>VLOOKUP($A355,'SegEnds_NonXtal_BW#'!$A:$Z,3,FALSE)+D355-50</f>
        <v>478</v>
      </c>
      <c r="D355" s="3">
        <v>496</v>
      </c>
      <c r="E355" s="3">
        <f>IF(ISERROR(VLOOKUP($A355,'SegEnds_NonXtal_BW#'!$A:$Z,4,FALSE)+VLOOKUP($A355,A:AL,4,FALSE)-50),"-",(VLOOKUP($A355,'SegEnds_NonXtal_BW#'!$A:$Z,4,FALSE)+VLOOKUP($A355,A:AL,4,FALSE)-50))</f>
        <v>506</v>
      </c>
      <c r="F355" s="3">
        <f t="shared" si="245"/>
        <v>509</v>
      </c>
      <c r="G355" s="3">
        <v>512</v>
      </c>
      <c r="H355" s="3">
        <f t="shared" si="246"/>
        <v>515</v>
      </c>
      <c r="I355" s="3">
        <f t="shared" si="247"/>
        <v>516</v>
      </c>
      <c r="J355" s="3">
        <v>527</v>
      </c>
      <c r="K355" s="3">
        <f>VLOOKUP($A355,'SegEnds_NonXtal_BW#'!$A:$Z,8,FALSE)+VLOOKUP($A355,A:AL,10,FALSE)-50</f>
        <v>538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545</v>
      </c>
      <c r="P355" s="3">
        <v>578</v>
      </c>
      <c r="Q355" s="3">
        <f>VLOOKUP($A355,'SegEnds_NonXtal_BW#'!$A:$Z,12,FALSE)+VLOOKUP($A355,A:AL,16,FALSE)-50</f>
        <v>583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593</v>
      </c>
      <c r="V355" s="3">
        <v>605</v>
      </c>
      <c r="W355" s="3">
        <f>IF(ISERROR(VLOOKUP($A355,'SegEnds_NonXtal_BW#'!$A:$Z,16,FALSE)+VLOOKUP($A355,A:AL,22,FALSE)-50),"-",(VLOOKUP($A355,'SegEnds_NonXtal_BW#'!$A:$Z,16,FALSE)+VLOOKUP($A355,A:AL,22,FALSE)-50))</f>
        <v>619</v>
      </c>
      <c r="X355" s="3">
        <f>IF(ISERROR(VLOOKUP($A355,'SegEnds_NonXtal_BW#'!$A:$Z,17,FALSE)+VLOOKUP($A355,A:AL,25,FALSE)-50),"-",(VLOOKUP($A355,'SegEnds_NonXtal_BW#'!$A:$Z,17,FALSE)+VLOOKUP($A355,A:AL,25,FALSE)-50))</f>
        <v>648</v>
      </c>
      <c r="Y355" s="3">
        <v>648</v>
      </c>
      <c r="Z355" s="3">
        <f t="shared" si="227"/>
        <v>650</v>
      </c>
      <c r="AA355" s="3">
        <f>IF(ISERROR(VLOOKUP($A355,'SegEnds_NonXtal_BW#'!$A:$Z,19,FALSE)+VLOOKUP($A355,A:AL,28,FALSE)-50),"-",(VLOOKUP($A355,'SegEnds_NonXtal_BW#'!$A:$Z,19,FALSE)+VLOOKUP($A355,A:AL,28,FALSE)-50))</f>
        <v>652</v>
      </c>
      <c r="AB355" s="3">
        <v>667</v>
      </c>
      <c r="AC355" s="3">
        <f>IF(ISERROR((VLOOKUP($A355,'SegEnds_NonXtal_BW#'!$A:$Z,20,FALSE)+VLOOKUP($A355,A:AL,28,FALSE)-50)),"-",(VLOOKUP($A355,'SegEnds_NonXtal_BW#'!$A:$Z,20,FALSE)+VLOOKUP($A355,A:AL,28,FALSE)-50))</f>
        <v>681</v>
      </c>
      <c r="AD355" s="3">
        <f>IF(ISERROR(VLOOKUP($A355,'SegEnds_NonXtal_BW#'!$A:$Z,21,FALSE)+VLOOKUP($A355,A:AL,31,FALSE)-50),"-",(VLOOKUP($A355,'SegEnds_NonXtal_BW#'!$A:$Z,21,FALSE)+VLOOKUP($A355,A:AL,31,FALSE)-50))</f>
        <v>688</v>
      </c>
      <c r="AE355" s="3">
        <v>705</v>
      </c>
      <c r="AF355" s="3">
        <f>IF(ISERROR((VLOOKUP($A355,'SegEnds_NonXtal_BW#'!$A:$Z,22,FALSE)+VLOOKUP($A355,A:AL,31,FALSE)-50)),"-",(VLOOKUP($A355,'SegEnds_NonXtal_BW#'!$A:$Z,22,FALSE)+VLOOKUP($A355,A:AL,31,FALSE)-50))</f>
        <v>713</v>
      </c>
      <c r="AG355" s="3">
        <f>IF(ISERROR(VLOOKUP($A355,'SegEnds_NonXtal_BW#'!$A:$Z,23,FALSE)+VLOOKUP($A355,A:AL,34,FALSE)-50),"-",(VLOOKUP($A355,'SegEnds_NonXtal_BW#'!$A:$Z,23,FALSE)+VLOOKUP($A355,A:AL,34,FALSE)-50))</f>
        <v>716</v>
      </c>
      <c r="AH355" s="3">
        <v>736</v>
      </c>
      <c r="AI355" s="3">
        <f>IF(ISERROR((VLOOKUP($A355,'SegEnds_NonXtal_BW#'!$A:$Z,24,FALSE)+VLOOKUP($A355,A:AL,34,FALSE)-50)),"-",(VLOOKUP($A355,'SegEnds_NonXtal_BW#'!$A:$Z,24,FALSE)+VLOOKUP($A355,A:AL,34,FALSE)-50))</f>
        <v>750</v>
      </c>
      <c r="AJ355" s="3">
        <f>IF(ISERROR(VLOOKUP($A355,'SegEnds_NonXtal_BW#'!$A:$Z,25,FALSE)+VLOOKUP($A355,A:AL,37,FALSE)-50),"-",(VLOOKUP($A355,'SegEnds_NonXtal_BW#'!$A:$Z,25,FALSE)+VLOOKUP($A355,A:AL,37,FALSE)-50))</f>
        <v>751</v>
      </c>
      <c r="AK355" s="3">
        <v>755</v>
      </c>
      <c r="AL355" s="3">
        <f>IF(ISERROR((VLOOKUP($A355,'SegEnds_NonXtal_BW#'!$A:$Z,26,FALSE)+VLOOKUP($A355,A:AL,37,FALSE)-50)),"-",(VLOOKUP($A355,'SegEnds_NonXtal_BW#'!$A:$Z,26,FALSE)+VLOOKUP($A355,A:AL,37,FALSE)-50))</f>
        <v>762</v>
      </c>
      <c r="AM355" s="28" t="str">
        <f>VLOOKUP(A355,Classification!A:B,2,FALSE)</f>
        <v>C</v>
      </c>
      <c r="AN355" s="28" t="b">
        <f t="shared" si="243"/>
        <v>1</v>
      </c>
      <c r="AO355" s="3" t="str">
        <f>IF(ISERROR(MATCH(A355,'SegEnds_Xtal_Prot#'!B:B, 0)), "NoXtal", "Xtal")</f>
        <v>Xtal</v>
      </c>
      <c r="AP355" s="3">
        <f t="shared" si="228"/>
        <v>3</v>
      </c>
      <c r="AQ355" s="3">
        <f t="shared" si="229"/>
        <v>1</v>
      </c>
      <c r="AR355" s="3" t="str">
        <f t="shared" si="230"/>
        <v>-</v>
      </c>
      <c r="AS355" s="3" t="str">
        <f t="shared" si="231"/>
        <v>-</v>
      </c>
      <c r="AT355" s="3" t="str">
        <f t="shared" si="232"/>
        <v>-</v>
      </c>
      <c r="AU355" s="3" t="str">
        <f t="shared" si="233"/>
        <v>-</v>
      </c>
      <c r="AV355" s="3">
        <f t="shared" si="234"/>
        <v>29</v>
      </c>
      <c r="AW355" s="3">
        <f t="shared" si="235"/>
        <v>2</v>
      </c>
      <c r="AX355" s="3">
        <f t="shared" si="236"/>
        <v>7</v>
      </c>
      <c r="AY355" s="3">
        <f t="shared" si="237"/>
        <v>3</v>
      </c>
      <c r="AZ355" s="3">
        <f t="shared" si="238"/>
        <v>1</v>
      </c>
      <c r="BA355" s="3">
        <f>IF(ISERROR(LEN(VLOOKUP(A355,Seqs!A:E,2,FALSE))-AL355),"-",LEN(VLOOKUP(A355,Seqs!A:E,2,FALSE))-AL355)</f>
        <v>179</v>
      </c>
      <c r="BB355" s="16">
        <f t="shared" si="239"/>
        <v>31</v>
      </c>
      <c r="BC355" s="9" t="str">
        <f t="shared" si="240"/>
        <v>-</v>
      </c>
      <c r="BD355" s="3">
        <f t="shared" si="241"/>
        <v>31</v>
      </c>
      <c r="BE355" s="3">
        <f t="shared" si="242"/>
        <v>38</v>
      </c>
    </row>
    <row r="356" spans="1:58" s="3" customFormat="1" x14ac:dyDescent="0.2">
      <c r="A356" s="3" t="s">
        <v>108</v>
      </c>
      <c r="B356" s="3" t="str">
        <f>LOWER(VLOOKUP(A356,Xtal_Templ!A:B,2,FALSE))</f>
        <v>gabr2_human</v>
      </c>
      <c r="C356" s="3">
        <f>VLOOKUP($A356,'SegEnds_NonXtal_BW#'!$A:$Z,3,FALSE)+D356-50</f>
        <v>46</v>
      </c>
      <c r="D356" s="3">
        <v>64</v>
      </c>
      <c r="E356" s="3">
        <f>IF(ISERROR(VLOOKUP($A356,'SegEnds_NonXtal_BW#'!$A:$Z,4,FALSE)+VLOOKUP($A356,A:AL,4,FALSE)-50),"-",(VLOOKUP($A356,'SegEnds_NonXtal_BW#'!$A:$Z,4,FALSE)+VLOOKUP($A356,A:AL,4,FALSE)-50))</f>
        <v>74</v>
      </c>
      <c r="F356" s="3">
        <f t="shared" si="245"/>
        <v>77</v>
      </c>
      <c r="G356" s="3">
        <v>80</v>
      </c>
      <c r="H356" s="3">
        <f t="shared" si="246"/>
        <v>83</v>
      </c>
      <c r="I356" s="3">
        <f t="shared" si="247"/>
        <v>84</v>
      </c>
      <c r="J356" s="3">
        <v>95</v>
      </c>
      <c r="K356" s="3">
        <f>VLOOKUP($A356,'SegEnds_NonXtal_BW#'!$A:$Z,8,FALSE)+VLOOKUP($A356,A:AL,10,FALSE)-50</f>
        <v>106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112</v>
      </c>
      <c r="P356" s="3">
        <v>145</v>
      </c>
      <c r="Q356" s="3">
        <f>VLOOKUP($A356,'SegEnds_NonXtal_BW#'!$A:$Z,12,FALSE)+VLOOKUP($A356,A:AL,16,FALSE)-50</f>
        <v>150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161</v>
      </c>
      <c r="V356" s="3">
        <v>173</v>
      </c>
      <c r="W356" s="3">
        <f>IF(ISERROR(VLOOKUP($A356,'SegEnds_NonXtal_BW#'!$A:$Z,16,FALSE)+VLOOKUP($A356,A:AL,22,FALSE)-50),"-",(VLOOKUP($A356,'SegEnds_NonXtal_BW#'!$A:$Z,16,FALSE)+VLOOKUP($A356,A:AL,22,FALSE)-50))</f>
        <v>187</v>
      </c>
      <c r="X356" s="3">
        <f>IF(ISERROR(VLOOKUP($A356,'SegEnds_NonXtal_BW#'!$A:$Z,17,FALSE)+VLOOKUP($A356,A:AL,25,FALSE)-50),"-",(VLOOKUP($A356,'SegEnds_NonXtal_BW#'!$A:$Z,17,FALSE)+VLOOKUP($A356,A:AL,25,FALSE)-50))</f>
        <v>216</v>
      </c>
      <c r="Y356" s="105">
        <v>216</v>
      </c>
      <c r="Z356" s="3">
        <f>IF(ISERROR(VLOOKUP($A356,'SegEnds_NonXtal_BW#'!$A:$Z,18,FALSE)+VLOOKUP($A356,A:AL,25,FALSE)-50),"-",(VLOOKUP($A356,'SegEnds_NonXtal_BW#'!$A:$Z,18,FALSE)+VLOOKUP($A356,A:AL,25,FALSE)-50))</f>
        <v>218</v>
      </c>
      <c r="AA356" s="3">
        <f>IF(ISERROR(VLOOKUP($A356,'SegEnds_NonXtal_BW#'!$A:$Z,19,FALSE)+VLOOKUP($A356,A:AL,28,FALSE)-50),"-",(VLOOKUP($A356,'SegEnds_NonXtal_BW#'!$A:$Z,19,FALSE)+VLOOKUP($A356,A:AL,28,FALSE)-50))</f>
        <v>220</v>
      </c>
      <c r="AB356" s="3">
        <v>235</v>
      </c>
      <c r="AC356" s="3">
        <f>IF(ISERROR((VLOOKUP($A356,'SegEnds_NonXtal_BW#'!$A:$Z,20,FALSE)+VLOOKUP($A356,A:AL,28,FALSE)-50)),"-",(VLOOKUP($A356,'SegEnds_NonXtal_BW#'!$A:$Z,20,FALSE)+VLOOKUP($A356,A:AL,28,FALSE)-50))</f>
        <v>249</v>
      </c>
      <c r="AD356" s="3">
        <f>IF(ISERROR(VLOOKUP($A356,'SegEnds_NonXtal_BW#'!$A:$Z,21,FALSE)+VLOOKUP($A356,A:AL,31,FALSE)-50),"-",(VLOOKUP($A356,'SegEnds_NonXtal_BW#'!$A:$Z,21,FALSE)+VLOOKUP($A356,A:AL,31,FALSE)-50))</f>
        <v>257</v>
      </c>
      <c r="AE356" s="3">
        <v>274</v>
      </c>
      <c r="AF356" s="3">
        <f>IF(ISERROR((VLOOKUP($A356,'SegEnds_NonXtal_BW#'!$A:$Z,22,FALSE)+VLOOKUP($A356,A:AL,31,FALSE)-50)),"-",(VLOOKUP($A356,'SegEnds_NonXtal_BW#'!$A:$Z,22,FALSE)+VLOOKUP($A356,A:AL,31,FALSE)-50))</f>
        <v>282</v>
      </c>
      <c r="AG356" s="3">
        <f>IF(ISERROR(VLOOKUP($A356,'SegEnds_NonXtal_BW#'!$A:$Z,23,FALSE)+VLOOKUP($A356,A:AL,34,FALSE)-50),"-",(VLOOKUP($A356,'SegEnds_NonXtal_BW#'!$A:$Z,23,FALSE)+VLOOKUP($A356,A:AL,34,FALSE)-50))</f>
        <v>284</v>
      </c>
      <c r="AH356" s="3">
        <v>304</v>
      </c>
      <c r="AI356" s="3">
        <f>IF(ISERROR((VLOOKUP($A356,'SegEnds_NonXtal_BW#'!$A:$Z,24,FALSE)+VLOOKUP($A356,A:AL,34,FALSE)-50)),"-",(VLOOKUP($A356,'SegEnds_NonXtal_BW#'!$A:$Z,24,FALSE)+VLOOKUP($A356,A:AL,34,FALSE)-50))</f>
        <v>318</v>
      </c>
      <c r="AJ356" s="3">
        <f>IF(ISERROR(VLOOKUP($A356,'SegEnds_NonXtal_BW#'!$A:$Z,25,FALSE)+VLOOKUP($A356,A:AL,37,FALSE)-50),"-",(VLOOKUP($A356,'SegEnds_NonXtal_BW#'!$A:$Z,25,FALSE)+VLOOKUP($A356,A:AL,37,FALSE)-50))</f>
        <v>319</v>
      </c>
      <c r="AK356" s="3">
        <v>323</v>
      </c>
      <c r="AL356" s="3">
        <f>IF(ISERROR((VLOOKUP($A356,'SegEnds_NonXtal_BW#'!$A:$Z,26,FALSE)+VLOOKUP($A356,A:AL,37,FALSE)-50)),"-",(VLOOKUP($A356,'SegEnds_NonXtal_BW#'!$A:$Z,26,FALSE)+VLOOKUP($A356,A:AL,37,FALSE)-50))</f>
        <v>330</v>
      </c>
      <c r="AM356" s="28" t="str">
        <f>VLOOKUP(A356,Classification!A:B,2,FALSE)</f>
        <v>C</v>
      </c>
      <c r="AN356" s="28" t="b">
        <f t="shared" si="243"/>
        <v>1</v>
      </c>
      <c r="AO356" s="3" t="str">
        <f>IF(ISERROR(MATCH(A356,'SegEnds_Xtal_Prot#'!B:B, 0)), "NoXtal", "Xtal")</f>
        <v>NoXtal</v>
      </c>
      <c r="AP356" s="3">
        <f t="shared" si="228"/>
        <v>3</v>
      </c>
      <c r="AQ356" s="3">
        <f t="shared" si="229"/>
        <v>1</v>
      </c>
      <c r="AR356" s="3" t="str">
        <f t="shared" si="230"/>
        <v>-</v>
      </c>
      <c r="AS356" s="3" t="str">
        <f t="shared" si="231"/>
        <v>-</v>
      </c>
      <c r="AT356" s="3" t="str">
        <f t="shared" si="232"/>
        <v>-</v>
      </c>
      <c r="AU356" s="3" t="str">
        <f t="shared" si="233"/>
        <v>-</v>
      </c>
      <c r="AV356" s="3">
        <f t="shared" si="234"/>
        <v>29</v>
      </c>
      <c r="AW356" s="3">
        <f t="shared" si="235"/>
        <v>2</v>
      </c>
      <c r="AX356" s="3">
        <f t="shared" si="236"/>
        <v>8</v>
      </c>
      <c r="AY356" s="3">
        <f t="shared" si="237"/>
        <v>2</v>
      </c>
      <c r="AZ356" s="3">
        <f t="shared" si="238"/>
        <v>1</v>
      </c>
      <c r="BA356" s="3">
        <f>IF(ISERROR(LEN(VLOOKUP(A356,Seqs!A:E,2,FALSE))-AL356),"-",LEN(VLOOKUP(A356,Seqs!A:E,2,FALSE))-AL356)</f>
        <v>484</v>
      </c>
      <c r="BB356" s="16">
        <f t="shared" si="239"/>
        <v>31</v>
      </c>
      <c r="BC356" s="9" t="str">
        <f t="shared" si="240"/>
        <v>-</v>
      </c>
      <c r="BD356" s="3">
        <f t="shared" si="241"/>
        <v>31</v>
      </c>
      <c r="BE356" s="3">
        <f t="shared" si="242"/>
        <v>39</v>
      </c>
    </row>
    <row r="357" spans="1:58" s="3" customFormat="1" x14ac:dyDescent="0.2">
      <c r="A357" s="3" t="s">
        <v>109</v>
      </c>
      <c r="B357" s="3" t="str">
        <f>LOWER(VLOOKUP(A357,Xtal_Templ!A:B,2,FALSE))</f>
        <v>grm1_human</v>
      </c>
      <c r="C357" s="3">
        <f>VLOOKUP($A357,'SegEnds_NonXtal_BW#'!$A:$Z,3,FALSE)+D357-50</f>
        <v>415</v>
      </c>
      <c r="D357" s="3">
        <v>431</v>
      </c>
      <c r="E357" s="3">
        <f>IF(ISERROR(VLOOKUP($A357,'SegEnds_NonXtal_BW#'!$A:$Z,4,FALSE)+VLOOKUP($A357,A:AL,4,FALSE)-50),"-",(VLOOKUP($A357,'SegEnds_NonXtal_BW#'!$A:$Z,4,FALSE)+VLOOKUP($A357,A:AL,4,FALSE)-50))</f>
        <v>441</v>
      </c>
      <c r="F357" s="3">
        <f t="shared" si="245"/>
        <v>444</v>
      </c>
      <c r="G357" s="3">
        <v>447</v>
      </c>
      <c r="H357" s="3">
        <f t="shared" si="246"/>
        <v>450</v>
      </c>
      <c r="I357" s="3">
        <f t="shared" si="247"/>
        <v>451</v>
      </c>
      <c r="J357" s="3">
        <v>462</v>
      </c>
      <c r="K357" s="3">
        <f>VLOOKUP($A357,'SegEnds_NonXtal_BW#'!$A:$Z,8,FALSE)+VLOOKUP($A357,A:AL,10,FALSE)-50</f>
        <v>473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478</v>
      </c>
      <c r="P357" s="3">
        <v>506</v>
      </c>
      <c r="Q357" s="3">
        <f>VLOOKUP($A357,'SegEnds_NonXtal_BW#'!$A:$Z,12,FALSE)+VLOOKUP($A357,A:AL,16,FALSE)-50</f>
        <v>510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512</v>
      </c>
      <c r="V357" s="3">
        <v>524</v>
      </c>
      <c r="W357" s="3">
        <f>IF(ISERROR(VLOOKUP($A357,'SegEnds_NonXtal_BW#'!$A:$Z,16,FALSE)+VLOOKUP($A357,A:AL,22,FALSE)-50),"-",(VLOOKUP($A357,'SegEnds_NonXtal_BW#'!$A:$Z,16,FALSE)+VLOOKUP($A357,A:AL,22,FALSE)-50))</f>
        <v>538</v>
      </c>
      <c r="X357" s="3">
        <f>IF(ISERROR(VLOOKUP($A357,'SegEnds_NonXtal_BW#'!$A:$Z,17,FALSE)+VLOOKUP($A357,A:AL,25,FALSE)-50),"-",(VLOOKUP($A357,'SegEnds_NonXtal_BW#'!$A:$Z,17,FALSE)+VLOOKUP($A357,A:AL,25,FALSE)-50))</f>
        <v>573</v>
      </c>
      <c r="Y357" s="3">
        <v>573</v>
      </c>
      <c r="Z357" s="3">
        <f>Y357+2</f>
        <v>575</v>
      </c>
      <c r="AA357" s="105">
        <v>576</v>
      </c>
      <c r="AB357" s="3">
        <v>589</v>
      </c>
      <c r="AC357" s="3">
        <f>IF(ISERROR((VLOOKUP($A357,'SegEnds_NonXtal_BW#'!$A:$Z,20,FALSE)+VLOOKUP($A357,A:AL,28,FALSE)-50)),"-",(VLOOKUP($A357,'SegEnds_NonXtal_BW#'!$A:$Z,20,FALSE)+VLOOKUP($A357,A:AL,28,FALSE)-50))</f>
        <v>600</v>
      </c>
      <c r="AD357" s="3">
        <f>IF(ISERROR(VLOOKUP($A357,'SegEnds_NonXtal_BW#'!$A:$Z,21,FALSE)+VLOOKUP($A357,A:AL,31,FALSE)-50),"-",(VLOOKUP($A357,'SegEnds_NonXtal_BW#'!$A:$Z,21,FALSE)+VLOOKUP($A357,A:AL,31,FALSE)-50))</f>
        <v>609</v>
      </c>
      <c r="AE357" s="3">
        <v>626</v>
      </c>
      <c r="AF357" s="3">
        <f>IF(ISERROR((VLOOKUP($A357,'SegEnds_NonXtal_BW#'!$A:$Z,22,FALSE)+VLOOKUP($A357,A:AL,31,FALSE)-50)),"-",(VLOOKUP($A357,'SegEnds_NonXtal_BW#'!$A:$Z,22,FALSE)+VLOOKUP($A357,A:AL,31,FALSE)-50))</f>
        <v>633</v>
      </c>
      <c r="AG357" s="3">
        <f>IF(ISERROR(VLOOKUP($A357,'SegEnds_NonXtal_BW#'!$A:$Z,23,FALSE)+VLOOKUP($A357,A:AL,34,FALSE)-50),"-",(VLOOKUP($A357,'SegEnds_NonXtal_BW#'!$A:$Z,23,FALSE)+VLOOKUP($A357,A:AL,34,FALSE)-50))</f>
        <v>642</v>
      </c>
      <c r="AH357" s="3">
        <v>659</v>
      </c>
      <c r="AI357" s="3">
        <f>IF(ISERROR((VLOOKUP($A357,'SegEnds_NonXtal_BW#'!$A:$Z,24,FALSE)+VLOOKUP($A357,A:AL,34,FALSE)-50)),"-",(VLOOKUP($A357,'SegEnds_NonXtal_BW#'!$A:$Z,24,FALSE)+VLOOKUP($A357,A:AL,34,FALSE)-50))</f>
        <v>673</v>
      </c>
      <c r="AJ357" s="3">
        <f>IF(ISERROR(VLOOKUP($A357,'SegEnds_NonXtal_BW#'!$A:$Z,25,FALSE)+VLOOKUP($A357,A:AL,37,FALSE)-50),"-",(VLOOKUP($A357,'SegEnds_NonXtal_BW#'!$A:$Z,25,FALSE)+VLOOKUP($A357,A:AL,37,FALSE)-50))</f>
        <v>674</v>
      </c>
      <c r="AK357" s="3">
        <v>678</v>
      </c>
      <c r="AL357" s="3">
        <f>IF(ISERROR((VLOOKUP($A357,'SegEnds_NonXtal_BW#'!$A:$Z,26,FALSE)+VLOOKUP($A357,A:AL,37,FALSE)-50)),"-",(VLOOKUP($A357,'SegEnds_NonXtal_BW#'!$A:$Z,26,FALSE)+VLOOKUP($A357,A:AL,37,FALSE)-50))</f>
        <v>685</v>
      </c>
      <c r="AM357" s="28" t="str">
        <f>VLOOKUP(A357,Classification!A:B,2,FALSE)</f>
        <v>C</v>
      </c>
      <c r="AN357" s="28" t="b">
        <f t="shared" si="243"/>
        <v>1</v>
      </c>
      <c r="AO357" s="3" t="str">
        <f>IF(ISERROR(MATCH(A357,'SegEnds_Xtal_Prot#'!B:B, 0)), "NoXtal", "Xtal")</f>
        <v>NoXtal</v>
      </c>
      <c r="AP357" s="3">
        <f t="shared" si="228"/>
        <v>3</v>
      </c>
      <c r="AQ357" s="3">
        <f t="shared" si="229"/>
        <v>1</v>
      </c>
      <c r="AR357" s="3" t="str">
        <f t="shared" si="230"/>
        <v>-</v>
      </c>
      <c r="AS357" s="3" t="str">
        <f t="shared" si="231"/>
        <v>-</v>
      </c>
      <c r="AT357" s="3" t="str">
        <f t="shared" si="232"/>
        <v>-</v>
      </c>
      <c r="AU357" s="3" t="str">
        <f t="shared" si="233"/>
        <v>-</v>
      </c>
      <c r="AV357" s="3">
        <f t="shared" si="234"/>
        <v>35</v>
      </c>
      <c r="AW357" s="3">
        <f t="shared" si="235"/>
        <v>1</v>
      </c>
      <c r="AX357" s="3">
        <f t="shared" si="236"/>
        <v>9</v>
      </c>
      <c r="AY357" s="3">
        <f t="shared" si="237"/>
        <v>9</v>
      </c>
      <c r="AZ357" s="3">
        <f t="shared" si="238"/>
        <v>1</v>
      </c>
      <c r="BA357" s="3">
        <f>IF(ISERROR(LEN(VLOOKUP(A357,Seqs!A:E,2,FALSE))-AL357),"-",LEN(VLOOKUP(A357,Seqs!A:E,2,FALSE))-AL357)</f>
        <v>530</v>
      </c>
      <c r="BB357" s="16">
        <f t="shared" si="239"/>
        <v>31</v>
      </c>
      <c r="BC357" s="9" t="str">
        <f t="shared" si="240"/>
        <v>-</v>
      </c>
      <c r="BD357" s="3">
        <f t="shared" si="241"/>
        <v>31</v>
      </c>
      <c r="BE357" s="3">
        <f t="shared" si="242"/>
        <v>37</v>
      </c>
    </row>
    <row r="358" spans="1:58" s="3" customFormat="1" x14ac:dyDescent="0.2">
      <c r="A358" s="3" t="s">
        <v>110</v>
      </c>
      <c r="B358" s="3" t="str">
        <f>LOWER(VLOOKUP(A358,Xtal_Templ!A:B,2,FALSE))</f>
        <v>gabr2_human</v>
      </c>
      <c r="C358" s="3">
        <f>VLOOKUP($A358,'SegEnds_NonXtal_BW#'!$A:$Z,3,FALSE)+D358-50</f>
        <v>377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 t="shared" si="245"/>
        <v>408</v>
      </c>
      <c r="G358" s="3">
        <v>411</v>
      </c>
      <c r="H358" s="3">
        <f t="shared" si="246"/>
        <v>414</v>
      </c>
      <c r="I358" s="3">
        <f t="shared" si="247"/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475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>Y358+2</f>
        <v>539</v>
      </c>
      <c r="AA358" s="105"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567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598</v>
      </c>
      <c r="AG358" s="3">
        <f>IF(ISERROR(VLOOKUP($A358,'SegEnds_NonXtal_BW#'!$A:$Z,23,FALSE)+VLOOKUP($A358,A:AL,34,FALSE)-50),"-",(VLOOKUP($A358,'SegEnds_NonXtal_BW#'!$A:$Z,23,FALSE)+VLOOKUP($A358,A:AL,34,FALSE)-50))</f>
        <v>603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637</v>
      </c>
      <c r="AJ358" s="3">
        <f>IF(ISERROR(VLOOKUP($A358,'SegEnds_NonXtal_BW#'!$A:$Z,25,FALSE)+VLOOKUP($A358,A:AL,37,FALSE)-50),"-",(VLOOKUP($A358,'SegEnds_NonXtal_BW#'!$A:$Z,25,FALSE)+VLOOKUP($A358,A:AL,37,FALSE)-50))</f>
        <v>638</v>
      </c>
      <c r="AK358" s="3">
        <v>642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43"/>
        <v>1</v>
      </c>
      <c r="AO358" s="3" t="str">
        <f>IF(ISERROR(MATCH(A358,'SegEnds_Xtal_Prot#'!B:B, 0)), "NoXtal", "Xtal")</f>
        <v>NoXtal</v>
      </c>
      <c r="AP358" s="3">
        <f t="shared" si="228"/>
        <v>3</v>
      </c>
      <c r="AQ358" s="3">
        <f t="shared" si="229"/>
        <v>1</v>
      </c>
      <c r="AR358" s="3" t="str">
        <f t="shared" si="230"/>
        <v>-</v>
      </c>
      <c r="AS358" s="3" t="str">
        <f t="shared" si="231"/>
        <v>-</v>
      </c>
      <c r="AT358" s="3" t="str">
        <f t="shared" si="232"/>
        <v>-</v>
      </c>
      <c r="AU358" s="3" t="str">
        <f t="shared" si="233"/>
        <v>-</v>
      </c>
      <c r="AV358" s="3">
        <f t="shared" si="234"/>
        <v>35</v>
      </c>
      <c r="AW358" s="3">
        <f t="shared" si="235"/>
        <v>1</v>
      </c>
      <c r="AX358" s="3">
        <f t="shared" si="236"/>
        <v>6</v>
      </c>
      <c r="AY358" s="3">
        <f t="shared" si="237"/>
        <v>5</v>
      </c>
      <c r="AZ358" s="3">
        <f t="shared" si="238"/>
        <v>1</v>
      </c>
      <c r="BA358" s="3">
        <f>IF(ISERROR(LEN(VLOOKUP(A358,Seqs!A:E,2,FALSE))-AL358),"-",LEN(VLOOKUP(A358,Seqs!A:E,2,FALSE))-AL358)</f>
        <v>1718</v>
      </c>
      <c r="BB358" s="16">
        <f t="shared" si="239"/>
        <v>31</v>
      </c>
      <c r="BC358" s="9" t="str">
        <f t="shared" si="240"/>
        <v>-</v>
      </c>
      <c r="BD358" s="3">
        <f t="shared" si="241"/>
        <v>31</v>
      </c>
      <c r="BE358" s="3">
        <f t="shared" si="242"/>
        <v>37</v>
      </c>
    </row>
    <row r="359" spans="1:58" s="3" customFormat="1" x14ac:dyDescent="0.2">
      <c r="A359" s="3" t="s">
        <v>111</v>
      </c>
      <c r="B359" s="3" t="str">
        <f>LOWER(VLOOKUP(A359,Xtal_Templ!A:B,2,FALSE))</f>
        <v>grm1_human</v>
      </c>
      <c r="C359" s="3">
        <f>VLOOKUP($A359,'SegEnds_NonXtal_BW#'!$A:$Z,3,FALSE)+D359-50</f>
        <v>54</v>
      </c>
      <c r="D359" s="3">
        <v>70</v>
      </c>
      <c r="E359" s="3">
        <f>IF(ISERROR(VLOOKUP($A359,'SegEnds_NonXtal_BW#'!$A:$Z,4,FALSE)+VLOOKUP($A359,A:AL,4,FALSE)-50),"-",(VLOOKUP($A359,'SegEnds_NonXtal_BW#'!$A:$Z,4,FALSE)+VLOOKUP($A359,A:AL,4,FALSE)-50))</f>
        <v>80</v>
      </c>
      <c r="F359" s="3">
        <f t="shared" si="245"/>
        <v>81</v>
      </c>
      <c r="G359" s="3">
        <v>84</v>
      </c>
      <c r="H359" s="3">
        <f t="shared" si="246"/>
        <v>87</v>
      </c>
      <c r="I359" s="3">
        <f t="shared" si="247"/>
        <v>88</v>
      </c>
      <c r="J359" s="3">
        <v>103</v>
      </c>
      <c r="K359" s="3">
        <f>VLOOKUP($A359,'SegEnds_NonXtal_BW#'!$A:$Z,8,FALSE)+VLOOKUP($A359,A:AL,10,FALSE)-50</f>
        <v>114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119</v>
      </c>
      <c r="P359" s="3">
        <v>147</v>
      </c>
      <c r="Q359" s="3">
        <f>VLOOKUP($A359,'SegEnds_NonXtal_BW#'!$A:$Z,12,FALSE)+VLOOKUP($A359,A:AL,16,FALSE)-50</f>
        <v>151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158</v>
      </c>
      <c r="V359" s="3">
        <v>170</v>
      </c>
      <c r="W359" s="3">
        <f>IF(ISERROR(VLOOKUP($A359,'SegEnds_NonXtal_BW#'!$A:$Z,16,FALSE)+VLOOKUP($A359,A:AL,22,FALSE)-50),"-",(VLOOKUP($A359,'SegEnds_NonXtal_BW#'!$A:$Z,16,FALSE)+VLOOKUP($A359,A:AL,22,FALSE)-50))</f>
        <v>184</v>
      </c>
      <c r="X359" s="3">
        <f>IF(ISERROR(VLOOKUP($A359,'SegEnds_NonXtal_BW#'!$A:$Z,17,FALSE)+VLOOKUP($A359,A:AL,25,FALSE)-50),"-",(VLOOKUP($A359,'SegEnds_NonXtal_BW#'!$A:$Z,17,FALSE)+VLOOKUP($A359,A:AL,25,FALSE)-50))</f>
        <v>193</v>
      </c>
      <c r="Y359" s="3">
        <v>193</v>
      </c>
      <c r="Z359" s="3">
        <f>Y359+2</f>
        <v>195</v>
      </c>
      <c r="AA359" s="3">
        <f>IF(ISERROR(VLOOKUP($A359,'SegEnds_NonXtal_BW#'!$A:$Z,19,FALSE)+VLOOKUP($A359,A:AL,28,FALSE)-50),"-",(VLOOKUP($A359,'SegEnds_NonXtal_BW#'!$A:$Z,19,FALSE)+VLOOKUP($A359,A:AL,28,FALSE)-50))</f>
        <v>196</v>
      </c>
      <c r="AB359" s="3">
        <v>210</v>
      </c>
      <c r="AC359" s="3">
        <f>IF(ISERROR((VLOOKUP($A359,'SegEnds_NonXtal_BW#'!$A:$Z,20,FALSE)+VLOOKUP($A359,A:AL,28,FALSE)-50)),"-",(VLOOKUP($A359,'SegEnds_NonXtal_BW#'!$A:$Z,20,FALSE)+VLOOKUP($A359,A:AL,28,FALSE)-50))</f>
        <v>221</v>
      </c>
      <c r="AD359" s="3">
        <f>IF(ISERROR(VLOOKUP($A359,'SegEnds_NonXtal_BW#'!$A:$Z,21,FALSE)+VLOOKUP($A359,A:AL,31,FALSE)-50),"-",(VLOOKUP($A359,'SegEnds_NonXtal_BW#'!$A:$Z,21,FALSE)+VLOOKUP($A359,A:AL,31,FALSE)-50))</f>
        <v>232</v>
      </c>
      <c r="AE359" s="3">
        <v>249</v>
      </c>
      <c r="AF359" s="3">
        <f>IF(ISERROR((VLOOKUP($A359,'SegEnds_NonXtal_BW#'!$A:$Z,22,FALSE)+VLOOKUP($A359,A:AL,31,FALSE)-50)),"-",(VLOOKUP($A359,'SegEnds_NonXtal_BW#'!$A:$Z,22,FALSE)+VLOOKUP($A359,A:AL,31,FALSE)-50))</f>
        <v>256</v>
      </c>
      <c r="AG359" s="3">
        <f>IF(ISERROR(VLOOKUP($A359,'SegEnds_NonXtal_BW#'!$A:$Z,23,FALSE)+VLOOKUP($A359,A:AL,34,FALSE)-50),"-",(VLOOKUP($A359,'SegEnds_NonXtal_BW#'!$A:$Z,23,FALSE)+VLOOKUP($A359,A:AL,34,FALSE)-50))</f>
        <v>267</v>
      </c>
      <c r="AH359" s="3">
        <v>284</v>
      </c>
      <c r="AI359" s="3">
        <f>IF(ISERROR((VLOOKUP($A359,'SegEnds_NonXtal_BW#'!$A:$Z,24,FALSE)+VLOOKUP($A359,A:AL,34,FALSE)-50)),"-",(VLOOKUP($A359,'SegEnds_NonXtal_BW#'!$A:$Z,24,FALSE)+VLOOKUP($A359,A:AL,34,FALSE)-50))</f>
        <v>298</v>
      </c>
      <c r="AJ359" s="3">
        <f>IF(ISERROR(VLOOKUP($A359,'SegEnds_NonXtal_BW#'!$A:$Z,25,FALSE)+VLOOKUP($A359,A:AL,37,FALSE)-50),"-",(VLOOKUP($A359,'SegEnds_NonXtal_BW#'!$A:$Z,25,FALSE)+VLOOKUP($A359,A:AL,37,FALSE)-50))</f>
        <v>300</v>
      </c>
      <c r="AK359" s="3">
        <v>304</v>
      </c>
      <c r="AL359" s="3">
        <f>IF(ISERROR((VLOOKUP($A359,'SegEnds_NonXtal_BW#'!$A:$Z,26,FALSE)+VLOOKUP($A359,A:AL,37,FALSE)-50)),"-",(VLOOKUP($A359,'SegEnds_NonXtal_BW#'!$A:$Z,26,FALSE)+VLOOKUP($A359,A:AL,37,FALSE)-50))</f>
        <v>311</v>
      </c>
      <c r="AM359" s="28" t="str">
        <f>VLOOKUP(A359,Classification!A:B,2,FALSE)</f>
        <v>C</v>
      </c>
      <c r="AN359" s="28" t="b">
        <f t="shared" si="243"/>
        <v>1</v>
      </c>
      <c r="AO359" s="3" t="str">
        <f>IF(ISERROR(MATCH(A359,'SegEnds_Xtal_Prot#'!B:B, 0)), "NoXtal", "Xtal")</f>
        <v>NoXtal</v>
      </c>
      <c r="AP359" s="3">
        <f t="shared" si="228"/>
        <v>1</v>
      </c>
      <c r="AQ359" s="3">
        <f t="shared" si="229"/>
        <v>1</v>
      </c>
      <c r="AR359" s="3" t="str">
        <f t="shared" si="230"/>
        <v>-</v>
      </c>
      <c r="AS359" s="3" t="str">
        <f t="shared" si="231"/>
        <v>-</v>
      </c>
      <c r="AT359" s="3" t="str">
        <f t="shared" si="232"/>
        <v>-</v>
      </c>
      <c r="AU359" s="3" t="str">
        <f t="shared" si="233"/>
        <v>-</v>
      </c>
      <c r="AV359" s="3">
        <f t="shared" si="234"/>
        <v>9</v>
      </c>
      <c r="AW359" s="3">
        <f t="shared" si="235"/>
        <v>1</v>
      </c>
      <c r="AX359" s="3">
        <f t="shared" si="236"/>
        <v>11</v>
      </c>
      <c r="AY359" s="3">
        <f t="shared" si="237"/>
        <v>11</v>
      </c>
      <c r="AZ359" s="3">
        <f t="shared" si="238"/>
        <v>2</v>
      </c>
      <c r="BA359" s="3">
        <f>IF(ISERROR(LEN(VLOOKUP(A359,Seqs!A:E,2,FALSE))-AL359),"-",LEN(VLOOKUP(A359,Seqs!A:E,2,FALSE))-AL359)</f>
        <v>92</v>
      </c>
      <c r="BB359" s="16">
        <f t="shared" si="239"/>
        <v>33</v>
      </c>
      <c r="BC359" s="9" t="str">
        <f t="shared" si="240"/>
        <v>-</v>
      </c>
      <c r="BD359" s="3">
        <f t="shared" si="241"/>
        <v>33</v>
      </c>
      <c r="BE359" s="3">
        <f t="shared" si="242"/>
        <v>39</v>
      </c>
    </row>
    <row r="360" spans="1:58" s="3" customFormat="1" x14ac:dyDescent="0.2">
      <c r="A360" s="3" t="s">
        <v>112</v>
      </c>
      <c r="B360" s="3" t="str">
        <f>LOWER(VLOOKUP(A360,Xtal_Templ!A:B,2,FALSE))</f>
        <v>grm1_human</v>
      </c>
      <c r="C360" s="3">
        <f>VLOOKUP($A360,'SegEnds_NonXtal_BW#'!$A:$Z,3,FALSE)+D360-50</f>
        <v>48</v>
      </c>
      <c r="D360" s="3">
        <v>64</v>
      </c>
      <c r="E360" s="3">
        <f>IF(ISERROR(VLOOKUP($A360,'SegEnds_NonXtal_BW#'!$A:$Z,4,FALSE)+VLOOKUP($A360,A:AL,4,FALSE)-50),"-",(VLOOKUP($A360,'SegEnds_NonXtal_BW#'!$A:$Z,4,FALSE)+VLOOKUP($A360,A:AL,4,FALSE)-50))</f>
        <v>74</v>
      </c>
      <c r="F360" s="3">
        <f t="shared" si="245"/>
        <v>75</v>
      </c>
      <c r="G360" s="3">
        <v>78</v>
      </c>
      <c r="H360" s="3">
        <f t="shared" si="246"/>
        <v>81</v>
      </c>
      <c r="I360" s="3">
        <f t="shared" si="247"/>
        <v>82</v>
      </c>
      <c r="J360" s="3">
        <v>97</v>
      </c>
      <c r="K360" s="3">
        <f>VLOOKUP($A360,'SegEnds_NonXtal_BW#'!$A:$Z,8,FALSE)+VLOOKUP($A360,A:AL,10,FALSE)-50</f>
        <v>108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113</v>
      </c>
      <c r="P360" s="3">
        <v>141</v>
      </c>
      <c r="Q360" s="3">
        <f>VLOOKUP($A360,'SegEnds_NonXtal_BW#'!$A:$Z,12,FALSE)+VLOOKUP($A360,A:AL,16,FALSE)-50</f>
        <v>145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152</v>
      </c>
      <c r="V360" s="3">
        <v>164</v>
      </c>
      <c r="W360" s="3">
        <f>IF(ISERROR(VLOOKUP($A360,'SegEnds_NonXtal_BW#'!$A:$Z,16,FALSE)+VLOOKUP($A360,A:AL,22,FALSE)-50),"-",(VLOOKUP($A360,'SegEnds_NonXtal_BW#'!$A:$Z,16,FALSE)+VLOOKUP($A360,A:AL,22,FALSE)-50))</f>
        <v>178</v>
      </c>
      <c r="X360" s="3">
        <f>IF(ISERROR(VLOOKUP($A360,'SegEnds_NonXtal_BW#'!$A:$Z,17,FALSE)+VLOOKUP($A360,A:AL,25,FALSE)-50),"-",(VLOOKUP($A360,'SegEnds_NonXtal_BW#'!$A:$Z,17,FALSE)+VLOOKUP($A360,A:AL,25,FALSE)-50))</f>
        <v>202</v>
      </c>
      <c r="Y360" s="3">
        <v>202</v>
      </c>
      <c r="Z360" s="3">
        <f>Y360+2</f>
        <v>204</v>
      </c>
      <c r="AA360" s="3">
        <f>IF(ISERROR(VLOOKUP($A360,'SegEnds_NonXtal_BW#'!$A:$Z,19,FALSE)+VLOOKUP($A360,A:AL,28,FALSE)-50),"-",(VLOOKUP($A360,'SegEnds_NonXtal_BW#'!$A:$Z,19,FALSE)+VLOOKUP($A360,A:AL,28,FALSE)-50))</f>
        <v>205</v>
      </c>
      <c r="AB360" s="3">
        <v>219</v>
      </c>
      <c r="AC360" s="3">
        <f>IF(ISERROR((VLOOKUP($A360,'SegEnds_NonXtal_BW#'!$A:$Z,20,FALSE)+VLOOKUP($A360,A:AL,28,FALSE)-50)),"-",(VLOOKUP($A360,'SegEnds_NonXtal_BW#'!$A:$Z,20,FALSE)+VLOOKUP($A360,A:AL,28,FALSE)-50))</f>
        <v>230</v>
      </c>
      <c r="AD360" s="3">
        <f>IF(ISERROR(VLOOKUP($A360,'SegEnds_NonXtal_BW#'!$A:$Z,21,FALSE)+VLOOKUP($A360,A:AL,31,FALSE)-50),"-",(VLOOKUP($A360,'SegEnds_NonXtal_BW#'!$A:$Z,21,FALSE)+VLOOKUP($A360,A:AL,31,FALSE)-50))</f>
        <v>241</v>
      </c>
      <c r="AE360" s="3">
        <v>258</v>
      </c>
      <c r="AF360" s="3">
        <f>IF(ISERROR((VLOOKUP($A360,'SegEnds_NonXtal_BW#'!$A:$Z,22,FALSE)+VLOOKUP($A360,A:AL,31,FALSE)-50)),"-",(VLOOKUP($A360,'SegEnds_NonXtal_BW#'!$A:$Z,22,FALSE)+VLOOKUP($A360,A:AL,31,FALSE)-50))</f>
        <v>265</v>
      </c>
      <c r="AG360" s="3">
        <f>IF(ISERROR(VLOOKUP($A360,'SegEnds_NonXtal_BW#'!$A:$Z,23,FALSE)+VLOOKUP($A360,A:AL,34,FALSE)-50),"-",(VLOOKUP($A360,'SegEnds_NonXtal_BW#'!$A:$Z,23,FALSE)+VLOOKUP($A360,A:AL,34,FALSE)-50))</f>
        <v>275</v>
      </c>
      <c r="AH360" s="3">
        <v>292</v>
      </c>
      <c r="AI360" s="3">
        <f>IF(ISERROR((VLOOKUP($A360,'SegEnds_NonXtal_BW#'!$A:$Z,24,FALSE)+VLOOKUP($A360,A:AL,34,FALSE)-50)),"-",(VLOOKUP($A360,'SegEnds_NonXtal_BW#'!$A:$Z,24,FALSE)+VLOOKUP($A360,A:AL,34,FALSE)-50))</f>
        <v>306</v>
      </c>
      <c r="AJ360" s="3">
        <f>IF(ISERROR(VLOOKUP($A360,'SegEnds_NonXtal_BW#'!$A:$Z,25,FALSE)+VLOOKUP($A360,A:AL,37,FALSE)-50),"-",(VLOOKUP($A360,'SegEnds_NonXtal_BW#'!$A:$Z,25,FALSE)+VLOOKUP($A360,A:AL,37,FALSE)-50))</f>
        <v>308</v>
      </c>
      <c r="AK360" s="3">
        <v>312</v>
      </c>
      <c r="AL360" s="3">
        <v>319</v>
      </c>
      <c r="AM360" s="28" t="str">
        <f>VLOOKUP(A360,Classification!A:B,2,FALSE)</f>
        <v>C</v>
      </c>
      <c r="AN360" s="28" t="b">
        <f t="shared" si="243"/>
        <v>1</v>
      </c>
      <c r="AO360" s="3" t="str">
        <f>IF(ISERROR(MATCH(A360,'SegEnds_Xtal_Prot#'!B:B, 0)), "NoXtal", "Xtal")</f>
        <v>NoXtal</v>
      </c>
      <c r="AP360" s="3">
        <f t="shared" si="228"/>
        <v>1</v>
      </c>
      <c r="AQ360" s="3">
        <f t="shared" si="229"/>
        <v>1</v>
      </c>
      <c r="AR360" s="3" t="str">
        <f t="shared" si="230"/>
        <v>-</v>
      </c>
      <c r="AS360" s="3" t="str">
        <f t="shared" si="231"/>
        <v>-</v>
      </c>
      <c r="AT360" s="3" t="str">
        <f t="shared" si="232"/>
        <v>-</v>
      </c>
      <c r="AU360" s="3" t="str">
        <f t="shared" si="233"/>
        <v>-</v>
      </c>
      <c r="AV360" s="3">
        <f t="shared" si="234"/>
        <v>24</v>
      </c>
      <c r="AW360" s="3">
        <f t="shared" si="235"/>
        <v>1</v>
      </c>
      <c r="AX360" s="3">
        <f t="shared" si="236"/>
        <v>11</v>
      </c>
      <c r="AY360" s="3">
        <f t="shared" si="237"/>
        <v>10</v>
      </c>
      <c r="AZ360" s="3">
        <f t="shared" si="238"/>
        <v>2</v>
      </c>
      <c r="BA360" s="3">
        <f>IF(ISERROR(LEN(VLOOKUP(A360,Seqs!A:E,2,FALSE))-AL360),"-",LEN(VLOOKUP(A360,Seqs!A:E,2,FALSE))-AL360)</f>
        <v>122</v>
      </c>
      <c r="BB360" s="16">
        <f t="shared" si="239"/>
        <v>33</v>
      </c>
      <c r="BC360" s="9" t="str">
        <f t="shared" si="240"/>
        <v>-</v>
      </c>
      <c r="BD360" s="3">
        <f t="shared" si="241"/>
        <v>33</v>
      </c>
      <c r="BE360" s="3">
        <f t="shared" si="242"/>
        <v>39</v>
      </c>
    </row>
    <row r="361" spans="1:58" s="3" customFormat="1" x14ac:dyDescent="0.2">
      <c r="A361" s="3" t="s">
        <v>113</v>
      </c>
      <c r="B361" s="3" t="str">
        <f>LOWER(VLOOKUP(A361,Xtal_Templ!A:B,2,FALSE))</f>
        <v>grm1_human</v>
      </c>
      <c r="C361" s="3">
        <f>VLOOKUP($A361,'SegEnds_NonXtal_BW#'!$A:$Z,3,FALSE)+D361-50</f>
        <v>21</v>
      </c>
      <c r="D361" s="3">
        <v>37</v>
      </c>
      <c r="E361" s="3">
        <f>IF(ISERROR(VLOOKUP($A361,'SegEnds_NonXtal_BW#'!$A:$Z,4,FALSE)+VLOOKUP($A361,A:AL,4,FALSE)-50),"-",(VLOOKUP($A361,'SegEnds_NonXtal_BW#'!$A:$Z,4,FALSE)+VLOOKUP($A361,A:AL,4,FALSE)-50))</f>
        <v>47</v>
      </c>
      <c r="F361" s="3">
        <f t="shared" si="245"/>
        <v>48</v>
      </c>
      <c r="G361" s="3">
        <v>51</v>
      </c>
      <c r="H361" s="3">
        <f t="shared" si="246"/>
        <v>54</v>
      </c>
      <c r="I361" s="3">
        <f t="shared" si="247"/>
        <v>55</v>
      </c>
      <c r="J361" s="3">
        <v>70</v>
      </c>
      <c r="K361" s="3">
        <f>VLOOKUP($A361,'SegEnds_NonXtal_BW#'!$A:$Z,8,FALSE)+VLOOKUP($A361,A:AL,10,FALSE)-50</f>
        <v>81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86</v>
      </c>
      <c r="P361" s="3">
        <v>114</v>
      </c>
      <c r="Q361" s="3">
        <f>VLOOKUP($A361,'SegEnds_NonXtal_BW#'!$A:$Z,12,FALSE)+VLOOKUP($A361,A:AL,16,FALSE)-50</f>
        <v>118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125</v>
      </c>
      <c r="V361" s="3">
        <v>137</v>
      </c>
      <c r="W361" s="3">
        <f>IF(ISERROR(VLOOKUP($A361,'SegEnds_NonXtal_BW#'!$A:$Z,16,FALSE)+VLOOKUP($A361,A:AL,22,FALSE)-50),"-",(VLOOKUP($A361,'SegEnds_NonXtal_BW#'!$A:$Z,16,FALSE)+VLOOKUP($A361,A:AL,22,FALSE)-50))</f>
        <v>151</v>
      </c>
      <c r="X361" s="3">
        <f>IF(ISERROR(VLOOKUP($A361,'SegEnds_NonXtal_BW#'!$A:$Z,17,FALSE)+VLOOKUP($A361,A:AL,25,FALSE)-50),"-",(VLOOKUP($A361,'SegEnds_NonXtal_BW#'!$A:$Z,17,FALSE)+VLOOKUP($A361,A:AL,25,FALSE)-50))</f>
        <v>164</v>
      </c>
      <c r="Y361" s="105">
        <v>164</v>
      </c>
      <c r="Z361" s="3">
        <f>IF(ISERROR(VLOOKUP($A361,'SegEnds_NonXtal_BW#'!$A:$Z,18,FALSE)+VLOOKUP($A361,A:AL,25,FALSE)-50),"-",(VLOOKUP($A361,'SegEnds_NonXtal_BW#'!$A:$Z,18,FALSE)+VLOOKUP($A361,A:AL,25,FALSE)-50))</f>
        <v>166</v>
      </c>
      <c r="AA361" s="105">
        <v>167</v>
      </c>
      <c r="AB361" s="3">
        <v>180</v>
      </c>
      <c r="AC361" s="3">
        <f>IF(ISERROR((VLOOKUP($A361,'SegEnds_NonXtal_BW#'!$A:$Z,20,FALSE)+VLOOKUP($A361,A:AL,28,FALSE)-50)),"-",(VLOOKUP($A361,'SegEnds_NonXtal_BW#'!$A:$Z,20,FALSE)+VLOOKUP($A361,A:AL,28,FALSE)-50))</f>
        <v>191</v>
      </c>
      <c r="AD361" s="3">
        <f>IF(ISERROR(VLOOKUP($A361,'SegEnds_NonXtal_BW#'!$A:$Z,21,FALSE)+VLOOKUP($A361,A:AL,31,FALSE)-50),"-",(VLOOKUP($A361,'SegEnds_NonXtal_BW#'!$A:$Z,21,FALSE)+VLOOKUP($A361,A:AL,31,FALSE)-50))</f>
        <v>202</v>
      </c>
      <c r="AE361" s="3">
        <v>219</v>
      </c>
      <c r="AF361" s="3">
        <f>IF(ISERROR((VLOOKUP($A361,'SegEnds_NonXtal_BW#'!$A:$Z,22,FALSE)+VLOOKUP($A361,A:AL,31,FALSE)-50)),"-",(VLOOKUP($A361,'SegEnds_NonXtal_BW#'!$A:$Z,22,FALSE)+VLOOKUP($A361,A:AL,31,FALSE)-50))</f>
        <v>226</v>
      </c>
      <c r="AG361" s="3">
        <f>IF(ISERROR(VLOOKUP($A361,'SegEnds_NonXtal_BW#'!$A:$Z,23,FALSE)+VLOOKUP($A361,A:AL,34,FALSE)-50),"-",(VLOOKUP($A361,'SegEnds_NonXtal_BW#'!$A:$Z,23,FALSE)+VLOOKUP($A361,A:AL,34,FALSE)-50))</f>
        <v>237</v>
      </c>
      <c r="AH361" s="3">
        <v>254</v>
      </c>
      <c r="AI361" s="3">
        <f>IF(ISERROR((VLOOKUP($A361,'SegEnds_NonXtal_BW#'!$A:$Z,24,FALSE)+VLOOKUP($A361,A:AL,34,FALSE)-50)),"-",(VLOOKUP($A361,'SegEnds_NonXtal_BW#'!$A:$Z,24,FALSE)+VLOOKUP($A361,A:AL,34,FALSE)-50))</f>
        <v>268</v>
      </c>
      <c r="AJ361" s="3">
        <f>IF(ISERROR(VLOOKUP($A361,'SegEnds_NonXtal_BW#'!$A:$Z,25,FALSE)+VLOOKUP($A361,A:AL,37,FALSE)-50),"-",(VLOOKUP($A361,'SegEnds_NonXtal_BW#'!$A:$Z,25,FALSE)+VLOOKUP($A361,A:AL,37,FALSE)-50))</f>
        <v>271</v>
      </c>
      <c r="AK361" s="3">
        <v>275</v>
      </c>
      <c r="AL361" s="3">
        <v>281</v>
      </c>
      <c r="AM361" s="28" t="str">
        <f>VLOOKUP(A361,Classification!A:B,2,FALSE)</f>
        <v>C</v>
      </c>
      <c r="AN361" s="28" t="b">
        <f t="shared" si="243"/>
        <v>1</v>
      </c>
      <c r="AO361" s="3" t="str">
        <f>IF(ISERROR(MATCH(A361,'SegEnds_Xtal_Prot#'!B:B, 0)), "NoXtal", "Xtal")</f>
        <v>NoXtal</v>
      </c>
      <c r="AP361" s="3">
        <f t="shared" si="228"/>
        <v>1</v>
      </c>
      <c r="AQ361" s="3">
        <f t="shared" si="229"/>
        <v>1</v>
      </c>
      <c r="AR361" s="3" t="str">
        <f t="shared" si="230"/>
        <v>-</v>
      </c>
      <c r="AS361" s="3" t="str">
        <f t="shared" si="231"/>
        <v>-</v>
      </c>
      <c r="AT361" s="3" t="str">
        <f t="shared" si="232"/>
        <v>-</v>
      </c>
      <c r="AU361" s="3" t="str">
        <f t="shared" si="233"/>
        <v>-</v>
      </c>
      <c r="AV361" s="3">
        <f t="shared" si="234"/>
        <v>13</v>
      </c>
      <c r="AW361" s="3">
        <f t="shared" si="235"/>
        <v>1</v>
      </c>
      <c r="AX361" s="3">
        <f t="shared" si="236"/>
        <v>11</v>
      </c>
      <c r="AY361" s="3">
        <f t="shared" si="237"/>
        <v>11</v>
      </c>
      <c r="AZ361" s="3">
        <f t="shared" si="238"/>
        <v>3</v>
      </c>
      <c r="BA361" s="3">
        <f>IF(ISERROR(LEN(VLOOKUP(A361,Seqs!A:E,2,FALSE))-AL361),"-",LEN(VLOOKUP(A361,Seqs!A:E,2,FALSE))-AL361)</f>
        <v>64</v>
      </c>
      <c r="BB361" s="16">
        <f t="shared" si="239"/>
        <v>33</v>
      </c>
      <c r="BC361" s="9" t="str">
        <f t="shared" si="240"/>
        <v>-</v>
      </c>
      <c r="BD361" s="3">
        <f t="shared" si="241"/>
        <v>33</v>
      </c>
      <c r="BE361" s="3">
        <f t="shared" si="242"/>
        <v>39</v>
      </c>
    </row>
    <row r="362" spans="1:58" s="3" customFormat="1" x14ac:dyDescent="0.2">
      <c r="A362" s="3" t="s">
        <v>114</v>
      </c>
      <c r="B362" s="3" t="str">
        <f>LOWER(VLOOKUP(A362,Xtal_Templ!A:B,2,FALSE))</f>
        <v>grm1_human</v>
      </c>
      <c r="C362" s="3">
        <f>VLOOKUP($A362,'SegEnds_NonXtal_BW#'!$A:$Z,3,FALSE)+D362-50</f>
        <v>592</v>
      </c>
      <c r="D362" s="3">
        <v>608</v>
      </c>
      <c r="E362" s="3">
        <f>IF(ISERROR(VLOOKUP($A362,'SegEnds_NonXtal_BW#'!$A:$Z,4,FALSE)+VLOOKUP($A362,A:AL,4,FALSE)-50),"-",(VLOOKUP($A362,'SegEnds_NonXtal_BW#'!$A:$Z,4,FALSE)+VLOOKUP($A362,A:AL,4,FALSE)-50))</f>
        <v>618</v>
      </c>
      <c r="F362" s="3">
        <f t="shared" si="245"/>
        <v>621</v>
      </c>
      <c r="G362" s="3">
        <v>624</v>
      </c>
      <c r="H362" s="3">
        <f t="shared" si="246"/>
        <v>627</v>
      </c>
      <c r="I362" s="3">
        <f t="shared" si="247"/>
        <v>628</v>
      </c>
      <c r="J362" s="3">
        <v>640</v>
      </c>
      <c r="K362" s="3">
        <f>VLOOKUP($A362,'SegEnds_NonXtal_BW#'!$A:$Z,8,FALSE)+VLOOKUP($A362,A:AL,10,FALSE)-50</f>
        <v>651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656</v>
      </c>
      <c r="P362" s="3">
        <v>684</v>
      </c>
      <c r="Q362" s="3">
        <f>VLOOKUP($A362,'SegEnds_NonXtal_BW#'!$A:$Z,12,FALSE)+VLOOKUP($A362,A:AL,16,FALSE)-50</f>
        <v>688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700</v>
      </c>
      <c r="V362" s="3">
        <v>712</v>
      </c>
      <c r="W362" s="3">
        <f>IF(ISERROR(VLOOKUP($A362,'SegEnds_NonXtal_BW#'!$A:$Z,16,FALSE)+VLOOKUP($A362,A:AL,22,FALSE)-50),"-",(VLOOKUP($A362,'SegEnds_NonXtal_BW#'!$A:$Z,16,FALSE)+VLOOKUP($A362,A:AL,22,FALSE)-50))</f>
        <v>726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ref="Z362:Z370" si="248">Y362+2</f>
        <v>746</v>
      </c>
      <c r="AA362" s="3">
        <f>IF(ISERROR(VLOOKUP($A362,'SegEnds_NonXtal_BW#'!$A:$Z,19,FALSE)+VLOOKUP($A362,A:AL,28,FALSE)-50),"-",(VLOOKUP($A362,'SegEnds_NonXtal_BW#'!$A:$Z,19,FALSE)+VLOOKUP($A362,A:AL,28,FALSE)-50))</f>
        <v>748</v>
      </c>
      <c r="AB362" s="3">
        <v>762</v>
      </c>
      <c r="AC362" s="3">
        <f>IF(ISERROR((VLOOKUP($A362,'SegEnds_NonXtal_BW#'!$A:$Z,20,FALSE)+VLOOKUP($A362,A:AL,28,FALSE)-50)),"-",(VLOOKUP($A362,'SegEnds_NonXtal_BW#'!$A:$Z,20,FALSE)+VLOOKUP($A362,A:AL,28,FALSE)-50))</f>
        <v>773</v>
      </c>
      <c r="AD362" s="3">
        <f>IF(ISERROR(VLOOKUP($A362,'SegEnds_NonXtal_BW#'!$A:$Z,21,FALSE)+VLOOKUP($A362,A:AL,31,FALSE)-50),"-",(VLOOKUP($A362,'SegEnds_NonXtal_BW#'!$A:$Z,21,FALSE)+VLOOKUP($A362,A:AL,31,FALSE)-50))</f>
        <v>780</v>
      </c>
      <c r="AE362" s="3">
        <v>797</v>
      </c>
      <c r="AF362" s="3">
        <f>IF(ISERROR((VLOOKUP($A362,'SegEnds_NonXtal_BW#'!$A:$Z,22,FALSE)+VLOOKUP($A362,A:AL,31,FALSE)-50)),"-",(VLOOKUP($A362,'SegEnds_NonXtal_BW#'!$A:$Z,22,FALSE)+VLOOKUP($A362,A:AL,31,FALSE)-50))</f>
        <v>804</v>
      </c>
      <c r="AG362" s="3">
        <f>IF(ISERROR(VLOOKUP($A362,'SegEnds_NonXtal_BW#'!$A:$Z,23,FALSE)+VLOOKUP($A362,A:AL,34,FALSE)-50),"-",(VLOOKUP($A362,'SegEnds_NonXtal_BW#'!$A:$Z,23,FALSE)+VLOOKUP($A362,A:AL,34,FALSE)-50))</f>
        <v>809</v>
      </c>
      <c r="AH362" s="3">
        <v>826</v>
      </c>
      <c r="AI362" s="3">
        <f>IF(ISERROR((VLOOKUP($A362,'SegEnds_NonXtal_BW#'!$A:$Z,24,FALSE)+VLOOKUP($A362,A:AL,34,FALSE)-50)),"-",(VLOOKUP($A362,'SegEnds_NonXtal_BW#'!$A:$Z,24,FALSE)+VLOOKUP($A362,A:AL,34,FALSE)-50))</f>
        <v>840</v>
      </c>
      <c r="AJ362" s="3">
        <f>IF(ISERROR(VLOOKUP($A362,'SegEnds_NonXtal_BW#'!$A:$Z,25,FALSE)+VLOOKUP($A362,A:AL,37,FALSE)-50),"-",(VLOOKUP($A362,'SegEnds_NonXtal_BW#'!$A:$Z,25,FALSE)+VLOOKUP($A362,A:AL,37,FALSE)-50))</f>
        <v>841</v>
      </c>
      <c r="AK362" s="3">
        <v>845</v>
      </c>
      <c r="AL362" s="3">
        <f>IF(ISERROR((VLOOKUP($A362,'SegEnds_NonXtal_BW#'!$A:$Z,26,FALSE)+VLOOKUP($A362,A:AL,37,FALSE)-50)),"-",(VLOOKUP($A362,'SegEnds_NonXtal_BW#'!$A:$Z,26,FALSE)+VLOOKUP($A362,A:AL,37,FALSE)-50))</f>
        <v>852</v>
      </c>
      <c r="AM362" s="28" t="str">
        <f>VLOOKUP(A362,Classification!A:B,2,FALSE)</f>
        <v>C</v>
      </c>
      <c r="AN362" s="28" t="b">
        <f t="shared" si="243"/>
        <v>1</v>
      </c>
      <c r="AO362" s="3" t="str">
        <f>IF(ISERROR(MATCH(A362,'SegEnds_Xtal_Prot#'!B:B, 0)), "NoXtal", "Xtal")</f>
        <v>NoXtal</v>
      </c>
      <c r="AP362" s="3">
        <f t="shared" si="228"/>
        <v>3</v>
      </c>
      <c r="AQ362" s="3">
        <f t="shared" si="229"/>
        <v>1</v>
      </c>
      <c r="AR362" s="3" t="str">
        <f t="shared" si="230"/>
        <v>-</v>
      </c>
      <c r="AS362" s="3" t="str">
        <f t="shared" si="231"/>
        <v>-</v>
      </c>
      <c r="AT362" s="3" t="str">
        <f t="shared" si="232"/>
        <v>-</v>
      </c>
      <c r="AU362" s="3" t="str">
        <f t="shared" si="233"/>
        <v>-</v>
      </c>
      <c r="AV362" s="3">
        <f t="shared" si="234"/>
        <v>18</v>
      </c>
      <c r="AW362" s="3">
        <f t="shared" si="235"/>
        <v>2</v>
      </c>
      <c r="AX362" s="3">
        <f t="shared" si="236"/>
        <v>7</v>
      </c>
      <c r="AY362" s="3">
        <f t="shared" si="237"/>
        <v>5</v>
      </c>
      <c r="AZ362" s="3">
        <f t="shared" si="238"/>
        <v>1</v>
      </c>
      <c r="BA362" s="3">
        <f>IF(ISERROR(LEN(VLOOKUP(A362,Seqs!A:E,2,FALSE))-AL362),"-",LEN(VLOOKUP(A362,Seqs!A:E,2,FALSE))-AL362)</f>
        <v>74</v>
      </c>
      <c r="BB362" s="16">
        <f t="shared" si="239"/>
        <v>32</v>
      </c>
      <c r="BC362" s="9" t="str">
        <f t="shared" si="240"/>
        <v>-</v>
      </c>
      <c r="BD362" s="3">
        <f t="shared" si="241"/>
        <v>32</v>
      </c>
      <c r="BE362" s="3">
        <f t="shared" si="242"/>
        <v>35</v>
      </c>
    </row>
    <row r="363" spans="1:58" s="3" customFormat="1" x14ac:dyDescent="0.2">
      <c r="A363" s="3" t="s">
        <v>40</v>
      </c>
      <c r="B363" s="3" t="str">
        <f>LOWER(VLOOKUP(A363,Xtal_Templ!A:B,2,FALSE))</f>
        <v>grm1_human</v>
      </c>
      <c r="C363" s="3">
        <f>VLOOKUP($A363,'SegEnds_NonXtal_BW#'!$A:$Z,3,FALSE)+D363-50</f>
        <v>591</v>
      </c>
      <c r="D363" s="3">
        <v>607</v>
      </c>
      <c r="E363" s="3">
        <f>IF(ISERROR(VLOOKUP($A363,'SegEnds_NonXtal_BW#'!$A:$Z,4,FALSE)+VLOOKUP($A363,A:AL,4,FALSE)-50),"-",(VLOOKUP($A363,'SegEnds_NonXtal_BW#'!$A:$Z,4,FALSE)+VLOOKUP($A363,A:AL,4,FALSE)-50))</f>
        <v>617</v>
      </c>
      <c r="F363" s="3">
        <f t="shared" si="245"/>
        <v>620</v>
      </c>
      <c r="G363" s="3">
        <v>623</v>
      </c>
      <c r="H363" s="3">
        <f t="shared" si="246"/>
        <v>626</v>
      </c>
      <c r="I363" s="3">
        <f t="shared" si="247"/>
        <v>627</v>
      </c>
      <c r="J363" s="3">
        <v>638</v>
      </c>
      <c r="K363" s="3">
        <f>VLOOKUP($A363,'SegEnds_NonXtal_BW#'!$A:$Z,8,FALSE)+VLOOKUP($A363,A:AL,10,FALSE)-50</f>
        <v>649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654</v>
      </c>
      <c r="P363" s="3">
        <v>682</v>
      </c>
      <c r="Q363" s="3">
        <f>VLOOKUP($A363,'SegEnds_NonXtal_BW#'!$A:$Z,12,FALSE)+VLOOKUP($A363,A:AL,16,FALSE)-50</f>
        <v>686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702</v>
      </c>
      <c r="V363" s="3">
        <v>714</v>
      </c>
      <c r="W363" s="3">
        <f>IF(ISERROR(VLOOKUP($A363,'SegEnds_NonXtal_BW#'!$A:$Z,16,FALSE)+VLOOKUP($A363,A:AL,22,FALSE)-50),"-",(VLOOKUP($A363,'SegEnds_NonXtal_BW#'!$A:$Z,16,FALSE)+VLOOKUP($A363,A:AL,22,FALSE)-50))</f>
        <v>728</v>
      </c>
      <c r="X363" s="3">
        <f>IF(ISERROR(VLOOKUP($A363,'SegEnds_NonXtal_BW#'!$A:$Z,17,FALSE)+VLOOKUP($A363,A:AL,25,FALSE)-50),"-",(VLOOKUP($A363,'SegEnds_NonXtal_BW#'!$A:$Z,17,FALSE)+VLOOKUP($A363,A:AL,25,FALSE)-50))</f>
        <v>746</v>
      </c>
      <c r="Y363" s="3">
        <v>746</v>
      </c>
      <c r="Z363" s="3">
        <f t="shared" si="248"/>
        <v>748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763</v>
      </c>
      <c r="AC363" s="3">
        <f>IF(ISERROR((VLOOKUP($A363,'SegEnds_NonXtal_BW#'!$A:$Z,20,FALSE)+VLOOKUP($A363,A:AL,28,FALSE)-50)),"-",(VLOOKUP($A363,'SegEnds_NonXtal_BW#'!$A:$Z,20,FALSE)+VLOOKUP($A363,A:AL,28,FALSE)-50))</f>
        <v>774</v>
      </c>
      <c r="AD363" s="3">
        <f>IF(ISERROR(VLOOKUP($A363,'SegEnds_NonXtal_BW#'!$A:$Z,21,FALSE)+VLOOKUP($A363,A:AL,31,FALSE)-50),"-",(VLOOKUP($A363,'SegEnds_NonXtal_BW#'!$A:$Z,21,FALSE)+VLOOKUP($A363,A:AL,31,FALSE)-50))</f>
        <v>783</v>
      </c>
      <c r="AE363" s="3">
        <v>800</v>
      </c>
      <c r="AF363" s="3">
        <f>IF(ISERROR((VLOOKUP($A363,'SegEnds_NonXtal_BW#'!$A:$Z,22,FALSE)+VLOOKUP($A363,A:AL,31,FALSE)-50)),"-",(VLOOKUP($A363,'SegEnds_NonXtal_BW#'!$A:$Z,22,FALSE)+VLOOKUP($A363,A:AL,31,FALSE)-50))</f>
        <v>807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827</v>
      </c>
      <c r="AI363" s="3">
        <f>IF(ISERROR((VLOOKUP($A363,'SegEnds_NonXtal_BW#'!$A:$Z,24,FALSE)+VLOOKUP($A363,A:AL,34,FALSE)-50)),"-",(VLOOKUP($A363,'SegEnds_NonXtal_BW#'!$A:$Z,24,FALSE)+VLOOKUP($A363,A:AL,34,FALSE)-50))</f>
        <v>841</v>
      </c>
      <c r="AJ363" s="3">
        <f>IF(ISERROR(VLOOKUP($A363,'SegEnds_NonXtal_BW#'!$A:$Z,25,FALSE)+VLOOKUP($A363,A:AL,37,FALSE)-50),"-",(VLOOKUP($A363,'SegEnds_NonXtal_BW#'!$A:$Z,25,FALSE)+VLOOKUP($A363,A:AL,37,FALSE)-50))</f>
        <v>842</v>
      </c>
      <c r="AK363" s="3">
        <v>846</v>
      </c>
      <c r="AL363" s="3">
        <f>IF(ISERROR((VLOOKUP($A363,'SegEnds_NonXtal_BW#'!$A:$Z,26,FALSE)+VLOOKUP($A363,A:AL,37,FALSE)-50)),"-",(VLOOKUP($A363,'SegEnds_NonXtal_BW#'!$A:$Z,26,FALSE)+VLOOKUP($A363,A:AL,37,FALSE)-50))</f>
        <v>853</v>
      </c>
      <c r="AM363" s="28" t="str">
        <f>VLOOKUP(A363,Classification!A:B,2,FALSE)</f>
        <v>C</v>
      </c>
      <c r="AN363" s="28" t="b">
        <f t="shared" si="243"/>
        <v>1</v>
      </c>
      <c r="AO363" s="3" t="str">
        <f>IF(ISERROR(MATCH(A363,'SegEnds_Xtal_Prot#'!B:B, 0)), "NoXtal", "Xtal")</f>
        <v>Xtal</v>
      </c>
      <c r="AP363" s="3">
        <f t="shared" si="228"/>
        <v>3</v>
      </c>
      <c r="AQ363" s="3">
        <f t="shared" si="229"/>
        <v>1</v>
      </c>
      <c r="AR363" s="3" t="str">
        <f t="shared" si="230"/>
        <v>-</v>
      </c>
      <c r="AS363" s="3" t="str">
        <f t="shared" si="231"/>
        <v>-</v>
      </c>
      <c r="AT363" s="3" t="str">
        <f t="shared" si="232"/>
        <v>-</v>
      </c>
      <c r="AU363" s="3" t="str">
        <f t="shared" si="233"/>
        <v>-</v>
      </c>
      <c r="AV363" s="3">
        <f t="shared" si="234"/>
        <v>18</v>
      </c>
      <c r="AW363" s="3">
        <f t="shared" si="235"/>
        <v>1</v>
      </c>
      <c r="AX363" s="3">
        <f t="shared" si="236"/>
        <v>9</v>
      </c>
      <c r="AY363" s="3">
        <f t="shared" si="237"/>
        <v>3</v>
      </c>
      <c r="AZ363" s="3">
        <f t="shared" si="238"/>
        <v>1</v>
      </c>
      <c r="BA363" s="3">
        <f>IF(ISERROR(LEN(VLOOKUP(A363,Seqs!A:E,2,FALSE))-AL363),"-",LEN(VLOOKUP(A363,Seqs!A:E,2,FALSE))-AL363)</f>
        <v>341</v>
      </c>
      <c r="BB363" s="16">
        <f t="shared" si="239"/>
        <v>31</v>
      </c>
      <c r="BC363" s="9" t="str">
        <f t="shared" si="240"/>
        <v>-</v>
      </c>
      <c r="BD363" s="3">
        <f t="shared" si="241"/>
        <v>31</v>
      </c>
      <c r="BE363" s="3">
        <f t="shared" si="242"/>
        <v>37</v>
      </c>
    </row>
    <row r="364" spans="1:58" s="3" customFormat="1" x14ac:dyDescent="0.2">
      <c r="A364" s="3" t="s">
        <v>115</v>
      </c>
      <c r="B364" s="3" t="str">
        <f>LOWER(VLOOKUP(A364,Xtal_Templ!A:B,2,FALSE))</f>
        <v>grm1_human</v>
      </c>
      <c r="C364" s="3">
        <f>VLOOKUP($A364,'SegEnds_NonXtal_BW#'!$A:$Z,3,FALSE)+D364-50</f>
        <v>566</v>
      </c>
      <c r="D364" s="3">
        <v>582</v>
      </c>
      <c r="E364" s="3">
        <f>IF(ISERROR(VLOOKUP($A364,'SegEnds_NonXtal_BW#'!$A:$Z,4,FALSE)+VLOOKUP($A364,A:AL,4,FALSE)-50),"-",(VLOOKUP($A364,'SegEnds_NonXtal_BW#'!$A:$Z,4,FALSE)+VLOOKUP($A364,A:AL,4,FALSE)-50))</f>
        <v>592</v>
      </c>
      <c r="F364" s="3">
        <f t="shared" si="245"/>
        <v>595</v>
      </c>
      <c r="G364" s="3">
        <v>598</v>
      </c>
      <c r="H364" s="3">
        <f t="shared" si="246"/>
        <v>601</v>
      </c>
      <c r="I364" s="3">
        <f t="shared" si="247"/>
        <v>602</v>
      </c>
      <c r="J364" s="3">
        <v>613</v>
      </c>
      <c r="K364" s="3">
        <f>VLOOKUP($A364,'SegEnds_NonXtal_BW#'!$A:$Z,8,FALSE)+VLOOKUP($A364,A:AL,10,FALSE)-50</f>
        <v>624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629</v>
      </c>
      <c r="P364" s="3">
        <v>657</v>
      </c>
      <c r="Q364" s="3">
        <f>VLOOKUP($A364,'SegEnds_NonXtal_BW#'!$A:$Z,12,FALSE)+VLOOKUP($A364,A:AL,16,FALSE)-50</f>
        <v>661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675</v>
      </c>
      <c r="V364" s="3">
        <v>687</v>
      </c>
      <c r="W364" s="3">
        <f>IF(ISERROR(VLOOKUP($A364,'SegEnds_NonXtal_BW#'!$A:$Z,16,FALSE)+VLOOKUP($A364,A:AL,22,FALSE)-50),"-",(VLOOKUP($A364,'SegEnds_NonXtal_BW#'!$A:$Z,16,FALSE)+VLOOKUP($A364,A:AL,22,FALSE)-50))</f>
        <v>701</v>
      </c>
      <c r="X364" s="3">
        <f>IF(ISERROR(VLOOKUP($A364,'SegEnds_NonXtal_BW#'!$A:$Z,17,FALSE)+VLOOKUP($A364,A:AL,25,FALSE)-50),"-",(VLOOKUP($A364,'SegEnds_NonXtal_BW#'!$A:$Z,17,FALSE)+VLOOKUP($A364,A:AL,25,FALSE)-50))</f>
        <v>721</v>
      </c>
      <c r="Y364" s="3">
        <v>721</v>
      </c>
      <c r="Z364" s="3">
        <f t="shared" si="248"/>
        <v>723</v>
      </c>
      <c r="AA364" s="3">
        <f>IF(ISERROR(VLOOKUP($A364,'SegEnds_NonXtal_BW#'!$A:$Z,19,FALSE)+VLOOKUP($A364,A:AL,28,FALSE)-50),"-",(VLOOKUP($A364,'SegEnds_NonXtal_BW#'!$A:$Z,19,FALSE)+VLOOKUP($A364,A:AL,28,FALSE)-50))</f>
        <v>724</v>
      </c>
      <c r="AB364" s="3">
        <v>738</v>
      </c>
      <c r="AC364" s="3">
        <f>IF(ISERROR((VLOOKUP($A364,'SegEnds_NonXtal_BW#'!$A:$Z,20,FALSE)+VLOOKUP($A364,A:AL,28,FALSE)-50)),"-",(VLOOKUP($A364,'SegEnds_NonXtal_BW#'!$A:$Z,20,FALSE)+VLOOKUP($A364,A:AL,28,FALSE)-50))</f>
        <v>749</v>
      </c>
      <c r="AD364" s="3">
        <f>IF(ISERROR(VLOOKUP($A364,'SegEnds_NonXtal_BW#'!$A:$Z,21,FALSE)+VLOOKUP($A364,A:AL,31,FALSE)-50),"-",(VLOOKUP($A364,'SegEnds_NonXtal_BW#'!$A:$Z,21,FALSE)+VLOOKUP($A364,A:AL,31,FALSE)-50))</f>
        <v>758</v>
      </c>
      <c r="AE364" s="3">
        <v>775</v>
      </c>
      <c r="AF364" s="3">
        <f>IF(ISERROR((VLOOKUP($A364,'SegEnds_NonXtal_BW#'!$A:$Z,22,FALSE)+VLOOKUP($A364,A:AL,31,FALSE)-50)),"-",(VLOOKUP($A364,'SegEnds_NonXtal_BW#'!$A:$Z,22,FALSE)+VLOOKUP($A364,A:AL,31,FALSE)-50))</f>
        <v>782</v>
      </c>
      <c r="AG364" s="3">
        <f>IF(ISERROR(VLOOKUP($A364,'SegEnds_NonXtal_BW#'!$A:$Z,23,FALSE)+VLOOKUP($A364,A:AL,34,FALSE)-50),"-",(VLOOKUP($A364,'SegEnds_NonXtal_BW#'!$A:$Z,23,FALSE)+VLOOKUP($A364,A:AL,34,FALSE)-50))</f>
        <v>789</v>
      </c>
      <c r="AH364" s="3">
        <v>806</v>
      </c>
      <c r="AI364" s="3">
        <f>IF(ISERROR((VLOOKUP($A364,'SegEnds_NonXtal_BW#'!$A:$Z,24,FALSE)+VLOOKUP($A364,A:AL,34,FALSE)-50)),"-",(VLOOKUP($A364,'SegEnds_NonXtal_BW#'!$A:$Z,24,FALSE)+VLOOKUP($A364,A:AL,34,FALSE)-50))</f>
        <v>820</v>
      </c>
      <c r="AJ364" s="3">
        <f>IF(ISERROR(VLOOKUP($A364,'SegEnds_NonXtal_BW#'!$A:$Z,25,FALSE)+VLOOKUP($A364,A:AL,37,FALSE)-50),"-",(VLOOKUP($A364,'SegEnds_NonXtal_BW#'!$A:$Z,25,FALSE)+VLOOKUP($A364,A:AL,37,FALSE)-50))</f>
        <v>821</v>
      </c>
      <c r="AK364" s="3">
        <v>825</v>
      </c>
      <c r="AL364" s="3">
        <f>IF(ISERROR((VLOOKUP($A364,'SegEnds_NonXtal_BW#'!$A:$Z,26,FALSE)+VLOOKUP($A364,A:AL,37,FALSE)-50)),"-",(VLOOKUP($A364,'SegEnds_NonXtal_BW#'!$A:$Z,26,FALSE)+VLOOKUP($A364,A:AL,37,FALSE)-50))</f>
        <v>832</v>
      </c>
      <c r="AM364" s="28" t="str">
        <f>VLOOKUP(A364,Classification!A:B,2,FALSE)</f>
        <v>C</v>
      </c>
      <c r="AN364" s="28" t="b">
        <f t="shared" si="243"/>
        <v>1</v>
      </c>
      <c r="AO364" s="3" t="str">
        <f>IF(ISERROR(MATCH(A364,'SegEnds_Xtal_Prot#'!B:B, 0)), "NoXtal", "Xtal")</f>
        <v>NoXtal</v>
      </c>
      <c r="AP364" s="3">
        <f t="shared" si="228"/>
        <v>3</v>
      </c>
      <c r="AQ364" s="3">
        <f t="shared" si="229"/>
        <v>1</v>
      </c>
      <c r="AR364" s="3" t="str">
        <f t="shared" si="230"/>
        <v>-</v>
      </c>
      <c r="AS364" s="3" t="str">
        <f t="shared" si="231"/>
        <v>-</v>
      </c>
      <c r="AT364" s="3" t="str">
        <f t="shared" si="232"/>
        <v>-</v>
      </c>
      <c r="AU364" s="3" t="str">
        <f t="shared" si="233"/>
        <v>-</v>
      </c>
      <c r="AV364" s="3">
        <f t="shared" si="234"/>
        <v>20</v>
      </c>
      <c r="AW364" s="3">
        <f t="shared" si="235"/>
        <v>1</v>
      </c>
      <c r="AX364" s="3">
        <f t="shared" si="236"/>
        <v>9</v>
      </c>
      <c r="AY364" s="3">
        <f t="shared" si="237"/>
        <v>7</v>
      </c>
      <c r="AZ364" s="3">
        <f t="shared" si="238"/>
        <v>1</v>
      </c>
      <c r="BA364" s="3">
        <f>IF(ISERROR(LEN(VLOOKUP(A364,Seqs!A:E,2,FALSE))-AL364),"-",LEN(VLOOKUP(A364,Seqs!A:E,2,FALSE))-AL364)</f>
        <v>40</v>
      </c>
      <c r="BB364" s="16">
        <f t="shared" si="239"/>
        <v>31</v>
      </c>
      <c r="BC364" s="9" t="str">
        <f t="shared" si="240"/>
        <v>-</v>
      </c>
      <c r="BD364" s="3">
        <f t="shared" si="241"/>
        <v>31</v>
      </c>
      <c r="BE364" s="3">
        <f t="shared" si="242"/>
        <v>37</v>
      </c>
    </row>
    <row r="365" spans="1:58" s="3" customFormat="1" x14ac:dyDescent="0.2">
      <c r="A365" s="3" t="s">
        <v>116</v>
      </c>
      <c r="B365" s="3" t="str">
        <f>LOWER(VLOOKUP(A365,Xtal_Templ!A:B,2,FALSE))</f>
        <v>grm5_human</v>
      </c>
      <c r="C365" s="3">
        <f>VLOOKUP($A365,'SegEnds_NonXtal_BW#'!$A:$Z,3,FALSE)+D365-50</f>
        <v>575</v>
      </c>
      <c r="D365" s="3">
        <v>591</v>
      </c>
      <c r="E365" s="3">
        <f>IF(ISERROR(VLOOKUP($A365,'SegEnds_NonXtal_BW#'!$A:$Z,4,FALSE)+VLOOKUP($A365,A:AL,4,FALSE)-50),"-",(VLOOKUP($A365,'SegEnds_NonXtal_BW#'!$A:$Z,4,FALSE)+VLOOKUP($A365,A:AL,4,FALSE)-50))</f>
        <v>601</v>
      </c>
      <c r="F365" s="3">
        <f t="shared" si="245"/>
        <v>604</v>
      </c>
      <c r="G365" s="3">
        <v>607</v>
      </c>
      <c r="H365" s="3">
        <f t="shared" si="246"/>
        <v>610</v>
      </c>
      <c r="I365" s="3">
        <f t="shared" si="247"/>
        <v>611</v>
      </c>
      <c r="J365" s="3">
        <v>622</v>
      </c>
      <c r="K365" s="3">
        <f>VLOOKUP($A365,'SegEnds_NonXtal_BW#'!$A:$Z,8,FALSE)+VLOOKUP($A365,A:AL,10,FALSE)-50</f>
        <v>633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637</v>
      </c>
      <c r="P365" s="3">
        <v>666</v>
      </c>
      <c r="Q365" s="3">
        <f>VLOOKUP($A365,'SegEnds_NonXtal_BW#'!$A:$Z,12,FALSE)+VLOOKUP($A365,A:AL,16,FALSE)-50</f>
        <v>670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684</v>
      </c>
      <c r="V365" s="3">
        <v>696</v>
      </c>
      <c r="W365" s="3">
        <f>IF(ISERROR(VLOOKUP($A365,'SegEnds_NonXtal_BW#'!$A:$Z,16,FALSE)+VLOOKUP($A365,A:AL,22,FALSE)-50),"-",(VLOOKUP($A365,'SegEnds_NonXtal_BW#'!$A:$Z,16,FALSE)+VLOOKUP($A365,A:AL,22,FALSE)-50))</f>
        <v>710</v>
      </c>
      <c r="X365" s="3">
        <f>IF(ISERROR(VLOOKUP($A365,'SegEnds_NonXtal_BW#'!$A:$Z,17,FALSE)+VLOOKUP($A365,A:AL,25,FALSE)-50),"-",(VLOOKUP($A365,'SegEnds_NonXtal_BW#'!$A:$Z,17,FALSE)+VLOOKUP($A365,A:AL,25,FALSE)-50))</f>
        <v>730</v>
      </c>
      <c r="Y365" s="3">
        <v>730</v>
      </c>
      <c r="Z365" s="3">
        <f t="shared" si="248"/>
        <v>732</v>
      </c>
      <c r="AA365" s="3">
        <f>IF(ISERROR(VLOOKUP($A365,'SegEnds_NonXtal_BW#'!$A:$Z,19,FALSE)+VLOOKUP($A365,A:AL,28,FALSE)-50),"-",(VLOOKUP($A365,'SegEnds_NonXtal_BW#'!$A:$Z,19,FALSE)+VLOOKUP($A365,A:AL,28,FALSE)-50))</f>
        <v>733</v>
      </c>
      <c r="AB365" s="3">
        <v>747</v>
      </c>
      <c r="AC365" s="3">
        <f>IF(ISERROR((VLOOKUP($A365,'SegEnds_NonXtal_BW#'!$A:$Z,20,FALSE)+VLOOKUP($A365,A:AL,28,FALSE)-50)),"-",(VLOOKUP($A365,'SegEnds_NonXtal_BW#'!$A:$Z,20,FALSE)+VLOOKUP($A365,A:AL,28,FALSE)-50))</f>
        <v>758</v>
      </c>
      <c r="AD365" s="3">
        <f>IF(ISERROR(VLOOKUP($A365,'SegEnds_NonXtal_BW#'!$A:$Z,21,FALSE)+VLOOKUP($A365,A:AL,31,FALSE)-50),"-",(VLOOKUP($A365,'SegEnds_NonXtal_BW#'!$A:$Z,21,FALSE)+VLOOKUP($A365,A:AL,31,FALSE)-50))</f>
        <v>767</v>
      </c>
      <c r="AE365" s="3">
        <v>784</v>
      </c>
      <c r="AF365" s="3">
        <f>IF(ISERROR((VLOOKUP($A365,'SegEnds_NonXtal_BW#'!$A:$Z,22,FALSE)+VLOOKUP($A365,A:AL,31,FALSE)-50)),"-",(VLOOKUP($A365,'SegEnds_NonXtal_BW#'!$A:$Z,22,FALSE)+VLOOKUP($A365,A:AL,31,FALSE)-50))</f>
        <v>791</v>
      </c>
      <c r="AG365" s="3">
        <f>IF(ISERROR(VLOOKUP($A365,'SegEnds_NonXtal_BW#'!$A:$Z,23,FALSE)+VLOOKUP($A365,A:AL,34,FALSE)-50),"-",(VLOOKUP($A365,'SegEnds_NonXtal_BW#'!$A:$Z,23,FALSE)+VLOOKUP($A365,A:AL,34,FALSE)-50))</f>
        <v>798</v>
      </c>
      <c r="AH365" s="3">
        <v>815</v>
      </c>
      <c r="AI365" s="3">
        <f>IF(ISERROR((VLOOKUP($A365,'SegEnds_NonXtal_BW#'!$A:$Z,24,FALSE)+VLOOKUP($A365,A:AL,34,FALSE)-50)),"-",(VLOOKUP($A365,'SegEnds_NonXtal_BW#'!$A:$Z,24,FALSE)+VLOOKUP($A365,A:AL,34,FALSE)-50))</f>
        <v>829</v>
      </c>
      <c r="AJ365" s="3">
        <f>IF(ISERROR(VLOOKUP($A365,'SegEnds_NonXtal_BW#'!$A:$Z,25,FALSE)+VLOOKUP($A365,A:AL,37,FALSE)-50),"-",(VLOOKUP($A365,'SegEnds_NonXtal_BW#'!$A:$Z,25,FALSE)+VLOOKUP($A365,A:AL,37,FALSE)-50))</f>
        <v>830</v>
      </c>
      <c r="AK365" s="3">
        <v>834</v>
      </c>
      <c r="AL365" s="3">
        <f>IF(ISERROR((VLOOKUP($A365,'SegEnds_NonXtal_BW#'!$A:$Z,26,FALSE)+VLOOKUP($A365,A:AL,37,FALSE)-50)),"-",(VLOOKUP($A365,'SegEnds_NonXtal_BW#'!$A:$Z,26,FALSE)+VLOOKUP($A365,A:AL,37,FALSE)-50))</f>
        <v>841</v>
      </c>
      <c r="AM365" s="28" t="str">
        <f>VLOOKUP(A365,Classification!A:B,2,FALSE)</f>
        <v>C</v>
      </c>
      <c r="AN365" s="28" t="b">
        <f t="shared" si="243"/>
        <v>1</v>
      </c>
      <c r="AO365" s="3" t="str">
        <f>IF(ISERROR(MATCH(A365,'SegEnds_Xtal_Prot#'!B:B, 0)), "NoXtal", "Xtal")</f>
        <v>NoXtal</v>
      </c>
      <c r="AP365" s="3">
        <f t="shared" si="228"/>
        <v>3</v>
      </c>
      <c r="AQ365" s="3">
        <f t="shared" si="229"/>
        <v>1</v>
      </c>
      <c r="AR365" s="3" t="str">
        <f t="shared" si="230"/>
        <v>-</v>
      </c>
      <c r="AS365" s="3" t="str">
        <f t="shared" si="231"/>
        <v>-</v>
      </c>
      <c r="AT365" s="3" t="str">
        <f t="shared" si="232"/>
        <v>-</v>
      </c>
      <c r="AU365" s="3" t="str">
        <f t="shared" si="233"/>
        <v>-</v>
      </c>
      <c r="AV365" s="3">
        <f t="shared" si="234"/>
        <v>20</v>
      </c>
      <c r="AW365" s="3">
        <f t="shared" si="235"/>
        <v>1</v>
      </c>
      <c r="AX365" s="3">
        <f t="shared" si="236"/>
        <v>9</v>
      </c>
      <c r="AY365" s="3">
        <f t="shared" si="237"/>
        <v>7</v>
      </c>
      <c r="AZ365" s="3">
        <f t="shared" si="238"/>
        <v>1</v>
      </c>
      <c r="BA365" s="3">
        <f>IF(ISERROR(LEN(VLOOKUP(A365,Seqs!A:E,2,FALSE))-AL365),"-",LEN(VLOOKUP(A365,Seqs!A:E,2,FALSE))-AL365)</f>
        <v>38</v>
      </c>
      <c r="BB365" s="16">
        <f t="shared" si="239"/>
        <v>31</v>
      </c>
      <c r="BC365" s="9" t="str">
        <f t="shared" si="240"/>
        <v>-</v>
      </c>
      <c r="BD365" s="3">
        <f t="shared" si="241"/>
        <v>31</v>
      </c>
      <c r="BE365" s="3">
        <f t="shared" si="242"/>
        <v>37</v>
      </c>
    </row>
    <row r="366" spans="1:58" s="3" customFormat="1" x14ac:dyDescent="0.2">
      <c r="A366" s="3" t="s">
        <v>117</v>
      </c>
      <c r="B366" s="3" t="str">
        <f>LOWER(VLOOKUP(A366,Xtal_Templ!A:B,2,FALSE))</f>
        <v>grm5_human</v>
      </c>
      <c r="C366" s="3">
        <f>VLOOKUP($A366,'SegEnds_NonXtal_BW#'!$A:$Z,3,FALSE)+D366-50</f>
        <v>586</v>
      </c>
      <c r="D366" s="3">
        <v>602</v>
      </c>
      <c r="E366" s="3">
        <f>IF(ISERROR(VLOOKUP($A366,'SegEnds_NonXtal_BW#'!$A:$Z,4,FALSE)+VLOOKUP($A366,A:AL,4,FALSE)-50),"-",(VLOOKUP($A366,'SegEnds_NonXtal_BW#'!$A:$Z,4,FALSE)+VLOOKUP($A366,A:AL,4,FALSE)-50))</f>
        <v>612</v>
      </c>
      <c r="F366" s="3">
        <f t="shared" si="245"/>
        <v>615</v>
      </c>
      <c r="G366" s="3">
        <v>618</v>
      </c>
      <c r="H366" s="3">
        <f t="shared" si="246"/>
        <v>621</v>
      </c>
      <c r="I366" s="3">
        <f t="shared" si="247"/>
        <v>622</v>
      </c>
      <c r="J366" s="3">
        <v>633</v>
      </c>
      <c r="K366" s="3">
        <f>VLOOKUP($A366,'SegEnds_NonXtal_BW#'!$A:$Z,8,FALSE)+VLOOKUP($A366,A:AL,10,FALSE)-50</f>
        <v>644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648</v>
      </c>
      <c r="P366" s="3">
        <v>677</v>
      </c>
      <c r="Q366" s="3">
        <f>VLOOKUP($A366,'SegEnds_NonXtal_BW#'!$A:$Z,12,FALSE)+VLOOKUP($A366,A:AL,16,FALSE)-50</f>
        <v>681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695</v>
      </c>
      <c r="V366" s="3">
        <v>707</v>
      </c>
      <c r="W366" s="3">
        <f>IF(ISERROR(VLOOKUP($A366,'SegEnds_NonXtal_BW#'!$A:$Z,16,FALSE)+VLOOKUP($A366,A:AL,22,FALSE)-50),"-",(VLOOKUP($A366,'SegEnds_NonXtal_BW#'!$A:$Z,16,FALSE)+VLOOKUP($A366,A:AL,22,FALSE)-50))</f>
        <v>721</v>
      </c>
      <c r="X366" s="3">
        <f>IF(ISERROR(VLOOKUP($A366,'SegEnds_NonXtal_BW#'!$A:$Z,17,FALSE)+VLOOKUP($A366,A:AL,25,FALSE)-50),"-",(VLOOKUP($A366,'SegEnds_NonXtal_BW#'!$A:$Z,17,FALSE)+VLOOKUP($A366,A:AL,25,FALSE)-50))</f>
        <v>746</v>
      </c>
      <c r="Y366" s="3">
        <v>746</v>
      </c>
      <c r="Z366" s="3">
        <f t="shared" si="248"/>
        <v>748</v>
      </c>
      <c r="AA366" s="3">
        <f>IF(ISERROR(VLOOKUP($A366,'SegEnds_NonXtal_BW#'!$A:$Z,19,FALSE)+VLOOKUP($A366,A:AL,28,FALSE)-50),"-",(VLOOKUP($A366,'SegEnds_NonXtal_BW#'!$A:$Z,19,FALSE)+VLOOKUP($A366,A:AL,28,FALSE)-50))</f>
        <v>749</v>
      </c>
      <c r="AB366" s="3">
        <v>763</v>
      </c>
      <c r="AC366" s="3">
        <f>IF(ISERROR((VLOOKUP($A366,'SegEnds_NonXtal_BW#'!$A:$Z,20,FALSE)+VLOOKUP($A366,A:AL,28,FALSE)-50)),"-",(VLOOKUP($A366,'SegEnds_NonXtal_BW#'!$A:$Z,20,FALSE)+VLOOKUP($A366,A:AL,28,FALSE)-50))</f>
        <v>774</v>
      </c>
      <c r="AD366" s="3">
        <f>IF(ISERROR(VLOOKUP($A366,'SegEnds_NonXtal_BW#'!$A:$Z,21,FALSE)+VLOOKUP($A366,A:AL,31,FALSE)-50),"-",(VLOOKUP($A366,'SegEnds_NonXtal_BW#'!$A:$Z,21,FALSE)+VLOOKUP($A366,A:AL,31,FALSE)-50))</f>
        <v>783</v>
      </c>
      <c r="AE366" s="3">
        <v>800</v>
      </c>
      <c r="AF366" s="3">
        <f>IF(ISERROR((VLOOKUP($A366,'SegEnds_NonXtal_BW#'!$A:$Z,22,FALSE)+VLOOKUP($A366,A:AL,31,FALSE)-50)),"-",(VLOOKUP($A366,'SegEnds_NonXtal_BW#'!$A:$Z,22,FALSE)+VLOOKUP($A366,A:AL,31,FALSE)-50))</f>
        <v>807</v>
      </c>
      <c r="AG366" s="3">
        <f>IF(ISERROR(VLOOKUP($A366,'SegEnds_NonXtal_BW#'!$A:$Z,23,FALSE)+VLOOKUP($A366,A:AL,34,FALSE)-50),"-",(VLOOKUP($A366,'SegEnds_NonXtal_BW#'!$A:$Z,23,FALSE)+VLOOKUP($A366,A:AL,34,FALSE)-50))</f>
        <v>817</v>
      </c>
      <c r="AH366" s="3">
        <v>834</v>
      </c>
      <c r="AI366" s="3">
        <f>IF(ISERROR((VLOOKUP($A366,'SegEnds_NonXtal_BW#'!$A:$Z,24,FALSE)+VLOOKUP($A366,A:AL,34,FALSE)-50)),"-",(VLOOKUP($A366,'SegEnds_NonXtal_BW#'!$A:$Z,24,FALSE)+VLOOKUP($A366,A:AL,34,FALSE)-50))</f>
        <v>848</v>
      </c>
      <c r="AJ366" s="3">
        <f>IF(ISERROR(VLOOKUP($A366,'SegEnds_NonXtal_BW#'!$A:$Z,25,FALSE)+VLOOKUP($A366,A:AL,37,FALSE)-50),"-",(VLOOKUP($A366,'SegEnds_NonXtal_BW#'!$A:$Z,25,FALSE)+VLOOKUP($A366,A:AL,37,FALSE)-50))</f>
        <v>849</v>
      </c>
      <c r="AK366" s="3">
        <v>853</v>
      </c>
      <c r="AL366" s="3">
        <f>IF(ISERROR((VLOOKUP($A366,'SegEnds_NonXtal_BW#'!$A:$Z,26,FALSE)+VLOOKUP($A366,A:AL,37,FALSE)-50)),"-",(VLOOKUP($A366,'SegEnds_NonXtal_BW#'!$A:$Z,26,FALSE)+VLOOKUP($A366,A:AL,37,FALSE)-50))</f>
        <v>860</v>
      </c>
      <c r="AM366" s="28" t="str">
        <f>VLOOKUP(A366,Classification!A:B,2,FALSE)</f>
        <v>C</v>
      </c>
      <c r="AN366" s="28" t="b">
        <f t="shared" si="243"/>
        <v>1</v>
      </c>
      <c r="AO366" s="3" t="str">
        <f>IF(ISERROR(MATCH(A366,'SegEnds_Xtal_Prot#'!B:B, 0)), "NoXtal", "Xtal")</f>
        <v>NoXtal</v>
      </c>
      <c r="AP366" s="3">
        <f t="shared" si="228"/>
        <v>3</v>
      </c>
      <c r="AQ366" s="3">
        <f t="shared" si="229"/>
        <v>1</v>
      </c>
      <c r="AR366" s="3" t="str">
        <f t="shared" si="230"/>
        <v>-</v>
      </c>
      <c r="AS366" s="3" t="str">
        <f t="shared" si="231"/>
        <v>-</v>
      </c>
      <c r="AT366" s="3" t="str">
        <f t="shared" si="232"/>
        <v>-</v>
      </c>
      <c r="AU366" s="3" t="str">
        <f t="shared" si="233"/>
        <v>-</v>
      </c>
      <c r="AV366" s="3">
        <f t="shared" si="234"/>
        <v>25</v>
      </c>
      <c r="AW366" s="3">
        <f t="shared" si="235"/>
        <v>1</v>
      </c>
      <c r="AX366" s="3">
        <f t="shared" si="236"/>
        <v>9</v>
      </c>
      <c r="AY366" s="3">
        <f t="shared" si="237"/>
        <v>10</v>
      </c>
      <c r="AZ366" s="3">
        <f t="shared" si="238"/>
        <v>1</v>
      </c>
      <c r="BA366" s="3">
        <f>IF(ISERROR(LEN(VLOOKUP(A366,Seqs!A:E,2,FALSE))-AL366),"-",LEN(VLOOKUP(A366,Seqs!A:E,2,FALSE))-AL366)</f>
        <v>52</v>
      </c>
      <c r="BB366" s="16">
        <f t="shared" si="239"/>
        <v>31</v>
      </c>
      <c r="BC366" s="9" t="str">
        <f t="shared" si="240"/>
        <v>-</v>
      </c>
      <c r="BD366" s="3">
        <f t="shared" si="241"/>
        <v>31</v>
      </c>
      <c r="BE366" s="3">
        <f t="shared" si="242"/>
        <v>37</v>
      </c>
    </row>
    <row r="367" spans="1:58" s="3" customFormat="1" x14ac:dyDescent="0.2">
      <c r="A367" s="3" t="s">
        <v>41</v>
      </c>
      <c r="B367" s="3" t="str">
        <f>LOWER(VLOOKUP(A367,Xtal_Templ!A:B,2,FALSE))</f>
        <v>grm5_human</v>
      </c>
      <c r="C367" s="3">
        <f>VLOOKUP($A367,'SegEnds_NonXtal_BW#'!$A:$Z,3,FALSE)+D367-50</f>
        <v>578</v>
      </c>
      <c r="D367" s="3">
        <v>594</v>
      </c>
      <c r="E367" s="3">
        <f>IF(ISERROR(VLOOKUP($A367,'SegEnds_NonXtal_BW#'!$A:$Z,4,FALSE)+VLOOKUP($A367,A:AL,4,FALSE)-50),"-",(VLOOKUP($A367,'SegEnds_NonXtal_BW#'!$A:$Z,4,FALSE)+VLOOKUP($A367,A:AL,4,FALSE)-50))</f>
        <v>604</v>
      </c>
      <c r="F367" s="3">
        <f t="shared" si="245"/>
        <v>607</v>
      </c>
      <c r="G367" s="3">
        <v>610</v>
      </c>
      <c r="H367" s="3">
        <f t="shared" si="246"/>
        <v>613</v>
      </c>
      <c r="I367" s="3">
        <f t="shared" si="247"/>
        <v>614</v>
      </c>
      <c r="J367" s="3">
        <v>625</v>
      </c>
      <c r="K367" s="3">
        <f>VLOOKUP($A367,'SegEnds_NonXtal_BW#'!$A:$Z,8,FALSE)+VLOOKUP($A367,A:AL,10,FALSE)-50</f>
        <v>636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640</v>
      </c>
      <c r="P367" s="3">
        <v>669</v>
      </c>
      <c r="Q367" s="3">
        <f>VLOOKUP($A367,'SegEnds_NonXtal_BW#'!$A:$Z,12,FALSE)+VLOOKUP($A367,A:AL,16,FALSE)-50</f>
        <v>673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689</v>
      </c>
      <c r="V367" s="3">
        <v>701</v>
      </c>
      <c r="W367" s="3">
        <f>IF(ISERROR(VLOOKUP($A367,'SegEnds_NonXtal_BW#'!$A:$Z,16,FALSE)+VLOOKUP($A367,A:AL,22,FALSE)-50),"-",(VLOOKUP($A367,'SegEnds_NonXtal_BW#'!$A:$Z,16,FALSE)+VLOOKUP($A367,A:AL,22,FALSE)-50))</f>
        <v>715</v>
      </c>
      <c r="X367" s="3">
        <f>IF(ISERROR(VLOOKUP($A367,'SegEnds_NonXtal_BW#'!$A:$Z,17,FALSE)+VLOOKUP($A367,A:AL,25,FALSE)-50),"-",(VLOOKUP($A367,'SegEnds_NonXtal_BW#'!$A:$Z,17,FALSE)+VLOOKUP($A367,A:AL,25,FALSE)-50))</f>
        <v>733</v>
      </c>
      <c r="Y367" s="3">
        <v>733</v>
      </c>
      <c r="Z367" s="3">
        <f t="shared" si="248"/>
        <v>735</v>
      </c>
      <c r="AA367" s="3">
        <f>IF(ISERROR(VLOOKUP($A367,'SegEnds_NonXtal_BW#'!$A:$Z,19,FALSE)+VLOOKUP($A367,A:AL,28,FALSE)-50),"-",(VLOOKUP($A367,'SegEnds_NonXtal_BW#'!$A:$Z,19,FALSE)+VLOOKUP($A367,A:AL,28,FALSE)-50))</f>
        <v>736</v>
      </c>
      <c r="AB367" s="3">
        <v>750</v>
      </c>
      <c r="AC367" s="3">
        <f>IF(ISERROR((VLOOKUP($A367,'SegEnds_NonXtal_BW#'!$A:$Z,20,FALSE)+VLOOKUP($A367,A:AL,28,FALSE)-50)),"-",(VLOOKUP($A367,'SegEnds_NonXtal_BW#'!$A:$Z,20,FALSE)+VLOOKUP($A367,A:AL,28,FALSE)-50))</f>
        <v>761</v>
      </c>
      <c r="AD367" s="3">
        <f>IF(ISERROR(VLOOKUP($A367,'SegEnds_NonXtal_BW#'!$A:$Z,21,FALSE)+VLOOKUP($A367,A:AL,31,FALSE)-50),"-",(VLOOKUP($A367,'SegEnds_NonXtal_BW#'!$A:$Z,21,FALSE)+VLOOKUP($A367,A:AL,31,FALSE)-50))</f>
        <v>770</v>
      </c>
      <c r="AE367" s="3">
        <v>787</v>
      </c>
      <c r="AF367" s="3">
        <f>IF(ISERROR((VLOOKUP($A367,'SegEnds_NonXtal_BW#'!$A:$Z,22,FALSE)+VLOOKUP($A367,A:AL,31,FALSE)-50)),"-",(VLOOKUP($A367,'SegEnds_NonXtal_BW#'!$A:$Z,22,FALSE)+VLOOKUP($A367,A:AL,31,FALSE)-50))</f>
        <v>794</v>
      </c>
      <c r="AG367" s="3">
        <f>IF(ISERROR(VLOOKUP($A367,'SegEnds_NonXtal_BW#'!$A:$Z,23,FALSE)+VLOOKUP($A367,A:AL,34,FALSE)-50),"-",(VLOOKUP($A367,'SegEnds_NonXtal_BW#'!$A:$Z,23,FALSE)+VLOOKUP($A367,A:AL,34,FALSE)-50))</f>
        <v>797</v>
      </c>
      <c r="AH367" s="3">
        <v>814</v>
      </c>
      <c r="AI367" s="3">
        <f>IF(ISERROR((VLOOKUP($A367,'SegEnds_NonXtal_BW#'!$A:$Z,24,FALSE)+VLOOKUP($A367,A:AL,34,FALSE)-50)),"-",(VLOOKUP($A367,'SegEnds_NonXtal_BW#'!$A:$Z,24,FALSE)+VLOOKUP($A367,A:AL,34,FALSE)-50))</f>
        <v>828</v>
      </c>
      <c r="AJ367" s="3">
        <f>IF(ISERROR(VLOOKUP($A367,'SegEnds_NonXtal_BW#'!$A:$Z,25,FALSE)+VLOOKUP($A367,A:AL,37,FALSE)-50),"-",(VLOOKUP($A367,'SegEnds_NonXtal_BW#'!$A:$Z,25,FALSE)+VLOOKUP($A367,A:AL,37,FALSE)-50))</f>
        <v>829</v>
      </c>
      <c r="AK367" s="3">
        <v>833</v>
      </c>
      <c r="AL367" s="3">
        <f>IF(ISERROR((VLOOKUP($A367,'SegEnds_NonXtal_BW#'!$A:$Z,26,FALSE)+VLOOKUP($A367,A:AL,37,FALSE)-50)),"-",(VLOOKUP($A367,'SegEnds_NonXtal_BW#'!$A:$Z,26,FALSE)+VLOOKUP($A367,A:AL,37,FALSE)-50))</f>
        <v>840</v>
      </c>
      <c r="AM367" s="28" t="str">
        <f>VLOOKUP(A367,Classification!A:B,2,FALSE)</f>
        <v>C</v>
      </c>
      <c r="AN367" s="28" t="b">
        <f t="shared" si="243"/>
        <v>1</v>
      </c>
      <c r="AO367" s="3" t="str">
        <f>IF(ISERROR(MATCH(A367,'SegEnds_Xtal_Prot#'!B:B, 0)), "NoXtal", "Xtal")</f>
        <v>Xtal</v>
      </c>
      <c r="AP367" s="3">
        <f t="shared" si="228"/>
        <v>3</v>
      </c>
      <c r="AQ367" s="3">
        <f t="shared" si="229"/>
        <v>1</v>
      </c>
      <c r="AR367" s="3" t="str">
        <f t="shared" si="230"/>
        <v>-</v>
      </c>
      <c r="AS367" s="3" t="str">
        <f t="shared" si="231"/>
        <v>-</v>
      </c>
      <c r="AT367" s="3" t="str">
        <f t="shared" si="232"/>
        <v>-</v>
      </c>
      <c r="AU367" s="3" t="str">
        <f t="shared" si="233"/>
        <v>-</v>
      </c>
      <c r="AV367" s="3">
        <f t="shared" si="234"/>
        <v>18</v>
      </c>
      <c r="AW367" s="3">
        <f t="shared" si="235"/>
        <v>1</v>
      </c>
      <c r="AX367" s="3">
        <f t="shared" si="236"/>
        <v>9</v>
      </c>
      <c r="AY367" s="3">
        <f t="shared" si="237"/>
        <v>3</v>
      </c>
      <c r="AZ367" s="3">
        <f t="shared" si="238"/>
        <v>1</v>
      </c>
      <c r="BA367" s="3">
        <f>IF(ISERROR(LEN(VLOOKUP(A367,Seqs!A:E,2,FALSE))-AL367),"-",LEN(VLOOKUP(A367,Seqs!A:E,2,FALSE))-AL367)</f>
        <v>372</v>
      </c>
      <c r="BB367" s="16">
        <f t="shared" si="239"/>
        <v>31</v>
      </c>
      <c r="BC367" s="9" t="str">
        <f t="shared" si="240"/>
        <v>-</v>
      </c>
      <c r="BD367" s="3">
        <f t="shared" si="241"/>
        <v>31</v>
      </c>
      <c r="BE367" s="3">
        <f t="shared" si="242"/>
        <v>37</v>
      </c>
    </row>
    <row r="368" spans="1:58" s="3" customFormat="1" x14ac:dyDescent="0.2">
      <c r="A368" s="3" t="s">
        <v>118</v>
      </c>
      <c r="B368" s="3" t="str">
        <f>LOWER(VLOOKUP(A368,Xtal_Templ!A:B,2,FALSE))</f>
        <v>grm5_human</v>
      </c>
      <c r="C368" s="3">
        <f>VLOOKUP($A368,'SegEnds_NonXtal_BW#'!$A:$Z,3,FALSE)+D368-50</f>
        <v>584</v>
      </c>
      <c r="D368" s="3">
        <v>600</v>
      </c>
      <c r="E368" s="3">
        <f>IF(ISERROR(VLOOKUP($A368,'SegEnds_NonXtal_BW#'!$A:$Z,4,FALSE)+VLOOKUP($A368,A:AL,4,FALSE)-50),"-",(VLOOKUP($A368,'SegEnds_NonXtal_BW#'!$A:$Z,4,FALSE)+VLOOKUP($A368,A:AL,4,FALSE)-50))</f>
        <v>610</v>
      </c>
      <c r="F368" s="3">
        <f t="shared" si="245"/>
        <v>613</v>
      </c>
      <c r="G368" s="3">
        <v>616</v>
      </c>
      <c r="H368" s="3">
        <f t="shared" si="246"/>
        <v>619</v>
      </c>
      <c r="I368" s="3">
        <f t="shared" si="247"/>
        <v>620</v>
      </c>
      <c r="J368" s="3">
        <v>631</v>
      </c>
      <c r="K368" s="3">
        <f>VLOOKUP($A368,'SegEnds_NonXtal_BW#'!$A:$Z,8,FALSE)+VLOOKUP($A368,A:AL,10,FALSE)-50</f>
        <v>642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646</v>
      </c>
      <c r="P368" s="3">
        <v>675</v>
      </c>
      <c r="Q368" s="3">
        <f>VLOOKUP($A368,'SegEnds_NonXtal_BW#'!$A:$Z,12,FALSE)+VLOOKUP($A368,A:AL,16,FALSE)-50</f>
        <v>679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693</v>
      </c>
      <c r="V368" s="3">
        <v>705</v>
      </c>
      <c r="W368" s="3">
        <f>IF(ISERROR(VLOOKUP($A368,'SegEnds_NonXtal_BW#'!$A:$Z,16,FALSE)+VLOOKUP($A368,A:AL,22,FALSE)-50),"-",(VLOOKUP($A368,'SegEnds_NonXtal_BW#'!$A:$Z,16,FALSE)+VLOOKUP($A368,A:AL,22,FALSE)-50))</f>
        <v>719</v>
      </c>
      <c r="X368" s="3">
        <f>IF(ISERROR(VLOOKUP($A368,'SegEnds_NonXtal_BW#'!$A:$Z,17,FALSE)+VLOOKUP($A368,A:AL,25,FALSE)-50),"-",(VLOOKUP($A368,'SegEnds_NonXtal_BW#'!$A:$Z,17,FALSE)+VLOOKUP($A368,A:AL,25,FALSE)-50))</f>
        <v>744</v>
      </c>
      <c r="Y368" s="3">
        <v>744</v>
      </c>
      <c r="Z368" s="3">
        <f t="shared" si="248"/>
        <v>746</v>
      </c>
      <c r="AA368" s="3">
        <f>IF(ISERROR(VLOOKUP($A368,'SegEnds_NonXtal_BW#'!$A:$Z,19,FALSE)+VLOOKUP($A368,A:AL,28,FALSE)-50),"-",(VLOOKUP($A368,'SegEnds_NonXtal_BW#'!$A:$Z,19,FALSE)+VLOOKUP($A368,A:AL,28,FALSE)-50))</f>
        <v>747</v>
      </c>
      <c r="AB368" s="3">
        <v>761</v>
      </c>
      <c r="AC368" s="3">
        <f>IF(ISERROR((VLOOKUP($A368,'SegEnds_NonXtal_BW#'!$A:$Z,20,FALSE)+VLOOKUP($A368,A:AL,28,FALSE)-50)),"-",(VLOOKUP($A368,'SegEnds_NonXtal_BW#'!$A:$Z,20,FALSE)+VLOOKUP($A368,A:AL,28,FALSE)-50))</f>
        <v>772</v>
      </c>
      <c r="AD368" s="3">
        <f>IF(ISERROR(VLOOKUP($A368,'SegEnds_NonXtal_BW#'!$A:$Z,21,FALSE)+VLOOKUP($A368,A:AL,31,FALSE)-50),"-",(VLOOKUP($A368,'SegEnds_NonXtal_BW#'!$A:$Z,21,FALSE)+VLOOKUP($A368,A:AL,31,FALSE)-50))</f>
        <v>781</v>
      </c>
      <c r="AE368" s="3">
        <v>798</v>
      </c>
      <c r="AF368" s="3">
        <f>IF(ISERROR((VLOOKUP($A368,'SegEnds_NonXtal_BW#'!$A:$Z,22,FALSE)+VLOOKUP($A368,A:AL,31,FALSE)-50)),"-",(VLOOKUP($A368,'SegEnds_NonXtal_BW#'!$A:$Z,22,FALSE)+VLOOKUP($A368,A:AL,31,FALSE)-50))</f>
        <v>805</v>
      </c>
      <c r="AG368" s="3">
        <f>IF(ISERROR(VLOOKUP($A368,'SegEnds_NonXtal_BW#'!$A:$Z,23,FALSE)+VLOOKUP($A368,A:AL,34,FALSE)-50),"-",(VLOOKUP($A368,'SegEnds_NonXtal_BW#'!$A:$Z,23,FALSE)+VLOOKUP($A368,A:AL,34,FALSE)-50))</f>
        <v>815</v>
      </c>
      <c r="AH368" s="3">
        <v>832</v>
      </c>
      <c r="AI368" s="3">
        <f>IF(ISERROR((VLOOKUP($A368,'SegEnds_NonXtal_BW#'!$A:$Z,24,FALSE)+VLOOKUP($A368,A:AL,34,FALSE)-50)),"-",(VLOOKUP($A368,'SegEnds_NonXtal_BW#'!$A:$Z,24,FALSE)+VLOOKUP($A368,A:AL,34,FALSE)-50))</f>
        <v>846</v>
      </c>
      <c r="AJ368" s="3">
        <f>IF(ISERROR(VLOOKUP($A368,'SegEnds_NonXtal_BW#'!$A:$Z,25,FALSE)+VLOOKUP($A368,A:AL,37,FALSE)-50),"-",(VLOOKUP($A368,'SegEnds_NonXtal_BW#'!$A:$Z,25,FALSE)+VLOOKUP($A368,A:AL,37,FALSE)-50))</f>
        <v>847</v>
      </c>
      <c r="AK368" s="3">
        <v>851</v>
      </c>
      <c r="AL368" s="3">
        <f>IF(ISERROR((VLOOKUP($A368,'SegEnds_NonXtal_BW#'!$A:$Z,26,FALSE)+VLOOKUP($A368,A:AL,37,FALSE)-50)),"-",(VLOOKUP($A368,'SegEnds_NonXtal_BW#'!$A:$Z,26,FALSE)+VLOOKUP($A368,A:AL,37,FALSE)-50))</f>
        <v>858</v>
      </c>
      <c r="AM368" s="28" t="str">
        <f>VLOOKUP(A368,Classification!A:B,2,FALSE)</f>
        <v>C</v>
      </c>
      <c r="AN368" s="28" t="b">
        <f t="shared" si="243"/>
        <v>1</v>
      </c>
      <c r="AO368" s="3" t="str">
        <f>IF(ISERROR(MATCH(A368,'SegEnds_Xtal_Prot#'!B:B, 0)), "NoXtal", "Xtal")</f>
        <v>NoXtal</v>
      </c>
      <c r="AP368" s="3">
        <f t="shared" si="228"/>
        <v>3</v>
      </c>
      <c r="AQ368" s="3">
        <f t="shared" si="229"/>
        <v>1</v>
      </c>
      <c r="AR368" s="3" t="str">
        <f t="shared" si="230"/>
        <v>-</v>
      </c>
      <c r="AS368" s="3" t="str">
        <f t="shared" si="231"/>
        <v>-</v>
      </c>
      <c r="AT368" s="3" t="str">
        <f t="shared" si="232"/>
        <v>-</v>
      </c>
      <c r="AU368" s="3" t="str">
        <f t="shared" si="233"/>
        <v>-</v>
      </c>
      <c r="AV368" s="3">
        <f t="shared" si="234"/>
        <v>25</v>
      </c>
      <c r="AW368" s="3">
        <f t="shared" si="235"/>
        <v>1</v>
      </c>
      <c r="AX368" s="3">
        <f t="shared" si="236"/>
        <v>9</v>
      </c>
      <c r="AY368" s="3">
        <f t="shared" si="237"/>
        <v>10</v>
      </c>
      <c r="AZ368" s="3">
        <f t="shared" si="238"/>
        <v>1</v>
      </c>
      <c r="BA368" s="3">
        <f>IF(ISERROR(LEN(VLOOKUP(A368,Seqs!A:E,2,FALSE))-AL368),"-",LEN(VLOOKUP(A368,Seqs!A:E,2,FALSE))-AL368)</f>
        <v>19</v>
      </c>
      <c r="BB368" s="16">
        <f t="shared" si="239"/>
        <v>31</v>
      </c>
      <c r="BC368" s="9" t="str">
        <f t="shared" si="240"/>
        <v>-</v>
      </c>
      <c r="BD368" s="3">
        <f t="shared" si="241"/>
        <v>31</v>
      </c>
      <c r="BE368" s="3">
        <f t="shared" si="242"/>
        <v>37</v>
      </c>
      <c r="BF368" s="3">
        <f>AH368-AE368</f>
        <v>34</v>
      </c>
    </row>
    <row r="369" spans="1:58" s="3" customFormat="1" x14ac:dyDescent="0.2">
      <c r="A369" s="3" t="s">
        <v>119</v>
      </c>
      <c r="B369" s="3" t="str">
        <f>LOWER(VLOOKUP(A369,Xtal_Templ!A:B,2,FALSE))</f>
        <v>grm5_human</v>
      </c>
      <c r="C369" s="3">
        <f>VLOOKUP($A369,'SegEnds_NonXtal_BW#'!$A:$Z,3,FALSE)+D369-50</f>
        <v>589</v>
      </c>
      <c r="D369" s="3">
        <v>605</v>
      </c>
      <c r="E369" s="3">
        <f>IF(ISERROR(VLOOKUP($A369,'SegEnds_NonXtal_BW#'!$A:$Z,4,FALSE)+VLOOKUP($A369,A:AL,4,FALSE)-50),"-",(VLOOKUP($A369,'SegEnds_NonXtal_BW#'!$A:$Z,4,FALSE)+VLOOKUP($A369,A:AL,4,FALSE)-50))</f>
        <v>615</v>
      </c>
      <c r="F369" s="3">
        <f t="shared" si="245"/>
        <v>618</v>
      </c>
      <c r="G369" s="3">
        <v>621</v>
      </c>
      <c r="H369" s="3">
        <f t="shared" si="246"/>
        <v>624</v>
      </c>
      <c r="I369" s="3">
        <f t="shared" si="247"/>
        <v>625</v>
      </c>
      <c r="J369" s="3">
        <v>636</v>
      </c>
      <c r="K369" s="3">
        <f>VLOOKUP($A369,'SegEnds_NonXtal_BW#'!$A:$Z,8,FALSE)+VLOOKUP($A369,A:AL,10,FALSE)-50</f>
        <v>647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651</v>
      </c>
      <c r="P369" s="3">
        <v>680</v>
      </c>
      <c r="Q369" s="3">
        <f>VLOOKUP($A369,'SegEnds_NonXtal_BW#'!$A:$Z,12,FALSE)+VLOOKUP($A369,A:AL,16,FALSE)-50</f>
        <v>684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698</v>
      </c>
      <c r="V369" s="3">
        <v>710</v>
      </c>
      <c r="W369" s="3">
        <f>IF(ISERROR(VLOOKUP($A369,'SegEnds_NonXtal_BW#'!$A:$Z,16,FALSE)+VLOOKUP($A369,A:AL,22,FALSE)-50),"-",(VLOOKUP($A369,'SegEnds_NonXtal_BW#'!$A:$Z,16,FALSE)+VLOOKUP($A369,A:AL,22,FALSE)-50))</f>
        <v>724</v>
      </c>
      <c r="X369" s="3">
        <f>IF(ISERROR(VLOOKUP($A369,'SegEnds_NonXtal_BW#'!$A:$Z,17,FALSE)+VLOOKUP($A369,A:AL,25,FALSE)-50),"-",(VLOOKUP($A369,'SegEnds_NonXtal_BW#'!$A:$Z,17,FALSE)+VLOOKUP($A369,A:AL,25,FALSE)-50))</f>
        <v>749</v>
      </c>
      <c r="Y369" s="3">
        <v>749</v>
      </c>
      <c r="Z369" s="3">
        <f t="shared" si="248"/>
        <v>751</v>
      </c>
      <c r="AA369" s="3">
        <f>IF(ISERROR(VLOOKUP($A369,'SegEnds_NonXtal_BW#'!$A:$Z,19,FALSE)+VLOOKUP($A369,A:AL,28,FALSE)-50),"-",(VLOOKUP($A369,'SegEnds_NonXtal_BW#'!$A:$Z,19,FALSE)+VLOOKUP($A369,A:AL,28,FALSE)-50))</f>
        <v>752</v>
      </c>
      <c r="AB369" s="3">
        <v>766</v>
      </c>
      <c r="AC369" s="3">
        <f>IF(ISERROR((VLOOKUP($A369,'SegEnds_NonXtal_BW#'!$A:$Z,20,FALSE)+VLOOKUP($A369,A:AL,28,FALSE)-50)),"-",(VLOOKUP($A369,'SegEnds_NonXtal_BW#'!$A:$Z,20,FALSE)+VLOOKUP($A369,A:AL,28,FALSE)-50))</f>
        <v>777</v>
      </c>
      <c r="AD369" s="3">
        <f>IF(ISERROR(VLOOKUP($A369,'SegEnds_NonXtal_BW#'!$A:$Z,21,FALSE)+VLOOKUP($A369,A:AL,31,FALSE)-50),"-",(VLOOKUP($A369,'SegEnds_NonXtal_BW#'!$A:$Z,21,FALSE)+VLOOKUP($A369,A:AL,31,FALSE)-50))</f>
        <v>786</v>
      </c>
      <c r="AE369" s="3">
        <v>803</v>
      </c>
      <c r="AF369" s="3">
        <f>IF(ISERROR((VLOOKUP($A369,'SegEnds_NonXtal_BW#'!$A:$Z,22,FALSE)+VLOOKUP($A369,A:AL,31,FALSE)-50)),"-",(VLOOKUP($A369,'SegEnds_NonXtal_BW#'!$A:$Z,22,FALSE)+VLOOKUP($A369,A:AL,31,FALSE)-50))</f>
        <v>810</v>
      </c>
      <c r="AG369" s="3">
        <f>IF(ISERROR(VLOOKUP($A369,'SegEnds_NonXtal_BW#'!$A:$Z,23,FALSE)+VLOOKUP($A369,A:AL,34,FALSE)-50),"-",(VLOOKUP($A369,'SegEnds_NonXtal_BW#'!$A:$Z,23,FALSE)+VLOOKUP($A369,A:AL,34,FALSE)-50))</f>
        <v>820</v>
      </c>
      <c r="AH369" s="3">
        <v>837</v>
      </c>
      <c r="AI369" s="3">
        <f>IF(ISERROR((VLOOKUP($A369,'SegEnds_NonXtal_BW#'!$A:$Z,24,FALSE)+VLOOKUP($A369,A:AL,34,FALSE)-50)),"-",(VLOOKUP($A369,'SegEnds_NonXtal_BW#'!$A:$Z,24,FALSE)+VLOOKUP($A369,A:AL,34,FALSE)-50))</f>
        <v>851</v>
      </c>
      <c r="AJ369" s="3">
        <f>IF(ISERROR(VLOOKUP($A369,'SegEnds_NonXtal_BW#'!$A:$Z,25,FALSE)+VLOOKUP($A369,A:AL,37,FALSE)-50),"-",(VLOOKUP($A369,'SegEnds_NonXtal_BW#'!$A:$Z,25,FALSE)+VLOOKUP($A369,A:AL,37,FALSE)-50))</f>
        <v>852</v>
      </c>
      <c r="AK369" s="3">
        <v>856</v>
      </c>
      <c r="AL369" s="3">
        <f>IF(ISERROR((VLOOKUP($A369,'SegEnds_NonXtal_BW#'!$A:$Z,26,FALSE)+VLOOKUP($A369,A:AL,37,FALSE)-50)),"-",(VLOOKUP($A369,'SegEnds_NonXtal_BW#'!$A:$Z,26,FALSE)+VLOOKUP($A369,A:AL,37,FALSE)-50))</f>
        <v>863</v>
      </c>
      <c r="AM369" s="28" t="str">
        <f>VLOOKUP(A369,Classification!A:B,2,FALSE)</f>
        <v>C</v>
      </c>
      <c r="AN369" s="28" t="b">
        <f t="shared" si="243"/>
        <v>1</v>
      </c>
      <c r="AO369" s="3" t="str">
        <f>IF(ISERROR(MATCH(A369,'SegEnds_Xtal_Prot#'!B:B, 0)), "NoXtal", "Xtal")</f>
        <v>NoXtal</v>
      </c>
      <c r="AP369" s="3">
        <f t="shared" si="228"/>
        <v>3</v>
      </c>
      <c r="AQ369" s="3">
        <f t="shared" si="229"/>
        <v>1</v>
      </c>
      <c r="AR369" s="3" t="str">
        <f t="shared" si="230"/>
        <v>-</v>
      </c>
      <c r="AS369" s="3" t="str">
        <f t="shared" si="231"/>
        <v>-</v>
      </c>
      <c r="AT369" s="3" t="str">
        <f t="shared" si="232"/>
        <v>-</v>
      </c>
      <c r="AU369" s="3" t="str">
        <f t="shared" si="233"/>
        <v>-</v>
      </c>
      <c r="AV369" s="3">
        <f t="shared" si="234"/>
        <v>25</v>
      </c>
      <c r="AW369" s="3">
        <f t="shared" si="235"/>
        <v>1</v>
      </c>
      <c r="AX369" s="3">
        <f t="shared" si="236"/>
        <v>9</v>
      </c>
      <c r="AY369" s="3">
        <f t="shared" si="237"/>
        <v>10</v>
      </c>
      <c r="AZ369" s="3">
        <f t="shared" si="238"/>
        <v>1</v>
      </c>
      <c r="BA369" s="3">
        <f>IF(ISERROR(LEN(VLOOKUP(A369,Seqs!A:E,2,FALSE))-AL369),"-",LEN(VLOOKUP(A369,Seqs!A:E,2,FALSE))-AL369)</f>
        <v>52</v>
      </c>
      <c r="BB369" s="16">
        <f t="shared" si="239"/>
        <v>31</v>
      </c>
      <c r="BC369" s="9" t="str">
        <f t="shared" si="240"/>
        <v>-</v>
      </c>
      <c r="BD369" s="3">
        <f t="shared" si="241"/>
        <v>31</v>
      </c>
      <c r="BE369" s="3">
        <f t="shared" si="242"/>
        <v>37</v>
      </c>
    </row>
    <row r="370" spans="1:58" s="3" customFormat="1" x14ac:dyDescent="0.2">
      <c r="A370" s="3" t="s">
        <v>120</v>
      </c>
      <c r="B370" s="3" t="str">
        <f>LOWER(VLOOKUP(A370,Xtal_Templ!A:B,2,FALSE))</f>
        <v>grm5_human</v>
      </c>
      <c r="C370" s="3">
        <f>VLOOKUP($A370,'SegEnds_NonXtal_BW#'!$A:$Z,3,FALSE)+D370-50</f>
        <v>582</v>
      </c>
      <c r="D370" s="3">
        <v>598</v>
      </c>
      <c r="E370" s="3">
        <f>IF(ISERROR(VLOOKUP($A370,'SegEnds_NonXtal_BW#'!$A:$Z,4,FALSE)+VLOOKUP($A370,A:AL,4,FALSE)-50),"-",(VLOOKUP($A370,'SegEnds_NonXtal_BW#'!$A:$Z,4,FALSE)+VLOOKUP($A370,A:AL,4,FALSE)-50))</f>
        <v>608</v>
      </c>
      <c r="F370" s="3">
        <f t="shared" si="245"/>
        <v>611</v>
      </c>
      <c r="G370" s="3">
        <v>614</v>
      </c>
      <c r="H370" s="3">
        <f t="shared" si="246"/>
        <v>617</v>
      </c>
      <c r="I370" s="3">
        <f t="shared" si="247"/>
        <v>618</v>
      </c>
      <c r="J370" s="3">
        <v>629</v>
      </c>
      <c r="K370" s="3">
        <f>VLOOKUP($A370,'SegEnds_NonXtal_BW#'!$A:$Z,8,FALSE)+VLOOKUP($A370,A:AL,10,FALSE)-50</f>
        <v>640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644</v>
      </c>
      <c r="P370" s="3">
        <v>673</v>
      </c>
      <c r="Q370" s="3">
        <f>VLOOKUP($A370,'SegEnds_NonXtal_BW#'!$A:$Z,12,FALSE)+VLOOKUP($A370,A:AL,16,FALSE)-50</f>
        <v>677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691</v>
      </c>
      <c r="V370" s="3">
        <v>703</v>
      </c>
      <c r="W370" s="3">
        <f>IF(ISERROR(VLOOKUP($A370,'SegEnds_NonXtal_BW#'!$A:$Z,16,FALSE)+VLOOKUP($A370,A:AL,22,FALSE)-50),"-",(VLOOKUP($A370,'SegEnds_NonXtal_BW#'!$A:$Z,16,FALSE)+VLOOKUP($A370,A:AL,22,FALSE)-50))</f>
        <v>717</v>
      </c>
      <c r="X370" s="3">
        <f>IF(ISERROR(VLOOKUP($A370,'SegEnds_NonXtal_BW#'!$A:$Z,17,FALSE)+VLOOKUP($A370,A:AL,25,FALSE)-50),"-",(VLOOKUP($A370,'SegEnds_NonXtal_BW#'!$A:$Z,17,FALSE)+VLOOKUP($A370,A:AL,25,FALSE)-50))</f>
        <v>742</v>
      </c>
      <c r="Y370" s="3">
        <v>742</v>
      </c>
      <c r="Z370" s="3">
        <f t="shared" si="248"/>
        <v>744</v>
      </c>
      <c r="AA370" s="3">
        <f>IF(ISERROR(VLOOKUP($A370,'SegEnds_NonXtal_BW#'!$A:$Z,19,FALSE)+VLOOKUP($A370,A:AL,28,FALSE)-50),"-",(VLOOKUP($A370,'SegEnds_NonXtal_BW#'!$A:$Z,19,FALSE)+VLOOKUP($A370,A:AL,28,FALSE)-50))</f>
        <v>745</v>
      </c>
      <c r="AB370" s="3">
        <v>759</v>
      </c>
      <c r="AC370" s="3">
        <f>IF(ISERROR((VLOOKUP($A370,'SegEnds_NonXtal_BW#'!$A:$Z,20,FALSE)+VLOOKUP($A370,A:AL,28,FALSE)-50)),"-",(VLOOKUP($A370,'SegEnds_NonXtal_BW#'!$A:$Z,20,FALSE)+VLOOKUP($A370,A:AL,28,FALSE)-50))</f>
        <v>770</v>
      </c>
      <c r="AD370" s="3">
        <f>IF(ISERROR(VLOOKUP($A370,'SegEnds_NonXtal_BW#'!$A:$Z,21,FALSE)+VLOOKUP($A370,A:AL,31,FALSE)-50),"-",(VLOOKUP($A370,'SegEnds_NonXtal_BW#'!$A:$Z,21,FALSE)+VLOOKUP($A370,A:AL,31,FALSE)-50))</f>
        <v>779</v>
      </c>
      <c r="AE370" s="3">
        <v>796</v>
      </c>
      <c r="AF370" s="3">
        <f>IF(ISERROR((VLOOKUP($A370,'SegEnds_NonXtal_BW#'!$A:$Z,22,FALSE)+VLOOKUP($A370,A:AL,31,FALSE)-50)),"-",(VLOOKUP($A370,'SegEnds_NonXtal_BW#'!$A:$Z,22,FALSE)+VLOOKUP($A370,A:AL,31,FALSE)-50))</f>
        <v>803</v>
      </c>
      <c r="AG370" s="3">
        <f>IF(ISERROR(VLOOKUP($A370,'SegEnds_NonXtal_BW#'!$A:$Z,23,FALSE)+VLOOKUP($A370,A:AL,34,FALSE)-50),"-",(VLOOKUP($A370,'SegEnds_NonXtal_BW#'!$A:$Z,23,FALSE)+VLOOKUP($A370,A:AL,34,FALSE)-50))</f>
        <v>813</v>
      </c>
      <c r="AH370" s="3">
        <v>830</v>
      </c>
      <c r="AI370" s="3">
        <f>IF(ISERROR((VLOOKUP($A370,'SegEnds_NonXtal_BW#'!$A:$Z,24,FALSE)+VLOOKUP($A370,A:AL,34,FALSE)-50)),"-",(VLOOKUP($A370,'SegEnds_NonXtal_BW#'!$A:$Z,24,FALSE)+VLOOKUP($A370,A:AL,34,FALSE)-50))</f>
        <v>844</v>
      </c>
      <c r="AJ370" s="3">
        <f>IF(ISERROR(VLOOKUP($A370,'SegEnds_NonXtal_BW#'!$A:$Z,25,FALSE)+VLOOKUP($A370,A:AL,37,FALSE)-50),"-",(VLOOKUP($A370,'SegEnds_NonXtal_BW#'!$A:$Z,25,FALSE)+VLOOKUP($A370,A:AL,37,FALSE)-50))</f>
        <v>845</v>
      </c>
      <c r="AK370" s="3">
        <v>849</v>
      </c>
      <c r="AL370" s="3">
        <f>IF(ISERROR((VLOOKUP($A370,'SegEnds_NonXtal_BW#'!$A:$Z,26,FALSE)+VLOOKUP($A370,A:AL,37,FALSE)-50)),"-",(VLOOKUP($A370,'SegEnds_NonXtal_BW#'!$A:$Z,26,FALSE)+VLOOKUP($A370,A:AL,37,FALSE)-50))</f>
        <v>856</v>
      </c>
      <c r="AM370" s="28" t="str">
        <f>VLOOKUP(A370,Classification!A:B,2,FALSE)</f>
        <v>C</v>
      </c>
      <c r="AN370" s="28" t="b">
        <f t="shared" si="243"/>
        <v>1</v>
      </c>
      <c r="AO370" s="3" t="str">
        <f>IF(ISERROR(MATCH(A370,'SegEnds_Xtal_Prot#'!B:B, 0)), "NoXtal", "Xtal")</f>
        <v>NoXtal</v>
      </c>
      <c r="AP370" s="3">
        <f t="shared" si="228"/>
        <v>3</v>
      </c>
      <c r="AQ370" s="3">
        <f t="shared" si="229"/>
        <v>1</v>
      </c>
      <c r="AR370" s="3" t="str">
        <f t="shared" si="230"/>
        <v>-</v>
      </c>
      <c r="AS370" s="3" t="str">
        <f t="shared" si="231"/>
        <v>-</v>
      </c>
      <c r="AT370" s="3" t="str">
        <f t="shared" si="232"/>
        <v>-</v>
      </c>
      <c r="AU370" s="3" t="str">
        <f t="shared" si="233"/>
        <v>-</v>
      </c>
      <c r="AV370" s="3">
        <f t="shared" si="234"/>
        <v>25</v>
      </c>
      <c r="AW370" s="3">
        <f t="shared" si="235"/>
        <v>1</v>
      </c>
      <c r="AX370" s="3">
        <f t="shared" si="236"/>
        <v>9</v>
      </c>
      <c r="AY370" s="3">
        <f t="shared" si="237"/>
        <v>10</v>
      </c>
      <c r="AZ370" s="3">
        <f t="shared" si="238"/>
        <v>1</v>
      </c>
      <c r="BA370" s="3">
        <f>IF(ISERROR(LEN(VLOOKUP(A370,Seqs!A:E,2,FALSE))-AL370),"-",LEN(VLOOKUP(A370,Seqs!A:E,2,FALSE))-AL370)</f>
        <v>52</v>
      </c>
      <c r="BB370" s="16">
        <f t="shared" si="239"/>
        <v>31</v>
      </c>
      <c r="BC370" s="9" t="str">
        <f t="shared" si="240"/>
        <v>-</v>
      </c>
      <c r="BD370" s="3">
        <f t="shared" si="241"/>
        <v>31</v>
      </c>
      <c r="BE370" s="3">
        <f t="shared" si="242"/>
        <v>37</v>
      </c>
    </row>
    <row r="371" spans="1:58" s="3" customFormat="1" x14ac:dyDescent="0.2">
      <c r="A371" s="3" t="s">
        <v>121</v>
      </c>
      <c r="B371" s="3" t="str">
        <f>LOWER(VLOOKUP(A371,Xtal_Templ!A:B,2,FALSE))</f>
        <v>grm1_human</v>
      </c>
      <c r="C371" s="3">
        <f>VLOOKUP($A371,'SegEnds_NonXtal_BW#'!$A:$Z,3,FALSE)+D371-50</f>
        <v>26</v>
      </c>
      <c r="D371" s="3">
        <v>42</v>
      </c>
      <c r="E371" s="3">
        <f>IF(ISERROR(VLOOKUP($A371,'SegEnds_NonXtal_BW#'!$A:$Z,4,FALSE)+VLOOKUP($A371,A:AL,4,FALSE)-50),"-",(VLOOKUP($A371,'SegEnds_NonXtal_BW#'!$A:$Z,4,FALSE)+VLOOKUP($A371,A:AL,4,FALSE)-50))</f>
        <v>52</v>
      </c>
      <c r="F371" s="3">
        <f t="shared" si="245"/>
        <v>53</v>
      </c>
      <c r="G371" s="3">
        <v>56</v>
      </c>
      <c r="H371" s="3">
        <f t="shared" si="246"/>
        <v>59</v>
      </c>
      <c r="I371" s="3">
        <f t="shared" si="247"/>
        <v>60</v>
      </c>
      <c r="J371" s="3">
        <v>75</v>
      </c>
      <c r="K371" s="3">
        <f>VLOOKUP($A371,'SegEnds_NonXtal_BW#'!$A:$Z,8,FALSE)+VLOOKUP($A371,A:AL,10,FALSE)-50</f>
        <v>86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91</v>
      </c>
      <c r="P371" s="3">
        <v>119</v>
      </c>
      <c r="Q371" s="3">
        <f>VLOOKUP($A371,'SegEnds_NonXtal_BW#'!$A:$Z,12,FALSE)+VLOOKUP($A371,A:AL,16,FALSE)-50</f>
        <v>123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130</v>
      </c>
      <c r="V371" s="3">
        <v>142</v>
      </c>
      <c r="W371" s="3">
        <f>IF(ISERROR(VLOOKUP($A371,'SegEnds_NonXtal_BW#'!$A:$Z,16,FALSE)+VLOOKUP($A371,A:AL,22,FALSE)-50),"-",(VLOOKUP($A371,'SegEnds_NonXtal_BW#'!$A:$Z,16,FALSE)+VLOOKUP($A371,A:AL,22,FALSE)-50))</f>
        <v>156</v>
      </c>
      <c r="X371" s="3" t="str">
        <f>IF(ISERROR(VLOOKUP($A371,'SegEnds_NonXtal_BW#'!$A:$Z,17,FALSE)+VLOOKUP($A371,A:AL,25,FALSE)-50),"-",(VLOOKUP($A371,'SegEnds_NonXtal_BW#'!$A:$Z,17,FALSE)+VLOOKUP($A371,A:AL,25,FALSE)-50))</f>
        <v>-</v>
      </c>
      <c r="Y371" s="3" t="s">
        <v>23</v>
      </c>
      <c r="Z371" s="3" t="str">
        <f>IF(ISERROR(VLOOKUP($A371,'SegEnds_NonXtal_BW#'!$A:$Z,18,FALSE)+VLOOKUP($A371,A:AL,25,FALSE)-50),"-",(VLOOKUP($A371,'SegEnds_NonXtal_BW#'!$A:$Z,18,FALSE)+VLOOKUP($A371,A:AL,25,FALSE)-50))</f>
        <v>-</v>
      </c>
      <c r="AA371" s="3">
        <f>IF(ISERROR(VLOOKUP($A371,'SegEnds_NonXtal_BW#'!$A:$Z,19,FALSE)+VLOOKUP($A371,A:AL,28,FALSE)-50),"-",(VLOOKUP($A371,'SegEnds_NonXtal_BW#'!$A:$Z,19,FALSE)+VLOOKUP($A371,A:AL,28,FALSE)-50))</f>
        <v>173</v>
      </c>
      <c r="AB371" s="3">
        <v>187</v>
      </c>
      <c r="AC371" s="3">
        <f>IF(ISERROR((VLOOKUP($A371,'SegEnds_NonXtal_BW#'!$A:$Z,20,FALSE)+VLOOKUP($A371,A:AL,28,FALSE)-50)),"-",(VLOOKUP($A371,'SegEnds_NonXtal_BW#'!$A:$Z,20,FALSE)+VLOOKUP($A371,A:AL,28,FALSE)-50))</f>
        <v>198</v>
      </c>
      <c r="AD371" s="3">
        <f>IF(ISERROR(VLOOKUP($A371,'SegEnds_NonXtal_BW#'!$A:$Z,21,FALSE)+VLOOKUP($A371,A:AL,31,FALSE)-50),"-",(VLOOKUP($A371,'SegEnds_NonXtal_BW#'!$A:$Z,21,FALSE)+VLOOKUP($A371,A:AL,31,FALSE)-50))</f>
        <v>209</v>
      </c>
      <c r="AE371" s="3">
        <v>226</v>
      </c>
      <c r="AF371" s="3">
        <f>IF(ISERROR((VLOOKUP($A371,'SegEnds_NonXtal_BW#'!$A:$Z,22,FALSE)+VLOOKUP($A371,A:AL,31,FALSE)-50)),"-",(VLOOKUP($A371,'SegEnds_NonXtal_BW#'!$A:$Z,22,FALSE)+VLOOKUP($A371,A:AL,31,FALSE)-50))</f>
        <v>233</v>
      </c>
      <c r="AG371" s="3">
        <f>IF(ISERROR(VLOOKUP($A371,'SegEnds_NonXtal_BW#'!$A:$Z,23,FALSE)+VLOOKUP($A371,A:AL,34,FALSE)-50),"-",(VLOOKUP($A371,'SegEnds_NonXtal_BW#'!$A:$Z,23,FALSE)+VLOOKUP($A371,A:AL,34,FALSE)-50))</f>
        <v>240</v>
      </c>
      <c r="AH371" s="3">
        <v>257</v>
      </c>
      <c r="AI371" s="3">
        <f>IF(ISERROR((VLOOKUP($A371,'SegEnds_NonXtal_BW#'!$A:$Z,24,FALSE)+VLOOKUP($A371,A:AL,34,FALSE)-50)),"-",(VLOOKUP($A371,'SegEnds_NonXtal_BW#'!$A:$Z,24,FALSE)+VLOOKUP($A371,A:AL,34,FALSE)-50))</f>
        <v>271</v>
      </c>
      <c r="AJ371" s="3">
        <v>273</v>
      </c>
      <c r="AK371" s="3">
        <v>278</v>
      </c>
      <c r="AL371" s="3">
        <v>285</v>
      </c>
      <c r="AM371" s="28" t="str">
        <f>VLOOKUP(A371,Classification!A:B,2,FALSE)</f>
        <v>C</v>
      </c>
      <c r="AN371" s="28" t="b">
        <f t="shared" si="243"/>
        <v>1</v>
      </c>
      <c r="AO371" s="3" t="str">
        <f>IF(ISERROR(MATCH(A371,'SegEnds_Xtal_Prot#'!B:B, 0)), "NoXtal", "Xtal")</f>
        <v>NoXtal</v>
      </c>
      <c r="AP371" s="3">
        <f t="shared" si="228"/>
        <v>1</v>
      </c>
      <c r="AQ371" s="3">
        <f t="shared" si="229"/>
        <v>1</v>
      </c>
      <c r="AR371" s="3" t="str">
        <f t="shared" si="230"/>
        <v>-</v>
      </c>
      <c r="AS371" s="3" t="str">
        <f t="shared" si="231"/>
        <v>-</v>
      </c>
      <c r="AT371" s="3" t="str">
        <f t="shared" si="232"/>
        <v>-</v>
      </c>
      <c r="AU371" s="3" t="str">
        <f t="shared" si="233"/>
        <v>-</v>
      </c>
      <c r="AV371" s="3" t="str">
        <f t="shared" si="234"/>
        <v>-</v>
      </c>
      <c r="AW371" s="3" t="str">
        <f t="shared" si="235"/>
        <v>-</v>
      </c>
      <c r="AX371" s="3">
        <f t="shared" si="236"/>
        <v>11</v>
      </c>
      <c r="AY371" s="3">
        <f t="shared" si="237"/>
        <v>7</v>
      </c>
      <c r="AZ371" s="3">
        <f t="shared" si="238"/>
        <v>2</v>
      </c>
      <c r="BA371" s="3">
        <f>IF(ISERROR(LEN(VLOOKUP(A371,Seqs!A:E,2,FALSE))-AL371),"-",LEN(VLOOKUP(A371,Seqs!A:E,2,FALSE))-AL371)</f>
        <v>72</v>
      </c>
      <c r="BB371" s="16">
        <f t="shared" si="239"/>
        <v>33</v>
      </c>
      <c r="BC371" s="9" t="str">
        <f t="shared" si="240"/>
        <v>-</v>
      </c>
      <c r="BD371" s="3">
        <f t="shared" si="241"/>
        <v>33</v>
      </c>
      <c r="BE371" s="3">
        <f t="shared" si="242"/>
        <v>39</v>
      </c>
    </row>
    <row r="372" spans="1:58" s="3" customFormat="1" ht="17" customHeight="1" x14ac:dyDescent="0.2">
      <c r="A372" s="3" t="s">
        <v>122</v>
      </c>
      <c r="B372" s="3" t="str">
        <f>LOWER(VLOOKUP(A372,Xtal_Templ!A:B,2,FALSE))</f>
        <v>grm1_human</v>
      </c>
      <c r="C372" s="3">
        <f>VLOOKUP($A372,'SegEnds_NonXtal_BW#'!$A:$Z,3,FALSE)+D372-50</f>
        <v>565</v>
      </c>
      <c r="D372" s="3">
        <v>581</v>
      </c>
      <c r="E372" s="3">
        <f>IF(ISERROR(VLOOKUP($A372,'SegEnds_NonXtal_BW#'!$A:$Z,4,FALSE)+VLOOKUP($A372,A:AL,4,FALSE)-50),"-",(VLOOKUP($A372,'SegEnds_NonXtal_BW#'!$A:$Z,4,FALSE)+VLOOKUP($A372,A:AL,4,FALSE)-50))</f>
        <v>591</v>
      </c>
      <c r="F372" s="3">
        <f t="shared" si="245"/>
        <v>594</v>
      </c>
      <c r="G372" s="3">
        <v>597</v>
      </c>
      <c r="H372" s="3">
        <f t="shared" si="246"/>
        <v>600</v>
      </c>
      <c r="I372" s="3">
        <f t="shared" si="247"/>
        <v>601</v>
      </c>
      <c r="J372" s="3">
        <v>612</v>
      </c>
      <c r="K372" s="3">
        <f>VLOOKUP($A372,'SegEnds_NonXtal_BW#'!$A:$Z,8,FALSE)+VLOOKUP($A372,A:AL,10,FALSE)-50</f>
        <v>623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628</v>
      </c>
      <c r="P372" s="3">
        <v>656</v>
      </c>
      <c r="Q372" s="3">
        <f>VLOOKUP($A372,'SegEnds_NonXtal_BW#'!$A:$Z,12,FALSE)+VLOOKUP($A372,A:AL,16,FALSE)-50</f>
        <v>660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675</v>
      </c>
      <c r="V372" s="3">
        <v>687</v>
      </c>
      <c r="W372" s="3">
        <f>IF(ISERROR(VLOOKUP($A372,'SegEnds_NonXtal_BW#'!$A:$Z,16,FALSE)+VLOOKUP($A372,A:AL,22,FALSE)-50),"-",(VLOOKUP($A372,'SegEnds_NonXtal_BW#'!$A:$Z,16,FALSE)+VLOOKUP($A372,A:AL,22,FALSE)-50))</f>
        <v>701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ref="Z372:Z385" si="249">Y372+2</f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43"/>
        <v>1</v>
      </c>
      <c r="AO372" s="3" t="str">
        <f>IF(ISERROR(MATCH(A372,'SegEnds_Xtal_Prot#'!B:B, 0)), "NoXtal", "Xtal")</f>
        <v>NoXtal</v>
      </c>
      <c r="AP372" s="3">
        <f t="shared" si="228"/>
        <v>3</v>
      </c>
      <c r="AQ372" s="3">
        <f t="shared" si="229"/>
        <v>1</v>
      </c>
      <c r="AR372" s="3" t="str">
        <f t="shared" si="230"/>
        <v>-</v>
      </c>
      <c r="AS372" s="3" t="str">
        <f t="shared" si="231"/>
        <v>-</v>
      </c>
      <c r="AT372" s="3" t="str">
        <f t="shared" si="232"/>
        <v>-</v>
      </c>
      <c r="AU372" s="3" t="str">
        <f t="shared" si="233"/>
        <v>-</v>
      </c>
      <c r="AV372" s="3">
        <f t="shared" si="234"/>
        <v>19</v>
      </c>
      <c r="AW372" s="3">
        <f t="shared" si="235"/>
        <v>2</v>
      </c>
      <c r="AX372" s="3">
        <f t="shared" si="236"/>
        <v>9</v>
      </c>
      <c r="AY372" s="3">
        <f t="shared" si="237"/>
        <v>5</v>
      </c>
      <c r="AZ372" s="3">
        <f t="shared" si="238"/>
        <v>1</v>
      </c>
      <c r="BA372" s="3">
        <f>IF(ISERROR(LEN(VLOOKUP(A372,Seqs!A:E,2,FALSE))-AL372),"-",LEN(VLOOKUP(A372,Seqs!A:E,2,FALSE))-AL372)</f>
        <v>11</v>
      </c>
      <c r="BB372" s="16">
        <f t="shared" si="239"/>
        <v>31</v>
      </c>
      <c r="BC372" s="9" t="str">
        <f t="shared" si="240"/>
        <v>-</v>
      </c>
      <c r="BD372" s="3">
        <f t="shared" si="241"/>
        <v>31</v>
      </c>
      <c r="BE372" s="3">
        <f t="shared" si="242"/>
        <v>37</v>
      </c>
      <c r="BF372" s="3">
        <f>AH372-AE372</f>
        <v>29</v>
      </c>
    </row>
    <row r="373" spans="1:58" s="3" customFormat="1" x14ac:dyDescent="0.2">
      <c r="A373" s="3" t="s">
        <v>123</v>
      </c>
      <c r="B373" s="3" t="str">
        <f>LOWER(VLOOKUP(A373,Xtal_Templ!A:B,2,FALSE))</f>
        <v>grm1_human</v>
      </c>
      <c r="C373" s="3">
        <f>VLOOKUP($A373,'SegEnds_NonXtal_BW#'!$A:$Z,3,FALSE)+D373-50</f>
        <v>564</v>
      </c>
      <c r="D373" s="3">
        <v>580</v>
      </c>
      <c r="E373" s="3">
        <f>IF(ISERROR(VLOOKUP($A373,'SegEnds_NonXtal_BW#'!$A:$Z,4,FALSE)+VLOOKUP($A373,A:AL,4,FALSE)-50),"-",(VLOOKUP($A373,'SegEnds_NonXtal_BW#'!$A:$Z,4,FALSE)+VLOOKUP($A373,A:AL,4,FALSE)-50))</f>
        <v>590</v>
      </c>
      <c r="F373" s="3">
        <f t="shared" si="245"/>
        <v>593</v>
      </c>
      <c r="G373" s="3">
        <v>596</v>
      </c>
      <c r="H373" s="3">
        <f t="shared" si="246"/>
        <v>599</v>
      </c>
      <c r="I373" s="3">
        <f t="shared" si="247"/>
        <v>600</v>
      </c>
      <c r="J373" s="3">
        <v>611</v>
      </c>
      <c r="K373" s="3">
        <f>VLOOKUP($A373,'SegEnds_NonXtal_BW#'!$A:$Z,8,FALSE)+VLOOKUP($A373,A:AL,10,FALSE)-50</f>
        <v>622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627</v>
      </c>
      <c r="P373" s="3">
        <v>655</v>
      </c>
      <c r="Q373" s="3">
        <f>VLOOKUP($A373,'SegEnds_NonXtal_BW#'!$A:$Z,12,FALSE)+VLOOKUP($A373,A:AL,16,FALSE)-50</f>
        <v>659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674</v>
      </c>
      <c r="V373" s="3">
        <v>686</v>
      </c>
      <c r="W373" s="3">
        <f>IF(ISERROR(VLOOKUP($A373,'SegEnds_NonXtal_BW#'!$A:$Z,16,FALSE)+VLOOKUP($A373,A:AL,22,FALSE)-50),"-",(VLOOKUP($A373,'SegEnds_NonXtal_BW#'!$A:$Z,16,FALSE)+VLOOKUP($A373,A:AL,22,FALSE)-50))</f>
        <v>700</v>
      </c>
      <c r="X373" s="3">
        <f>IF(ISERROR(VLOOKUP($A373,'SegEnds_NonXtal_BW#'!$A:$Z,17,FALSE)+VLOOKUP($A373,A:AL,25,FALSE)-50),"-",(VLOOKUP($A373,'SegEnds_NonXtal_BW#'!$A:$Z,17,FALSE)+VLOOKUP($A373,A:AL,25,FALSE)-50))</f>
        <v>720</v>
      </c>
      <c r="Y373" s="3">
        <v>720</v>
      </c>
      <c r="Z373" s="3">
        <f t="shared" si="249"/>
        <v>722</v>
      </c>
      <c r="AA373" s="3">
        <f>IF(ISERROR(VLOOKUP($A373,'SegEnds_NonXtal_BW#'!$A:$Z,19,FALSE)+VLOOKUP($A373,A:AL,28,FALSE)-50),"-",(VLOOKUP($A373,'SegEnds_NonXtal_BW#'!$A:$Z,19,FALSE)+VLOOKUP($A373,A:AL,28,FALSE)-50))</f>
        <v>724</v>
      </c>
      <c r="AB373" s="3">
        <v>738</v>
      </c>
      <c r="AC373" s="3">
        <f>IF(ISERROR((VLOOKUP($A373,'SegEnds_NonXtal_BW#'!$A:$Z,20,FALSE)+VLOOKUP($A373,A:AL,28,FALSE)-50)),"-",(VLOOKUP($A373,'SegEnds_NonXtal_BW#'!$A:$Z,20,FALSE)+VLOOKUP($A373,A:AL,28,FALSE)-50))</f>
        <v>749</v>
      </c>
      <c r="AD373" s="3">
        <f>IF(ISERROR(VLOOKUP($A373,'SegEnds_NonXtal_BW#'!$A:$Z,21,FALSE)+VLOOKUP($A373,A:AL,31,FALSE)-50),"-",(VLOOKUP($A373,'SegEnds_NonXtal_BW#'!$A:$Z,21,FALSE)+VLOOKUP($A373,A:AL,31,FALSE)-50))</f>
        <v>758</v>
      </c>
      <c r="AE373" s="3">
        <v>775</v>
      </c>
      <c r="AF373" s="3">
        <f>IF(ISERROR((VLOOKUP($A373,'SegEnds_NonXtal_BW#'!$A:$Z,22,FALSE)+VLOOKUP($A373,A:AL,31,FALSE)-50)),"-",(VLOOKUP($A373,'SegEnds_NonXtal_BW#'!$A:$Z,22,FALSE)+VLOOKUP($A373,A:AL,31,FALSE)-50))</f>
        <v>782</v>
      </c>
      <c r="AG373" s="3">
        <f>IF(ISERROR(VLOOKUP($A373,'SegEnds_NonXtal_BW#'!$A:$Z,23,FALSE)+VLOOKUP($A373,A:AL,34,FALSE)-50),"-",(VLOOKUP($A373,'SegEnds_NonXtal_BW#'!$A:$Z,23,FALSE)+VLOOKUP($A373,A:AL,34,FALSE)-50))</f>
        <v>787</v>
      </c>
      <c r="AH373" s="3">
        <v>804</v>
      </c>
      <c r="AI373" s="3">
        <f>IF(ISERROR((VLOOKUP($A373,'SegEnds_NonXtal_BW#'!$A:$Z,24,FALSE)+VLOOKUP($A373,A:AL,34,FALSE)-50)),"-",(VLOOKUP($A373,'SegEnds_NonXtal_BW#'!$A:$Z,24,FALSE)+VLOOKUP($A373,A:AL,34,FALSE)-50))</f>
        <v>818</v>
      </c>
      <c r="AJ373" s="3">
        <f>IF(ISERROR(VLOOKUP($A373,'SegEnds_NonXtal_BW#'!$A:$Z,25,FALSE)+VLOOKUP($A373,A:AL,37,FALSE)-50),"-",(VLOOKUP($A373,'SegEnds_NonXtal_BW#'!$A:$Z,25,FALSE)+VLOOKUP($A373,A:AL,37,FALSE)-50))</f>
        <v>819</v>
      </c>
      <c r="AK373" s="3">
        <v>823</v>
      </c>
      <c r="AL373" s="3">
        <f>IF(ISERROR((VLOOKUP($A373,'SegEnds_NonXtal_BW#'!$A:$Z,26,FALSE)+VLOOKUP($A373,A:AL,37,FALSE)-50)),"-",(VLOOKUP($A373,'SegEnds_NonXtal_BW#'!$A:$Z,26,FALSE)+VLOOKUP($A373,A:AL,37,FALSE)-50))</f>
        <v>830</v>
      </c>
      <c r="AM373" s="28" t="str">
        <f>VLOOKUP(A373,Classification!A:B,2,FALSE)</f>
        <v>C</v>
      </c>
      <c r="AN373" s="28" t="b">
        <f t="shared" si="243"/>
        <v>1</v>
      </c>
      <c r="AO373" s="3" t="str">
        <f>IF(ISERROR(MATCH(A373,'SegEnds_Xtal_Prot#'!B:B, 0)), "NoXtal", "Xtal")</f>
        <v>NoXtal</v>
      </c>
      <c r="AP373" s="3">
        <f t="shared" si="228"/>
        <v>3</v>
      </c>
      <c r="AQ373" s="3">
        <f t="shared" si="229"/>
        <v>1</v>
      </c>
      <c r="AR373" s="3" t="str">
        <f t="shared" si="230"/>
        <v>-</v>
      </c>
      <c r="AS373" s="3" t="str">
        <f t="shared" si="231"/>
        <v>-</v>
      </c>
      <c r="AT373" s="3" t="str">
        <f t="shared" si="232"/>
        <v>-</v>
      </c>
      <c r="AU373" s="3" t="str">
        <f t="shared" si="233"/>
        <v>-</v>
      </c>
      <c r="AV373" s="3">
        <f t="shared" si="234"/>
        <v>20</v>
      </c>
      <c r="AW373" s="3">
        <f t="shared" si="235"/>
        <v>2</v>
      </c>
      <c r="AX373" s="3">
        <f t="shared" si="236"/>
        <v>9</v>
      </c>
      <c r="AY373" s="3">
        <f t="shared" si="237"/>
        <v>5</v>
      </c>
      <c r="AZ373" s="3">
        <f t="shared" si="238"/>
        <v>1</v>
      </c>
      <c r="BA373" s="3">
        <f>IF(ISERROR(LEN(VLOOKUP(A373,Seqs!A:E,2,FALSE))-AL373),"-",LEN(VLOOKUP(A373,Seqs!A:E,2,FALSE))-AL373)</f>
        <v>9</v>
      </c>
      <c r="BB373" s="16">
        <f t="shared" si="239"/>
        <v>31</v>
      </c>
      <c r="BC373" s="9" t="str">
        <f t="shared" si="240"/>
        <v>-</v>
      </c>
      <c r="BD373" s="3">
        <f t="shared" si="241"/>
        <v>31</v>
      </c>
      <c r="BE373" s="3">
        <f t="shared" si="242"/>
        <v>37</v>
      </c>
      <c r="BF373" s="3">
        <f>AH373-AE373</f>
        <v>29</v>
      </c>
    </row>
    <row r="374" spans="1:58" s="3" customFormat="1" x14ac:dyDescent="0.2">
      <c r="A374" s="3" t="s">
        <v>124</v>
      </c>
      <c r="B374" s="3" t="str">
        <f>LOWER(VLOOKUP(A374,Xtal_Templ!A:B,2,FALSE))</f>
        <v>grm1_human</v>
      </c>
      <c r="C374" s="3">
        <f>VLOOKUP($A374,'SegEnds_NonXtal_BW#'!$A:$Z,3,FALSE)+D374-50</f>
        <v>567</v>
      </c>
      <c r="D374" s="3">
        <v>583</v>
      </c>
      <c r="E374" s="3">
        <f>IF(ISERROR(VLOOKUP($A374,'SegEnds_NonXtal_BW#'!$A:$Z,4,FALSE)+VLOOKUP($A374,A:AL,4,FALSE)-50),"-",(VLOOKUP($A374,'SegEnds_NonXtal_BW#'!$A:$Z,4,FALSE)+VLOOKUP($A374,A:AL,4,FALSE)-50))</f>
        <v>593</v>
      </c>
      <c r="F374" s="3">
        <f t="shared" si="245"/>
        <v>596</v>
      </c>
      <c r="G374" s="3">
        <v>599</v>
      </c>
      <c r="H374" s="3">
        <f t="shared" si="246"/>
        <v>602</v>
      </c>
      <c r="I374" s="3">
        <f t="shared" si="247"/>
        <v>603</v>
      </c>
      <c r="J374" s="3">
        <v>614</v>
      </c>
      <c r="K374" s="3">
        <f>VLOOKUP($A374,'SegEnds_NonXtal_BW#'!$A:$Z,8,FALSE)+VLOOKUP($A374,A:AL,10,FALSE)-50</f>
        <v>625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630</v>
      </c>
      <c r="P374" s="3">
        <v>658</v>
      </c>
      <c r="Q374" s="3">
        <f>VLOOKUP($A374,'SegEnds_NonXtal_BW#'!$A:$Z,12,FALSE)+VLOOKUP($A374,A:AL,16,FALSE)-50</f>
        <v>662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677</v>
      </c>
      <c r="V374" s="3">
        <v>689</v>
      </c>
      <c r="W374" s="3">
        <f>IF(ISERROR(VLOOKUP($A374,'SegEnds_NonXtal_BW#'!$A:$Z,16,FALSE)+VLOOKUP($A374,A:AL,22,FALSE)-50),"-",(VLOOKUP($A374,'SegEnds_NonXtal_BW#'!$A:$Z,16,FALSE)+VLOOKUP($A374,A:AL,22,FALSE)-50))</f>
        <v>703</v>
      </c>
      <c r="X374" s="3">
        <f>IF(ISERROR(VLOOKUP($A374,'SegEnds_NonXtal_BW#'!$A:$Z,17,FALSE)+VLOOKUP($A374,A:AL,25,FALSE)-50),"-",(VLOOKUP($A374,'SegEnds_NonXtal_BW#'!$A:$Z,17,FALSE)+VLOOKUP($A374,A:AL,25,FALSE)-50))</f>
        <v>722</v>
      </c>
      <c r="Y374" s="3">
        <v>722</v>
      </c>
      <c r="Z374" s="3">
        <f t="shared" si="249"/>
        <v>724</v>
      </c>
      <c r="AA374" s="3">
        <f>IF(ISERROR(VLOOKUP($A374,'SegEnds_NonXtal_BW#'!$A:$Z,19,FALSE)+VLOOKUP($A374,A:AL,28,FALSE)-50),"-",(VLOOKUP($A374,'SegEnds_NonXtal_BW#'!$A:$Z,19,FALSE)+VLOOKUP($A374,A:AL,28,FALSE)-50))</f>
        <v>726</v>
      </c>
      <c r="AB374" s="3">
        <v>740</v>
      </c>
      <c r="AC374" s="3">
        <f>IF(ISERROR((VLOOKUP($A374,'SegEnds_NonXtal_BW#'!$A:$Z,20,FALSE)+VLOOKUP($A374,A:AL,28,FALSE)-50)),"-",(VLOOKUP($A374,'SegEnds_NonXtal_BW#'!$A:$Z,20,FALSE)+VLOOKUP($A374,A:AL,28,FALSE)-50))</f>
        <v>751</v>
      </c>
      <c r="AD374" s="3">
        <f>IF(ISERROR(VLOOKUP($A374,'SegEnds_NonXtal_BW#'!$A:$Z,21,FALSE)+VLOOKUP($A374,A:AL,31,FALSE)-50),"-",(VLOOKUP($A374,'SegEnds_NonXtal_BW#'!$A:$Z,21,FALSE)+VLOOKUP($A374,A:AL,31,FALSE)-50))</f>
        <v>760</v>
      </c>
      <c r="AE374" s="3">
        <v>777</v>
      </c>
      <c r="AF374" s="3">
        <f>IF(ISERROR((VLOOKUP($A374,'SegEnds_NonXtal_BW#'!$A:$Z,22,FALSE)+VLOOKUP($A374,A:AL,31,FALSE)-50)),"-",(VLOOKUP($A374,'SegEnds_NonXtal_BW#'!$A:$Z,22,FALSE)+VLOOKUP($A374,A:AL,31,FALSE)-50))</f>
        <v>784</v>
      </c>
      <c r="AG374" s="3">
        <f>IF(ISERROR(VLOOKUP($A374,'SegEnds_NonXtal_BW#'!$A:$Z,23,FALSE)+VLOOKUP($A374,A:AL,34,FALSE)-50),"-",(VLOOKUP($A374,'SegEnds_NonXtal_BW#'!$A:$Z,23,FALSE)+VLOOKUP($A374,A:AL,34,FALSE)-50))</f>
        <v>789</v>
      </c>
      <c r="AH374" s="3">
        <v>806</v>
      </c>
      <c r="AI374" s="3">
        <f>IF(ISERROR((VLOOKUP($A374,'SegEnds_NonXtal_BW#'!$A:$Z,24,FALSE)+VLOOKUP($A374,A:AL,34,FALSE)-50)),"-",(VLOOKUP($A374,'SegEnds_NonXtal_BW#'!$A:$Z,24,FALSE)+VLOOKUP($A374,A:AL,34,FALSE)-50))</f>
        <v>820</v>
      </c>
      <c r="AJ374" s="3">
        <f>IF(ISERROR(VLOOKUP($A374,'SegEnds_NonXtal_BW#'!$A:$Z,25,FALSE)+VLOOKUP($A374,A:AL,37,FALSE)-50),"-",(VLOOKUP($A374,'SegEnds_NonXtal_BW#'!$A:$Z,25,FALSE)+VLOOKUP($A374,A:AL,37,FALSE)-50))</f>
        <v>821</v>
      </c>
      <c r="AK374" s="3">
        <v>825</v>
      </c>
      <c r="AL374" s="3">
        <f>IF(ISERROR((VLOOKUP($A374,'SegEnds_NonXtal_BW#'!$A:$Z,26,FALSE)+VLOOKUP($A374,A:AL,37,FALSE)-50)),"-",(VLOOKUP($A374,'SegEnds_NonXtal_BW#'!$A:$Z,26,FALSE)+VLOOKUP($A374,A:AL,37,FALSE)-50))</f>
        <v>832</v>
      </c>
      <c r="AM374" s="28" t="str">
        <f>VLOOKUP(A374,Classification!A:B,2,FALSE)</f>
        <v>C</v>
      </c>
      <c r="AN374" s="28" t="b">
        <f t="shared" si="243"/>
        <v>1</v>
      </c>
      <c r="AO374" s="3" t="str">
        <f>IF(ISERROR(MATCH(A374,'SegEnds_Xtal_Prot#'!B:B, 0)), "NoXtal", "Xtal")</f>
        <v>NoXtal</v>
      </c>
      <c r="AP374" s="3">
        <f t="shared" si="228"/>
        <v>3</v>
      </c>
      <c r="AQ374" s="3">
        <f t="shared" si="229"/>
        <v>1</v>
      </c>
      <c r="AR374" s="3" t="str">
        <f t="shared" si="230"/>
        <v>-</v>
      </c>
      <c r="AS374" s="3" t="str">
        <f t="shared" si="231"/>
        <v>-</v>
      </c>
      <c r="AT374" s="3" t="str">
        <f t="shared" si="232"/>
        <v>-</v>
      </c>
      <c r="AU374" s="3" t="str">
        <f t="shared" si="233"/>
        <v>-</v>
      </c>
      <c r="AV374" s="3">
        <f t="shared" si="234"/>
        <v>19</v>
      </c>
      <c r="AW374" s="3">
        <f t="shared" si="235"/>
        <v>2</v>
      </c>
      <c r="AX374" s="3">
        <f t="shared" si="236"/>
        <v>9</v>
      </c>
      <c r="AY374" s="3">
        <f t="shared" si="237"/>
        <v>5</v>
      </c>
      <c r="AZ374" s="3">
        <f t="shared" si="238"/>
        <v>1</v>
      </c>
      <c r="BA374" s="3">
        <f>IF(ISERROR(LEN(VLOOKUP(A374,Seqs!A:E,2,FALSE))-AL374),"-",LEN(VLOOKUP(A374,Seqs!A:E,2,FALSE))-AL374)</f>
        <v>20</v>
      </c>
      <c r="BB374" s="16">
        <f t="shared" si="239"/>
        <v>31</v>
      </c>
      <c r="BC374" s="9" t="str">
        <f t="shared" si="240"/>
        <v>-</v>
      </c>
      <c r="BD374" s="3">
        <f t="shared" si="241"/>
        <v>31</v>
      </c>
      <c r="BE374" s="3">
        <f t="shared" si="242"/>
        <v>37</v>
      </c>
      <c r="BF374" s="3">
        <f>AH374-AE374</f>
        <v>29</v>
      </c>
    </row>
    <row r="375" spans="1:58" s="3" customFormat="1" x14ac:dyDescent="0.2">
      <c r="A375" s="3" t="s">
        <v>442</v>
      </c>
      <c r="B375" s="3" t="str">
        <f>LOWER(VLOOKUP(A375,Xtal_Templ!A:B,2,FALSE))</f>
        <v>fzd4_human</v>
      </c>
      <c r="C375" s="3">
        <f>VLOOKUP($A375,'SegEnds_NonXtal_BW#'!$A:$Z,3,FALSE)+D375-50</f>
        <v>312</v>
      </c>
      <c r="D375" s="3">
        <v>334</v>
      </c>
      <c r="E375" s="3">
        <f>IF(ISERROR(VLOOKUP($A375,'SegEnds_NonXtal_BW#'!$A:$Z,4,FALSE)+VLOOKUP($A375,A:AL,4,FALSE)-50),"-",(VLOOKUP($A375,'SegEnds_NonXtal_BW#'!$A:$Z,4,FALSE)+VLOOKUP($A375,A:AL,4,FALSE)-50))</f>
        <v>344</v>
      </c>
      <c r="F375" s="3">
        <f t="shared" si="245"/>
        <v>345</v>
      </c>
      <c r="G375" s="3">
        <v>348</v>
      </c>
      <c r="H375" s="3">
        <f t="shared" ref="H375:H385" si="250">G375+1</f>
        <v>349</v>
      </c>
      <c r="I375" s="3">
        <f t="shared" si="247"/>
        <v>350</v>
      </c>
      <c r="J375" s="105">
        <v>362</v>
      </c>
      <c r="K375" s="3">
        <f>VLOOKUP($A375,'SegEnds_NonXtal_BW#'!$A:$Z,8,FALSE)+VLOOKUP($A375,A:AL,10,FALSE)-50</f>
        <v>376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399</v>
      </c>
      <c r="P375" s="3">
        <v>427</v>
      </c>
      <c r="Q375" s="3">
        <f>VLOOKUP($A375,'SegEnds_NonXtal_BW#'!$A:$Z,12,FALSE)+VLOOKUP($A375,A:AL,16,FALSE)-50</f>
        <v>432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443</v>
      </c>
      <c r="V375" s="3">
        <v>452</v>
      </c>
      <c r="W375" s="3">
        <f>IF(ISERROR(VLOOKUP($A375,'SegEnds_NonXtal_BW#'!$A:$Z,16,FALSE)+VLOOKUP($A375,A:AL,22,FALSE)-50),"-",(VLOOKUP($A375,'SegEnds_NonXtal_BW#'!$A:$Z,16,FALSE)+VLOOKUP($A375,A:AL,22,FALSE)-50))</f>
        <v>466</v>
      </c>
      <c r="X375" s="3">
        <f>IF(ISERROR(VLOOKUP($A375,'SegEnds_NonXtal_BW#'!$A:$Z,17,FALSE)+VLOOKUP($A375,A:AL,25,FALSE)-50),"-",(VLOOKUP($A375,'SegEnds_NonXtal_BW#'!$A:$Z,17,FALSE)+VLOOKUP($A375,A:AL,25,FALSE)-50))</f>
        <v>477</v>
      </c>
      <c r="Y375" s="3">
        <v>477</v>
      </c>
      <c r="Z375" s="3">
        <f t="shared" si="249"/>
        <v>479</v>
      </c>
      <c r="AA375" s="3">
        <f>IF(ISERROR(VLOOKUP($A375,'SegEnds_NonXtal_BW#'!$A:$Z,19,FALSE)+VLOOKUP($A375,A:AL,28,FALSE)-50),"-",(VLOOKUP($A375,'SegEnds_NonXtal_BW#'!$A:$Z,19,FALSE)+VLOOKUP($A375,A:AL,28,FALSE)-50))</f>
        <v>483</v>
      </c>
      <c r="AB375" s="3">
        <v>498</v>
      </c>
      <c r="AC375" s="3">
        <f>IF(ISERROR((VLOOKUP($A375,'SegEnds_NonXtal_BW#'!$A:$Z,20,FALSE)+VLOOKUP($A375,A:AL,28,FALSE)-50)),"-",(VLOOKUP($A375,'SegEnds_NonXtal_BW#'!$A:$Z,20,FALSE)+VLOOKUP($A375,A:AL,28,FALSE)-50))</f>
        <v>520</v>
      </c>
      <c r="AD375" s="3">
        <f>IF(ISERROR(VLOOKUP($A375,'SegEnds_NonXtal_BW#'!$A:$Z,21,FALSE)+VLOOKUP($A375,A:AL,31,FALSE)-50),"-",(VLOOKUP($A375,'SegEnds_NonXtal_BW#'!$A:$Z,21,FALSE)+VLOOKUP($A375,A:AL,31,FALSE)-50))</f>
        <v>531</v>
      </c>
      <c r="AE375" s="105">
        <v>550</v>
      </c>
      <c r="AF375" s="3">
        <f>IF(ISERROR((VLOOKUP($A375,'SegEnds_NonXtal_BW#'!$A:$Z,22,FALSE)+VLOOKUP($A375,A:AL,31,FALSE)-50)),"-",(VLOOKUP($A375,'SegEnds_NonXtal_BW#'!$A:$Z,22,FALSE)+VLOOKUP($A375,A:AL,31,FALSE)-50))</f>
        <v>581</v>
      </c>
      <c r="AG375" s="3">
        <f>IF(ISERROR(VLOOKUP($A375,'SegEnds_NonXtal_BW#'!$A:$Z,23,FALSE)+VLOOKUP($A375,A:AL,34,FALSE)-50),"-",(VLOOKUP($A375,'SegEnds_NonXtal_BW#'!$A:$Z,23,FALSE)+VLOOKUP($A375,A:AL,34,FALSE)-50))</f>
        <v>599</v>
      </c>
      <c r="AH375" s="105">
        <v>618</v>
      </c>
      <c r="AI375" s="3">
        <f>IF(ISERROR((VLOOKUP($A375,'SegEnds_NonXtal_BW#'!$A:$Z,24,FALSE)+VLOOKUP($A375,A:AL,34,FALSE)-50)),"-",(VLOOKUP($A375,'SegEnds_NonXtal_BW#'!$A:$Z,24,FALSE)+VLOOKUP($A375,A:AL,34,FALSE)-50))</f>
        <v>622</v>
      </c>
      <c r="AJ375" s="3">
        <f>IF(ISERROR(VLOOKUP($A375,'SegEnds_NonXtal_BW#'!$A:$Z,25,FALSE)+VLOOKUP($A375,A:AL,37,FALSE)-50),"-",(VLOOKUP($A375,'SegEnds_NonXtal_BW#'!$A:$Z,25,FALSE)+VLOOKUP($A375,A:AL,37,FALSE)-50))</f>
        <v>623</v>
      </c>
      <c r="AK375" s="3">
        <v>626</v>
      </c>
      <c r="AL375" s="3">
        <f>IF(ISERROR((VLOOKUP($A375,'SegEnds_NonXtal_BW#'!$A:$Z,26,FALSE)+VLOOKUP($A375,A:AL,37,FALSE)-50)),"-",(VLOOKUP($A375,'SegEnds_NonXtal_BW#'!$A:$Z,26,FALSE)+VLOOKUP($A375,A:AL,37,FALSE)-50))</f>
        <v>638</v>
      </c>
      <c r="AM375" s="28" t="str">
        <f>VLOOKUP(A375,Classification!A:B,2,FALSE)</f>
        <v>F</v>
      </c>
      <c r="AN375" s="28" t="b">
        <f t="shared" si="243"/>
        <v>1</v>
      </c>
      <c r="AO375" s="3" t="str">
        <f>IF(ISERROR(MATCH(A375,'SegEnds_Xtal_Prot#'!B:B, 0)), "NoXtal", "Xtal")</f>
        <v>NoXtal</v>
      </c>
      <c r="AP375" s="3">
        <f t="shared" si="228"/>
        <v>1</v>
      </c>
      <c r="AQ375" s="3">
        <f t="shared" si="229"/>
        <v>1</v>
      </c>
      <c r="AR375" s="3" t="str">
        <f t="shared" si="230"/>
        <v>-</v>
      </c>
      <c r="AS375" s="3" t="str">
        <f t="shared" si="231"/>
        <v>-</v>
      </c>
      <c r="AT375" s="3" t="str">
        <f t="shared" si="232"/>
        <v>-</v>
      </c>
      <c r="AU375" s="3" t="str">
        <f t="shared" si="233"/>
        <v>-</v>
      </c>
      <c r="AV375" s="3">
        <f t="shared" si="234"/>
        <v>11</v>
      </c>
      <c r="AW375" s="3">
        <f t="shared" si="235"/>
        <v>4</v>
      </c>
      <c r="AX375" s="3">
        <f t="shared" si="236"/>
        <v>11</v>
      </c>
      <c r="AY375" s="3">
        <f t="shared" si="237"/>
        <v>18</v>
      </c>
      <c r="AZ375" s="3">
        <f t="shared" si="238"/>
        <v>1</v>
      </c>
      <c r="BA375" s="3">
        <f>IF(ISERROR(LEN(VLOOKUP(A375,Seqs!A:E,2,FALSE))-AL375),"-",LEN(VLOOKUP(A375,Seqs!A:E,2,FALSE))-AL375)</f>
        <v>9</v>
      </c>
      <c r="BB375" s="16">
        <f t="shared" si="239"/>
        <v>28</v>
      </c>
      <c r="BC375" s="9" t="str">
        <f t="shared" si="240"/>
        <v>-</v>
      </c>
      <c r="BD375" s="3">
        <f t="shared" si="241"/>
        <v>28</v>
      </c>
      <c r="BE375" s="3">
        <f t="shared" si="242"/>
        <v>52</v>
      </c>
      <c r="BF375" s="3">
        <f>AH375-AE375</f>
        <v>68</v>
      </c>
    </row>
    <row r="376" spans="1:58" s="3" customFormat="1" x14ac:dyDescent="0.2">
      <c r="A376" s="3" t="s">
        <v>443</v>
      </c>
      <c r="B376" s="3" t="str">
        <f>LOWER(VLOOKUP(A376,Xtal_Templ!A:B,2,FALSE))</f>
        <v>fzd4_human</v>
      </c>
      <c r="C376" s="3">
        <f>VLOOKUP($A376,'SegEnds_NonXtal_BW#'!$A:$Z,3,FALSE)+D376-50</f>
        <v>220</v>
      </c>
      <c r="D376" s="3">
        <v>242</v>
      </c>
      <c r="E376" s="3">
        <f>IF(ISERROR(VLOOKUP($A376,'SegEnds_NonXtal_BW#'!$A:$Z,4,FALSE)+VLOOKUP($A376,A:AL,4,FALSE)-50),"-",(VLOOKUP($A376,'SegEnds_NonXtal_BW#'!$A:$Z,4,FALSE)+VLOOKUP($A376,A:AL,4,FALSE)-50))</f>
        <v>252</v>
      </c>
      <c r="F376" s="3">
        <f t="shared" si="245"/>
        <v>253</v>
      </c>
      <c r="G376" s="3">
        <v>256</v>
      </c>
      <c r="H376" s="3">
        <f t="shared" si="250"/>
        <v>257</v>
      </c>
      <c r="I376" s="3">
        <f t="shared" si="247"/>
        <v>258</v>
      </c>
      <c r="J376" s="105">
        <v>270</v>
      </c>
      <c r="K376" s="3">
        <f>VLOOKUP($A376,'SegEnds_NonXtal_BW#'!$A:$Z,8,FALSE)+VLOOKUP($A376,A:AL,10,FALSE)-50</f>
        <v>284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306</v>
      </c>
      <c r="P376" s="3">
        <v>334</v>
      </c>
      <c r="Q376" s="3">
        <f>VLOOKUP($A376,'SegEnds_NonXtal_BW#'!$A:$Z,12,FALSE)+VLOOKUP($A376,A:AL,16,FALSE)-50</f>
        <v>339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350</v>
      </c>
      <c r="V376" s="3">
        <v>359</v>
      </c>
      <c r="W376" s="3">
        <f>IF(ISERROR(VLOOKUP($A376,'SegEnds_NonXtal_BW#'!$A:$Z,16,FALSE)+VLOOKUP($A376,A:AL,22,FALSE)-50),"-",(VLOOKUP($A376,'SegEnds_NonXtal_BW#'!$A:$Z,16,FALSE)+VLOOKUP($A376,A:AL,22,FALSE)-50))</f>
        <v>373</v>
      </c>
      <c r="X376" s="3">
        <f>IF(ISERROR(VLOOKUP($A376,'SegEnds_NonXtal_BW#'!$A:$Z,17,FALSE)+VLOOKUP($A376,A:AL,25,FALSE)-50),"-",(VLOOKUP($A376,'SegEnds_NonXtal_BW#'!$A:$Z,17,FALSE)+VLOOKUP($A376,A:AL,25,FALSE)-50))</f>
        <v>384</v>
      </c>
      <c r="Y376" s="3">
        <v>384</v>
      </c>
      <c r="Z376" s="3">
        <f t="shared" si="249"/>
        <v>386</v>
      </c>
      <c r="AA376" s="3">
        <f>IF(ISERROR(VLOOKUP($A376,'SegEnds_NonXtal_BW#'!$A:$Z,19,FALSE)+VLOOKUP($A376,A:AL,28,FALSE)-50),"-",(VLOOKUP($A376,'SegEnds_NonXtal_BW#'!$A:$Z,19,FALSE)+VLOOKUP($A376,A:AL,28,FALSE)-50))</f>
        <v>390</v>
      </c>
      <c r="AB376" s="3">
        <v>405</v>
      </c>
      <c r="AC376" s="3">
        <f>IF(ISERROR((VLOOKUP($A376,'SegEnds_NonXtal_BW#'!$A:$Z,20,FALSE)+VLOOKUP($A376,A:AL,28,FALSE)-50)),"-",(VLOOKUP($A376,'SegEnds_NonXtal_BW#'!$A:$Z,20,FALSE)+VLOOKUP($A376,A:AL,28,FALSE)-50))</f>
        <v>427</v>
      </c>
      <c r="AD376" s="3">
        <f>IF(ISERROR(VLOOKUP($A376,'SegEnds_NonXtal_BW#'!$A:$Z,21,FALSE)+VLOOKUP($A376,A:AL,31,FALSE)-50),"-",(VLOOKUP($A376,'SegEnds_NonXtal_BW#'!$A:$Z,21,FALSE)+VLOOKUP($A376,A:AL,31,FALSE)-50))</f>
        <v>438</v>
      </c>
      <c r="AE376" s="105">
        <v>457</v>
      </c>
      <c r="AF376" s="3">
        <f>IF(ISERROR((VLOOKUP($A376,'SegEnds_NonXtal_BW#'!$A:$Z,22,FALSE)+VLOOKUP($A376,A:AL,31,FALSE)-50)),"-",(VLOOKUP($A376,'SegEnds_NonXtal_BW#'!$A:$Z,22,FALSE)+VLOOKUP($A376,A:AL,31,FALSE)-50))</f>
        <v>485</v>
      </c>
      <c r="AG376" s="3">
        <f>IF(ISERROR(VLOOKUP($A376,'SegEnds_NonXtal_BW#'!$A:$Z,23,FALSE)+VLOOKUP($A376,A:AL,34,FALSE)-50),"-",(VLOOKUP($A376,'SegEnds_NonXtal_BW#'!$A:$Z,23,FALSE)+VLOOKUP($A376,A:AL,34,FALSE)-50))</f>
        <v>500</v>
      </c>
      <c r="AH376" s="105">
        <v>519</v>
      </c>
      <c r="AI376" s="3">
        <f>IF(ISERROR((VLOOKUP($A376,'SegEnds_NonXtal_BW#'!$A:$Z,24,FALSE)+VLOOKUP($A376,A:AL,34,FALSE)-50)),"-",(VLOOKUP($A376,'SegEnds_NonXtal_BW#'!$A:$Z,24,FALSE)+VLOOKUP($A376,A:AL,34,FALSE)-50))</f>
        <v>523</v>
      </c>
      <c r="AJ376" s="3">
        <f>IF(ISERROR(VLOOKUP($A376,'SegEnds_NonXtal_BW#'!$A:$Z,25,FALSE)+VLOOKUP($A376,A:AL,37,FALSE)-50),"-",(VLOOKUP($A376,'SegEnds_NonXtal_BW#'!$A:$Z,25,FALSE)+VLOOKUP($A376,A:AL,37,FALSE)-50))</f>
        <v>524</v>
      </c>
      <c r="AK376" s="3">
        <v>527</v>
      </c>
      <c r="AL376" s="3">
        <f>IF(ISERROR((VLOOKUP($A376,'SegEnds_NonXtal_BW#'!$A:$Z,26,FALSE)+VLOOKUP($A376,A:AL,37,FALSE)-50)),"-",(VLOOKUP($A376,'SegEnds_NonXtal_BW#'!$A:$Z,26,FALSE)+VLOOKUP($A376,A:AL,37,FALSE)-50))</f>
        <v>539</v>
      </c>
      <c r="AM376" s="28" t="str">
        <f>VLOOKUP(A376,Classification!A:B,2,FALSE)</f>
        <v>F</v>
      </c>
      <c r="AN376" s="28" t="b">
        <f t="shared" si="243"/>
        <v>1</v>
      </c>
      <c r="AO376" s="3" t="str">
        <f>IF(ISERROR(MATCH(A376,'SegEnds_Xtal_Prot#'!B:B, 0)), "NoXtal", "Xtal")</f>
        <v>NoXtal</v>
      </c>
      <c r="AP376" s="3">
        <f t="shared" si="228"/>
        <v>1</v>
      </c>
      <c r="AQ376" s="3">
        <f t="shared" si="229"/>
        <v>1</v>
      </c>
      <c r="AR376" s="3" t="str">
        <f t="shared" si="230"/>
        <v>-</v>
      </c>
      <c r="AS376" s="3" t="str">
        <f t="shared" si="231"/>
        <v>-</v>
      </c>
      <c r="AT376" s="3" t="str">
        <f t="shared" si="232"/>
        <v>-</v>
      </c>
      <c r="AU376" s="3" t="str">
        <f t="shared" si="233"/>
        <v>-</v>
      </c>
      <c r="AV376" s="3">
        <f t="shared" si="234"/>
        <v>11</v>
      </c>
      <c r="AW376" s="3">
        <f t="shared" si="235"/>
        <v>4</v>
      </c>
      <c r="AX376" s="3">
        <f t="shared" si="236"/>
        <v>11</v>
      </c>
      <c r="AY376" s="3">
        <f t="shared" si="237"/>
        <v>15</v>
      </c>
      <c r="AZ376" s="3">
        <f t="shared" si="238"/>
        <v>1</v>
      </c>
      <c r="BA376" s="3">
        <f>IF(ISERROR(LEN(VLOOKUP(A376,Seqs!A:E,2,FALSE))-AL376),"-",LEN(VLOOKUP(A376,Seqs!A:E,2,FALSE))-AL376)</f>
        <v>42</v>
      </c>
      <c r="BB376" s="16">
        <f t="shared" si="239"/>
        <v>28</v>
      </c>
      <c r="BC376" s="9" t="str">
        <f t="shared" si="240"/>
        <v>-</v>
      </c>
      <c r="BD376" s="3">
        <f t="shared" si="241"/>
        <v>28</v>
      </c>
      <c r="BE376" s="3">
        <f t="shared" si="242"/>
        <v>52</v>
      </c>
    </row>
    <row r="377" spans="1:58" s="3" customFormat="1" x14ac:dyDescent="0.2">
      <c r="A377" s="3" t="s">
        <v>444</v>
      </c>
      <c r="B377" s="3" t="str">
        <f>LOWER(VLOOKUP(A377,Xtal_Templ!A:B,2,FALSE))</f>
        <v>fzd4_human</v>
      </c>
      <c r="C377" s="3">
        <f>VLOOKUP($A377,'SegEnds_NonXtal_BW#'!$A:$Z,3,FALSE)+D377-50</f>
        <v>237</v>
      </c>
      <c r="D377" s="3">
        <v>259</v>
      </c>
      <c r="E377" s="3">
        <f>IF(ISERROR(VLOOKUP($A377,'SegEnds_NonXtal_BW#'!$A:$Z,4,FALSE)+VLOOKUP($A377,A:AL,4,FALSE)-50),"-",(VLOOKUP($A377,'SegEnds_NonXtal_BW#'!$A:$Z,4,FALSE)+VLOOKUP($A377,A:AL,4,FALSE)-50))</f>
        <v>269</v>
      </c>
      <c r="F377" s="3">
        <f t="shared" si="245"/>
        <v>270</v>
      </c>
      <c r="G377" s="3">
        <v>273</v>
      </c>
      <c r="H377" s="3">
        <f t="shared" si="250"/>
        <v>274</v>
      </c>
      <c r="I377" s="3">
        <f t="shared" si="247"/>
        <v>275</v>
      </c>
      <c r="J377" s="105">
        <v>287</v>
      </c>
      <c r="K377" s="3">
        <f>VLOOKUP($A377,'SegEnds_NonXtal_BW#'!$A:$Z,8,FALSE)+VLOOKUP($A377,A:AL,10,FALSE)-50</f>
        <v>301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324</v>
      </c>
      <c r="P377" s="3">
        <v>352</v>
      </c>
      <c r="Q377" s="3">
        <f>VLOOKUP($A377,'SegEnds_NonXtal_BW#'!$A:$Z,12,FALSE)+VLOOKUP($A377,A:AL,16,FALSE)-50</f>
        <v>357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368</v>
      </c>
      <c r="V377" s="3">
        <v>377</v>
      </c>
      <c r="W377" s="3">
        <f>IF(ISERROR(VLOOKUP($A377,'SegEnds_NonXtal_BW#'!$A:$Z,16,FALSE)+VLOOKUP($A377,A:AL,22,FALSE)-50),"-",(VLOOKUP($A377,'SegEnds_NonXtal_BW#'!$A:$Z,16,FALSE)+VLOOKUP($A377,A:AL,22,FALSE)-50))</f>
        <v>391</v>
      </c>
      <c r="X377" s="3">
        <f>IF(ISERROR(VLOOKUP($A377,'SegEnds_NonXtal_BW#'!$A:$Z,17,FALSE)+VLOOKUP($A377,A:AL,25,FALSE)-50),"-",(VLOOKUP($A377,'SegEnds_NonXtal_BW#'!$A:$Z,17,FALSE)+VLOOKUP($A377,A:AL,25,FALSE)-50))</f>
        <v>402</v>
      </c>
      <c r="Y377" s="3">
        <v>402</v>
      </c>
      <c r="Z377" s="3">
        <f t="shared" si="249"/>
        <v>404</v>
      </c>
      <c r="AA377" s="3">
        <f>IF(ISERROR(VLOOKUP($A377,'SegEnds_NonXtal_BW#'!$A:$Z,19,FALSE)+VLOOKUP($A377,A:AL,28,FALSE)-50),"-",(VLOOKUP($A377,'SegEnds_NonXtal_BW#'!$A:$Z,19,FALSE)+VLOOKUP($A377,A:AL,28,FALSE)-50))</f>
        <v>408</v>
      </c>
      <c r="AB377" s="3">
        <v>423</v>
      </c>
      <c r="AC377" s="3">
        <f>IF(ISERROR((VLOOKUP($A377,'SegEnds_NonXtal_BW#'!$A:$Z,20,FALSE)+VLOOKUP($A377,A:AL,28,FALSE)-50)),"-",(VLOOKUP($A377,'SegEnds_NonXtal_BW#'!$A:$Z,20,FALSE)+VLOOKUP($A377,A:AL,28,FALSE)-50))</f>
        <v>445</v>
      </c>
      <c r="AD377" s="3">
        <f>IF(ISERROR(VLOOKUP($A377,'SegEnds_NonXtal_BW#'!$A:$Z,21,FALSE)+VLOOKUP($A377,A:AL,31,FALSE)-50),"-",(VLOOKUP($A377,'SegEnds_NonXtal_BW#'!$A:$Z,21,FALSE)+VLOOKUP($A377,A:AL,31,FALSE)-50))</f>
        <v>456</v>
      </c>
      <c r="AE377" s="105">
        <v>475</v>
      </c>
      <c r="AF377" s="3">
        <f>IF(ISERROR((VLOOKUP($A377,'SegEnds_NonXtal_BW#'!$A:$Z,22,FALSE)+VLOOKUP($A377,A:AL,31,FALSE)-50)),"-",(VLOOKUP($A377,'SegEnds_NonXtal_BW#'!$A:$Z,22,FALSE)+VLOOKUP($A377,A:AL,31,FALSE)-50))</f>
        <v>503</v>
      </c>
      <c r="AG377" s="3">
        <f>IF(ISERROR(VLOOKUP($A377,'SegEnds_NonXtal_BW#'!$A:$Z,23,FALSE)+VLOOKUP($A377,A:AL,34,FALSE)-50),"-",(VLOOKUP($A377,'SegEnds_NonXtal_BW#'!$A:$Z,23,FALSE)+VLOOKUP($A377,A:AL,34,FALSE)-50))</f>
        <v>517</v>
      </c>
      <c r="AH377" s="105">
        <v>536</v>
      </c>
      <c r="AI377" s="3">
        <f>IF(ISERROR((VLOOKUP($A377,'SegEnds_NonXtal_BW#'!$A:$Z,24,FALSE)+VLOOKUP($A377,A:AL,34,FALSE)-50)),"-",(VLOOKUP($A377,'SegEnds_NonXtal_BW#'!$A:$Z,24,FALSE)+VLOOKUP($A377,A:AL,34,FALSE)-50))</f>
        <v>540</v>
      </c>
      <c r="AJ377" s="3">
        <f>IF(ISERROR(VLOOKUP($A377,'SegEnds_NonXtal_BW#'!$A:$Z,25,FALSE)+VLOOKUP($A377,A:AL,37,FALSE)-50),"-",(VLOOKUP($A377,'SegEnds_NonXtal_BW#'!$A:$Z,25,FALSE)+VLOOKUP($A377,A:AL,37,FALSE)-50))</f>
        <v>541</v>
      </c>
      <c r="AK377" s="3">
        <v>544</v>
      </c>
      <c r="AL377" s="3">
        <f>IF(ISERROR((VLOOKUP($A377,'SegEnds_NonXtal_BW#'!$A:$Z,26,FALSE)+VLOOKUP($A377,A:AL,37,FALSE)-50)),"-",(VLOOKUP($A377,'SegEnds_NonXtal_BW#'!$A:$Z,26,FALSE)+VLOOKUP($A377,A:AL,37,FALSE)-50))</f>
        <v>556</v>
      </c>
      <c r="AM377" s="28" t="str">
        <f>VLOOKUP(A377,Classification!A:B,2,FALSE)</f>
        <v>F</v>
      </c>
      <c r="AN377" s="28" t="b">
        <f t="shared" si="243"/>
        <v>1</v>
      </c>
      <c r="AO377" s="3" t="str">
        <f>IF(ISERROR(MATCH(A377,'SegEnds_Xtal_Prot#'!B:B, 0)), "NoXtal", "Xtal")</f>
        <v>NoXtal</v>
      </c>
      <c r="AP377" s="3">
        <f t="shared" si="228"/>
        <v>1</v>
      </c>
      <c r="AQ377" s="3">
        <f t="shared" si="229"/>
        <v>1</v>
      </c>
      <c r="AR377" s="3" t="str">
        <f t="shared" si="230"/>
        <v>-</v>
      </c>
      <c r="AS377" s="3" t="str">
        <f t="shared" si="231"/>
        <v>-</v>
      </c>
      <c r="AT377" s="3" t="str">
        <f t="shared" si="232"/>
        <v>-</v>
      </c>
      <c r="AU377" s="3" t="str">
        <f t="shared" si="233"/>
        <v>-</v>
      </c>
      <c r="AV377" s="3">
        <f t="shared" si="234"/>
        <v>11</v>
      </c>
      <c r="AW377" s="3">
        <f t="shared" si="235"/>
        <v>4</v>
      </c>
      <c r="AX377" s="3">
        <f t="shared" si="236"/>
        <v>11</v>
      </c>
      <c r="AY377" s="3">
        <f t="shared" si="237"/>
        <v>14</v>
      </c>
      <c r="AZ377" s="3">
        <f t="shared" si="238"/>
        <v>1</v>
      </c>
      <c r="BA377" s="3">
        <f>IF(ISERROR(LEN(VLOOKUP(A377,Seqs!A:E,2,FALSE))-AL377),"-",LEN(VLOOKUP(A377,Seqs!A:E,2,FALSE))-AL377)</f>
        <v>9</v>
      </c>
      <c r="BB377" s="16">
        <f t="shared" si="239"/>
        <v>28</v>
      </c>
      <c r="BC377" s="9" t="str">
        <f t="shared" si="240"/>
        <v>-</v>
      </c>
      <c r="BD377" s="3">
        <f t="shared" si="241"/>
        <v>28</v>
      </c>
      <c r="BE377" s="3">
        <f t="shared" si="242"/>
        <v>52</v>
      </c>
      <c r="BF377" s="3">
        <f>AH377-AE377</f>
        <v>61</v>
      </c>
    </row>
    <row r="378" spans="1:58" s="3" customFormat="1" x14ac:dyDescent="0.2">
      <c r="A378" s="3" t="s">
        <v>445</v>
      </c>
      <c r="B378" s="3" t="str">
        <f>LOWER(VLOOKUP(A378,Xtal_Templ!A:B,2,FALSE))</f>
        <v>fzd4_human</v>
      </c>
      <c r="C378" s="3">
        <f>VLOOKUP($A378,'SegEnds_NonXtal_BW#'!$A:$Z,3,FALSE)+D378-50</f>
        <v>195</v>
      </c>
      <c r="D378" s="3">
        <v>217</v>
      </c>
      <c r="E378" s="3">
        <f>IF(ISERROR(VLOOKUP($A378,'SegEnds_NonXtal_BW#'!$A:$Z,4,FALSE)+VLOOKUP($A378,A:AL,4,FALSE)-50),"-",(VLOOKUP($A378,'SegEnds_NonXtal_BW#'!$A:$Z,4,FALSE)+VLOOKUP($A378,A:AL,4,FALSE)-50))</f>
        <v>227</v>
      </c>
      <c r="F378" s="3">
        <f t="shared" si="245"/>
        <v>228</v>
      </c>
      <c r="G378" s="3">
        <v>231</v>
      </c>
      <c r="H378" s="3">
        <f t="shared" si="250"/>
        <v>232</v>
      </c>
      <c r="I378" s="3">
        <f t="shared" si="247"/>
        <v>233</v>
      </c>
      <c r="J378" s="105">
        <v>245</v>
      </c>
      <c r="K378" s="3">
        <f>VLOOKUP($A378,'SegEnds_NonXtal_BW#'!$A:$Z,8,FALSE)+VLOOKUP($A378,A:AL,10,FALSE)-50</f>
        <v>259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283</v>
      </c>
      <c r="P378" s="3">
        <v>311</v>
      </c>
      <c r="Q378" s="3">
        <f>VLOOKUP($A378,'SegEnds_NonXtal_BW#'!$A:$Z,12,FALSE)+VLOOKUP($A378,A:AL,16,FALSE)-50</f>
        <v>316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327</v>
      </c>
      <c r="V378" s="3">
        <v>336</v>
      </c>
      <c r="W378" s="3">
        <f>IF(ISERROR(VLOOKUP($A378,'SegEnds_NonXtal_BW#'!$A:$Z,16,FALSE)+VLOOKUP($A378,A:AL,22,FALSE)-50),"-",(VLOOKUP($A378,'SegEnds_NonXtal_BW#'!$A:$Z,16,FALSE)+VLOOKUP($A378,A:AL,22,FALSE)-50))</f>
        <v>350</v>
      </c>
      <c r="X378" s="3">
        <f>IF(ISERROR(VLOOKUP($A378,'SegEnds_NonXtal_BW#'!$A:$Z,17,FALSE)+VLOOKUP($A378,A:AL,25,FALSE)-50),"-",(VLOOKUP($A378,'SegEnds_NonXtal_BW#'!$A:$Z,17,FALSE)+VLOOKUP($A378,A:AL,25,FALSE)-50))</f>
        <v>361</v>
      </c>
      <c r="Y378" s="3">
        <v>361</v>
      </c>
      <c r="Z378" s="3">
        <f t="shared" si="249"/>
        <v>363</v>
      </c>
      <c r="AA378" s="3">
        <f>IF(ISERROR(VLOOKUP($A378,'SegEnds_NonXtal_BW#'!$A:$Z,19,FALSE)+VLOOKUP($A378,A:AL,28,FALSE)-50),"-",(VLOOKUP($A378,'SegEnds_NonXtal_BW#'!$A:$Z,19,FALSE)+VLOOKUP($A378,A:AL,28,FALSE)-50))</f>
        <v>367</v>
      </c>
      <c r="AB378" s="3">
        <v>382</v>
      </c>
      <c r="AC378" s="3">
        <f>IF(ISERROR((VLOOKUP($A378,'SegEnds_NonXtal_BW#'!$A:$Z,20,FALSE)+VLOOKUP($A378,A:AL,28,FALSE)-50)),"-",(VLOOKUP($A378,'SegEnds_NonXtal_BW#'!$A:$Z,20,FALSE)+VLOOKUP($A378,A:AL,28,FALSE)-50))</f>
        <v>404</v>
      </c>
      <c r="AD378" s="3">
        <f>IF(ISERROR(VLOOKUP($A378,'SegEnds_NonXtal_BW#'!$A:$Z,21,FALSE)+VLOOKUP($A378,A:AL,31,FALSE)-50),"-",(VLOOKUP($A378,'SegEnds_NonXtal_BW#'!$A:$Z,21,FALSE)+VLOOKUP($A378,A:AL,31,FALSE)-50))</f>
        <v>415</v>
      </c>
      <c r="AE378" s="105">
        <v>434</v>
      </c>
      <c r="AF378" s="3">
        <f>IF(ISERROR((VLOOKUP($A378,'SegEnds_NonXtal_BW#'!$A:$Z,22,FALSE)+VLOOKUP($A378,A:AL,31,FALSE)-50)),"-",(VLOOKUP($A378,'SegEnds_NonXtal_BW#'!$A:$Z,22,FALSE)+VLOOKUP($A378,A:AL,31,FALSE)-50))</f>
        <v>462</v>
      </c>
      <c r="AG378" s="3">
        <f>IF(ISERROR(VLOOKUP($A378,'SegEnds_NonXtal_BW#'!$A:$Z,23,FALSE)+VLOOKUP($A378,A:AL,34,FALSE)-50),"-",(VLOOKUP($A378,'SegEnds_NonXtal_BW#'!$A:$Z,23,FALSE)+VLOOKUP($A378,A:AL,34,FALSE)-50))</f>
        <v>476</v>
      </c>
      <c r="AH378" s="105">
        <v>495</v>
      </c>
      <c r="AI378" s="3">
        <f>IF(ISERROR((VLOOKUP($A378,'SegEnds_NonXtal_BW#'!$A:$Z,24,FALSE)+VLOOKUP($A378,A:AL,34,FALSE)-50)),"-",(VLOOKUP($A378,'SegEnds_NonXtal_BW#'!$A:$Z,24,FALSE)+VLOOKUP($A378,A:AL,34,FALSE)-50))</f>
        <v>499</v>
      </c>
      <c r="AJ378" s="3">
        <f>IF(ISERROR(VLOOKUP($A378,'SegEnds_NonXtal_BW#'!$A:$Z,25,FALSE)+VLOOKUP($A378,A:AL,37,FALSE)-50),"-",(VLOOKUP($A378,'SegEnds_NonXtal_BW#'!$A:$Z,25,FALSE)+VLOOKUP($A378,A:AL,37,FALSE)-50))</f>
        <v>500</v>
      </c>
      <c r="AK378" s="3">
        <v>503</v>
      </c>
      <c r="AL378" s="3">
        <f>IF(ISERROR((VLOOKUP($A378,'SegEnds_NonXtal_BW#'!$A:$Z,26,FALSE)+VLOOKUP($A378,A:AL,37,FALSE)-50)),"-",(VLOOKUP($A378,'SegEnds_NonXtal_BW#'!$A:$Z,26,FALSE)+VLOOKUP($A378,A:AL,37,FALSE)-50))</f>
        <v>515</v>
      </c>
      <c r="AM378" s="28" t="str">
        <f>VLOOKUP(A378,Classification!A:B,2,FALSE)</f>
        <v>F</v>
      </c>
      <c r="AN378" s="28" t="b">
        <f t="shared" si="243"/>
        <v>1</v>
      </c>
      <c r="AO378" s="3" t="str">
        <f>IF(ISERROR(MATCH(A378,'SegEnds_Xtal_Prot#'!B:B, 0)), "NoXtal", "Xtal")</f>
        <v>NoXtal</v>
      </c>
      <c r="AP378" s="3">
        <f t="shared" si="228"/>
        <v>1</v>
      </c>
      <c r="AQ378" s="3">
        <f t="shared" si="229"/>
        <v>1</v>
      </c>
      <c r="AR378" s="3" t="str">
        <f t="shared" si="230"/>
        <v>-</v>
      </c>
      <c r="AS378" s="3" t="str">
        <f t="shared" si="231"/>
        <v>-</v>
      </c>
      <c r="AT378" s="3" t="str">
        <f t="shared" si="232"/>
        <v>-</v>
      </c>
      <c r="AU378" s="3" t="str">
        <f t="shared" si="233"/>
        <v>-</v>
      </c>
      <c r="AV378" s="3">
        <f t="shared" si="234"/>
        <v>11</v>
      </c>
      <c r="AW378" s="3">
        <f t="shared" si="235"/>
        <v>4</v>
      </c>
      <c r="AX378" s="3">
        <f t="shared" si="236"/>
        <v>11</v>
      </c>
      <c r="AY378" s="3">
        <f t="shared" si="237"/>
        <v>14</v>
      </c>
      <c r="AZ378" s="3">
        <f t="shared" si="238"/>
        <v>1</v>
      </c>
      <c r="BA378" s="3">
        <f>IF(ISERROR(LEN(VLOOKUP(A378,Seqs!A:E,2,FALSE))-AL378),"-",LEN(VLOOKUP(A378,Seqs!A:E,2,FALSE))-AL378)</f>
        <v>151</v>
      </c>
      <c r="BB378" s="16">
        <f t="shared" si="239"/>
        <v>28</v>
      </c>
      <c r="BC378" s="9" t="str">
        <f t="shared" si="240"/>
        <v>-</v>
      </c>
      <c r="BD378" s="3">
        <f t="shared" si="241"/>
        <v>28</v>
      </c>
      <c r="BE378" s="3">
        <f t="shared" si="242"/>
        <v>52</v>
      </c>
    </row>
    <row r="379" spans="1:58" s="3" customFormat="1" x14ac:dyDescent="0.2">
      <c r="A379" s="3" t="s">
        <v>446</v>
      </c>
      <c r="B379" s="3" t="str">
        <f>LOWER(VLOOKUP(A379,Xtal_Templ!A:B,2,FALSE))</f>
        <v>fzd4_human</v>
      </c>
      <c r="C379" s="3">
        <f>VLOOKUP($A379,'SegEnds_NonXtal_BW#'!$A:$Z,3,FALSE)+D379-50</f>
        <v>212</v>
      </c>
      <c r="D379" s="3">
        <v>234</v>
      </c>
      <c r="E379" s="3">
        <f>IF(ISERROR(VLOOKUP($A379,'SegEnds_NonXtal_BW#'!$A:$Z,4,FALSE)+VLOOKUP($A379,A:AL,4,FALSE)-50),"-",(VLOOKUP($A379,'SegEnds_NonXtal_BW#'!$A:$Z,4,FALSE)+VLOOKUP($A379,A:AL,4,FALSE)-50))</f>
        <v>244</v>
      </c>
      <c r="F379" s="3">
        <f t="shared" si="245"/>
        <v>245</v>
      </c>
      <c r="G379" s="3">
        <v>248</v>
      </c>
      <c r="H379" s="3">
        <f t="shared" si="250"/>
        <v>249</v>
      </c>
      <c r="I379" s="3">
        <f t="shared" si="247"/>
        <v>250</v>
      </c>
      <c r="J379" s="105">
        <v>262</v>
      </c>
      <c r="K379" s="3">
        <f>VLOOKUP($A379,'SegEnds_NonXtal_BW#'!$A:$Z,8,FALSE)+VLOOKUP($A379,A:AL,10,FALSE)-50</f>
        <v>276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299</v>
      </c>
      <c r="P379" s="3">
        <v>327</v>
      </c>
      <c r="Q379" s="3">
        <f>VLOOKUP($A379,'SegEnds_NonXtal_BW#'!$A:$Z,12,FALSE)+VLOOKUP($A379,A:AL,16,FALSE)-50</f>
        <v>332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343</v>
      </c>
      <c r="V379" s="3">
        <v>352</v>
      </c>
      <c r="W379" s="3">
        <f>IF(ISERROR(VLOOKUP($A379,'SegEnds_NonXtal_BW#'!$A:$Z,16,FALSE)+VLOOKUP($A379,A:AL,22,FALSE)-50),"-",(VLOOKUP($A379,'SegEnds_NonXtal_BW#'!$A:$Z,16,FALSE)+VLOOKUP($A379,A:AL,22,FALSE)-50))</f>
        <v>366</v>
      </c>
      <c r="X379" s="3">
        <f>IF(ISERROR(VLOOKUP($A379,'SegEnds_NonXtal_BW#'!$A:$Z,17,FALSE)+VLOOKUP($A379,A:AL,25,FALSE)-50),"-",(VLOOKUP($A379,'SegEnds_NonXtal_BW#'!$A:$Z,17,FALSE)+VLOOKUP($A379,A:AL,25,FALSE)-50))</f>
        <v>377</v>
      </c>
      <c r="Y379" s="3">
        <v>377</v>
      </c>
      <c r="Z379" s="3">
        <f t="shared" si="249"/>
        <v>379</v>
      </c>
      <c r="AA379" s="3">
        <f>IF(ISERROR(VLOOKUP($A379,'SegEnds_NonXtal_BW#'!$A:$Z,19,FALSE)+VLOOKUP($A379,A:AL,28,FALSE)-50),"-",(VLOOKUP($A379,'SegEnds_NonXtal_BW#'!$A:$Z,19,FALSE)+VLOOKUP($A379,A:AL,28,FALSE)-50))</f>
        <v>383</v>
      </c>
      <c r="AB379" s="3">
        <v>398</v>
      </c>
      <c r="AC379" s="3">
        <f>IF(ISERROR((VLOOKUP($A379,'SegEnds_NonXtal_BW#'!$A:$Z,20,FALSE)+VLOOKUP($A379,A:AL,28,FALSE)-50)),"-",(VLOOKUP($A379,'SegEnds_NonXtal_BW#'!$A:$Z,20,FALSE)+VLOOKUP($A379,A:AL,28,FALSE)-50))</f>
        <v>420</v>
      </c>
      <c r="AD379" s="3">
        <f>IF(ISERROR(VLOOKUP($A379,'SegEnds_NonXtal_BW#'!$A:$Z,21,FALSE)+VLOOKUP($A379,A:AL,31,FALSE)-50),"-",(VLOOKUP($A379,'SegEnds_NonXtal_BW#'!$A:$Z,21,FALSE)+VLOOKUP($A379,A:AL,31,FALSE)-50))</f>
        <v>431</v>
      </c>
      <c r="AE379" s="105">
        <v>450</v>
      </c>
      <c r="AF379" s="3">
        <f>IF(ISERROR((VLOOKUP($A379,'SegEnds_NonXtal_BW#'!$A:$Z,22,FALSE)+VLOOKUP($A379,A:AL,31,FALSE)-50)),"-",(VLOOKUP($A379,'SegEnds_NonXtal_BW#'!$A:$Z,22,FALSE)+VLOOKUP($A379,A:AL,31,FALSE)-50))</f>
        <v>461</v>
      </c>
      <c r="AG379" s="3">
        <f>IF(ISERROR(VLOOKUP($A379,'SegEnds_NonXtal_BW#'!$A:$Z,23,FALSE)+VLOOKUP($A379,A:AL,34,FALSE)-50),"-",(VLOOKUP($A379,'SegEnds_NonXtal_BW#'!$A:$Z,23,FALSE)+VLOOKUP($A379,A:AL,34,FALSE)-50))</f>
        <v>473</v>
      </c>
      <c r="AH379" s="105">
        <v>492</v>
      </c>
      <c r="AI379" s="3">
        <f>IF(ISERROR((VLOOKUP($A379,'SegEnds_NonXtal_BW#'!$A:$Z,24,FALSE)+VLOOKUP($A379,A:AL,34,FALSE)-50)),"-",(VLOOKUP($A379,'SegEnds_NonXtal_BW#'!$A:$Z,24,FALSE)+VLOOKUP($A379,A:AL,34,FALSE)-50))</f>
        <v>496</v>
      </c>
      <c r="AJ379" s="3">
        <f>IF(ISERROR(VLOOKUP($A379,'SegEnds_NonXtal_BW#'!$A:$Z,25,FALSE)+VLOOKUP($A379,A:AL,37,FALSE)-50),"-",(VLOOKUP($A379,'SegEnds_NonXtal_BW#'!$A:$Z,25,FALSE)+VLOOKUP($A379,A:AL,37,FALSE)-50))</f>
        <v>497</v>
      </c>
      <c r="AK379" s="3">
        <v>500</v>
      </c>
      <c r="AL379" s="3">
        <f>IF(ISERROR((VLOOKUP($A379,'SegEnds_NonXtal_BW#'!$A:$Z,26,FALSE)+VLOOKUP($A379,A:AL,37,FALSE)-50)),"-",(VLOOKUP($A379,'SegEnds_NonXtal_BW#'!$A:$Z,26,FALSE)+VLOOKUP($A379,A:AL,37,FALSE)-50))</f>
        <v>512</v>
      </c>
      <c r="AM379" s="28" t="str">
        <f>VLOOKUP(A379,Classification!A:B,2,FALSE)</f>
        <v>F</v>
      </c>
      <c r="AN379" s="28" t="b">
        <f t="shared" si="243"/>
        <v>1</v>
      </c>
      <c r="AO379" s="3" t="str">
        <f>IF(ISERROR(MATCH(A379,'SegEnds_Xtal_Prot#'!B:B, 0)), "NoXtal", "Xtal")</f>
        <v>Xtal</v>
      </c>
      <c r="AP379" s="3">
        <f t="shared" si="228"/>
        <v>1</v>
      </c>
      <c r="AQ379" s="3">
        <f t="shared" si="229"/>
        <v>1</v>
      </c>
      <c r="AR379" s="3" t="str">
        <f t="shared" si="230"/>
        <v>-</v>
      </c>
      <c r="AS379" s="3" t="str">
        <f t="shared" si="231"/>
        <v>-</v>
      </c>
      <c r="AT379" s="3" t="str">
        <f t="shared" si="232"/>
        <v>-</v>
      </c>
      <c r="AU379" s="3" t="str">
        <f t="shared" si="233"/>
        <v>-</v>
      </c>
      <c r="AV379" s="3">
        <f t="shared" si="234"/>
        <v>11</v>
      </c>
      <c r="AW379" s="3">
        <f t="shared" si="235"/>
        <v>4</v>
      </c>
      <c r="AX379" s="3">
        <f t="shared" si="236"/>
        <v>11</v>
      </c>
      <c r="AY379" s="3">
        <f t="shared" si="237"/>
        <v>12</v>
      </c>
      <c r="AZ379" s="3">
        <f t="shared" si="238"/>
        <v>1</v>
      </c>
      <c r="BA379" s="3">
        <f>IF(ISERROR(LEN(VLOOKUP(A379,Seqs!A:E,2,FALSE))-AL379),"-",LEN(VLOOKUP(A379,Seqs!A:E,2,FALSE))-AL379)</f>
        <v>25</v>
      </c>
      <c r="BB379" s="16">
        <f t="shared" si="239"/>
        <v>28</v>
      </c>
      <c r="BC379" s="9" t="str">
        <f t="shared" si="240"/>
        <v>-</v>
      </c>
      <c r="BD379" s="3">
        <f t="shared" si="241"/>
        <v>28</v>
      </c>
      <c r="BE379" s="3">
        <f t="shared" si="242"/>
        <v>52</v>
      </c>
      <c r="BF379" s="3">
        <f>AH379-AE379</f>
        <v>42</v>
      </c>
    </row>
    <row r="380" spans="1:58" s="3" customFormat="1" x14ac:dyDescent="0.2">
      <c r="A380" s="3" t="s">
        <v>447</v>
      </c>
      <c r="B380" s="3" t="str">
        <f>LOWER(VLOOKUP(A380,Xtal_Templ!A:B,2,FALSE))</f>
        <v>fzd5_human</v>
      </c>
      <c r="C380" s="3">
        <f>VLOOKUP($A380,'SegEnds_NonXtal_BW#'!$A:$Z,3,FALSE)+D380-50</f>
        <v>228</v>
      </c>
      <c r="D380" s="3">
        <v>250</v>
      </c>
      <c r="E380" s="3">
        <f>IF(ISERROR(VLOOKUP($A380,'SegEnds_NonXtal_BW#'!$A:$Z,4,FALSE)+VLOOKUP($A380,A:AL,4,FALSE)-50),"-",(VLOOKUP($A380,'SegEnds_NonXtal_BW#'!$A:$Z,4,FALSE)+VLOOKUP($A380,A:AL,4,FALSE)-50))</f>
        <v>260</v>
      </c>
      <c r="F380" s="3">
        <f t="shared" si="245"/>
        <v>261</v>
      </c>
      <c r="G380" s="3">
        <v>264</v>
      </c>
      <c r="H380" s="3">
        <f t="shared" si="250"/>
        <v>265</v>
      </c>
      <c r="I380" s="3">
        <f t="shared" si="247"/>
        <v>266</v>
      </c>
      <c r="J380" s="105">
        <v>278</v>
      </c>
      <c r="K380" s="3">
        <f>VLOOKUP($A380,'SegEnds_NonXtal_BW#'!$A:$Z,8,FALSE)+VLOOKUP($A380,A:AL,10,FALSE)-50</f>
        <v>292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314</v>
      </c>
      <c r="P380" s="3">
        <v>340</v>
      </c>
      <c r="Q380" s="3">
        <f>VLOOKUP($A380,'SegEnds_NonXtal_BW#'!$A:$Z,12,FALSE)+VLOOKUP($A380,A:AL,16,FALSE)-50</f>
        <v>347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349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379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49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444</v>
      </c>
      <c r="AE380" s="105">
        <v>463</v>
      </c>
      <c r="AF380" s="3">
        <f>IF(ISERROR((VLOOKUP($A380,'SegEnds_NonXtal_BW#'!$A:$Z,22,FALSE)+VLOOKUP($A380,A:AL,31,FALSE)-50)),"-",(VLOOKUP($A380,'SegEnds_NonXtal_BW#'!$A:$Z,22,FALSE)+VLOOKUP($A380,A:AL,31,FALSE)-50))</f>
        <v>479</v>
      </c>
      <c r="AG380" s="3">
        <f>IF(ISERROR(VLOOKUP($A380,'SegEnds_NonXtal_BW#'!$A:$Z,23,FALSE)+VLOOKUP($A380,A:AL,34,FALSE)-50),"-",(VLOOKUP($A380,'SegEnds_NonXtal_BW#'!$A:$Z,23,FALSE)+VLOOKUP($A380,A:AL,34,FALSE)-50))</f>
        <v>499</v>
      </c>
      <c r="AH380" s="105">
        <v>518</v>
      </c>
      <c r="AI380" s="3">
        <f>IF(ISERROR((VLOOKUP($A380,'SegEnds_NonXtal_BW#'!$A:$Z,24,FALSE)+VLOOKUP($A380,A:AL,34,FALSE)-50)),"-",(VLOOKUP($A380,'SegEnds_NonXtal_BW#'!$A:$Z,24,FALSE)+VLOOKUP($A380,A:AL,34,FALSE)-50))</f>
        <v>522</v>
      </c>
      <c r="AJ380" s="3">
        <f>IF(ISERROR(VLOOKUP($A380,'SegEnds_NonXtal_BW#'!$A:$Z,25,FALSE)+VLOOKUP($A380,A:AL,37,FALSE)-50),"-",(VLOOKUP($A380,'SegEnds_NonXtal_BW#'!$A:$Z,25,FALSE)+VLOOKUP($A380,A:AL,37,FALSE)-50))</f>
        <v>523</v>
      </c>
      <c r="AK380" s="3">
        <v>526</v>
      </c>
      <c r="AL380" s="3">
        <f>IF(ISERROR((VLOOKUP($A380,'SegEnds_NonXtal_BW#'!$A:$Z,26,FALSE)+VLOOKUP($A380,A:AL,37,FALSE)-50)),"-",(VLOOKUP($A380,'SegEnds_NonXtal_BW#'!$A:$Z,26,FALSE)+VLOOKUP($A380,A:AL,37,FALSE)-50))</f>
        <v>538</v>
      </c>
      <c r="AM380" s="28" t="str">
        <f>VLOOKUP(A380,Classification!A:B,2,FALSE)</f>
        <v>F</v>
      </c>
      <c r="AN380" s="28" t="b">
        <f t="shared" si="243"/>
        <v>1</v>
      </c>
      <c r="AO380" s="3" t="str">
        <f>IF(ISERROR(MATCH(A380,'SegEnds_Xtal_Prot#'!B:B, 0)), "NoXtal", "Xtal")</f>
        <v>Xtal</v>
      </c>
      <c r="AP380" s="3">
        <f t="shared" si="228"/>
        <v>1</v>
      </c>
      <c r="AQ380" s="3">
        <f t="shared" si="229"/>
        <v>1</v>
      </c>
      <c r="AR380" s="3" t="str">
        <f t="shared" si="230"/>
        <v>-</v>
      </c>
      <c r="AS380" s="3" t="str">
        <f t="shared" si="231"/>
        <v>-</v>
      </c>
      <c r="AT380" s="3" t="str">
        <f t="shared" si="232"/>
        <v>-</v>
      </c>
      <c r="AU380" s="3" t="str">
        <f t="shared" si="233"/>
        <v>-</v>
      </c>
      <c r="AV380" s="3">
        <f t="shared" si="234"/>
        <v>11</v>
      </c>
      <c r="AW380" s="3">
        <f t="shared" si="235"/>
        <v>4</v>
      </c>
      <c r="AX380" s="3">
        <f t="shared" si="236"/>
        <v>11</v>
      </c>
      <c r="AY380" s="3">
        <f t="shared" si="237"/>
        <v>20</v>
      </c>
      <c r="AZ380" s="3">
        <f t="shared" si="238"/>
        <v>1</v>
      </c>
      <c r="BA380" s="3">
        <f>IF(ISERROR(LEN(VLOOKUP(A380,Seqs!A:E,2,FALSE))-AL380),"-",LEN(VLOOKUP(A380,Seqs!A:E,2,FALSE))-AL380)</f>
        <v>47</v>
      </c>
      <c r="BB380" s="16">
        <f t="shared" si="239"/>
        <v>28</v>
      </c>
      <c r="BC380" s="9" t="str">
        <f t="shared" si="240"/>
        <v>-</v>
      </c>
      <c r="BD380" s="3">
        <f t="shared" si="241"/>
        <v>28</v>
      </c>
      <c r="BE380" s="3">
        <f t="shared" si="242"/>
        <v>52</v>
      </c>
    </row>
    <row r="381" spans="1:58" s="3" customFormat="1" x14ac:dyDescent="0.2">
      <c r="A381" s="3" t="s">
        <v>448</v>
      </c>
      <c r="B381" s="3" t="str">
        <f>LOWER(VLOOKUP(A381,Xtal_Templ!A:B,2,FALSE))</f>
        <v>fzd4_human</v>
      </c>
      <c r="C381" s="3">
        <f>VLOOKUP($A381,'SegEnds_NonXtal_BW#'!$A:$Z,3,FALSE)+D381-50</f>
        <v>191</v>
      </c>
      <c r="D381" s="3">
        <v>213</v>
      </c>
      <c r="E381" s="3">
        <f>IF(ISERROR(VLOOKUP($A381,'SegEnds_NonXtal_BW#'!$A:$Z,4,FALSE)+VLOOKUP($A381,A:AL,4,FALSE)-50),"-",(VLOOKUP($A381,'SegEnds_NonXtal_BW#'!$A:$Z,4,FALSE)+VLOOKUP($A381,A:AL,4,FALSE)-50))</f>
        <v>223</v>
      </c>
      <c r="F381" s="3">
        <f t="shared" si="245"/>
        <v>224</v>
      </c>
      <c r="G381" s="3">
        <v>227</v>
      </c>
      <c r="H381" s="3">
        <f t="shared" si="250"/>
        <v>228</v>
      </c>
      <c r="I381" s="3">
        <f t="shared" si="247"/>
        <v>229</v>
      </c>
      <c r="J381" s="105">
        <v>241</v>
      </c>
      <c r="K381" s="3">
        <f>VLOOKUP($A381,'SegEnds_NonXtal_BW#'!$A:$Z,8,FALSE)+VLOOKUP($A381,A:AL,10,FALSE)-50</f>
        <v>255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279</v>
      </c>
      <c r="P381" s="3">
        <v>307</v>
      </c>
      <c r="Q381" s="3">
        <f>VLOOKUP($A381,'SegEnds_NonXtal_BW#'!$A:$Z,12,FALSE)+VLOOKUP($A381,A:AL,16,FALSE)-50</f>
        <v>312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323</v>
      </c>
      <c r="V381" s="3">
        <v>332</v>
      </c>
      <c r="W381" s="3">
        <f>IF(ISERROR(VLOOKUP($A381,'SegEnds_NonXtal_BW#'!$A:$Z,16,FALSE)+VLOOKUP($A381,A:AL,22,FALSE)-50),"-",(VLOOKUP($A381,'SegEnds_NonXtal_BW#'!$A:$Z,16,FALSE)+VLOOKUP($A381,A:AL,22,FALSE)-50))</f>
        <v>346</v>
      </c>
      <c r="X381" s="3">
        <f>IF(ISERROR(VLOOKUP($A381,'SegEnds_NonXtal_BW#'!$A:$Z,17,FALSE)+VLOOKUP($A381,A:AL,25,FALSE)-50),"-",(VLOOKUP($A381,'SegEnds_NonXtal_BW#'!$A:$Z,17,FALSE)+VLOOKUP($A381,A:AL,25,FALSE)-50))</f>
        <v>357</v>
      </c>
      <c r="Y381" s="3">
        <v>357</v>
      </c>
      <c r="Z381" s="3">
        <f t="shared" si="249"/>
        <v>359</v>
      </c>
      <c r="AA381" s="3">
        <f>IF(ISERROR(VLOOKUP($A381,'SegEnds_NonXtal_BW#'!$A:$Z,19,FALSE)+VLOOKUP($A381,A:AL,28,FALSE)-50),"-",(VLOOKUP($A381,'SegEnds_NonXtal_BW#'!$A:$Z,19,FALSE)+VLOOKUP($A381,A:AL,28,FALSE)-50))</f>
        <v>363</v>
      </c>
      <c r="AB381" s="3">
        <v>378</v>
      </c>
      <c r="AC381" s="3">
        <f>IF(ISERROR((VLOOKUP($A381,'SegEnds_NonXtal_BW#'!$A:$Z,20,FALSE)+VLOOKUP($A381,A:AL,28,FALSE)-50)),"-",(VLOOKUP($A381,'SegEnds_NonXtal_BW#'!$A:$Z,20,FALSE)+VLOOKUP($A381,A:AL,28,FALSE)-50))</f>
        <v>400</v>
      </c>
      <c r="AD381" s="3">
        <f>IF(ISERROR(VLOOKUP($A381,'SegEnds_NonXtal_BW#'!$A:$Z,21,FALSE)+VLOOKUP($A381,A:AL,31,FALSE)-50),"-",(VLOOKUP($A381,'SegEnds_NonXtal_BW#'!$A:$Z,21,FALSE)+VLOOKUP($A381,A:AL,31,FALSE)-50))</f>
        <v>411</v>
      </c>
      <c r="AE381" s="105">
        <v>430</v>
      </c>
      <c r="AF381" s="3">
        <f>IF(ISERROR((VLOOKUP($A381,'SegEnds_NonXtal_BW#'!$A:$Z,22,FALSE)+VLOOKUP($A381,A:AL,31,FALSE)-50)),"-",(VLOOKUP($A381,'SegEnds_NonXtal_BW#'!$A:$Z,22,FALSE)+VLOOKUP($A381,A:AL,31,FALSE)-50))</f>
        <v>458</v>
      </c>
      <c r="AG381" s="3">
        <f>IF(ISERROR(VLOOKUP($A381,'SegEnds_NonXtal_BW#'!$A:$Z,23,FALSE)+VLOOKUP($A381,A:AL,34,FALSE)-50),"-",(VLOOKUP($A381,'SegEnds_NonXtal_BW#'!$A:$Z,23,FALSE)+VLOOKUP($A381,A:AL,34,FALSE)-50))</f>
        <v>472</v>
      </c>
      <c r="AH381" s="105">
        <v>491</v>
      </c>
      <c r="AI381" s="3">
        <f>IF(ISERROR((VLOOKUP($A381,'SegEnds_NonXtal_BW#'!$A:$Z,24,FALSE)+VLOOKUP($A381,A:AL,34,FALSE)-50)),"-",(VLOOKUP($A381,'SegEnds_NonXtal_BW#'!$A:$Z,24,FALSE)+VLOOKUP($A381,A:AL,34,FALSE)-50))</f>
        <v>495</v>
      </c>
      <c r="AJ381" s="3">
        <f>IF(ISERROR(VLOOKUP($A381,'SegEnds_NonXtal_BW#'!$A:$Z,25,FALSE)+VLOOKUP($A381,A:AL,37,FALSE)-50),"-",(VLOOKUP($A381,'SegEnds_NonXtal_BW#'!$A:$Z,25,FALSE)+VLOOKUP($A381,A:AL,37,FALSE)-50))</f>
        <v>496</v>
      </c>
      <c r="AK381" s="3">
        <v>499</v>
      </c>
      <c r="AL381" s="3">
        <f>IF(ISERROR((VLOOKUP($A381,'SegEnds_NonXtal_BW#'!$A:$Z,26,FALSE)+VLOOKUP($A381,A:AL,37,FALSE)-50)),"-",(VLOOKUP($A381,'SegEnds_NonXtal_BW#'!$A:$Z,26,FALSE)+VLOOKUP($A381,A:AL,37,FALSE)-50))</f>
        <v>511</v>
      </c>
      <c r="AM381" s="28" t="str">
        <f>VLOOKUP(A381,Classification!A:B,2,FALSE)</f>
        <v>F</v>
      </c>
      <c r="AN381" s="28" t="b">
        <f t="shared" si="243"/>
        <v>1</v>
      </c>
      <c r="AO381" s="3" t="str">
        <f>IF(ISERROR(MATCH(A381,'SegEnds_Xtal_Prot#'!B:B, 0)), "NoXtal", "Xtal")</f>
        <v>NoXtal</v>
      </c>
      <c r="AP381" s="3">
        <f t="shared" si="228"/>
        <v>1</v>
      </c>
      <c r="AQ381" s="3">
        <f t="shared" si="229"/>
        <v>1</v>
      </c>
      <c r="AR381" s="3" t="str">
        <f t="shared" si="230"/>
        <v>-</v>
      </c>
      <c r="AS381" s="3" t="str">
        <f t="shared" si="231"/>
        <v>-</v>
      </c>
      <c r="AT381" s="3" t="str">
        <f t="shared" si="232"/>
        <v>-</v>
      </c>
      <c r="AU381" s="3" t="str">
        <f t="shared" si="233"/>
        <v>-</v>
      </c>
      <c r="AV381" s="3">
        <f t="shared" si="234"/>
        <v>11</v>
      </c>
      <c r="AW381" s="3">
        <f t="shared" si="235"/>
        <v>4</v>
      </c>
      <c r="AX381" s="3">
        <f t="shared" si="236"/>
        <v>11</v>
      </c>
      <c r="AY381" s="3">
        <f t="shared" si="237"/>
        <v>14</v>
      </c>
      <c r="AZ381" s="3">
        <f t="shared" si="238"/>
        <v>1</v>
      </c>
      <c r="BA381" s="3">
        <f>IF(ISERROR(LEN(VLOOKUP(A381,Seqs!A:E,2,FALSE))-AL381),"-",LEN(VLOOKUP(A381,Seqs!A:E,2,FALSE))-AL381)</f>
        <v>195</v>
      </c>
      <c r="BB381" s="16">
        <f t="shared" si="239"/>
        <v>28</v>
      </c>
      <c r="BC381" s="9" t="str">
        <f t="shared" si="240"/>
        <v>-</v>
      </c>
      <c r="BD381" s="3">
        <f t="shared" si="241"/>
        <v>28</v>
      </c>
      <c r="BE381" s="3">
        <f t="shared" si="242"/>
        <v>52</v>
      </c>
    </row>
    <row r="382" spans="1:58" s="3" customFormat="1" x14ac:dyDescent="0.2">
      <c r="A382" s="3" t="s">
        <v>449</v>
      </c>
      <c r="B382" s="3" t="str">
        <f>LOWER(VLOOKUP(A382,Xtal_Templ!A:B,2,FALSE))</f>
        <v>fzd4_human</v>
      </c>
      <c r="C382" s="3">
        <f>VLOOKUP($A382,'SegEnds_NonXtal_BW#'!$A:$Z,3,FALSE)+D382-50</f>
        <v>246</v>
      </c>
      <c r="D382" s="3">
        <v>268</v>
      </c>
      <c r="E382" s="3">
        <f>IF(ISERROR(VLOOKUP($A382,'SegEnds_NonXtal_BW#'!$A:$Z,4,FALSE)+VLOOKUP($A382,A:AL,4,FALSE)-50),"-",(VLOOKUP($A382,'SegEnds_NonXtal_BW#'!$A:$Z,4,FALSE)+VLOOKUP($A382,A:AL,4,FALSE)-50))</f>
        <v>278</v>
      </c>
      <c r="F382" s="3">
        <f t="shared" si="245"/>
        <v>279</v>
      </c>
      <c r="G382" s="3">
        <v>282</v>
      </c>
      <c r="H382" s="3">
        <f t="shared" si="250"/>
        <v>283</v>
      </c>
      <c r="I382" s="3">
        <f t="shared" si="247"/>
        <v>284</v>
      </c>
      <c r="J382" s="105">
        <v>296</v>
      </c>
      <c r="K382" s="3">
        <f>VLOOKUP($A382,'SegEnds_NonXtal_BW#'!$A:$Z,8,FALSE)+VLOOKUP($A382,A:AL,10,FALSE)-50</f>
        <v>310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333</v>
      </c>
      <c r="P382" s="3">
        <v>361</v>
      </c>
      <c r="Q382" s="3">
        <f>VLOOKUP($A382,'SegEnds_NonXtal_BW#'!$A:$Z,12,FALSE)+VLOOKUP($A382,A:AL,16,FALSE)-50</f>
        <v>366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377</v>
      </c>
      <c r="V382" s="3">
        <v>386</v>
      </c>
      <c r="W382" s="3">
        <f>IF(ISERROR(VLOOKUP($A382,'SegEnds_NonXtal_BW#'!$A:$Z,16,FALSE)+VLOOKUP($A382,A:AL,22,FALSE)-50),"-",(VLOOKUP($A382,'SegEnds_NonXtal_BW#'!$A:$Z,16,FALSE)+VLOOKUP($A382,A:AL,22,FALSE)-50))</f>
        <v>400</v>
      </c>
      <c r="X382" s="3">
        <f>IF(ISERROR(VLOOKUP($A382,'SegEnds_NonXtal_BW#'!$A:$Z,17,FALSE)+VLOOKUP($A382,A:AL,25,FALSE)-50),"-",(VLOOKUP($A382,'SegEnds_NonXtal_BW#'!$A:$Z,17,FALSE)+VLOOKUP($A382,A:AL,25,FALSE)-50))</f>
        <v>411</v>
      </c>
      <c r="Y382" s="3">
        <v>411</v>
      </c>
      <c r="Z382" s="3">
        <f t="shared" si="249"/>
        <v>413</v>
      </c>
      <c r="AA382" s="3">
        <f>IF(ISERROR(VLOOKUP($A382,'SegEnds_NonXtal_BW#'!$A:$Z,19,FALSE)+VLOOKUP($A382,A:AL,28,FALSE)-50),"-",(VLOOKUP($A382,'SegEnds_NonXtal_BW#'!$A:$Z,19,FALSE)+VLOOKUP($A382,A:AL,28,FALSE)-50))</f>
        <v>417</v>
      </c>
      <c r="AB382" s="3">
        <v>432</v>
      </c>
      <c r="AC382" s="3">
        <f>IF(ISERROR((VLOOKUP($A382,'SegEnds_NonXtal_BW#'!$A:$Z,20,FALSE)+VLOOKUP($A382,A:AL,28,FALSE)-50)),"-",(VLOOKUP($A382,'SegEnds_NonXtal_BW#'!$A:$Z,20,FALSE)+VLOOKUP($A382,A:AL,28,FALSE)-50))</f>
        <v>454</v>
      </c>
      <c r="AD382" s="3">
        <f>IF(ISERROR(VLOOKUP($A382,'SegEnds_NonXtal_BW#'!$A:$Z,21,FALSE)+VLOOKUP($A382,A:AL,31,FALSE)-50),"-",(VLOOKUP($A382,'SegEnds_NonXtal_BW#'!$A:$Z,21,FALSE)+VLOOKUP($A382,A:AL,31,FALSE)-50))</f>
        <v>465</v>
      </c>
      <c r="AE382" s="105">
        <v>484</v>
      </c>
      <c r="AF382" s="3">
        <f>IF(ISERROR((VLOOKUP($A382,'SegEnds_NonXtal_BW#'!$A:$Z,22,FALSE)+VLOOKUP($A382,A:AL,31,FALSE)-50)),"-",(VLOOKUP($A382,'SegEnds_NonXtal_BW#'!$A:$Z,22,FALSE)+VLOOKUP($A382,A:AL,31,FALSE)-50))</f>
        <v>512</v>
      </c>
      <c r="AG382" s="3">
        <f>IF(ISERROR(VLOOKUP($A382,'SegEnds_NonXtal_BW#'!$A:$Z,23,FALSE)+VLOOKUP($A382,A:AL,34,FALSE)-50),"-",(VLOOKUP($A382,'SegEnds_NonXtal_BW#'!$A:$Z,23,FALSE)+VLOOKUP($A382,A:AL,34,FALSE)-50))</f>
        <v>526</v>
      </c>
      <c r="AH382" s="105">
        <v>545</v>
      </c>
      <c r="AI382" s="3">
        <f>IF(ISERROR((VLOOKUP($A382,'SegEnds_NonXtal_BW#'!$A:$Z,24,FALSE)+VLOOKUP($A382,A:AL,34,FALSE)-50)),"-",(VLOOKUP($A382,'SegEnds_NonXtal_BW#'!$A:$Z,24,FALSE)+VLOOKUP($A382,A:AL,34,FALSE)-50))</f>
        <v>549</v>
      </c>
      <c r="AJ382" s="3">
        <f>IF(ISERROR(VLOOKUP($A382,'SegEnds_NonXtal_BW#'!$A:$Z,25,FALSE)+VLOOKUP($A382,A:AL,37,FALSE)-50),"-",(VLOOKUP($A382,'SegEnds_NonXtal_BW#'!$A:$Z,25,FALSE)+VLOOKUP($A382,A:AL,37,FALSE)-50))</f>
        <v>550</v>
      </c>
      <c r="AK382" s="3">
        <v>553</v>
      </c>
      <c r="AL382" s="3">
        <f>IF(ISERROR((VLOOKUP($A382,'SegEnds_NonXtal_BW#'!$A:$Z,26,FALSE)+VLOOKUP($A382,A:AL,37,FALSE)-50)),"-",(VLOOKUP($A382,'SegEnds_NonXtal_BW#'!$A:$Z,26,FALSE)+VLOOKUP($A382,A:AL,37,FALSE)-50))</f>
        <v>565</v>
      </c>
      <c r="AM382" s="28" t="str">
        <f>VLOOKUP(A382,Classification!A:B,2,FALSE)</f>
        <v>F</v>
      </c>
      <c r="AN382" s="28" t="b">
        <f t="shared" si="243"/>
        <v>1</v>
      </c>
      <c r="AO382" s="3" t="str">
        <f>IF(ISERROR(MATCH(A382,'SegEnds_Xtal_Prot#'!B:B, 0)), "NoXtal", "Xtal")</f>
        <v>NoXtal</v>
      </c>
      <c r="AP382" s="3">
        <f t="shared" si="228"/>
        <v>1</v>
      </c>
      <c r="AQ382" s="3">
        <f t="shared" si="229"/>
        <v>1</v>
      </c>
      <c r="AR382" s="3" t="str">
        <f t="shared" si="230"/>
        <v>-</v>
      </c>
      <c r="AS382" s="3" t="str">
        <f t="shared" si="231"/>
        <v>-</v>
      </c>
      <c r="AT382" s="3" t="str">
        <f t="shared" si="232"/>
        <v>-</v>
      </c>
      <c r="AU382" s="3" t="str">
        <f t="shared" si="233"/>
        <v>-</v>
      </c>
      <c r="AV382" s="3">
        <f t="shared" si="234"/>
        <v>11</v>
      </c>
      <c r="AW382" s="3">
        <f t="shared" si="235"/>
        <v>4</v>
      </c>
      <c r="AX382" s="3">
        <f t="shared" si="236"/>
        <v>11</v>
      </c>
      <c r="AY382" s="3">
        <f t="shared" si="237"/>
        <v>14</v>
      </c>
      <c r="AZ382" s="3">
        <f t="shared" si="238"/>
        <v>1</v>
      </c>
      <c r="BA382" s="3">
        <f>IF(ISERROR(LEN(VLOOKUP(A382,Seqs!A:E,2,FALSE))-AL382),"-",LEN(VLOOKUP(A382,Seqs!A:E,2,FALSE))-AL382)</f>
        <v>9</v>
      </c>
      <c r="BB382" s="16">
        <f t="shared" si="239"/>
        <v>28</v>
      </c>
      <c r="BC382" s="9" t="str">
        <f t="shared" si="240"/>
        <v>-</v>
      </c>
      <c r="BD382" s="3">
        <f t="shared" si="241"/>
        <v>28</v>
      </c>
      <c r="BE382" s="3">
        <f t="shared" si="242"/>
        <v>52</v>
      </c>
      <c r="BF382" s="3">
        <f>AH382-AE382</f>
        <v>61</v>
      </c>
    </row>
    <row r="383" spans="1:58" s="3" customFormat="1" x14ac:dyDescent="0.2">
      <c r="A383" s="3" t="s">
        <v>450</v>
      </c>
      <c r="B383" s="3" t="str">
        <f>LOWER(VLOOKUP(A383,Xtal_Templ!A:B,2,FALSE))</f>
        <v>fzd4_human</v>
      </c>
      <c r="C383" s="3">
        <f>VLOOKUP($A383,'SegEnds_NonXtal_BW#'!$A:$Z,3,FALSE)+D383-50</f>
        <v>270</v>
      </c>
      <c r="D383" s="3">
        <v>292</v>
      </c>
      <c r="E383" s="3">
        <f>IF(ISERROR(VLOOKUP($A383,'SegEnds_NonXtal_BW#'!$A:$Z,4,FALSE)+VLOOKUP($A383,A:AL,4,FALSE)-50),"-",(VLOOKUP($A383,'SegEnds_NonXtal_BW#'!$A:$Z,4,FALSE)+VLOOKUP($A383,A:AL,4,FALSE)-50))</f>
        <v>302</v>
      </c>
      <c r="F383" s="3">
        <f t="shared" si="245"/>
        <v>303</v>
      </c>
      <c r="G383" s="3">
        <v>306</v>
      </c>
      <c r="H383" s="3">
        <f t="shared" si="250"/>
        <v>307</v>
      </c>
      <c r="I383" s="3">
        <f t="shared" si="247"/>
        <v>308</v>
      </c>
      <c r="J383" s="105">
        <v>320</v>
      </c>
      <c r="K383" s="3">
        <f>VLOOKUP($A383,'SegEnds_NonXtal_BW#'!$A:$Z,8,FALSE)+VLOOKUP($A383,A:AL,10,FALSE)-50</f>
        <v>334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393</v>
      </c>
      <c r="P383" s="3">
        <v>421</v>
      </c>
      <c r="Q383" s="3">
        <f>VLOOKUP($A383,'SegEnds_NonXtal_BW#'!$A:$Z,12,FALSE)+VLOOKUP($A383,A:AL,16,FALSE)-50</f>
        <v>426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437</v>
      </c>
      <c r="V383" s="3">
        <v>446</v>
      </c>
      <c r="W383" s="3">
        <f>IF(ISERROR(VLOOKUP($A383,'SegEnds_NonXtal_BW#'!$A:$Z,16,FALSE)+VLOOKUP($A383,A:AL,22,FALSE)-50),"-",(VLOOKUP($A383,'SegEnds_NonXtal_BW#'!$A:$Z,16,FALSE)+VLOOKUP($A383,A:AL,22,FALSE)-50))</f>
        <v>460</v>
      </c>
      <c r="X383" s="3">
        <f>IF(ISERROR(VLOOKUP($A383,'SegEnds_NonXtal_BW#'!$A:$Z,17,FALSE)+VLOOKUP($A383,A:AL,25,FALSE)-50),"-",(VLOOKUP($A383,'SegEnds_NonXtal_BW#'!$A:$Z,17,FALSE)+VLOOKUP($A383,A:AL,25,FALSE)-50))</f>
        <v>471</v>
      </c>
      <c r="Y383" s="3">
        <v>471</v>
      </c>
      <c r="Z383" s="3">
        <f t="shared" si="249"/>
        <v>473</v>
      </c>
      <c r="AA383" s="3">
        <f>IF(ISERROR(VLOOKUP($A383,'SegEnds_NonXtal_BW#'!$A:$Z,19,FALSE)+VLOOKUP($A383,A:AL,28,FALSE)-50),"-",(VLOOKUP($A383,'SegEnds_NonXtal_BW#'!$A:$Z,19,FALSE)+VLOOKUP($A383,A:AL,28,FALSE)-50))</f>
        <v>477</v>
      </c>
      <c r="AB383" s="3">
        <v>492</v>
      </c>
      <c r="AC383" s="3">
        <f>IF(ISERROR((VLOOKUP($A383,'SegEnds_NonXtal_BW#'!$A:$Z,20,FALSE)+VLOOKUP($A383,A:AL,28,FALSE)-50)),"-",(VLOOKUP($A383,'SegEnds_NonXtal_BW#'!$A:$Z,20,FALSE)+VLOOKUP($A383,A:AL,28,FALSE)-50))</f>
        <v>514</v>
      </c>
      <c r="AD383" s="3">
        <f>IF(ISERROR(VLOOKUP($A383,'SegEnds_NonXtal_BW#'!$A:$Z,21,FALSE)+VLOOKUP($A383,A:AL,31,FALSE)-50),"-",(VLOOKUP($A383,'SegEnds_NonXtal_BW#'!$A:$Z,21,FALSE)+VLOOKUP($A383,A:AL,31,FALSE)-50))</f>
        <v>527</v>
      </c>
      <c r="AE383" s="105">
        <v>546</v>
      </c>
      <c r="AF383" s="3">
        <f>IF(ISERROR((VLOOKUP($A383,'SegEnds_NonXtal_BW#'!$A:$Z,22,FALSE)+VLOOKUP($A383,A:AL,31,FALSE)-50)),"-",(VLOOKUP($A383,'SegEnds_NonXtal_BW#'!$A:$Z,22,FALSE)+VLOOKUP($A383,A:AL,31,FALSE)-50))</f>
        <v>562</v>
      </c>
      <c r="AG383" s="3">
        <f>IF(ISERROR(VLOOKUP($A383,'SegEnds_NonXtal_BW#'!$A:$Z,23,FALSE)+VLOOKUP($A383,A:AL,34,FALSE)-50),"-",(VLOOKUP($A383,'SegEnds_NonXtal_BW#'!$A:$Z,23,FALSE)+VLOOKUP($A383,A:AL,34,FALSE)-50))</f>
        <v>582</v>
      </c>
      <c r="AH383" s="105">
        <v>601</v>
      </c>
      <c r="AI383" s="3">
        <f>IF(ISERROR((VLOOKUP($A383,'SegEnds_NonXtal_BW#'!$A:$Z,24,FALSE)+VLOOKUP($A383,A:AL,34,FALSE)-50)),"-",(VLOOKUP($A383,'SegEnds_NonXtal_BW#'!$A:$Z,24,FALSE)+VLOOKUP($A383,A:AL,34,FALSE)-50))</f>
        <v>605</v>
      </c>
      <c r="AJ383" s="3">
        <f>IF(ISERROR(VLOOKUP($A383,'SegEnds_NonXtal_BW#'!$A:$Z,25,FALSE)+VLOOKUP($A383,A:AL,37,FALSE)-50),"-",(VLOOKUP($A383,'SegEnds_NonXtal_BW#'!$A:$Z,25,FALSE)+VLOOKUP($A383,A:AL,37,FALSE)-50))</f>
        <v>606</v>
      </c>
      <c r="AK383" s="3">
        <v>609</v>
      </c>
      <c r="AL383" s="3">
        <f>IF(ISERROR((VLOOKUP($A383,'SegEnds_NonXtal_BW#'!$A:$Z,26,FALSE)+VLOOKUP($A383,A:AL,37,FALSE)-50)),"-",(VLOOKUP($A383,'SegEnds_NonXtal_BW#'!$A:$Z,26,FALSE)+VLOOKUP($A383,A:AL,37,FALSE)-50))</f>
        <v>621</v>
      </c>
      <c r="AM383" s="28" t="str">
        <f>VLOOKUP(A383,Classification!A:B,2,FALSE)</f>
        <v>F</v>
      </c>
      <c r="AN383" s="28" t="b">
        <f t="shared" si="243"/>
        <v>1</v>
      </c>
      <c r="AO383" s="3" t="str">
        <f>IF(ISERROR(MATCH(A383,'SegEnds_Xtal_Prot#'!B:B, 0)), "NoXtal", "Xtal")</f>
        <v>NoXtal</v>
      </c>
      <c r="AP383" s="3">
        <f t="shared" si="228"/>
        <v>1</v>
      </c>
      <c r="AQ383" s="3">
        <f t="shared" si="229"/>
        <v>1</v>
      </c>
      <c r="AR383" s="3" t="str">
        <f t="shared" si="230"/>
        <v>-</v>
      </c>
      <c r="AS383" s="3" t="str">
        <f t="shared" si="231"/>
        <v>-</v>
      </c>
      <c r="AT383" s="3" t="str">
        <f t="shared" si="232"/>
        <v>-</v>
      </c>
      <c r="AU383" s="3" t="str">
        <f t="shared" si="233"/>
        <v>-</v>
      </c>
      <c r="AV383" s="3">
        <f t="shared" si="234"/>
        <v>11</v>
      </c>
      <c r="AW383" s="3">
        <f t="shared" si="235"/>
        <v>4</v>
      </c>
      <c r="AX383" s="3">
        <f t="shared" si="236"/>
        <v>13</v>
      </c>
      <c r="AY383" s="3">
        <f t="shared" si="237"/>
        <v>20</v>
      </c>
      <c r="AZ383" s="3">
        <f t="shared" si="238"/>
        <v>1</v>
      </c>
      <c r="BA383" s="3">
        <f>IF(ISERROR(LEN(VLOOKUP(A383,Seqs!A:E,2,FALSE))-AL383),"-",LEN(VLOOKUP(A383,Seqs!A:E,2,FALSE))-AL383)</f>
        <v>73</v>
      </c>
      <c r="BB383" s="16">
        <f t="shared" si="239"/>
        <v>28</v>
      </c>
      <c r="BC383" s="9" t="str">
        <f t="shared" si="240"/>
        <v>-</v>
      </c>
      <c r="BD383" s="3">
        <f t="shared" si="241"/>
        <v>28</v>
      </c>
      <c r="BE383" s="3">
        <f t="shared" si="242"/>
        <v>54</v>
      </c>
    </row>
    <row r="384" spans="1:58" s="3" customFormat="1" x14ac:dyDescent="0.2">
      <c r="A384" s="3" t="s">
        <v>451</v>
      </c>
      <c r="B384" s="3" t="str">
        <f>LOWER(VLOOKUP(A384,Xtal_Templ!A:B,2,FALSE))</f>
        <v>fzd4_human</v>
      </c>
      <c r="C384" s="3">
        <f>VLOOKUP($A384,'SegEnds_NonXtal_BW#'!$A:$Z,3,FALSE)+D384-50</f>
        <v>224</v>
      </c>
      <c r="D384" s="3">
        <v>246</v>
      </c>
      <c r="E384" s="3">
        <f>IF(ISERROR(VLOOKUP($A384,'SegEnds_NonXtal_BW#'!$A:$Z,4,FALSE)+VLOOKUP($A384,A:AL,4,FALSE)-50),"-",(VLOOKUP($A384,'SegEnds_NonXtal_BW#'!$A:$Z,4,FALSE)+VLOOKUP($A384,A:AL,4,FALSE)-50))</f>
        <v>256</v>
      </c>
      <c r="F384" s="3">
        <f t="shared" si="245"/>
        <v>257</v>
      </c>
      <c r="G384" s="3">
        <v>260</v>
      </c>
      <c r="H384" s="3">
        <f t="shared" si="250"/>
        <v>261</v>
      </c>
      <c r="I384" s="3">
        <f t="shared" si="247"/>
        <v>262</v>
      </c>
      <c r="J384" s="105">
        <v>274</v>
      </c>
      <c r="K384" s="3">
        <f>VLOOKUP($A384,'SegEnds_NonXtal_BW#'!$A:$Z,8,FALSE)+VLOOKUP($A384,A:AL,10,FALSE)-50</f>
        <v>288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310</v>
      </c>
      <c r="P384" s="3">
        <v>338</v>
      </c>
      <c r="Q384" s="3">
        <f>VLOOKUP($A384,'SegEnds_NonXtal_BW#'!$A:$Z,12,FALSE)+VLOOKUP($A384,A:AL,16,FALSE)-50</f>
        <v>343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354</v>
      </c>
      <c r="V384" s="3">
        <v>363</v>
      </c>
      <c r="W384" s="3">
        <f>IF(ISERROR(VLOOKUP($A384,'SegEnds_NonXtal_BW#'!$A:$Z,16,FALSE)+VLOOKUP($A384,A:AL,22,FALSE)-50),"-",(VLOOKUP($A384,'SegEnds_NonXtal_BW#'!$A:$Z,16,FALSE)+VLOOKUP($A384,A:AL,22,FALSE)-50))</f>
        <v>377</v>
      </c>
      <c r="X384" s="3">
        <f>IF(ISERROR(VLOOKUP($A384,'SegEnds_NonXtal_BW#'!$A:$Z,17,FALSE)+VLOOKUP($A384,A:AL,25,FALSE)-50),"-",(VLOOKUP($A384,'SegEnds_NonXtal_BW#'!$A:$Z,17,FALSE)+VLOOKUP($A384,A:AL,25,FALSE)-50))</f>
        <v>388</v>
      </c>
      <c r="Y384" s="3">
        <v>388</v>
      </c>
      <c r="Z384" s="3">
        <f t="shared" si="249"/>
        <v>390</v>
      </c>
      <c r="AA384" s="3">
        <f>IF(ISERROR(VLOOKUP($A384,'SegEnds_NonXtal_BW#'!$A:$Z,19,FALSE)+VLOOKUP($A384,A:AL,28,FALSE)-50),"-",(VLOOKUP($A384,'SegEnds_NonXtal_BW#'!$A:$Z,19,FALSE)+VLOOKUP($A384,A:AL,28,FALSE)-50))</f>
        <v>394</v>
      </c>
      <c r="AB384" s="3">
        <v>409</v>
      </c>
      <c r="AC384" s="3">
        <f>IF(ISERROR((VLOOKUP($A384,'SegEnds_NonXtal_BW#'!$A:$Z,20,FALSE)+VLOOKUP($A384,A:AL,28,FALSE)-50)),"-",(VLOOKUP($A384,'SegEnds_NonXtal_BW#'!$A:$Z,20,FALSE)+VLOOKUP($A384,A:AL,28,FALSE)-50))</f>
        <v>431</v>
      </c>
      <c r="AD384" s="3">
        <f>IF(ISERROR(VLOOKUP($A384,'SegEnds_NonXtal_BW#'!$A:$Z,21,FALSE)+VLOOKUP($A384,A:AL,31,FALSE)-50),"-",(VLOOKUP($A384,'SegEnds_NonXtal_BW#'!$A:$Z,21,FALSE)+VLOOKUP($A384,A:AL,31,FALSE)-50))</f>
        <v>442</v>
      </c>
      <c r="AE384" s="105">
        <v>461</v>
      </c>
      <c r="AF384" s="3">
        <f>IF(ISERROR((VLOOKUP($A384,'SegEnds_NonXtal_BW#'!$A:$Z,22,FALSE)+VLOOKUP($A384,A:AL,31,FALSE)-50)),"-",(VLOOKUP($A384,'SegEnds_NonXtal_BW#'!$A:$Z,22,FALSE)+VLOOKUP($A384,A:AL,31,FALSE)-50))</f>
        <v>489</v>
      </c>
      <c r="AG384" s="3">
        <f>IF(ISERROR(VLOOKUP($A384,'SegEnds_NonXtal_BW#'!$A:$Z,23,FALSE)+VLOOKUP($A384,A:AL,34,FALSE)-50),"-",(VLOOKUP($A384,'SegEnds_NonXtal_BW#'!$A:$Z,23,FALSE)+VLOOKUP($A384,A:AL,34,FALSE)-50))</f>
        <v>506</v>
      </c>
      <c r="AH384" s="105">
        <v>525</v>
      </c>
      <c r="AI384" s="3">
        <f>IF(ISERROR((VLOOKUP($A384,'SegEnds_NonXtal_BW#'!$A:$Z,24,FALSE)+VLOOKUP($A384,A:AL,34,FALSE)-50)),"-",(VLOOKUP($A384,'SegEnds_NonXtal_BW#'!$A:$Z,24,FALSE)+VLOOKUP($A384,A:AL,34,FALSE)-50))</f>
        <v>529</v>
      </c>
      <c r="AJ384" s="3">
        <f>IF(ISERROR(VLOOKUP($A384,'SegEnds_NonXtal_BW#'!$A:$Z,25,FALSE)+VLOOKUP($A384,A:AL,37,FALSE)-50),"-",(VLOOKUP($A384,'SegEnds_NonXtal_BW#'!$A:$Z,25,FALSE)+VLOOKUP($A384,A:AL,37,FALSE)-50))</f>
        <v>530</v>
      </c>
      <c r="AK384" s="3">
        <v>533</v>
      </c>
      <c r="AL384" s="3">
        <f>IF(ISERROR((VLOOKUP($A384,'SegEnds_NonXtal_BW#'!$A:$Z,26,FALSE)+VLOOKUP($A384,A:AL,37,FALSE)-50)),"-",(VLOOKUP($A384,'SegEnds_NonXtal_BW#'!$A:$Z,26,FALSE)+VLOOKUP($A384,A:AL,37,FALSE)-50))</f>
        <v>545</v>
      </c>
      <c r="AM384" s="28" t="str">
        <f>VLOOKUP(A384,Classification!A:B,2,FALSE)</f>
        <v>F</v>
      </c>
      <c r="AN384" s="28" t="b">
        <f t="shared" si="243"/>
        <v>1</v>
      </c>
      <c r="AO384" s="3" t="str">
        <f>IF(ISERROR(MATCH(A384,'SegEnds_Xtal_Prot#'!B:B, 0)), "NoXtal", "Xtal")</f>
        <v>NoXtal</v>
      </c>
      <c r="AP384" s="3">
        <f t="shared" si="228"/>
        <v>1</v>
      </c>
      <c r="AQ384" s="3">
        <f t="shared" si="229"/>
        <v>1</v>
      </c>
      <c r="AR384" s="3" t="str">
        <f t="shared" si="230"/>
        <v>-</v>
      </c>
      <c r="AS384" s="3" t="str">
        <f t="shared" si="231"/>
        <v>-</v>
      </c>
      <c r="AT384" s="3" t="str">
        <f t="shared" si="232"/>
        <v>-</v>
      </c>
      <c r="AU384" s="3" t="str">
        <f t="shared" si="233"/>
        <v>-</v>
      </c>
      <c r="AV384" s="3">
        <f t="shared" si="234"/>
        <v>11</v>
      </c>
      <c r="AW384" s="3">
        <f t="shared" si="235"/>
        <v>4</v>
      </c>
      <c r="AX384" s="3">
        <f t="shared" si="236"/>
        <v>11</v>
      </c>
      <c r="AY384" s="3">
        <f t="shared" si="237"/>
        <v>17</v>
      </c>
      <c r="AZ384" s="3">
        <f t="shared" si="238"/>
        <v>1</v>
      </c>
      <c r="BA384" s="3">
        <f>IF(ISERROR(LEN(VLOOKUP(A384,Seqs!A:E,2,FALSE))-AL384),"-",LEN(VLOOKUP(A384,Seqs!A:E,2,FALSE))-AL384)</f>
        <v>46</v>
      </c>
      <c r="BB384" s="16">
        <f t="shared" si="239"/>
        <v>28</v>
      </c>
      <c r="BC384" s="9" t="str">
        <f t="shared" si="240"/>
        <v>-</v>
      </c>
      <c r="BD384" s="3">
        <f t="shared" si="241"/>
        <v>28</v>
      </c>
      <c r="BE384" s="3">
        <f t="shared" si="242"/>
        <v>52</v>
      </c>
    </row>
    <row r="385" spans="1:58" s="3" customFormat="1" x14ac:dyDescent="0.2">
      <c r="A385" s="3" t="s">
        <v>33</v>
      </c>
      <c r="B385" s="3" t="str">
        <f>LOWER(VLOOKUP(A385,Xtal_Templ!A:B,2,FALSE))</f>
        <v>smo_human</v>
      </c>
      <c r="C385" s="3">
        <f>VLOOKUP($A385,'SegEnds_NonXtal_BW#'!$A:$Z,3,FALSE)+D385-50</f>
        <v>223</v>
      </c>
      <c r="D385" s="3">
        <v>245</v>
      </c>
      <c r="E385" s="3">
        <f>IF(ISERROR(VLOOKUP($A385,'SegEnds_NonXtal_BW#'!$A:$Z,4,FALSE)+VLOOKUP($A385,A:AL,4,FALSE)-50),"-",(VLOOKUP($A385,'SegEnds_NonXtal_BW#'!$A:$Z,4,FALSE)+VLOOKUP($A385,A:AL,4,FALSE)-50))</f>
        <v>255</v>
      </c>
      <c r="F385" s="3">
        <f t="shared" si="245"/>
        <v>256</v>
      </c>
      <c r="G385" s="3">
        <v>259</v>
      </c>
      <c r="H385" s="3">
        <f t="shared" si="250"/>
        <v>260</v>
      </c>
      <c r="I385" s="3">
        <f t="shared" si="247"/>
        <v>261</v>
      </c>
      <c r="J385" s="105">
        <v>274</v>
      </c>
      <c r="K385" s="3">
        <f>VLOOKUP($A385,'SegEnds_NonXtal_BW#'!$A:$Z,8,FALSE)+VLOOKUP($A385,A:AL,10,FALSE)-50</f>
        <v>285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312</v>
      </c>
      <c r="P385" s="3">
        <v>339</v>
      </c>
      <c r="Q385" s="3">
        <f>VLOOKUP($A385,'SegEnds_NonXtal_BW#'!$A:$Z,12,FALSE)+VLOOKUP($A385,A:AL,16,FALSE)-50</f>
        <v>345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356</v>
      </c>
      <c r="V385" s="3">
        <v>365</v>
      </c>
      <c r="W385" s="3">
        <f>IF(ISERROR(VLOOKUP($A385,'SegEnds_NonXtal_BW#'!$A:$Z,16,FALSE)+VLOOKUP($A385,A:AL,22,FALSE)-50),"-",(VLOOKUP($A385,'SegEnds_NonXtal_BW#'!$A:$Z,16,FALSE)+VLOOKUP($A385,A:AL,22,FALSE)-50))</f>
        <v>379</v>
      </c>
      <c r="X385" s="3">
        <f>IF(ISERROR(VLOOKUP($A385,'SegEnds_NonXtal_BW#'!$A:$Z,17,FALSE)+VLOOKUP($A385,A:AL,25,FALSE)-50),"-",(VLOOKUP($A385,'SegEnds_NonXtal_BW#'!$A:$Z,17,FALSE)+VLOOKUP($A385,A:AL,25,FALSE)-50))</f>
        <v>390</v>
      </c>
      <c r="Y385" s="3">
        <v>390</v>
      </c>
      <c r="Z385" s="3">
        <f t="shared" si="249"/>
        <v>392</v>
      </c>
      <c r="AA385" s="3">
        <f>IF(ISERROR(VLOOKUP($A385,'SegEnds_NonXtal_BW#'!$A:$Z,19,FALSE)+VLOOKUP($A385,A:AL,28,FALSE)-50),"-",(VLOOKUP($A385,'SegEnds_NonXtal_BW#'!$A:$Z,19,FALSE)+VLOOKUP($A385,A:AL,28,FALSE)-50))</f>
        <v>396</v>
      </c>
      <c r="AB385" s="3">
        <v>411</v>
      </c>
      <c r="AC385" s="3">
        <f>IF(ISERROR((VLOOKUP($A385,'SegEnds_NonXtal_BW#'!$A:$Z,20,FALSE)+VLOOKUP($A385,A:AL,28,FALSE)-50)),"-",(VLOOKUP($A385,'SegEnds_NonXtal_BW#'!$A:$Z,20,FALSE)+VLOOKUP($A385,A:AL,28,FALSE)-50))</f>
        <v>433</v>
      </c>
      <c r="AD385" s="3">
        <f>IF(ISERROR(VLOOKUP($A385,'SegEnds_NonXtal_BW#'!$A:$Z,21,FALSE)+VLOOKUP($A385,A:AL,31,FALSE)-50),"-",(VLOOKUP($A385,'SegEnds_NonXtal_BW#'!$A:$Z,21,FALSE)+VLOOKUP($A385,A:AL,31,FALSE)-50))</f>
        <v>438</v>
      </c>
      <c r="AE385" s="105">
        <v>465</v>
      </c>
      <c r="AF385" s="3">
        <f>IF(ISERROR((VLOOKUP($A385,'SegEnds_NonXtal_BW#'!$A:$Z,22,FALSE)+VLOOKUP($A385,A:AL,31,FALSE)-50)),"-",(VLOOKUP($A385,'SegEnds_NonXtal_BW#'!$A:$Z,22,FALSE)+VLOOKUP($A385,A:AL,31,FALSE)-50))</f>
        <v>496</v>
      </c>
      <c r="AG385" s="3">
        <f>IF(ISERROR(VLOOKUP($A385,'SegEnds_NonXtal_BW#'!$A:$Z,23,FALSE)+VLOOKUP($A385,A:AL,34,FALSE)-50),"-",(VLOOKUP($A385,'SegEnds_NonXtal_BW#'!$A:$Z,23,FALSE)+VLOOKUP($A385,A:AL,34,FALSE)-50))</f>
        <v>514</v>
      </c>
      <c r="AH385" s="105">
        <v>533</v>
      </c>
      <c r="AI385" s="3">
        <f>IF(ISERROR((VLOOKUP($A385,'SegEnds_NonXtal_BW#'!$A:$Z,24,FALSE)+VLOOKUP($A385,A:AL,34,FALSE)-50)),"-",(VLOOKUP($A385,'SegEnds_NonXtal_BW#'!$A:$Z,24,FALSE)+VLOOKUP($A385,A:AL,34,FALSE)-50))</f>
        <v>537</v>
      </c>
      <c r="AJ385" s="3">
        <f>IF(ISERROR(VLOOKUP($A385,'SegEnds_NonXtal_BW#'!$A:$Z,25,FALSE)+VLOOKUP($A385,A:AL,37,FALSE)-50),"-",(VLOOKUP($A385,'SegEnds_NonXtal_BW#'!$A:$Z,25,FALSE)+VLOOKUP($A385,A:AL,37,FALSE)-50))</f>
        <v>538</v>
      </c>
      <c r="AK385" s="3">
        <v>541</v>
      </c>
      <c r="AL385" s="3">
        <f>IF(ISERROR((VLOOKUP($A385,'SegEnds_NonXtal_BW#'!$A:$Z,26,FALSE)+VLOOKUP($A385,A:AL,37,FALSE)-50)),"-",(VLOOKUP($A385,'SegEnds_NonXtal_BW#'!$A:$Z,26,FALSE)+VLOOKUP($A385,A:AL,37,FALSE)-50))</f>
        <v>553</v>
      </c>
      <c r="AM385" s="28" t="str">
        <f>VLOOKUP(A385,Classification!A:B,2,FALSE)</f>
        <v>F</v>
      </c>
      <c r="AN385" s="28" t="b">
        <f t="shared" si="243"/>
        <v>1</v>
      </c>
      <c r="AO385" s="3" t="str">
        <f>IF(ISERROR(MATCH(A385,'SegEnds_Xtal_Prot#'!B:B, 0)), "NoXtal", "Xtal")</f>
        <v>Xtal</v>
      </c>
      <c r="AP385" s="3">
        <f t="shared" si="228"/>
        <v>1</v>
      </c>
      <c r="AQ385" s="3">
        <f t="shared" si="229"/>
        <v>1</v>
      </c>
      <c r="AR385" s="3" t="str">
        <f t="shared" si="230"/>
        <v>-</v>
      </c>
      <c r="AS385" s="3" t="str">
        <f t="shared" si="231"/>
        <v>-</v>
      </c>
      <c r="AT385" s="3" t="str">
        <f t="shared" si="232"/>
        <v>-</v>
      </c>
      <c r="AU385" s="3" t="str">
        <f t="shared" si="233"/>
        <v>-</v>
      </c>
      <c r="AV385" s="3">
        <f t="shared" si="234"/>
        <v>11</v>
      </c>
      <c r="AW385" s="3">
        <f t="shared" si="235"/>
        <v>4</v>
      </c>
      <c r="AX385" s="3">
        <f t="shared" si="236"/>
        <v>5</v>
      </c>
      <c r="AY385" s="3">
        <f t="shared" si="237"/>
        <v>18</v>
      </c>
      <c r="AZ385" s="3">
        <f t="shared" si="238"/>
        <v>1</v>
      </c>
      <c r="BA385" s="3">
        <f>IF(ISERROR(LEN(VLOOKUP(A385,Seqs!A:E,2,FALSE))-AL385),"-",LEN(VLOOKUP(A385,Seqs!A:E,2,FALSE))-AL385)</f>
        <v>234</v>
      </c>
      <c r="BB385" s="16">
        <f t="shared" si="239"/>
        <v>29</v>
      </c>
      <c r="BC385" s="9" t="str">
        <f t="shared" si="240"/>
        <v>-</v>
      </c>
      <c r="BD385" s="3">
        <f t="shared" si="241"/>
        <v>29</v>
      </c>
      <c r="BE385" s="3">
        <f t="shared" si="242"/>
        <v>54</v>
      </c>
    </row>
    <row r="386" spans="1:58" s="3" customFormat="1" x14ac:dyDescent="0.2">
      <c r="A386" s="3" t="s">
        <v>1588</v>
      </c>
      <c r="B386" s="3" t="str">
        <f>LOWER(VLOOKUP(A386,Xtal_Templ!A:B,2,FALSE))</f>
        <v>smo_mouse</v>
      </c>
      <c r="C386" s="3">
        <f>VLOOKUP($A386,'SegEnds_NonXtal_BW#'!$A:$Z,3,FALSE)+D386-50</f>
        <v>227</v>
      </c>
      <c r="D386" s="3">
        <v>249</v>
      </c>
      <c r="E386" s="3">
        <f>IF(ISERROR(VLOOKUP($A386,'SegEnds_NonXtal_BW#'!$A:$Z,4,FALSE)+VLOOKUP($A386,A:AL,4,FALSE)-50),"-",(VLOOKUP($A386,'SegEnds_NonXtal_BW#'!$A:$Z,4,FALSE)+VLOOKUP($A386,A:AL,4,FALSE)-50))</f>
        <v>259</v>
      </c>
      <c r="F386" s="3">
        <f t="shared" ref="F386" si="251">G386-3</f>
        <v>260</v>
      </c>
      <c r="G386" s="3">
        <v>263</v>
      </c>
      <c r="H386" s="3">
        <f t="shared" ref="H386" si="252">G386+1</f>
        <v>264</v>
      </c>
      <c r="I386" s="3">
        <f t="shared" ref="I386" si="253">H386+1</f>
        <v>265</v>
      </c>
      <c r="J386" s="105">
        <v>278</v>
      </c>
      <c r="K386" s="3">
        <f>VLOOKUP($A386,'SegEnds_NonXtal_BW#'!$A:$Z,8,FALSE)+VLOOKUP($A386,A:AL,10,FALSE)-50</f>
        <v>289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316</v>
      </c>
      <c r="P386" s="3">
        <v>343</v>
      </c>
      <c r="Q386" s="3">
        <f>VLOOKUP($A386,'SegEnds_NonXtal_BW#'!$A:$Z,12,FALSE)+VLOOKUP($A386,A:AL,16,FALSE)-50</f>
        <v>349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360</v>
      </c>
      <c r="V386" s="3">
        <v>369</v>
      </c>
      <c r="W386" s="3">
        <f>IF(ISERROR(VLOOKUP($A386,'SegEnds_NonXtal_BW#'!$A:$Z,16,FALSE)+VLOOKUP($A386,A:AL,22,FALSE)-50),"-",(VLOOKUP($A386,'SegEnds_NonXtal_BW#'!$A:$Z,16,FALSE)+VLOOKUP($A386,A:AL,22,FALSE)-50))</f>
        <v>383</v>
      </c>
      <c r="X386" s="3">
        <f>IF(ISERROR(VLOOKUP($A386,'SegEnds_NonXtal_BW#'!$A:$Z,17,FALSE)+VLOOKUP($A386,A:AL,25,FALSE)-50),"-",(VLOOKUP($A386,'SegEnds_NonXtal_BW#'!$A:$Z,17,FALSE)+VLOOKUP($A386,A:AL,25,FALSE)-50))</f>
        <v>394</v>
      </c>
      <c r="Y386" s="3">
        <v>394</v>
      </c>
      <c r="Z386" s="3">
        <f t="shared" ref="Z386" si="254">Y386+2</f>
        <v>396</v>
      </c>
      <c r="AA386" s="3">
        <f>IF(ISERROR(VLOOKUP($A386,'SegEnds_NonXtal_BW#'!$A:$Z,19,FALSE)+VLOOKUP($A386,A:AL,28,FALSE)-50),"-",(VLOOKUP($A386,'SegEnds_NonXtal_BW#'!$A:$Z,19,FALSE)+VLOOKUP($A386,A:AL,28,FALSE)-50))</f>
        <v>400</v>
      </c>
      <c r="AB386" s="3">
        <v>415</v>
      </c>
      <c r="AC386" s="3">
        <f>IF(ISERROR((VLOOKUP($A386,'SegEnds_NonXtal_BW#'!$A:$Z,20,FALSE)+VLOOKUP($A386,A:AL,28,FALSE)-50)),"-",(VLOOKUP($A386,'SegEnds_NonXtal_BW#'!$A:$Z,20,FALSE)+VLOOKUP($A386,A:AL,28,FALSE)-50))</f>
        <v>437</v>
      </c>
      <c r="AD386" s="3">
        <f>IF(ISERROR(VLOOKUP($A386,'SegEnds_NonXtal_BW#'!$A:$Z,21,FALSE)+VLOOKUP($A386,A:AL,31,FALSE)-50),"-",(VLOOKUP($A386,'SegEnds_NonXtal_BW#'!$A:$Z,21,FALSE)+VLOOKUP($A386,A:AL,31,FALSE)-50))</f>
        <v>442</v>
      </c>
      <c r="AE386" s="105">
        <v>469</v>
      </c>
      <c r="AF386" s="3">
        <f>IF(ISERROR((VLOOKUP($A386,'SegEnds_NonXtal_BW#'!$A:$Z,22,FALSE)+VLOOKUP($A386,A:AL,31,FALSE)-50)),"-",(VLOOKUP($A386,'SegEnds_NonXtal_BW#'!$A:$Z,22,FALSE)+VLOOKUP($A386,A:AL,31,FALSE)-50))</f>
        <v>500</v>
      </c>
      <c r="AG386" s="3">
        <f>IF(ISERROR(VLOOKUP($A386,'SegEnds_NonXtal_BW#'!$A:$Z,23,FALSE)+VLOOKUP($A386,A:AL,34,FALSE)-50),"-",(VLOOKUP($A386,'SegEnds_NonXtal_BW#'!$A:$Z,23,FALSE)+VLOOKUP($A386,A:AL,34,FALSE)-50))</f>
        <v>518</v>
      </c>
      <c r="AH386" s="105">
        <v>537</v>
      </c>
      <c r="AI386" s="3">
        <f>IF(ISERROR((VLOOKUP($A386,'SegEnds_NonXtal_BW#'!$A:$Z,24,FALSE)+VLOOKUP($A386,A:AL,34,FALSE)-50)),"-",(VLOOKUP($A386,'SegEnds_NonXtal_BW#'!$A:$Z,24,FALSE)+VLOOKUP($A386,A:AL,34,FALSE)-50))</f>
        <v>541</v>
      </c>
      <c r="AJ386" s="3">
        <f>IF(ISERROR(VLOOKUP($A386,'SegEnds_NonXtal_BW#'!$A:$Z,25,FALSE)+VLOOKUP($A386,A:AL,37,FALSE)-50),"-",(VLOOKUP($A386,'SegEnds_NonXtal_BW#'!$A:$Z,25,FALSE)+VLOOKUP($A386,A:AL,37,FALSE)-50))</f>
        <v>542</v>
      </c>
      <c r="AK386" s="3">
        <v>545</v>
      </c>
      <c r="AL386" s="3">
        <f>IF(ISERROR((VLOOKUP($A386,'SegEnds_NonXtal_BW#'!$A:$Z,26,FALSE)+VLOOKUP($A386,A:AL,37,FALSE)-50)),"-",(VLOOKUP($A386,'SegEnds_NonXtal_BW#'!$A:$Z,26,FALSE)+VLOOKUP($A386,A:AL,37,FALSE)-50))</f>
        <v>557</v>
      </c>
      <c r="AM386" s="28" t="str">
        <f>VLOOKUP(A386,Classification!A:B,2,FALSE)</f>
        <v>F</v>
      </c>
      <c r="AN386" s="28" t="b">
        <f t="shared" ref="AN386" si="255"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 t="str">
        <f>IF(ISERROR(MATCH(A386,'SegEnds_Xtal_Prot#'!B:B, 0)), "NoXtal", "Xtal")</f>
        <v>Xtal</v>
      </c>
      <c r="AP386" s="3">
        <f t="shared" ref="AP386" si="256">IF(ISERROR(F386-E386),"-",F386-E386)</f>
        <v>1</v>
      </c>
      <c r="AQ386" s="3">
        <f t="shared" ref="AQ386" si="257">IF(ISERROR(I386-H386),"-",I386-H386)</f>
        <v>1</v>
      </c>
      <c r="AR386" s="3" t="str">
        <f t="shared" ref="AR386" si="258">IF(ISERROR(L386-K386),"-",L386-K386)</f>
        <v>-</v>
      </c>
      <c r="AS386" s="3" t="str">
        <f t="shared" ref="AS386" si="259">IF(ISERROR(O386-N386),"-",O386-N386)</f>
        <v>-</v>
      </c>
      <c r="AT386" s="3" t="str">
        <f t="shared" ref="AT386" si="260">IF(ISERROR(R386-Q386),"-",R386-Q386)</f>
        <v>-</v>
      </c>
      <c r="AU386" s="3" t="str">
        <f t="shared" ref="AU386" si="261">IF(ISERROR(U386-T386),"-",U386-T386)</f>
        <v>-</v>
      </c>
      <c r="AV386" s="3">
        <f t="shared" ref="AV386" si="262">IF(ISERROR(X386-W386),"-",X386-W386)</f>
        <v>11</v>
      </c>
      <c r="AW386" s="3">
        <f t="shared" ref="AW386" si="263">IF(ISERROR(AA386-Z386),"-",AA386-Z386)</f>
        <v>4</v>
      </c>
      <c r="AX386" s="3">
        <f t="shared" ref="AX386" si="264">IF(ISERROR(AD386-AC386),"-",AD386-AC386)</f>
        <v>5</v>
      </c>
      <c r="AY386" s="3">
        <f t="shared" ref="AY386" si="265">IF(ISERROR(AG386-AF386),"-",AG386-AF386)</f>
        <v>18</v>
      </c>
      <c r="AZ386" s="3">
        <f t="shared" ref="AZ386" si="266">IF(ISERROR(AJ386-AI386),"-",AJ386-AI386)</f>
        <v>1</v>
      </c>
      <c r="BA386" s="3">
        <f>IF(ISERROR(LEN(VLOOKUP(A386,Seqs!A:E,2,FALSE))-AL386),"-",LEN(VLOOKUP(A386,Seqs!A:E,2,FALSE))-AL386)</f>
        <v>236</v>
      </c>
      <c r="BB386" s="16">
        <f t="shared" ref="BB386" si="267">J386-D386</f>
        <v>29</v>
      </c>
      <c r="BC386" s="9" t="str">
        <f t="shared" ref="BC386" si="268">IF(ISERROR(V386-S386),"-",V386-S386)</f>
        <v>-</v>
      </c>
      <c r="BD386" s="3">
        <f t="shared" ref="BD386" si="269">J386-D386</f>
        <v>29</v>
      </c>
      <c r="BE386" s="3">
        <f t="shared" ref="BE386" si="270">AE386-AB386</f>
        <v>54</v>
      </c>
    </row>
    <row r="387" spans="1:58" s="9" customFormat="1" x14ac:dyDescent="0.2">
      <c r="A387" s="126" t="s">
        <v>1489</v>
      </c>
      <c r="B387" s="9" t="str">
        <f>LOWER(VLOOKUP(A387,Xtal_Templ!A:B,2,FALSE))</f>
        <v>q98sw5_xenla</v>
      </c>
      <c r="C387" s="9">
        <f>VLOOKUP($A387,'SegEnds_NonXtal_BW#'!$A:$Z,3,FALSE)+D387-50</f>
        <v>196</v>
      </c>
      <c r="D387" s="9">
        <v>218</v>
      </c>
      <c r="E387" s="9">
        <f>IF(ISERROR(VLOOKUP($A387,'SegEnds_NonXtal_BW#'!$A:$Z,4,FALSE)+VLOOKUP($A387,A:AL,4,FALSE)-50),"-",(VLOOKUP($A387,'SegEnds_NonXtal_BW#'!$A:$Z,4,FALSE)+VLOOKUP($A387,A:AL,4,FALSE)-50))</f>
        <v>228</v>
      </c>
      <c r="F387" s="9">
        <f>G387-3</f>
        <v>229</v>
      </c>
      <c r="G387" s="9">
        <v>232</v>
      </c>
      <c r="H387" s="9">
        <f>G387+1</f>
        <v>233</v>
      </c>
      <c r="I387" s="9">
        <f>H387+1</f>
        <v>234</v>
      </c>
      <c r="J387" s="105">
        <v>247</v>
      </c>
      <c r="K387" s="9">
        <f>VLOOKUP($A387,'SegEnds_NonXtal_BW#'!$A:$Z,8,FALSE)+VLOOKUP($A387,A:AL,10,FALSE)-50</f>
        <v>256</v>
      </c>
      <c r="L387" s="9" t="str">
        <f>IF(ISERROR(VLOOKUP($A387,'SegEnds_NonXtal_BW#'!$A:$Z,9,FALSE)+VLOOKUP($A387,A:AL,13,FALSE)-50),"-",(VLOOKUP($A387,'SegEnds_NonXtal_BW#'!$A:$Z,9,FALSE)+VLOOKUP($A387,A:AL,13,FALSE)-50))</f>
        <v>-</v>
      </c>
      <c r="M387" s="9" t="s">
        <v>23</v>
      </c>
      <c r="N387" s="9" t="str">
        <f>IF(ISERROR(VLOOKUP($A387,'SegEnds_NonXtal_BW#'!$A:$Z,10,FALSE)+VLOOKUP($A387,A:AL,13,FALSE)-50),"-",(VLOOKUP($A387,'SegEnds_NonXtal_BW#'!$A:$Z,10,FALSE)+VLOOKUP($A387,A:AL,13,FALSE)-50))</f>
        <v>-</v>
      </c>
      <c r="O387" s="9">
        <f>VLOOKUP($A387,'SegEnds_NonXtal_BW#'!$A:$Z,11,FALSE)+VLOOKUP($A387,A:AL,16,FALSE)-50</f>
        <v>285</v>
      </c>
      <c r="P387" s="9">
        <v>312</v>
      </c>
      <c r="Q387" s="9">
        <f>VLOOKUP($A387,'SegEnds_NonXtal_BW#'!$A:$Z,12,FALSE)+VLOOKUP($A387,A:AL,16,FALSE)-50</f>
        <v>321</v>
      </c>
      <c r="R387" s="9" t="str">
        <f>IF(ISERROR(VLOOKUP($A387,'SegEnds_NonXtal_BW#'!$A:$Z,13,FALSE)+VLOOKUP($A387,A:AL,19,FALSE)-50),"-",VLOOKUP($A387,'SegEnds_NonXtal_BW#'!$A:$Z,13,FALSE)+VLOOKUP($A387,A:AL,19,FALSE)-50)</f>
        <v>-</v>
      </c>
      <c r="S387" s="9" t="s">
        <v>23</v>
      </c>
      <c r="T387" s="9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326</v>
      </c>
      <c r="V387" s="9">
        <v>338</v>
      </c>
      <c r="W387" s="9">
        <f>IF(ISERROR(VLOOKUP($A387,'SegEnds_NonXtal_BW#'!$A:$Z,16,FALSE)+VLOOKUP($A387,A:AL,22,FALSE)-50),"-",(VLOOKUP($A387,'SegEnds_NonXtal_BW#'!$A:$Z,16,FALSE)+VLOOKUP($A387,A:AL,22,FALSE)-50))</f>
        <v>351</v>
      </c>
      <c r="X387" s="9">
        <f>IF(ISERROR(VLOOKUP($A387,'SegEnds_NonXtal_BW#'!$A:$Z,17,FALSE)+VLOOKUP($A387,A:AL,25,FALSE)-50),"-",(VLOOKUP($A387,'SegEnds_NonXtal_BW#'!$A:$Z,17,FALSE)+VLOOKUP($A387,A:AL,25,FALSE)-50))</f>
        <v>363</v>
      </c>
      <c r="Y387" s="9">
        <v>363</v>
      </c>
      <c r="Z387" s="9">
        <f>Y387+2</f>
        <v>365</v>
      </c>
      <c r="AA387" s="9">
        <f>IF(ISERROR(VLOOKUP($A387,'SegEnds_NonXtal_BW#'!$A:$Z,19,FALSE)+VLOOKUP($A387,A:AL,28,FALSE)-50),"-",(VLOOKUP($A387,'SegEnds_NonXtal_BW#'!$A:$Z,19,FALSE)+VLOOKUP($A387,A:AL,28,FALSE)-50))</f>
        <v>369</v>
      </c>
      <c r="AB387" s="9">
        <v>384</v>
      </c>
      <c r="AC387" s="9">
        <f>IF(ISERROR((VLOOKUP($A387,'SegEnds_NonXtal_BW#'!$A:$Z,20,FALSE)+VLOOKUP($A387,A:AL,28,FALSE)-50)),"-",(VLOOKUP($A387,'SegEnds_NonXtal_BW#'!$A:$Z,20,FALSE)+VLOOKUP($A387,A:AL,28,FALSE)-50))</f>
        <v>406</v>
      </c>
      <c r="AD387" s="9">
        <f>IF(ISERROR(VLOOKUP($A387,'SegEnds_NonXtal_BW#'!$A:$Z,21,FALSE)+VLOOKUP($A387,A:AL,31,FALSE)-50),"-",(VLOOKUP($A387,'SegEnds_NonXtal_BW#'!$A:$Z,21,FALSE)+VLOOKUP($A387,A:AL,31,FALSE)-50))</f>
        <v>415</v>
      </c>
      <c r="AE387" s="105">
        <v>438</v>
      </c>
      <c r="AF387" s="9">
        <f>IF(ISERROR((VLOOKUP($A387,'SegEnds_NonXtal_BW#'!$A:$Z,22,FALSE)+VLOOKUP($A387,A:AL,31,FALSE)-50)),"-",(VLOOKUP($A387,'SegEnds_NonXtal_BW#'!$A:$Z,22,FALSE)+VLOOKUP($A387,A:AL,31,FALSE)-50))</f>
        <v>472</v>
      </c>
      <c r="AG387" s="9">
        <f>IF(ISERROR(VLOOKUP($A387,'SegEnds_NonXtal_BW#'!$A:$Z,23,FALSE)+VLOOKUP($A387,A:AL,34,FALSE)-50),"-",(VLOOKUP($A387,'SegEnds_NonXtal_BW#'!$A:$Z,23,FALSE)+VLOOKUP($A387,A:AL,34,FALSE)-50))</f>
        <v>487</v>
      </c>
      <c r="AH387" s="105">
        <v>506</v>
      </c>
      <c r="AI387" s="9">
        <f>IF(ISERROR((VLOOKUP($A387,'SegEnds_NonXtal_BW#'!$A:$Z,24,FALSE)+VLOOKUP($A387,A:AL,34,FALSE)-50)),"-",(VLOOKUP($A387,'SegEnds_NonXtal_BW#'!$A:$Z,24,FALSE)+VLOOKUP($A387,A:AL,34,FALSE)-50))</f>
        <v>510</v>
      </c>
      <c r="AJ387" s="9">
        <f>IF(ISERROR(VLOOKUP($A387,'SegEnds_NonXtal_BW#'!$A:$Z,25,FALSE)+VLOOKUP($A387,A:AL,37,FALSE)-50),"-",(VLOOKUP($A387,'SegEnds_NonXtal_BW#'!$A:$Z,25,FALSE)+VLOOKUP($A387,A:AL,37,FALSE)-50))</f>
        <v>511</v>
      </c>
      <c r="AK387" s="9">
        <v>514</v>
      </c>
      <c r="AL387" s="9">
        <f>IF(ISERROR((VLOOKUP($A387,'SegEnds_NonXtal_BW#'!$A:$Z,26,FALSE)+VLOOKUP($A387,A:AL,37,FALSE)-50)),"-",(VLOOKUP($A387,'SegEnds_NonXtal_BW#'!$A:$Z,26,FALSE)+VLOOKUP($A387,A:AL,37,FALSE)-50))</f>
        <v>526</v>
      </c>
      <c r="AM387" s="58" t="str">
        <f>VLOOKUP(A387,Classification!A:B,2,FALSE)</f>
        <v>F</v>
      </c>
      <c r="AN387" s="58" t="b">
        <f>AND(IF(Y387="-",IF(AA387-W387&gt;3,TRUE,FALSE),TRUE),IF(M387="-",IF(O387-K387&gt;3,TRUE,FALSE),TRUE),IF(AG387-AF387&gt;1,TRUE,FALSE),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    <v>1</v>
      </c>
      <c r="AO387" s="9" t="str">
        <f>IF(ISERROR(MATCH(A387,'SegEnds_Xtal_Prot#'!B:B, 0)), "NoXtal", "Xtal")</f>
        <v>Xtal</v>
      </c>
      <c r="AP387" s="9">
        <f>IF(ISERROR(F387-E387),"-",F387-E387)</f>
        <v>1</v>
      </c>
      <c r="AQ387" s="9">
        <f>IF(ISERROR(I387-H387),"-",I387-H387)</f>
        <v>1</v>
      </c>
      <c r="AR387" s="9" t="str">
        <f>IF(ISERROR(L387-K387),"-",L387-K387)</f>
        <v>-</v>
      </c>
      <c r="AS387" s="9" t="str">
        <f>IF(ISERROR(O387-N387),"-",O387-N387)</f>
        <v>-</v>
      </c>
      <c r="AT387" s="9" t="str">
        <f>IF(ISERROR(R387-Q387),"-",R387-Q387)</f>
        <v>-</v>
      </c>
      <c r="AU387" s="9" t="str">
        <f>IF(ISERROR(U387-T387),"-",U387-T387)</f>
        <v>-</v>
      </c>
      <c r="AV387" s="9">
        <f>IF(ISERROR(X387-W387),"-",X387-W387)</f>
        <v>12</v>
      </c>
      <c r="AW387" s="9">
        <f>IF(ISERROR(AA387-Z387),"-",AA387-Z387)</f>
        <v>4</v>
      </c>
      <c r="AX387" s="9">
        <f>IF(ISERROR(AD387-AC387),"-",AD387-AC387)</f>
        <v>9</v>
      </c>
      <c r="AY387" s="9">
        <f>IF(ISERROR(AG387-AF387),"-",AG387-AF387)</f>
        <v>15</v>
      </c>
      <c r="AZ387" s="9">
        <f>IF(ISERROR(AJ387-AI387),"-",AJ387-AI387)</f>
        <v>1</v>
      </c>
      <c r="BA387" s="9">
        <f>IF(ISERROR(LEN(VLOOKUP(A387,Seqs!A:E,2,FALSE))-AL387),"-",LEN(VLOOKUP(A387,Seqs!A:E,2,FALSE))-AL387)</f>
        <v>288</v>
      </c>
      <c r="BB387" s="125">
        <f>J387-D387</f>
        <v>29</v>
      </c>
      <c r="BC387" s="9" t="str">
        <f>IF(ISERROR(V387-S387),"-",V387-S387)</f>
        <v>-</v>
      </c>
      <c r="BD387" s="9">
        <f>J387-D387</f>
        <v>29</v>
      </c>
      <c r="BE387" s="9">
        <f>AE387-AB387</f>
        <v>54</v>
      </c>
    </row>
    <row r="388" spans="1:58" s="3" customFormat="1" x14ac:dyDescent="0.2">
      <c r="A388" s="3" t="s">
        <v>477</v>
      </c>
      <c r="B388" s="3" t="str">
        <f>LOWER(VLOOKUP(A388,Xtal_Templ!A:B,2,FALSE))</f>
        <v>fpr2_human</v>
      </c>
      <c r="C388" s="3">
        <v>20</v>
      </c>
      <c r="D388" s="3">
        <v>53</v>
      </c>
      <c r="E388" s="3">
        <f>IF(ISERROR(VLOOKUP($A388,'SegEnds_NonXtal_BW#'!$A:$Z,4,FALSE)+VLOOKUP($A388,A:AL,4,FALSE)-50),"-",(VLOOKUP($A388,'SegEnds_NonXtal_BW#'!$A:$Z,4,FALSE)+VLOOKUP($A388,A:AL,4,FALSE)-50))</f>
        <v>63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60</v>
      </c>
      <c r="J388" s="3">
        <v>71</v>
      </c>
      <c r="K388" s="3">
        <f>VLOOKUP($A388,'SegEnds_NonXtal_BW#'!$A:$Z,8,FALSE)+VLOOKUP($A388,A:AL,10,FALSE)-50</f>
        <v>84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125</v>
      </c>
      <c r="P388" s="3">
        <v>152</v>
      </c>
      <c r="Q388" s="3">
        <f>VLOOKUP($A388,'SegEnds_NonXtal_BW#'!$A:$Z,12,FALSE)+VLOOKUP($A388,A:AL,16,FALSE)-50</f>
        <v>158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175</v>
      </c>
      <c r="V388" s="3">
        <v>185</v>
      </c>
      <c r="W388" s="3">
        <f>IF(ISERROR(VLOOKUP($A388,'SegEnds_NonXtal_BW#'!$A:$Z,16,FALSE)+VLOOKUP($A388,A:AL,22,FALSE)-50),"-",(VLOOKUP($A388,'SegEnds_NonXtal_BW#'!$A:$Z,16,FALSE)+VLOOKUP($A388,A:AL,22,FALSE)-50))</f>
        <v>199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257</v>
      </c>
      <c r="AB388" s="3">
        <v>268</v>
      </c>
      <c r="AC388" s="3">
        <f>IF(ISERROR((VLOOKUP($A388,'SegEnds_NonXtal_BW#'!$A:$Z,20,FALSE)+VLOOKUP($A388,A:AL,28,FALSE)-50)),"-",(VLOOKUP($A388,'SegEnds_NonXtal_BW#'!$A:$Z,20,FALSE)+VLOOKUP($A388,A:AL,28,FALSE)-50))</f>
        <v>279</v>
      </c>
      <c r="AD388" s="3">
        <f>IF(ISERROR(VLOOKUP($A388,'SegEnds_NonXtal_BW#'!$A:$Z,21,FALSE)+VLOOKUP($A388,A:AL,31,FALSE)-50),"-",(VLOOKUP($A388,'SegEnds_NonXtal_BW#'!$A:$Z,21,FALSE)+VLOOKUP($A388,A:AL,31,FALSE)-50))</f>
        <v>326</v>
      </c>
      <c r="AE388" s="3">
        <v>347</v>
      </c>
      <c r="AF388" s="3">
        <f>IF(ISERROR((VLOOKUP($A388,'SegEnds_NonXtal_BW#'!$A:$Z,22,FALSE)+VLOOKUP($A388,A:AL,31,FALSE)-50)),"-",(VLOOKUP($A388,'SegEnds_NonXtal_BW#'!$A:$Z,22,FALSE)+VLOOKUP($A388,A:AL,31,FALSE)-50))</f>
        <v>350</v>
      </c>
      <c r="AG388" s="3">
        <f>IF(ISERROR(VLOOKUP($A388,'SegEnds_NonXtal_BW#'!$A:$Z,23,FALSE)+VLOOKUP($A388,A:AL,34,FALSE)-50),"-",(VLOOKUP($A388,'SegEnds_NonXtal_BW#'!$A:$Z,23,FALSE)+VLOOKUP($A388,A:AL,34,FALSE)-50))</f>
        <v>365</v>
      </c>
      <c r="AH388" s="3">
        <v>380</v>
      </c>
      <c r="AI388" s="3">
        <f>IF(ISERROR((VLOOKUP($A388,'SegEnds_NonXtal_BW#'!$A:$Z,24,FALSE)+VLOOKUP($A388,A:AL,34,FALSE)-50)),"-",(VLOOKUP($A388,'SegEnds_NonXtal_BW#'!$A:$Z,24,FALSE)+VLOOKUP($A388,A:AL,34,FALSE)-50))</f>
        <v>386</v>
      </c>
      <c r="AJ388" s="3">
        <f>IF(ISERROR(VLOOKUP($A388,'SegEnds_NonXtal_BW#'!$A:$Z,25,FALSE)+VLOOKUP($A388,A:AL,37,FALSE)-50),"-",(VLOOKUP($A388,'SegEnds_NonXtal_BW#'!$A:$Z,25,FALSE)+VLOOKUP($A388,A:AL,37,FALSE)-50))</f>
        <v>387</v>
      </c>
      <c r="AK388" s="3">
        <v>390</v>
      </c>
      <c r="AL388" s="3">
        <f>IF(ISERROR((VLOOKUP($A388,'SegEnds_NonXtal_BW#'!$A:$Z,26,FALSE)+VLOOKUP($A388,A:AL,37,FALSE)-50)),"-",(VLOOKUP($A388,'SegEnds_NonXtal_BW#'!$A:$Z,26,FALSE)+VLOOKUP($A388,A:AL,37,FALSE)-50))</f>
        <v>397</v>
      </c>
      <c r="AM388" s="28" t="str">
        <f>VLOOKUP(A388,Classification!A:B,2,FALSE)</f>
        <v>O</v>
      </c>
      <c r="AN388" s="28" t="b">
        <f t="shared" si="243"/>
        <v>1</v>
      </c>
      <c r="AO388" s="3" t="str">
        <f>IF(ISERROR(MATCH(A388,'SegEnds_Xtal_Prot#'!B:B, 0)), "NoXtal", "Xtal")</f>
        <v>NoXtal</v>
      </c>
      <c r="AP388" s="3" t="str">
        <f t="shared" si="228"/>
        <v>-</v>
      </c>
      <c r="AQ388" s="3" t="str">
        <f t="shared" si="229"/>
        <v>-</v>
      </c>
      <c r="AR388" s="3" t="str">
        <f t="shared" si="230"/>
        <v>-</v>
      </c>
      <c r="AS388" s="3" t="str">
        <f t="shared" si="231"/>
        <v>-</v>
      </c>
      <c r="AT388" s="3" t="str">
        <f t="shared" si="232"/>
        <v>-</v>
      </c>
      <c r="AU388" s="3" t="str">
        <f t="shared" si="233"/>
        <v>-</v>
      </c>
      <c r="AV388" s="3" t="str">
        <f t="shared" si="234"/>
        <v>-</v>
      </c>
      <c r="AW388" s="3" t="str">
        <f t="shared" si="235"/>
        <v>-</v>
      </c>
      <c r="AX388" s="3">
        <f t="shared" si="236"/>
        <v>47</v>
      </c>
      <c r="AY388" s="3">
        <f t="shared" si="237"/>
        <v>15</v>
      </c>
      <c r="AZ388" s="3">
        <f t="shared" si="238"/>
        <v>1</v>
      </c>
      <c r="BA388" s="3">
        <f>IF(ISERROR(LEN(VLOOKUP(A388,Seqs!A:E,2,FALSE))-AL388),"-",LEN(VLOOKUP(A388,Seqs!A:E,2,FALSE))-AL388)</f>
        <v>20</v>
      </c>
      <c r="BB388" s="16">
        <f t="shared" si="239"/>
        <v>18</v>
      </c>
      <c r="BC388" s="9" t="str">
        <f t="shared" si="240"/>
        <v>-</v>
      </c>
      <c r="BD388" s="3">
        <f t="shared" si="241"/>
        <v>18</v>
      </c>
      <c r="BE388" s="3">
        <f t="shared" si="242"/>
        <v>79</v>
      </c>
      <c r="BF388" s="3">
        <f>AH388-AE388</f>
        <v>33</v>
      </c>
    </row>
    <row r="389" spans="1:58" s="3" customFormat="1" x14ac:dyDescent="0.2">
      <c r="A389" s="3" t="s">
        <v>478</v>
      </c>
      <c r="B389" s="3" t="str">
        <f>LOWER(VLOOKUP(A389,Xtal_Templ!A:B,2,FALSE))</f>
        <v>ccr9_human</v>
      </c>
      <c r="C389" s="3">
        <v>202</v>
      </c>
      <c r="D389" s="3">
        <v>231</v>
      </c>
      <c r="E389" s="3">
        <f>IF(ISERROR(VLOOKUP($A389,'SegEnds_NonXtal_BW#'!$A:$Z,4,FALSE)+VLOOKUP($A389,A:AL,4,FALSE)-50),"-",(VLOOKUP($A389,'SegEnds_NonXtal_BW#'!$A:$Z,4,FALSE)+VLOOKUP($A389,A:AL,4,FALSE)-50))</f>
        <v>241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269</v>
      </c>
      <c r="J389" s="3">
        <v>280</v>
      </c>
      <c r="K389" s="3">
        <f>VLOOKUP($A389,'SegEnds_NonXtal_BW#'!$A:$Z,8,FALSE)+VLOOKUP($A389,A:AL,10,FALSE)-50</f>
        <v>293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327</v>
      </c>
      <c r="P389" s="3">
        <v>354</v>
      </c>
      <c r="Q389" s="3">
        <f>VLOOKUP($A389,'SegEnds_NonXtal_BW#'!$A:$Z,12,FALSE)+VLOOKUP($A389,A:AL,16,FALSE)-50</f>
        <v>360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381</v>
      </c>
      <c r="V389" s="3">
        <v>391</v>
      </c>
      <c r="W389" s="3">
        <f>IF(ISERROR(VLOOKUP($A389,'SegEnds_NonXtal_BW#'!$A:$Z,16,FALSE)+VLOOKUP($A389,A:AL,22,FALSE)-50),"-",(VLOOKUP($A389,'SegEnds_NonXtal_BW#'!$A:$Z,16,FALSE)+VLOOKUP($A389,A:AL,22,FALSE)-50))</f>
        <v>405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461</v>
      </c>
      <c r="AB389" s="3">
        <v>472</v>
      </c>
      <c r="AC389" s="3">
        <f>IF(ISERROR((VLOOKUP($A389,'SegEnds_NonXtal_BW#'!$A:$Z,20,FALSE)+VLOOKUP($A389,A:AL,28,FALSE)-50)),"-",(VLOOKUP($A389,'SegEnds_NonXtal_BW#'!$A:$Z,20,FALSE)+VLOOKUP($A389,A:AL,28,FALSE)-50))</f>
        <v>483</v>
      </c>
      <c r="AD389" s="3">
        <f>IF(ISERROR(VLOOKUP($A389,'SegEnds_NonXtal_BW#'!$A:$Z,21,FALSE)+VLOOKUP($A389,A:AL,31,FALSE)-50),"-",(VLOOKUP($A389,'SegEnds_NonXtal_BW#'!$A:$Z,21,FALSE)+VLOOKUP($A389,A:AL,31,FALSE)-50))</f>
        <v>488</v>
      </c>
      <c r="AE389" s="3">
        <v>509</v>
      </c>
      <c r="AF389" s="3">
        <f>IF(ISERROR((VLOOKUP($A389,'SegEnds_NonXtal_BW#'!$A:$Z,22,FALSE)+VLOOKUP($A389,A:AL,31,FALSE)-50)),"-",(VLOOKUP($A389,'SegEnds_NonXtal_BW#'!$A:$Z,22,FALSE)+VLOOKUP($A389,A:AL,31,FALSE)-50))</f>
        <v>512</v>
      </c>
      <c r="AG389" s="3">
        <f>IF(ISERROR(VLOOKUP($A389,'SegEnds_NonXtal_BW#'!$A:$Z,23,FALSE)+VLOOKUP($A389,A:AL,34,FALSE)-50),"-",(VLOOKUP($A389,'SegEnds_NonXtal_BW#'!$A:$Z,23,FALSE)+VLOOKUP($A389,A:AL,34,FALSE)-50))</f>
        <v>538</v>
      </c>
      <c r="AH389" s="3">
        <v>553</v>
      </c>
      <c r="AI389" s="3">
        <f>IF(ISERROR((VLOOKUP($A389,'SegEnds_NonXtal_BW#'!$A:$Z,24,FALSE)+VLOOKUP($A389,A:AL,34,FALSE)-50)),"-",(VLOOKUP($A389,'SegEnds_NonXtal_BW#'!$A:$Z,24,FALSE)+VLOOKUP($A389,A:AL,34,FALSE)-50))</f>
        <v>559</v>
      </c>
      <c r="AJ389" s="3">
        <f>IF(ISERROR(VLOOKUP($A389,'SegEnds_NonXtal_BW#'!$A:$Z,25,FALSE)+VLOOKUP($A389,A:AL,37,FALSE)-50),"-",(VLOOKUP($A389,'SegEnds_NonXtal_BW#'!$A:$Z,25,FALSE)+VLOOKUP($A389,A:AL,37,FALSE)-50))</f>
        <v>561</v>
      </c>
      <c r="AK389" s="3">
        <v>564</v>
      </c>
      <c r="AL389" s="3">
        <f>IF(ISERROR((VLOOKUP($A389,'SegEnds_NonXtal_BW#'!$A:$Z,26,FALSE)+VLOOKUP($A389,A:AL,37,FALSE)-50)),"-",(VLOOKUP($A389,'SegEnds_NonXtal_BW#'!$A:$Z,26,FALSE)+VLOOKUP($A389,A:AL,37,FALSE)-50))</f>
        <v>571</v>
      </c>
      <c r="AM389" s="28" t="str">
        <f>VLOOKUP(A389,Classification!A:B,2,FALSE)</f>
        <v>O</v>
      </c>
      <c r="AN389" s="28" t="b">
        <f t="shared" si="243"/>
        <v>1</v>
      </c>
      <c r="AO389" s="3" t="str">
        <f>IF(ISERROR(MATCH(A389,'SegEnds_Xtal_Prot#'!B:B, 0)), "NoXtal", "Xtal")</f>
        <v>NoXtal</v>
      </c>
      <c r="AP389" s="3" t="str">
        <f t="shared" si="228"/>
        <v>-</v>
      </c>
      <c r="AQ389" s="3" t="str">
        <f t="shared" si="229"/>
        <v>-</v>
      </c>
      <c r="AR389" s="3" t="str">
        <f t="shared" si="230"/>
        <v>-</v>
      </c>
      <c r="AS389" s="3" t="str">
        <f t="shared" si="231"/>
        <v>-</v>
      </c>
      <c r="AT389" s="3" t="str">
        <f t="shared" si="232"/>
        <v>-</v>
      </c>
      <c r="AU389" s="3" t="str">
        <f t="shared" si="233"/>
        <v>-</v>
      </c>
      <c r="AV389" s="3" t="str">
        <f t="shared" si="234"/>
        <v>-</v>
      </c>
      <c r="AW389" s="3" t="str">
        <f t="shared" si="235"/>
        <v>-</v>
      </c>
      <c r="AX389" s="3">
        <f t="shared" si="236"/>
        <v>5</v>
      </c>
      <c r="AY389" s="3">
        <f t="shared" si="237"/>
        <v>26</v>
      </c>
      <c r="AZ389" s="3">
        <f t="shared" si="238"/>
        <v>2</v>
      </c>
      <c r="BA389" s="3">
        <f>IF(ISERROR(LEN(VLOOKUP(A389,Seqs!A:E,2,FALSE))-AL389),"-",LEN(VLOOKUP(A389,Seqs!A:E,2,FALSE))-AL389)</f>
        <v>29</v>
      </c>
      <c r="BB389" s="16">
        <f t="shared" si="239"/>
        <v>49</v>
      </c>
      <c r="BC389" s="9" t="str">
        <f t="shared" si="240"/>
        <v>-</v>
      </c>
      <c r="BD389" s="3">
        <f t="shared" si="241"/>
        <v>49</v>
      </c>
      <c r="BE389" s="3">
        <f t="shared" si="242"/>
        <v>37</v>
      </c>
      <c r="BF389" s="3">
        <f>AH389-AE389</f>
        <v>44</v>
      </c>
    </row>
    <row r="390" spans="1:58" s="3" customFormat="1" x14ac:dyDescent="0.2">
      <c r="A390" s="3" t="s">
        <v>481</v>
      </c>
      <c r="B390" s="3" t="str">
        <f>LOWER(VLOOKUP(A390,Xtal_Templ!A:B,2,FALSE))</f>
        <v>aa2ar_human</v>
      </c>
      <c r="C390" s="3">
        <v>12</v>
      </c>
      <c r="D390" s="3">
        <v>42</v>
      </c>
      <c r="E390" s="3">
        <f>IF(ISERROR(VLOOKUP($A390,'SegEnds_NonXtal_BW#'!$A:$Z,4,FALSE)+VLOOKUP($A390,A:AL,4,FALSE)-50),"-",(VLOOKUP($A390,'SegEnds_NonXtal_BW#'!$A:$Z,4,FALSE)+VLOOKUP($A390,A:AL,4,FALSE)-50))</f>
        <v>52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67</v>
      </c>
      <c r="J390" s="3">
        <v>78</v>
      </c>
      <c r="K390" s="3">
        <f>VLOOKUP($A390,'SegEnds_NonXtal_BW#'!$A:$Z,8,FALSE)+VLOOKUP($A390,A:AL,10,FALSE)-50</f>
        <v>91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114</v>
      </c>
      <c r="P390" s="3">
        <v>141</v>
      </c>
      <c r="Q390" s="3">
        <f>VLOOKUP($A390,'SegEnds_NonXtal_BW#'!$A:$Z,12,FALSE)+VLOOKUP($A390,A:AL,16,FALSE)-50</f>
        <v>147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152</v>
      </c>
      <c r="V390" s="3">
        <v>162</v>
      </c>
      <c r="W390" s="3">
        <f>IF(ISERROR(VLOOKUP($A390,'SegEnds_NonXtal_BW#'!$A:$Z,16,FALSE)+VLOOKUP($A390,A:AL,22,FALSE)-50),"-",(VLOOKUP($A390,'SegEnds_NonXtal_BW#'!$A:$Z,16,FALSE)+VLOOKUP($A390,A:AL,22,FALSE)-50))</f>
        <v>176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190</v>
      </c>
      <c r="AB390" s="3">
        <v>201</v>
      </c>
      <c r="AC390" s="3">
        <f>IF(ISERROR((VLOOKUP($A390,'SegEnds_NonXtal_BW#'!$A:$Z,20,FALSE)+VLOOKUP($A390,A:AL,28,FALSE)-50)),"-",(VLOOKUP($A390,'SegEnds_NonXtal_BW#'!$A:$Z,20,FALSE)+VLOOKUP($A390,A:AL,28,FALSE)-50))</f>
        <v>212</v>
      </c>
      <c r="AD390" s="3">
        <f>IF(ISERROR(VLOOKUP($A390,'SegEnds_NonXtal_BW#'!$A:$Z,21,FALSE)+VLOOKUP($A390,A:AL,31,FALSE)-50),"-",(VLOOKUP($A390,'SegEnds_NonXtal_BW#'!$A:$Z,21,FALSE)+VLOOKUP($A390,A:AL,31,FALSE)-50))</f>
        <v>238</v>
      </c>
      <c r="AE390" s="3">
        <v>259</v>
      </c>
      <c r="AF390" s="3">
        <f>IF(ISERROR((VLOOKUP($A390,'SegEnds_NonXtal_BW#'!$A:$Z,22,FALSE)+VLOOKUP($A390,A:AL,31,FALSE)-50)),"-",(VLOOKUP($A390,'SegEnds_NonXtal_BW#'!$A:$Z,22,FALSE)+VLOOKUP($A390,A:AL,31,FALSE)-50))</f>
        <v>262</v>
      </c>
      <c r="AG390" s="3">
        <f>IF(ISERROR(VLOOKUP($A390,'SegEnds_NonXtal_BW#'!$A:$Z,23,FALSE)+VLOOKUP($A390,A:AL,34,FALSE)-50),"-",(VLOOKUP($A390,'SegEnds_NonXtal_BW#'!$A:$Z,23,FALSE)+VLOOKUP($A390,A:AL,34,FALSE)-50))</f>
        <v>293</v>
      </c>
      <c r="AH390" s="3">
        <v>308</v>
      </c>
      <c r="AI390" s="3">
        <f>IF(ISERROR((VLOOKUP($A390,'SegEnds_NonXtal_BW#'!$A:$Z,24,FALSE)+VLOOKUP($A390,A:AL,34,FALSE)-50)),"-",(VLOOKUP($A390,'SegEnds_NonXtal_BW#'!$A:$Z,24,FALSE)+VLOOKUP($A390,A:AL,34,FALSE)-50))</f>
        <v>314</v>
      </c>
      <c r="AJ390" s="3">
        <f>IF(ISERROR(VLOOKUP($A390,'SegEnds_NonXtal_BW#'!$A:$Z,25,FALSE)+VLOOKUP($A390,A:AL,37,FALSE)-50),"-",(VLOOKUP($A390,'SegEnds_NonXtal_BW#'!$A:$Z,25,FALSE)+VLOOKUP($A390,A:AL,37,FALSE)-50))</f>
        <v>315</v>
      </c>
      <c r="AK390" s="3">
        <v>318</v>
      </c>
      <c r="AL390" s="3">
        <f>IF(ISERROR((VLOOKUP($A390,'SegEnds_NonXtal_BW#'!$A:$Z,26,FALSE)+VLOOKUP($A390,A:AL,37,FALSE)-50)),"-",(VLOOKUP($A390,'SegEnds_NonXtal_BW#'!$A:$Z,26,FALSE)+VLOOKUP($A390,A:AL,37,FALSE)-50))</f>
        <v>325</v>
      </c>
      <c r="AM390" s="28" t="str">
        <f>VLOOKUP(A390,Classification!A:B,2,FALSE)</f>
        <v>O</v>
      </c>
      <c r="AN390" s="28" t="b">
        <f t="shared" si="243"/>
        <v>1</v>
      </c>
      <c r="AO390" s="3" t="str">
        <f>IF(ISERROR(MATCH(A390,'SegEnds_Xtal_Prot#'!B:B, 0)), "NoXtal", "Xtal")</f>
        <v>NoXtal</v>
      </c>
      <c r="AP390" s="3" t="str">
        <f t="shared" si="228"/>
        <v>-</v>
      </c>
      <c r="AQ390" s="3" t="str">
        <f t="shared" si="229"/>
        <v>-</v>
      </c>
      <c r="AR390" s="3" t="str">
        <f t="shared" si="230"/>
        <v>-</v>
      </c>
      <c r="AS390" s="3" t="str">
        <f t="shared" si="231"/>
        <v>-</v>
      </c>
      <c r="AT390" s="3" t="str">
        <f t="shared" si="232"/>
        <v>-</v>
      </c>
      <c r="AU390" s="3" t="str">
        <f t="shared" si="233"/>
        <v>-</v>
      </c>
      <c r="AV390" s="3" t="str">
        <f t="shared" si="234"/>
        <v>-</v>
      </c>
      <c r="AW390" s="3" t="str">
        <f t="shared" si="235"/>
        <v>-</v>
      </c>
      <c r="AX390" s="3">
        <f t="shared" si="236"/>
        <v>26</v>
      </c>
      <c r="AY390" s="3">
        <f t="shared" si="237"/>
        <v>31</v>
      </c>
      <c r="AZ390" s="3">
        <f t="shared" si="238"/>
        <v>1</v>
      </c>
      <c r="BA390" s="3">
        <f>IF(ISERROR(LEN(VLOOKUP(A390,Seqs!A:E,2,FALSE))-AL390),"-",LEN(VLOOKUP(A390,Seqs!A:E,2,FALSE))-AL390)</f>
        <v>79</v>
      </c>
      <c r="BB390" s="16">
        <f t="shared" si="239"/>
        <v>36</v>
      </c>
      <c r="BC390" s="9" t="str">
        <f t="shared" si="240"/>
        <v>-</v>
      </c>
      <c r="BD390" s="3">
        <f t="shared" si="241"/>
        <v>36</v>
      </c>
      <c r="BE390" s="3">
        <f t="shared" si="242"/>
        <v>58</v>
      </c>
    </row>
    <row r="391" spans="1:58" s="3" customFormat="1" x14ac:dyDescent="0.2">
      <c r="A391" s="3" t="s">
        <v>482</v>
      </c>
      <c r="B391" s="3" t="str">
        <f>LOWER(VLOOKUP(A391,Xtal_Templ!A:B,2,FALSE))</f>
        <v>5ht2c_human</v>
      </c>
      <c r="C391" s="3">
        <f>VLOOKUP($A391,'SegEnds_NonXtal_BW#'!$A:$Z,3,FALSE)+D391-50</f>
        <v>12</v>
      </c>
      <c r="D391" s="3">
        <v>29</v>
      </c>
      <c r="E391" s="3">
        <f>IF(ISERROR(VLOOKUP($A391,'SegEnds_NonXtal_BW#'!$A:$Z,4,FALSE)+VLOOKUP($A391,A:AL,4,FALSE)-50),"-",(VLOOKUP($A391,'SegEnds_NonXtal_BW#'!$A:$Z,4,FALSE)+VLOOKUP($A391,A:AL,4,FALSE)-50))</f>
        <v>39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46</v>
      </c>
      <c r="J391" s="3">
        <v>57</v>
      </c>
      <c r="K391" s="3">
        <f>VLOOKUP($A391,'SegEnds_NonXtal_BW#'!$A:$Z,8,FALSE)+VLOOKUP($A391,A:AL,10,FALSE)-50</f>
        <v>70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104</v>
      </c>
      <c r="Q391" s="3">
        <f>VLOOKUP($A391,'SegEnds_NonXtal_BW#'!$A:$Z,12,FALSE)+VLOOKUP($A391,A:AL,16,FALSE)-50</f>
        <v>110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125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149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153</v>
      </c>
      <c r="AB391" s="3">
        <v>164</v>
      </c>
      <c r="AC391" s="3">
        <f>IF(ISERROR((VLOOKUP($A391,'SegEnds_NonXtal_BW#'!$A:$Z,20,FALSE)+VLOOKUP($A391,A:AL,28,FALSE)-50)),"-",(VLOOKUP($A391,'SegEnds_NonXtal_BW#'!$A:$Z,20,FALSE)+VLOOKUP($A391,A:AL,28,FALSE)-50))</f>
        <v>175</v>
      </c>
      <c r="AD391" s="3">
        <f>IF(ISERROR(VLOOKUP($A391,'SegEnds_NonXtal_BW#'!$A:$Z,21,FALSE)+VLOOKUP($A391,A:AL,31,FALSE)-50),"-",(VLOOKUP($A391,'SegEnds_NonXtal_BW#'!$A:$Z,21,FALSE)+VLOOKUP($A391,A:AL,31,FALSE)-50))</f>
        <v>210</v>
      </c>
      <c r="AE391" s="3">
        <v>231</v>
      </c>
      <c r="AF391" s="3">
        <f>IF(ISERROR((VLOOKUP($A391,'SegEnds_NonXtal_BW#'!$A:$Z,22,FALSE)+VLOOKUP($A391,A:AL,31,FALSE)-50)),"-",(VLOOKUP($A391,'SegEnds_NonXtal_BW#'!$A:$Z,22,FALSE)+VLOOKUP($A391,A:AL,31,FALSE)-50))</f>
        <v>234</v>
      </c>
      <c r="AG391" s="3">
        <f>IF(ISERROR(VLOOKUP($A391,'SegEnds_NonXtal_BW#'!$A:$Z,23,FALSE)+VLOOKUP($A391,A:AL,34,FALSE)-50),"-",(VLOOKUP($A391,'SegEnds_NonXtal_BW#'!$A:$Z,23,FALSE)+VLOOKUP($A391,A:AL,34,FALSE)-50))</f>
        <v>261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v>286</v>
      </c>
      <c r="AK391" s="3">
        <v>294</v>
      </c>
      <c r="AL391" s="3">
        <f>IF(ISERROR((VLOOKUP($A391,'SegEnds_NonXtal_BW#'!$A:$Z,26,FALSE)+VLOOKUP($A391,A:AL,37,FALSE)-50)),"-",(VLOOKUP($A391,'SegEnds_NonXtal_BW#'!$A:$Z,26,FALSE)+VLOOKUP($A391,A:AL,37,FALSE)-50))</f>
        <v>301</v>
      </c>
      <c r="AM391" s="28" t="str">
        <f>VLOOKUP(A391,Classification!A:B,2,FALSE)</f>
        <v>O</v>
      </c>
      <c r="AN391" s="28" t="b">
        <f t="shared" si="243"/>
        <v>1</v>
      </c>
      <c r="AO391" s="3" t="str">
        <f>IF(ISERROR(MATCH(A391,'SegEnds_Xtal_Prot#'!B:B, 0)), "NoXtal", "Xtal")</f>
        <v>NoXtal</v>
      </c>
      <c r="AP391" s="3" t="str">
        <f t="shared" si="228"/>
        <v>-</v>
      </c>
      <c r="AQ391" s="3" t="str">
        <f t="shared" si="229"/>
        <v>-</v>
      </c>
      <c r="AR391" s="3" t="str">
        <f t="shared" si="230"/>
        <v>-</v>
      </c>
      <c r="AS391" s="3" t="str">
        <f t="shared" si="231"/>
        <v>-</v>
      </c>
      <c r="AT391" s="3" t="str">
        <f t="shared" si="232"/>
        <v>-</v>
      </c>
      <c r="AU391" s="3" t="str">
        <f t="shared" si="233"/>
        <v>-</v>
      </c>
      <c r="AV391" s="3" t="str">
        <f t="shared" si="234"/>
        <v>-</v>
      </c>
      <c r="AW391" s="3" t="str">
        <f t="shared" si="235"/>
        <v>-</v>
      </c>
      <c r="AX391" s="3">
        <f t="shared" si="236"/>
        <v>35</v>
      </c>
      <c r="AY391" s="3">
        <f t="shared" si="237"/>
        <v>27</v>
      </c>
      <c r="AZ391" s="3">
        <f t="shared" si="238"/>
        <v>4</v>
      </c>
      <c r="BA391" s="3">
        <f>IF(ISERROR(LEN(VLOOKUP(A391,Seqs!A:E,2,FALSE))-AL391),"-",LEN(VLOOKUP(A391,Seqs!A:E,2,FALSE))-AL391)</f>
        <v>34</v>
      </c>
      <c r="BB391" s="16">
        <f t="shared" si="239"/>
        <v>28</v>
      </c>
      <c r="BC391" s="9" t="str">
        <f t="shared" si="240"/>
        <v>-</v>
      </c>
      <c r="BD391" s="3">
        <f t="shared" si="241"/>
        <v>28</v>
      </c>
      <c r="BE391" s="3">
        <f t="shared" si="242"/>
        <v>67</v>
      </c>
    </row>
    <row r="392" spans="1:58" s="3" customFormat="1" x14ac:dyDescent="0.2">
      <c r="A392" s="3" t="s">
        <v>480</v>
      </c>
      <c r="B392" s="3" t="str">
        <f>LOWER(VLOOKUP(A392,Xtal_Templ!A:B,2,FALSE))</f>
        <v>pe2r4_human</v>
      </c>
      <c r="C392" s="3">
        <v>27</v>
      </c>
      <c r="D392" s="3">
        <v>64</v>
      </c>
      <c r="E392" s="3">
        <f>IF(ISERROR(VLOOKUP($A392,'SegEnds_NonXtal_BW#'!$A:$Z,4,FALSE)+VLOOKUP($A392,A:AL,4,FALSE)-50),"-",(VLOOKUP($A392,'SegEnds_NonXtal_BW#'!$A:$Z,4,FALSE)+VLOOKUP($A392,A:AL,4,FALSE)-50))</f>
        <v>74</v>
      </c>
      <c r="F392" s="3" t="str">
        <f>IF(ISERROR(VLOOKUP($A392,'SegEnds_NonXtal_BW#'!$A:$Z,5,FALSE)+VLOOKUP($A392,A:AL,7,FALSE)-50),"-",(VLOOKUP($A392,'SegEnds_NonXtal_BW#'!$A:$Z,5,FALSE)+VLOOKUP($A392,A:AL,7,FALSE)-50))</f>
        <v>-</v>
      </c>
      <c r="G392" s="3" t="s">
        <v>23</v>
      </c>
      <c r="H392" s="3" t="str">
        <f>IF(ISERROR(VLOOKUP($A392,'SegEnds_NonXtal_BW#'!$A:$Z,6,FALSE)+VLOOKUP($A392,A:AL,7,FALSE)-50),"-",(VLOOKUP($A392,'SegEnds_NonXtal_BW#'!$A:$Z,6,FALSE)+VLOOKUP($A392,A:AL,7,FALSE)-50))</f>
        <v>-</v>
      </c>
      <c r="I392" s="3">
        <f>VLOOKUP($A392,'SegEnds_NonXtal_BW#'!$A:$Z,7,FALSE)+J392-50</f>
        <v>85</v>
      </c>
      <c r="J392" s="3">
        <v>96</v>
      </c>
      <c r="K392" s="3">
        <f>VLOOKUP($A392,'SegEnds_NonXtal_BW#'!$A:$Z,8,FALSE)+VLOOKUP($A392,A:AL,10,FALSE)-50</f>
        <v>109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114</v>
      </c>
      <c r="P392" s="3">
        <v>141</v>
      </c>
      <c r="Q392" s="3">
        <f>VLOOKUP($A392,'SegEnds_NonXtal_BW#'!$A:$Z,12,FALSE)+VLOOKUP($A392,A:AL,16,FALSE)-50</f>
        <v>147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0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162</v>
      </c>
      <c r="V392" s="3">
        <v>172</v>
      </c>
      <c r="W392" s="3">
        <f>IF(ISERROR(VLOOKUP($A392,'SegEnds_NonXtal_BW#'!$A:$Z,16,FALSE)+VLOOKUP($A392,A:AL,22,FALSE)-50),"-",(VLOOKUP($A392,'SegEnds_NonXtal_BW#'!$A:$Z,16,FALSE)+VLOOKUP($A392,A:AL,22,FALSE)-50))</f>
        <v>183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187</v>
      </c>
      <c r="AB392" s="3">
        <v>197</v>
      </c>
      <c r="AC392" s="3">
        <f>IF(ISERROR((VLOOKUP($A392,'SegEnds_NonXtal_BW#'!$A:$Z,20,FALSE)+VLOOKUP($A392,A:AL,28,FALSE)-50)),"-",(VLOOKUP($A392,'SegEnds_NonXtal_BW#'!$A:$Z,20,FALSE)+VLOOKUP($A392,A:AL,28,FALSE)-50))</f>
        <v>208</v>
      </c>
      <c r="AD392" s="3">
        <f>IF(ISERROR(VLOOKUP($A392,'SegEnds_NonXtal_BW#'!$A:$Z,21,FALSE)+VLOOKUP($A392,A:AL,31,FALSE)-50),"-",(VLOOKUP($A392,'SegEnds_NonXtal_BW#'!$A:$Z,21,FALSE)+VLOOKUP($A392,A:AL,31,FALSE)-50))</f>
        <v>252</v>
      </c>
      <c r="AE392" s="3">
        <v>273</v>
      </c>
      <c r="AF392" s="3">
        <f>IF(ISERROR((VLOOKUP($A392,'SegEnds_NonXtal_BW#'!$A:$Z,22,FALSE)+VLOOKUP($A392,A:AL,31,FALSE)-50)),"-",(VLOOKUP($A392,'SegEnds_NonXtal_BW#'!$A:$Z,22,FALSE)+VLOOKUP($A392,A:AL,31,FALSE)-50))</f>
        <v>276</v>
      </c>
      <c r="AG392" s="3">
        <f>IF(ISERROR(VLOOKUP($A392,'SegEnds_NonXtal_BW#'!$A:$Z,23,FALSE)+VLOOKUP($A392,A:AL,34,FALSE)-50),"-",(VLOOKUP($A392,'SegEnds_NonXtal_BW#'!$A:$Z,23,FALSE)+VLOOKUP($A392,A:AL,34,FALSE)-50))</f>
        <v>294</v>
      </c>
      <c r="AH392" s="3">
        <v>309</v>
      </c>
      <c r="AI392" s="3">
        <f>IF(ISERROR((VLOOKUP($A392,'SegEnds_NonXtal_BW#'!$A:$Z,24,FALSE)+VLOOKUP($A392,A:AL,34,FALSE)-50)),"-",(VLOOKUP($A392,'SegEnds_NonXtal_BW#'!$A:$Z,24,FALSE)+VLOOKUP($A392,A:AL,34,FALSE)-50))</f>
        <v>315</v>
      </c>
      <c r="AJ392" s="105">
        <v>320</v>
      </c>
      <c r="AK392" s="3">
        <v>333</v>
      </c>
      <c r="AL392" s="3">
        <f>IF(ISERROR((VLOOKUP($A392,'SegEnds_NonXtal_BW#'!$A:$Z,26,FALSE)+VLOOKUP($A392,A:AL,37,FALSE)-50)),"-",(VLOOKUP($A392,'SegEnds_NonXtal_BW#'!$A:$Z,26,FALSE)+VLOOKUP($A392,A:AL,37,FALSE)-50))</f>
        <v>340</v>
      </c>
      <c r="AM392" s="28" t="str">
        <f>VLOOKUP(A392,Classification!A:B,2,FALSE)</f>
        <v>O</v>
      </c>
      <c r="AN392" s="28" t="b">
        <f t="shared" si="243"/>
        <v>1</v>
      </c>
      <c r="AO392" s="3" t="str">
        <f>IF(ISERROR(MATCH(A392,'SegEnds_Xtal_Prot#'!B:B, 0)), "NoXtal", "Xtal")</f>
        <v>NoXtal</v>
      </c>
      <c r="AP392" s="3" t="str">
        <f t="shared" si="228"/>
        <v>-</v>
      </c>
      <c r="AQ392" s="3" t="str">
        <f t="shared" si="229"/>
        <v>-</v>
      </c>
      <c r="AR392" s="3" t="str">
        <f t="shared" si="230"/>
        <v>-</v>
      </c>
      <c r="AS392" s="3" t="str">
        <f t="shared" si="231"/>
        <v>-</v>
      </c>
      <c r="AT392" s="3" t="str">
        <f t="shared" si="232"/>
        <v>-</v>
      </c>
      <c r="AU392" s="3" t="str">
        <f t="shared" si="233"/>
        <v>-</v>
      </c>
      <c r="AV392" s="3" t="str">
        <f t="shared" si="234"/>
        <v>-</v>
      </c>
      <c r="AW392" s="3" t="str">
        <f t="shared" si="235"/>
        <v>-</v>
      </c>
      <c r="AX392" s="3">
        <f t="shared" si="236"/>
        <v>44</v>
      </c>
      <c r="AY392" s="3">
        <f t="shared" si="237"/>
        <v>18</v>
      </c>
      <c r="AZ392" s="3">
        <f t="shared" si="238"/>
        <v>5</v>
      </c>
      <c r="BA392" s="3">
        <f>IF(ISERROR(LEN(VLOOKUP(A392,Seqs!A:E,2,FALSE))-AL392),"-",LEN(VLOOKUP(A392,Seqs!A:E,2,FALSE))-AL392)</f>
        <v>33</v>
      </c>
      <c r="BB392" s="16">
        <f t="shared" si="239"/>
        <v>32</v>
      </c>
      <c r="BC392" s="9" t="str">
        <f t="shared" si="240"/>
        <v>-</v>
      </c>
      <c r="BD392" s="3">
        <f t="shared" si="241"/>
        <v>32</v>
      </c>
      <c r="BE392" s="3">
        <f t="shared" si="242"/>
        <v>76</v>
      </c>
    </row>
    <row r="393" spans="1:58" s="3" customFormat="1" x14ac:dyDescent="0.2">
      <c r="A393" s="3" t="s">
        <v>452</v>
      </c>
      <c r="B393" s="3" t="str">
        <f>LOWER(VLOOKUP(A393,Xtal_Templ!A:B,2,FALSE))</f>
        <v>drd2_human</v>
      </c>
      <c r="C393" s="3">
        <f>VLOOKUP($A393,'SegEnds_NonXtal_BW#'!$A:$Z,3,FALSE)+D393-50</f>
        <v>6</v>
      </c>
      <c r="D393" s="3">
        <v>24</v>
      </c>
      <c r="E393" s="3">
        <f t="shared" ref="E393:E417" si="271">F393-1</f>
        <v>36</v>
      </c>
      <c r="F393" s="3">
        <f t="shared" ref="F393:F417" si="272">G393-2</f>
        <v>37</v>
      </c>
      <c r="G393" s="3">
        <v>39</v>
      </c>
      <c r="H393" s="3">
        <f t="shared" ref="H393:I417" si="273">G393+1</f>
        <v>40</v>
      </c>
      <c r="I393" s="3">
        <f t="shared" si="273"/>
        <v>41</v>
      </c>
      <c r="J393" s="3">
        <v>54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ref="R393:R417" si="274">S393</f>
        <v>115</v>
      </c>
      <c r="S393" s="3">
        <v>115</v>
      </c>
      <c r="T393" s="100">
        <f t="shared" ref="T393:T417" si="275">S393+7</f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147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167</v>
      </c>
      <c r="AB393" s="3">
        <v>185</v>
      </c>
      <c r="AC393" s="3">
        <f>IF(ISERROR((VLOOKUP($A393,'SegEnds_NonXtal_BW#'!$A:$Z,20,FALSE)+VLOOKUP($A393,A:AL,28,FALSE)-50)),"-",(VLOOKUP($A393,'SegEnds_NonXtal_BW#'!$A:$Z,20,FALSE)+VLOOKUP($A393,A:AL,28,FALSE)-50))</f>
        <v>207</v>
      </c>
      <c r="AD393" s="3">
        <f>IF(ISERROR(VLOOKUP($A393,'SegEnds_NonXtal_BW#'!$A:$Z,21,FALSE)+VLOOKUP($A393,A:AL,31,FALSE)-50),"-",(VLOOKUP($A393,'SegEnds_NonXtal_BW#'!$A:$Z,21,FALSE)+VLOOKUP($A393,A:AL,31,FALSE)-50))</f>
        <v>217</v>
      </c>
      <c r="AE393" s="3">
        <v>238</v>
      </c>
      <c r="AF393" s="3">
        <f>IF(ISERROR((VLOOKUP($A393,'SegEnds_NonXtal_BW#'!$A:$Z,22,FALSE)+VLOOKUP($A393,A:AL,31,FALSE)-50)),"-",(VLOOKUP($A393,'SegEnds_NonXtal_BW#'!$A:$Z,22,FALSE)+VLOOKUP($A393,A:AL,31,FALSE)-50))</f>
        <v>249</v>
      </c>
      <c r="AG393" s="3">
        <f>IF(ISERROR(VLOOKUP($A393,'SegEnds_NonXtal_BW#'!$A:$Z,23,FALSE)+VLOOKUP($A393,A:AL,34,FALSE)-50),"-",(VLOOKUP($A393,'SegEnds_NonXtal_BW#'!$A:$Z,23,FALSE)+VLOOKUP($A393,A:AL,34,FALSE)-50))</f>
        <v>255</v>
      </c>
      <c r="AH393" s="3">
        <v>274</v>
      </c>
      <c r="AI393" s="3">
        <f>IF(ISERROR((VLOOKUP($A393,'SegEnds_NonXtal_BW#'!$A:$Z,24,FALSE)+VLOOKUP($A393,A:AL,34,FALSE)-50)),"-",(VLOOKUP($A393,'SegEnds_NonXtal_BW#'!$A:$Z,24,FALSE)+VLOOKUP($A393,A:AL,34,FALSE)-50))</f>
        <v>280</v>
      </c>
      <c r="AJ393" s="3">
        <f>IF(ISERROR(VLOOKUP($A393,'SegEnds_NonXtal_BW#'!$A:$Z,25,FALSE)+VLOOKUP($A393,A:AL,37,FALSE)-50),"-",(VLOOKUP($A393,'SegEnds_NonXtal_BW#'!$A:$Z,25,FALSE)+VLOOKUP($A393,A:AL,37,FALSE)-50))</f>
        <v>281</v>
      </c>
      <c r="AK393" s="3">
        <v>284</v>
      </c>
      <c r="AL393" s="3">
        <f>IF(ISERROR((VLOOKUP($A393,'SegEnds_NonXtal_BW#'!$A:$Z,26,FALSE)+VLOOKUP($A393,A:AL,37,FALSE)-50)),"-",(VLOOKUP($A393,'SegEnds_NonXtal_BW#'!$A:$Z,26,FALSE)+VLOOKUP($A393,A:AL,37,FALSE)-50))</f>
        <v>294</v>
      </c>
      <c r="AM393" s="28" t="str">
        <f>VLOOKUP(A393,Classification!A:B,2,FALSE)</f>
        <v>T</v>
      </c>
      <c r="AN393" s="28" t="b">
        <f t="shared" si="243"/>
        <v>1</v>
      </c>
      <c r="AO393" s="3" t="str">
        <f>IF(ISERROR(MATCH(A393,'SegEnds_Xtal_Prot#'!B:B, 0)), "NoXtal", "Xtal")</f>
        <v>NoXtal</v>
      </c>
      <c r="AP393" s="3">
        <f t="shared" si="228"/>
        <v>1</v>
      </c>
      <c r="AQ393" s="3">
        <f t="shared" si="229"/>
        <v>1</v>
      </c>
      <c r="AR393" s="3" t="str">
        <f t="shared" si="230"/>
        <v>-</v>
      </c>
      <c r="AS393" s="3" t="str">
        <f t="shared" si="231"/>
        <v>-</v>
      </c>
      <c r="AT393" s="3">
        <f t="shared" si="232"/>
        <v>3</v>
      </c>
      <c r="AU393" s="3">
        <f t="shared" si="233"/>
        <v>1</v>
      </c>
      <c r="AV393" s="3" t="str">
        <f t="shared" si="234"/>
        <v>-</v>
      </c>
      <c r="AW393" s="3" t="str">
        <f t="shared" si="235"/>
        <v>-</v>
      </c>
      <c r="AX393" s="3">
        <f t="shared" si="236"/>
        <v>10</v>
      </c>
      <c r="AY393" s="3">
        <f t="shared" si="237"/>
        <v>6</v>
      </c>
      <c r="AZ393" s="3">
        <f t="shared" si="238"/>
        <v>1</v>
      </c>
      <c r="BA393" s="3">
        <f>IF(ISERROR(LEN(VLOOKUP(A393,Seqs!A:E,2,FALSE))-AL393),"-",LEN(VLOOKUP(A393,Seqs!A:E,2,FALSE))-AL393)</f>
        <v>13</v>
      </c>
      <c r="BB393" s="16">
        <f t="shared" si="239"/>
        <v>30</v>
      </c>
      <c r="BC393" s="9">
        <f t="shared" si="240"/>
        <v>20</v>
      </c>
      <c r="BD393" s="3">
        <f t="shared" si="241"/>
        <v>30</v>
      </c>
      <c r="BE393" s="3">
        <f t="shared" si="242"/>
        <v>53</v>
      </c>
      <c r="BF393" s="3">
        <f t="shared" ref="BF393:BF417" si="276">AH393-AE393</f>
        <v>36</v>
      </c>
    </row>
    <row r="394" spans="1:58" s="3" customFormat="1" x14ac:dyDescent="0.2">
      <c r="A394" s="3" t="s">
        <v>453</v>
      </c>
      <c r="B394" s="3" t="str">
        <f>LOWER(VLOOKUP(A394,Xtal_Templ!A:B,2,FALSE))</f>
        <v>5ht2a_human</v>
      </c>
      <c r="C394" s="3">
        <f>VLOOKUP($A394,'SegEnds_NonXtal_BW#'!$A:$Z,3,FALSE)+D394-50</f>
        <v>6</v>
      </c>
      <c r="D394" s="3">
        <v>24</v>
      </c>
      <c r="E394" s="3">
        <f t="shared" si="271"/>
        <v>36</v>
      </c>
      <c r="F394" s="3">
        <f t="shared" si="272"/>
        <v>37</v>
      </c>
      <c r="G394" s="3">
        <v>39</v>
      </c>
      <c r="H394" s="3">
        <f t="shared" si="273"/>
        <v>40</v>
      </c>
      <c r="I394" s="3">
        <f t="shared" si="273"/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 t="shared" si="274"/>
        <v>116</v>
      </c>
      <c r="S394" s="3">
        <v>116</v>
      </c>
      <c r="T394" s="100">
        <f t="shared" si="275"/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153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172</v>
      </c>
      <c r="AB394" s="3">
        <v>190</v>
      </c>
      <c r="AC394" s="3">
        <f>IF(ISERROR((VLOOKUP($A394,'SegEnds_NonXtal_BW#'!$A:$Z,20,FALSE)+VLOOKUP($A394,A:AL,28,FALSE)-50)),"-",(VLOOKUP($A394,'SegEnds_NonXtal_BW#'!$A:$Z,20,FALSE)+VLOOKUP($A394,A:AL,28,FALSE)-50))</f>
        <v>212</v>
      </c>
      <c r="AD394" s="3">
        <f>IF(ISERROR(VLOOKUP($A394,'SegEnds_NonXtal_BW#'!$A:$Z,21,FALSE)+VLOOKUP($A394,A:AL,31,FALSE)-50),"-",(VLOOKUP($A394,'SegEnds_NonXtal_BW#'!$A:$Z,21,FALSE)+VLOOKUP($A394,A:AL,31,FALSE)-50))</f>
        <v>222</v>
      </c>
      <c r="AE394" s="3">
        <v>243</v>
      </c>
      <c r="AF394" s="3">
        <f>IF(ISERROR((VLOOKUP($A394,'SegEnds_NonXtal_BW#'!$A:$Z,22,FALSE)+VLOOKUP($A394,A:AL,31,FALSE)-50)),"-",(VLOOKUP($A394,'SegEnds_NonXtal_BW#'!$A:$Z,22,FALSE)+VLOOKUP($A394,A:AL,31,FALSE)-50))</f>
        <v>254</v>
      </c>
      <c r="AG394" s="3">
        <f>IF(ISERROR(VLOOKUP($A394,'SegEnds_NonXtal_BW#'!$A:$Z,23,FALSE)+VLOOKUP($A394,A:AL,34,FALSE)-50),"-",(VLOOKUP($A394,'SegEnds_NonXtal_BW#'!$A:$Z,23,FALSE)+VLOOKUP($A394,A:AL,34,FALSE)-50))</f>
        <v>259</v>
      </c>
      <c r="AH394" s="3">
        <v>278</v>
      </c>
      <c r="AI394" s="3">
        <f>IF(ISERROR((VLOOKUP($A394,'SegEnds_NonXtal_BW#'!$A:$Z,24,FALSE)+VLOOKUP($A394,A:AL,34,FALSE)-50)),"-",(VLOOKUP($A394,'SegEnds_NonXtal_BW#'!$A:$Z,24,FALSE)+VLOOKUP($A394,A:AL,34,FALSE)-50))</f>
        <v>284</v>
      </c>
      <c r="AJ394" s="3">
        <f>IF(ISERROR(VLOOKUP($A394,'SegEnds_NonXtal_BW#'!$A:$Z,25,FALSE)+VLOOKUP($A394,A:AL,37,FALSE)-50),"-",(VLOOKUP($A394,'SegEnds_NonXtal_BW#'!$A:$Z,25,FALSE)+VLOOKUP($A394,A:AL,37,FALSE)-50))</f>
        <v>285</v>
      </c>
      <c r="AK394" s="3">
        <v>288</v>
      </c>
      <c r="AL394" s="3">
        <f>IF(ISERROR((VLOOKUP($A394,'SegEnds_NonXtal_BW#'!$A:$Z,26,FALSE)+VLOOKUP($A394,A:AL,37,FALSE)-50)),"-",(VLOOKUP($A394,'SegEnds_NonXtal_BW#'!$A:$Z,26,FALSE)+VLOOKUP($A394,A:AL,37,FALSE)-50))</f>
        <v>298</v>
      </c>
      <c r="AM394" s="28" t="str">
        <f>VLOOKUP(A394,Classification!A:B,2,FALSE)</f>
        <v>T</v>
      </c>
      <c r="AN394" s="28" t="b">
        <f t="shared" si="243"/>
        <v>1</v>
      </c>
      <c r="AO394" s="3" t="str">
        <f>IF(ISERROR(MATCH(A394,'SegEnds_Xtal_Prot#'!B:B, 0)), "NoXtal", "Xtal")</f>
        <v>NoXtal</v>
      </c>
      <c r="AP394" s="3">
        <f t="shared" si="228"/>
        <v>1</v>
      </c>
      <c r="AQ394" s="3">
        <f t="shared" si="229"/>
        <v>1</v>
      </c>
      <c r="AR394" s="3" t="str">
        <f t="shared" si="230"/>
        <v>-</v>
      </c>
      <c r="AS394" s="3" t="str">
        <f t="shared" si="231"/>
        <v>-</v>
      </c>
      <c r="AT394" s="3">
        <f t="shared" si="232"/>
        <v>3</v>
      </c>
      <c r="AU394" s="3">
        <f t="shared" si="233"/>
        <v>1</v>
      </c>
      <c r="AV394" s="3" t="str">
        <f t="shared" si="234"/>
        <v>-</v>
      </c>
      <c r="AW394" s="3" t="str">
        <f t="shared" si="235"/>
        <v>-</v>
      </c>
      <c r="AX394" s="3">
        <f t="shared" si="236"/>
        <v>10</v>
      </c>
      <c r="AY394" s="3">
        <f t="shared" si="237"/>
        <v>5</v>
      </c>
      <c r="AZ394" s="3">
        <f t="shared" si="238"/>
        <v>1</v>
      </c>
      <c r="BA394" s="3">
        <f>IF(ISERROR(LEN(VLOOKUP(A394,Seqs!A:E,2,FALSE))-AL394),"-",LEN(VLOOKUP(A394,Seqs!A:E,2,FALSE))-AL394)</f>
        <v>5</v>
      </c>
      <c r="BB394" s="16">
        <f t="shared" si="239"/>
        <v>31</v>
      </c>
      <c r="BC394" s="9">
        <f t="shared" si="240"/>
        <v>20</v>
      </c>
      <c r="BD394" s="3">
        <f t="shared" si="241"/>
        <v>31</v>
      </c>
      <c r="BE394" s="3">
        <f t="shared" si="242"/>
        <v>53</v>
      </c>
      <c r="BF394" s="3">
        <f t="shared" si="276"/>
        <v>35</v>
      </c>
    </row>
    <row r="395" spans="1:58" s="3" customFormat="1" x14ac:dyDescent="0.2">
      <c r="A395" s="3" t="s">
        <v>454</v>
      </c>
      <c r="B395" s="3" t="str">
        <f>LOWER(VLOOKUP(A395,Xtal_Templ!A:B,2,FALSE))</f>
        <v>5ht2c_human</v>
      </c>
      <c r="C395" s="3">
        <f>VLOOKUP($A395,'SegEnds_NonXtal_BW#'!$A:$Z,3,FALSE)+D395-50</f>
        <v>6</v>
      </c>
      <c r="D395" s="3">
        <v>24</v>
      </c>
      <c r="E395" s="3">
        <f t="shared" si="271"/>
        <v>36</v>
      </c>
      <c r="F395" s="3">
        <f t="shared" si="272"/>
        <v>37</v>
      </c>
      <c r="G395" s="3">
        <v>39</v>
      </c>
      <c r="H395" s="3">
        <f t="shared" si="273"/>
        <v>40</v>
      </c>
      <c r="I395" s="3">
        <f t="shared" si="273"/>
        <v>41</v>
      </c>
      <c r="J395" s="3">
        <v>55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78</v>
      </c>
      <c r="P395" s="3">
        <v>107</v>
      </c>
      <c r="Q395" s="3">
        <f>VLOOKUP($A395,'SegEnds_NonXtal_BW#'!$A:$Z,12,FALSE)+VLOOKUP($A395,A:AL,16,FALSE)-50</f>
        <v>113</v>
      </c>
      <c r="R395" s="3">
        <f t="shared" si="274"/>
        <v>116</v>
      </c>
      <c r="S395" s="3">
        <v>116</v>
      </c>
      <c r="T395" s="100">
        <f t="shared" si="275"/>
        <v>123</v>
      </c>
      <c r="U395" s="9">
        <f>IF(ISERROR(VLOOKUP($A395,'SegEnds_NonXtal_BW#'!$A:$Z,15,FALSE)+VLOOKUP($A395,A:AL,22,FALSE)-50),"-",VLOOKUP($A395,'SegEnds_NonXtal_BW#'!$A:$Z,15,FALSE)+VLOOKUP($A395,A:AL,22,FALSE)-50)</f>
        <v>124</v>
      </c>
      <c r="V395" s="3">
        <v>136</v>
      </c>
      <c r="W395" s="3">
        <f>IF(ISERROR(VLOOKUP($A395,'SegEnds_NonXtal_BW#'!$A:$Z,16,FALSE)+VLOOKUP($A395,A:AL,22,FALSE)-50),"-",(VLOOKUP($A395,'SegEnds_NonXtal_BW#'!$A:$Z,16,FALSE)+VLOOKUP($A395,A:AL,22,FALSE)-50))</f>
        <v>153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172</v>
      </c>
      <c r="AB395" s="3">
        <v>190</v>
      </c>
      <c r="AC395" s="3">
        <f>IF(ISERROR((VLOOKUP($A395,'SegEnds_NonXtal_BW#'!$A:$Z,20,FALSE)+VLOOKUP($A395,A:AL,28,FALSE)-50)),"-",(VLOOKUP($A395,'SegEnds_NonXtal_BW#'!$A:$Z,20,FALSE)+VLOOKUP($A395,A:AL,28,FALSE)-50))</f>
        <v>212</v>
      </c>
      <c r="AD395" s="3">
        <f>IF(ISERROR(VLOOKUP($A395,'SegEnds_NonXtal_BW#'!$A:$Z,21,FALSE)+VLOOKUP($A395,A:AL,31,FALSE)-50),"-",(VLOOKUP($A395,'SegEnds_NonXtal_BW#'!$A:$Z,21,FALSE)+VLOOKUP($A395,A:AL,31,FALSE)-50))</f>
        <v>221</v>
      </c>
      <c r="AE395" s="3">
        <v>242</v>
      </c>
      <c r="AF395" s="3">
        <f>IF(ISERROR((VLOOKUP($A395,'SegEnds_NonXtal_BW#'!$A:$Z,22,FALSE)+VLOOKUP($A395,A:AL,31,FALSE)-50)),"-",(VLOOKUP($A395,'SegEnds_NonXtal_BW#'!$A:$Z,22,FALSE)+VLOOKUP($A395,A:AL,31,FALSE)-50))</f>
        <v>253</v>
      </c>
      <c r="AG395" s="3">
        <f>IF(ISERROR(VLOOKUP($A395,'SegEnds_NonXtal_BW#'!$A:$Z,23,FALSE)+VLOOKUP($A395,A:AL,34,FALSE)-50),"-",(VLOOKUP($A395,'SegEnds_NonXtal_BW#'!$A:$Z,23,FALSE)+VLOOKUP($A395,A:AL,34,FALSE)-50))</f>
        <v>258</v>
      </c>
      <c r="AH395" s="3">
        <v>277</v>
      </c>
      <c r="AI395" s="3">
        <f>IF(ISERROR((VLOOKUP($A395,'SegEnds_NonXtal_BW#'!$A:$Z,24,FALSE)+VLOOKUP($A395,A:AL,34,FALSE)-50)),"-",(VLOOKUP($A395,'SegEnds_NonXtal_BW#'!$A:$Z,24,FALSE)+VLOOKUP($A395,A:AL,34,FALSE)-50))</f>
        <v>283</v>
      </c>
      <c r="AJ395" s="3">
        <f>IF(ISERROR(VLOOKUP($A395,'SegEnds_NonXtal_BW#'!$A:$Z,25,FALSE)+VLOOKUP($A395,A:AL,37,FALSE)-50),"-",(VLOOKUP($A395,'SegEnds_NonXtal_BW#'!$A:$Z,25,FALSE)+VLOOKUP($A395,A:AL,37,FALSE)-50))</f>
        <v>284</v>
      </c>
      <c r="AK395" s="3">
        <v>287</v>
      </c>
      <c r="AL395" s="3">
        <f>IF(ISERROR((VLOOKUP($A395,'SegEnds_NonXtal_BW#'!$A:$Z,26,FALSE)+VLOOKUP($A395,A:AL,37,FALSE)-50)),"-",(VLOOKUP($A395,'SegEnds_NonXtal_BW#'!$A:$Z,26,FALSE)+VLOOKUP($A395,A:AL,37,FALSE)-50))</f>
        <v>297</v>
      </c>
      <c r="AM395" s="28" t="str">
        <f>VLOOKUP(A395,Classification!A:B,2,FALSE)</f>
        <v>T</v>
      </c>
      <c r="AN395" s="28" t="b">
        <f t="shared" si="243"/>
        <v>1</v>
      </c>
      <c r="AO395" s="3" t="str">
        <f>IF(ISERROR(MATCH(A395,'SegEnds_Xtal_Prot#'!B:B, 0)), "NoXtal", "Xtal")</f>
        <v>NoXtal</v>
      </c>
      <c r="AP395" s="3">
        <f t="shared" si="228"/>
        <v>1</v>
      </c>
      <c r="AQ395" s="3">
        <f t="shared" si="229"/>
        <v>1</v>
      </c>
      <c r="AR395" s="3" t="str">
        <f t="shared" si="230"/>
        <v>-</v>
      </c>
      <c r="AS395" s="3" t="str">
        <f t="shared" si="231"/>
        <v>-</v>
      </c>
      <c r="AT395" s="3">
        <f t="shared" si="232"/>
        <v>3</v>
      </c>
      <c r="AU395" s="3">
        <f t="shared" si="233"/>
        <v>1</v>
      </c>
      <c r="AV395" s="3" t="str">
        <f t="shared" si="234"/>
        <v>-</v>
      </c>
      <c r="AW395" s="3" t="str">
        <f t="shared" si="235"/>
        <v>-</v>
      </c>
      <c r="AX395" s="3">
        <f t="shared" si="236"/>
        <v>9</v>
      </c>
      <c r="AY395" s="3">
        <f t="shared" si="237"/>
        <v>5</v>
      </c>
      <c r="AZ395" s="3">
        <f t="shared" si="238"/>
        <v>1</v>
      </c>
      <c r="BA395" s="3">
        <f>IF(ISERROR(LEN(VLOOKUP(A395,Seqs!A:E,2,FALSE))-AL395),"-",LEN(VLOOKUP(A395,Seqs!A:E,2,FALSE))-AL395)</f>
        <v>20</v>
      </c>
      <c r="BB395" s="16">
        <f t="shared" si="239"/>
        <v>31</v>
      </c>
      <c r="BC395" s="9">
        <f t="shared" si="240"/>
        <v>20</v>
      </c>
      <c r="BD395" s="3">
        <f t="shared" si="241"/>
        <v>31</v>
      </c>
      <c r="BE395" s="3">
        <f t="shared" si="242"/>
        <v>52</v>
      </c>
      <c r="BF395" s="3">
        <f t="shared" si="276"/>
        <v>35</v>
      </c>
    </row>
    <row r="396" spans="1:58" s="3" customFormat="1" x14ac:dyDescent="0.2">
      <c r="A396" s="3" t="s">
        <v>455</v>
      </c>
      <c r="B396" s="3" t="str">
        <f>LOWER(VLOOKUP(A396,Xtal_Templ!A:B,2,FALSE))</f>
        <v>pd2r2_human</v>
      </c>
      <c r="C396" s="3">
        <f>VLOOKUP($A396,'SegEnds_NonXtal_BW#'!$A:$Z,3,FALSE)+D396-50</f>
        <v>7</v>
      </c>
      <c r="D396" s="3">
        <v>25</v>
      </c>
      <c r="E396" s="3">
        <f t="shared" si="271"/>
        <v>37</v>
      </c>
      <c r="F396" s="3">
        <f t="shared" si="272"/>
        <v>38</v>
      </c>
      <c r="G396" s="3">
        <v>40</v>
      </c>
      <c r="H396" s="3">
        <f t="shared" si="273"/>
        <v>41</v>
      </c>
      <c r="I396" s="3">
        <f t="shared" si="273"/>
        <v>42</v>
      </c>
      <c r="J396" s="3">
        <v>56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103</v>
      </c>
      <c r="Q396" s="3">
        <f>VLOOKUP($A396,'SegEnds_NonXtal_BW#'!$A:$Z,12,FALSE)+VLOOKUP($A396,A:AL,16,FALSE)-50</f>
        <v>109</v>
      </c>
      <c r="R396" s="3">
        <f t="shared" si="274"/>
        <v>112</v>
      </c>
      <c r="S396" s="3">
        <v>112</v>
      </c>
      <c r="T396" s="100">
        <f t="shared" si="275"/>
        <v>119</v>
      </c>
      <c r="U396" s="9">
        <f>IF(ISERROR(VLOOKUP($A396,'SegEnds_NonXtal_BW#'!$A:$Z,15,FALSE)+VLOOKUP($A396,A:AL,22,FALSE)-50),"-",VLOOKUP($A396,'SegEnds_NonXtal_BW#'!$A:$Z,15,FALSE)+VLOOKUP($A396,A:AL,22,FALSE)-50)</f>
        <v>120</v>
      </c>
      <c r="V396" s="3">
        <v>132</v>
      </c>
      <c r="W396" s="3">
        <f>IF(ISERROR(VLOOKUP($A396,'SegEnds_NonXtal_BW#'!$A:$Z,16,FALSE)+VLOOKUP($A396,A:AL,22,FALSE)-50),"-",(VLOOKUP($A396,'SegEnds_NonXtal_BW#'!$A:$Z,16,FALSE)+VLOOKUP($A396,A:AL,22,FALSE)-50))</f>
        <v>146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170</v>
      </c>
      <c r="AB396" s="3">
        <v>188</v>
      </c>
      <c r="AC396" s="3">
        <f>IF(ISERROR((VLOOKUP($A396,'SegEnds_NonXtal_BW#'!$A:$Z,20,FALSE)+VLOOKUP($A396,A:AL,28,FALSE)-50)),"-",(VLOOKUP($A396,'SegEnds_NonXtal_BW#'!$A:$Z,20,FALSE)+VLOOKUP($A396,A:AL,28,FALSE)-50))</f>
        <v>210</v>
      </c>
      <c r="AD396" s="3">
        <f>IF(ISERROR(VLOOKUP($A396,'SegEnds_NonXtal_BW#'!$A:$Z,21,FALSE)+VLOOKUP($A396,A:AL,31,FALSE)-50),"-",(VLOOKUP($A396,'SegEnds_NonXtal_BW#'!$A:$Z,21,FALSE)+VLOOKUP($A396,A:AL,31,FALSE)-50))</f>
        <v>217</v>
      </c>
      <c r="AE396" s="3">
        <v>238</v>
      </c>
      <c r="AF396" s="3">
        <f>IF(ISERROR((VLOOKUP($A396,'SegEnds_NonXtal_BW#'!$A:$Z,22,FALSE)+VLOOKUP($A396,A:AL,31,FALSE)-50)),"-",(VLOOKUP($A396,'SegEnds_NonXtal_BW#'!$A:$Z,22,FALSE)+VLOOKUP($A396,A:AL,31,FALSE)-50))</f>
        <v>249</v>
      </c>
      <c r="AG396" s="3">
        <f>IF(ISERROR(VLOOKUP($A396,'SegEnds_NonXtal_BW#'!$A:$Z,23,FALSE)+VLOOKUP($A396,A:AL,34,FALSE)-50),"-",(VLOOKUP($A396,'SegEnds_NonXtal_BW#'!$A:$Z,23,FALSE)+VLOOKUP($A396,A:AL,34,FALSE)-50))</f>
        <v>254</v>
      </c>
      <c r="AH396" s="3">
        <v>273</v>
      </c>
      <c r="AI396" s="3">
        <f>IF(ISERROR((VLOOKUP($A396,'SegEnds_NonXtal_BW#'!$A:$Z,24,FALSE)+VLOOKUP($A396,A:AL,34,FALSE)-50)),"-",(VLOOKUP($A396,'SegEnds_NonXtal_BW#'!$A:$Z,24,FALSE)+VLOOKUP($A396,A:AL,34,FALSE)-50))</f>
        <v>279</v>
      </c>
      <c r="AJ396" s="3">
        <f>IF(ISERROR(VLOOKUP($A396,'SegEnds_NonXtal_BW#'!$A:$Z,25,FALSE)+VLOOKUP($A396,A:AL,37,FALSE)-50),"-",(VLOOKUP($A396,'SegEnds_NonXtal_BW#'!$A:$Z,25,FALSE)+VLOOKUP($A396,A:AL,37,FALSE)-50))</f>
        <v>280</v>
      </c>
      <c r="AK396" s="3">
        <v>283</v>
      </c>
      <c r="AL396" s="3">
        <v>291</v>
      </c>
      <c r="AM396" s="28" t="str">
        <f>VLOOKUP(A396,Classification!A:B,2,FALSE)</f>
        <v>T</v>
      </c>
      <c r="AN396" s="28" t="b">
        <f t="shared" si="243"/>
        <v>1</v>
      </c>
      <c r="AO396" s="3" t="str">
        <f>IF(ISERROR(MATCH(A396,'SegEnds_Xtal_Prot#'!B:B, 0)), "NoXtal", "Xtal")</f>
        <v>NoXtal</v>
      </c>
      <c r="AP396" s="3">
        <f t="shared" ref="AP396:AP417" si="277">IF(ISERROR(F396-E396),"-",F396-E396)</f>
        <v>1</v>
      </c>
      <c r="AQ396" s="3">
        <f t="shared" ref="AQ396:AQ417" si="278">IF(ISERROR(I396-H396),"-",I396-H396)</f>
        <v>1</v>
      </c>
      <c r="AR396" s="3" t="str">
        <f t="shared" ref="AR396:AR417" si="279">IF(ISERROR(L396-K396),"-",L396-K396)</f>
        <v>-</v>
      </c>
      <c r="AS396" s="3" t="str">
        <f t="shared" ref="AS396:AS417" si="280">IF(ISERROR(O396-N396),"-",O396-N396)</f>
        <v>-</v>
      </c>
      <c r="AT396" s="3">
        <f t="shared" ref="AT396:AT417" si="281">IF(ISERROR(R396-Q396),"-",R396-Q396)</f>
        <v>3</v>
      </c>
      <c r="AU396" s="3">
        <f t="shared" ref="AU396:AU417" si="282">IF(ISERROR(U396-T396),"-",U396-T396)</f>
        <v>1</v>
      </c>
      <c r="AV396" s="3" t="str">
        <f t="shared" ref="AV396:AV417" si="283">IF(ISERROR(X396-W396),"-",X396-W396)</f>
        <v>-</v>
      </c>
      <c r="AW396" s="3" t="str">
        <f t="shared" ref="AW396:AW417" si="284">IF(ISERROR(AA396-Z396),"-",AA396-Z396)</f>
        <v>-</v>
      </c>
      <c r="AX396" s="3">
        <f t="shared" ref="AX396:AX417" si="285">IF(ISERROR(AD396-AC396),"-",AD396-AC396)</f>
        <v>7</v>
      </c>
      <c r="AY396" s="3">
        <f t="shared" ref="AY396:AY417" si="286">IF(ISERROR(AG396-AF396),"-",AG396-AF396)</f>
        <v>5</v>
      </c>
      <c r="AZ396" s="3">
        <f t="shared" ref="AZ396:AZ417" si="287">IF(ISERROR(AJ396-AI396),"-",AJ396-AI396)</f>
        <v>1</v>
      </c>
      <c r="BA396" s="3">
        <f>IF(ISERROR(LEN(VLOOKUP(A396,Seqs!A:E,2,FALSE))-AL396),"-",LEN(VLOOKUP(A396,Seqs!A:E,2,FALSE))-AL396)</f>
        <v>0</v>
      </c>
      <c r="BB396" s="16">
        <f t="shared" ref="BB396:BB417" si="288">J396-D396</f>
        <v>31</v>
      </c>
      <c r="BC396" s="9">
        <f t="shared" ref="BC396:BC417" si="289">IF(ISERROR(V396-S396),"-",V396-S396)</f>
        <v>20</v>
      </c>
      <c r="BD396" s="3">
        <f t="shared" ref="BD396:BD417" si="290">J396-D396</f>
        <v>31</v>
      </c>
      <c r="BE396" s="3">
        <f t="shared" ref="BE396:BE417" si="291">AE396-AB396</f>
        <v>50</v>
      </c>
      <c r="BF396" s="3">
        <f t="shared" si="276"/>
        <v>35</v>
      </c>
    </row>
    <row r="397" spans="1:58" s="3" customFormat="1" x14ac:dyDescent="0.2">
      <c r="A397" s="3" t="s">
        <v>456</v>
      </c>
      <c r="B397" s="3" t="str">
        <f>LOWER(VLOOKUP(A397,Xtal_Templ!A:B,2,FALSE))</f>
        <v>5ht2c_human</v>
      </c>
      <c r="C397" s="3">
        <f>VLOOKUP($A397,'SegEnds_NonXtal_BW#'!$A:$Z,3,FALSE)+D397-50</f>
        <v>6</v>
      </c>
      <c r="D397" s="3">
        <v>24</v>
      </c>
      <c r="E397" s="3">
        <f t="shared" si="271"/>
        <v>36</v>
      </c>
      <c r="F397" s="3">
        <f t="shared" si="272"/>
        <v>37</v>
      </c>
      <c r="G397" s="3">
        <v>39</v>
      </c>
      <c r="H397" s="3">
        <f t="shared" si="273"/>
        <v>40</v>
      </c>
      <c r="I397" s="3">
        <f t="shared" si="273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74"/>
        <v>115</v>
      </c>
      <c r="S397" s="3">
        <v>115</v>
      </c>
      <c r="T397" s="100">
        <f t="shared" si="275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152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ref="AN397:AN417" si="292">AND(IF(Y397="-",IF(AA397-W397&gt;3,TRUE,FALSE),TRUE),IF(M397="-",IF(O397-K397&gt;3,TRUE,FALSE),TRUE),IF(AG397-AF397&gt;1,TRUE,FALSE),C397&lt;E397,OR(E397&lt;F397,F397="-"),OR(F397&lt;H397,F397="-"),OR(H397&lt;I397,H397="-"),I397&lt;K397,OR(K397&lt;L397,L397="-"),OR(L397&lt;N397,L397="-"),OR(N397&lt;O397,N397="-"),O397&lt;Q397,OR(Q397&lt;R397,R397="-"),OR(R397&lt;T397,R397="-"),OR(T397&lt;U397,T397="-"),U397&lt;W397,OR(W397&lt;X397,X397="-"),OR(X397&lt;Z397,X397="-"),OR(Z397&lt;AA397,Z397="-"),AA397&lt;AC397,AC397&lt;AD397,AD397&lt;AF397,AF397&lt;AG397,AG397&lt;AI397,OR(AI397&lt;AJ397,AJ397="-"),OR(AJ397&lt;AL397,AJ397="-"))</f>
        <v>1</v>
      </c>
      <c r="AO397" s="3" t="str">
        <f>IF(ISERROR(MATCH(A397,'SegEnds_Xtal_Prot#'!B:B, 0)), "NoXtal", "Xtal")</f>
        <v>NoXtal</v>
      </c>
      <c r="AP397" s="3">
        <f t="shared" si="277"/>
        <v>1</v>
      </c>
      <c r="AQ397" s="3">
        <f t="shared" si="278"/>
        <v>1</v>
      </c>
      <c r="AR397" s="3" t="str">
        <f t="shared" si="279"/>
        <v>-</v>
      </c>
      <c r="AS397" s="3" t="str">
        <f t="shared" si="280"/>
        <v>-</v>
      </c>
      <c r="AT397" s="3">
        <f t="shared" si="281"/>
        <v>3</v>
      </c>
      <c r="AU397" s="3">
        <f t="shared" si="282"/>
        <v>1</v>
      </c>
      <c r="AV397" s="3" t="str">
        <f t="shared" si="283"/>
        <v>-</v>
      </c>
      <c r="AW397" s="3" t="str">
        <f t="shared" si="284"/>
        <v>-</v>
      </c>
      <c r="AX397" s="3">
        <f t="shared" si="285"/>
        <v>10</v>
      </c>
      <c r="AY397" s="3">
        <f t="shared" si="286"/>
        <v>6</v>
      </c>
      <c r="AZ397" s="3">
        <f t="shared" si="287"/>
        <v>1</v>
      </c>
      <c r="BA397" s="3">
        <f>IF(ISERROR(LEN(VLOOKUP(A397,Seqs!A:E,2,FALSE))-AL397),"-",LEN(VLOOKUP(A397,Seqs!A:E,2,FALSE))-AL397)</f>
        <v>3</v>
      </c>
      <c r="BB397" s="16">
        <f t="shared" si="288"/>
        <v>31</v>
      </c>
      <c r="BC397" s="9">
        <f t="shared" si="289"/>
        <v>20</v>
      </c>
      <c r="BD397" s="3">
        <f t="shared" si="290"/>
        <v>31</v>
      </c>
      <c r="BE397" s="3">
        <f t="shared" si="291"/>
        <v>53</v>
      </c>
      <c r="BF397" s="3">
        <f t="shared" si="276"/>
        <v>36</v>
      </c>
    </row>
    <row r="398" spans="1:58" s="3" customFormat="1" x14ac:dyDescent="0.2">
      <c r="A398" s="3" t="s">
        <v>457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71"/>
        <v>36</v>
      </c>
      <c r="F398" s="3">
        <f t="shared" si="272"/>
        <v>37</v>
      </c>
      <c r="G398" s="3">
        <v>39</v>
      </c>
      <c r="H398" s="3">
        <f t="shared" si="273"/>
        <v>40</v>
      </c>
      <c r="I398" s="3">
        <f t="shared" si="273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74"/>
        <v>115</v>
      </c>
      <c r="S398" s="3">
        <v>115</v>
      </c>
      <c r="T398" s="100">
        <f t="shared" si="275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92"/>
        <v>1</v>
      </c>
      <c r="AO398" s="3" t="str">
        <f>IF(ISERROR(MATCH(A398,'SegEnds_Xtal_Prot#'!B:B, 0)), "NoXtal", "Xtal")</f>
        <v>NoXtal</v>
      </c>
      <c r="AP398" s="3">
        <f t="shared" si="277"/>
        <v>1</v>
      </c>
      <c r="AQ398" s="3">
        <f t="shared" si="278"/>
        <v>1</v>
      </c>
      <c r="AR398" s="3" t="str">
        <f t="shared" si="279"/>
        <v>-</v>
      </c>
      <c r="AS398" s="3" t="str">
        <f t="shared" si="280"/>
        <v>-</v>
      </c>
      <c r="AT398" s="3">
        <f t="shared" si="281"/>
        <v>3</v>
      </c>
      <c r="AU398" s="3">
        <f t="shared" si="282"/>
        <v>1</v>
      </c>
      <c r="AV398" s="3" t="str">
        <f t="shared" si="283"/>
        <v>-</v>
      </c>
      <c r="AW398" s="3" t="str">
        <f t="shared" si="284"/>
        <v>-</v>
      </c>
      <c r="AX398" s="3">
        <f t="shared" si="285"/>
        <v>10</v>
      </c>
      <c r="AY398" s="3">
        <f t="shared" si="286"/>
        <v>6</v>
      </c>
      <c r="AZ398" s="3">
        <f t="shared" si="287"/>
        <v>1</v>
      </c>
      <c r="BA398" s="3">
        <f>IF(ISERROR(LEN(VLOOKUP(A398,Seqs!A:E,2,FALSE))-AL398),"-",LEN(VLOOKUP(A398,Seqs!A:E,2,FALSE))-AL398)</f>
        <v>13</v>
      </c>
      <c r="BB398" s="16">
        <f t="shared" si="288"/>
        <v>31</v>
      </c>
      <c r="BC398" s="9">
        <f t="shared" si="289"/>
        <v>20</v>
      </c>
      <c r="BD398" s="3">
        <f t="shared" si="290"/>
        <v>31</v>
      </c>
      <c r="BE398" s="3">
        <f t="shared" si="291"/>
        <v>53</v>
      </c>
      <c r="BF398" s="3">
        <f t="shared" si="276"/>
        <v>36</v>
      </c>
    </row>
    <row r="399" spans="1:58" s="3" customFormat="1" x14ac:dyDescent="0.2">
      <c r="A399" s="3" t="s">
        <v>458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71"/>
        <v>36</v>
      </c>
      <c r="F399" s="3">
        <f t="shared" si="272"/>
        <v>37</v>
      </c>
      <c r="G399" s="3">
        <v>39</v>
      </c>
      <c r="H399" s="3">
        <f t="shared" si="273"/>
        <v>40</v>
      </c>
      <c r="I399" s="3">
        <f t="shared" si="273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74"/>
        <v>115</v>
      </c>
      <c r="S399" s="3">
        <v>115</v>
      </c>
      <c r="T399" s="100">
        <f t="shared" si="275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92"/>
        <v>1</v>
      </c>
      <c r="AO399" s="3" t="str">
        <f>IF(ISERROR(MATCH(A399,'SegEnds_Xtal_Prot#'!B:B, 0)), "NoXtal", "Xtal")</f>
        <v>NoXtal</v>
      </c>
      <c r="AP399" s="3">
        <f t="shared" si="277"/>
        <v>1</v>
      </c>
      <c r="AQ399" s="3">
        <f t="shared" si="278"/>
        <v>1</v>
      </c>
      <c r="AR399" s="3" t="str">
        <f t="shared" si="279"/>
        <v>-</v>
      </c>
      <c r="AS399" s="3" t="str">
        <f t="shared" si="280"/>
        <v>-</v>
      </c>
      <c r="AT399" s="3">
        <f t="shared" si="281"/>
        <v>3</v>
      </c>
      <c r="AU399" s="3">
        <f t="shared" si="282"/>
        <v>1</v>
      </c>
      <c r="AV399" s="3" t="str">
        <f t="shared" si="283"/>
        <v>-</v>
      </c>
      <c r="AW399" s="3" t="str">
        <f t="shared" si="284"/>
        <v>-</v>
      </c>
      <c r="AX399" s="3">
        <f t="shared" si="285"/>
        <v>10</v>
      </c>
      <c r="AY399" s="3">
        <f t="shared" si="286"/>
        <v>6</v>
      </c>
      <c r="AZ399" s="3">
        <f t="shared" si="287"/>
        <v>1</v>
      </c>
      <c r="BA399" s="3">
        <f>IF(ISERROR(LEN(VLOOKUP(A399,Seqs!A:E,2,FALSE))-AL399),"-",LEN(VLOOKUP(A399,Seqs!A:E,2,FALSE))-AL399)</f>
        <v>23</v>
      </c>
      <c r="BB399" s="16">
        <f t="shared" si="288"/>
        <v>31</v>
      </c>
      <c r="BC399" s="9">
        <f t="shared" si="289"/>
        <v>20</v>
      </c>
      <c r="BD399" s="3">
        <f t="shared" si="290"/>
        <v>31</v>
      </c>
      <c r="BE399" s="3">
        <f t="shared" si="291"/>
        <v>53</v>
      </c>
      <c r="BF399" s="3">
        <f t="shared" si="276"/>
        <v>36</v>
      </c>
    </row>
    <row r="400" spans="1:58" s="3" customFormat="1" x14ac:dyDescent="0.2">
      <c r="A400" s="3" t="s">
        <v>459</v>
      </c>
      <c r="B400" s="3" t="str">
        <f>LOWER(VLOOKUP(A400,Xtal_Templ!A:B,2,FALSE))</f>
        <v>agtr1_human</v>
      </c>
      <c r="C400" s="3">
        <f>VLOOKUP($A400,'SegEnds_NonXtal_BW#'!$A:$Z,3,FALSE)+D400-50</f>
        <v>6</v>
      </c>
      <c r="D400" s="3">
        <v>24</v>
      </c>
      <c r="E400" s="3">
        <f t="shared" si="271"/>
        <v>36</v>
      </c>
      <c r="F400" s="3">
        <f t="shared" si="272"/>
        <v>37</v>
      </c>
      <c r="G400" s="3">
        <v>39</v>
      </c>
      <c r="H400" s="3">
        <f t="shared" si="273"/>
        <v>40</v>
      </c>
      <c r="I400" s="3">
        <f t="shared" si="273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74"/>
        <v>115</v>
      </c>
      <c r="S400" s="3">
        <v>115</v>
      </c>
      <c r="T400" s="100">
        <f t="shared" si="275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149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92"/>
        <v>1</v>
      </c>
      <c r="AO400" s="3" t="str">
        <f>IF(ISERROR(MATCH(A400,'SegEnds_Xtal_Prot#'!B:B, 0)), "NoXtal", "Xtal")</f>
        <v>NoXtal</v>
      </c>
      <c r="AP400" s="3">
        <f t="shared" si="277"/>
        <v>1</v>
      </c>
      <c r="AQ400" s="3">
        <f t="shared" si="278"/>
        <v>1</v>
      </c>
      <c r="AR400" s="3" t="str">
        <f t="shared" si="279"/>
        <v>-</v>
      </c>
      <c r="AS400" s="3" t="str">
        <f t="shared" si="280"/>
        <v>-</v>
      </c>
      <c r="AT400" s="3">
        <f t="shared" si="281"/>
        <v>3</v>
      </c>
      <c r="AU400" s="3">
        <f t="shared" si="282"/>
        <v>1</v>
      </c>
      <c r="AV400" s="3" t="str">
        <f t="shared" si="283"/>
        <v>-</v>
      </c>
      <c r="AW400" s="3" t="str">
        <f t="shared" si="284"/>
        <v>-</v>
      </c>
      <c r="AX400" s="3">
        <f t="shared" si="285"/>
        <v>10</v>
      </c>
      <c r="AY400" s="3">
        <f t="shared" si="286"/>
        <v>6</v>
      </c>
      <c r="AZ400" s="3">
        <f t="shared" si="287"/>
        <v>1</v>
      </c>
      <c r="BA400" s="3">
        <f>IF(ISERROR(LEN(VLOOKUP(A400,Seqs!A:E,2,FALSE))-AL400),"-",LEN(VLOOKUP(A400,Seqs!A:E,2,FALSE))-AL400)</f>
        <v>13</v>
      </c>
      <c r="BB400" s="16">
        <f t="shared" si="288"/>
        <v>31</v>
      </c>
      <c r="BC400" s="9">
        <f t="shared" si="289"/>
        <v>20</v>
      </c>
      <c r="BD400" s="3">
        <f t="shared" si="290"/>
        <v>31</v>
      </c>
      <c r="BE400" s="3">
        <f t="shared" si="291"/>
        <v>53</v>
      </c>
      <c r="BF400" s="3">
        <f t="shared" si="276"/>
        <v>36</v>
      </c>
    </row>
    <row r="401" spans="1:58" s="3" customFormat="1" x14ac:dyDescent="0.2">
      <c r="A401" s="3" t="s">
        <v>460</v>
      </c>
      <c r="B401" s="3" t="str">
        <f>LOWER(VLOOKUP(A401,Xtal_Templ!A:B,2,FALSE))</f>
        <v>agtr1_human</v>
      </c>
      <c r="C401" s="3">
        <f>VLOOKUP($A401,'SegEnds_NonXtal_BW#'!$A:$Z,3,FALSE)+D401-50</f>
        <v>15</v>
      </c>
      <c r="D401" s="3">
        <v>33</v>
      </c>
      <c r="E401" s="3">
        <f t="shared" si="271"/>
        <v>45</v>
      </c>
      <c r="F401" s="3">
        <f t="shared" si="272"/>
        <v>46</v>
      </c>
      <c r="G401" s="3">
        <v>48</v>
      </c>
      <c r="H401" s="3">
        <f t="shared" si="273"/>
        <v>49</v>
      </c>
      <c r="I401" s="3">
        <f t="shared" si="273"/>
        <v>50</v>
      </c>
      <c r="J401" s="3">
        <v>64</v>
      </c>
      <c r="K401" s="3">
        <f>VLOOKUP($A401,'SegEnds_NonXtal_BW#'!$A:$Z,8,FALSE)+VLOOKUP($A401,A:AL,10,FALSE)-50</f>
        <v>81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85</v>
      </c>
      <c r="P401" s="3">
        <v>117</v>
      </c>
      <c r="Q401" s="3">
        <f>VLOOKUP($A401,'SegEnds_NonXtal_BW#'!$A:$Z,12,FALSE)+VLOOKUP($A401,A:AL,16,FALSE)-50</f>
        <v>123</v>
      </c>
      <c r="R401" s="3">
        <f t="shared" si="274"/>
        <v>126</v>
      </c>
      <c r="S401" s="3">
        <v>126</v>
      </c>
      <c r="T401" s="100">
        <f t="shared" si="275"/>
        <v>133</v>
      </c>
      <c r="U401" s="9">
        <f>IF(ISERROR(VLOOKUP($A401,'SegEnds_NonXtal_BW#'!$A:$Z,15,FALSE)+VLOOKUP($A401,A:AL,22,FALSE)-50),"-",VLOOKUP($A401,'SegEnds_NonXtal_BW#'!$A:$Z,15,FALSE)+VLOOKUP($A401,A:AL,22,FALSE)-50)</f>
        <v>134</v>
      </c>
      <c r="V401" s="3">
        <v>146</v>
      </c>
      <c r="W401" s="3">
        <f>IF(ISERROR(VLOOKUP($A401,'SegEnds_NonXtal_BW#'!$A:$Z,16,FALSE)+VLOOKUP($A401,A:AL,22,FALSE)-50),"-",(VLOOKUP($A401,'SegEnds_NonXtal_BW#'!$A:$Z,16,FALSE)+VLOOKUP($A401,A:AL,22,FALSE)-50))</f>
        <v>160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187</v>
      </c>
      <c r="AB401" s="3">
        <v>205</v>
      </c>
      <c r="AC401" s="3">
        <f>IF(ISERROR((VLOOKUP($A401,'SegEnds_NonXtal_BW#'!$A:$Z,20,FALSE)+VLOOKUP($A401,A:AL,28,FALSE)-50)),"-",(VLOOKUP($A401,'SegEnds_NonXtal_BW#'!$A:$Z,20,FALSE)+VLOOKUP($A401,A:AL,28,FALSE)-50))</f>
        <v>227</v>
      </c>
      <c r="AD401" s="3">
        <f>IF(ISERROR(VLOOKUP($A401,'SegEnds_NonXtal_BW#'!$A:$Z,21,FALSE)+VLOOKUP($A401,A:AL,31,FALSE)-50),"-",(VLOOKUP($A401,'SegEnds_NonXtal_BW#'!$A:$Z,21,FALSE)+VLOOKUP($A401,A:AL,31,FALSE)-50))</f>
        <v>237</v>
      </c>
      <c r="AE401" s="3">
        <v>258</v>
      </c>
      <c r="AF401" s="3">
        <f>IF(ISERROR((VLOOKUP($A401,'SegEnds_NonXtal_BW#'!$A:$Z,22,FALSE)+VLOOKUP($A401,A:AL,31,FALSE)-50)),"-",(VLOOKUP($A401,'SegEnds_NonXtal_BW#'!$A:$Z,22,FALSE)+VLOOKUP($A401,A:AL,31,FALSE)-50))</f>
        <v>269</v>
      </c>
      <c r="AG401" s="3">
        <f>IF(ISERROR(VLOOKUP($A401,'SegEnds_NonXtal_BW#'!$A:$Z,23,FALSE)+VLOOKUP($A401,A:AL,34,FALSE)-50),"-",(VLOOKUP($A401,'SegEnds_NonXtal_BW#'!$A:$Z,23,FALSE)+VLOOKUP($A401,A:AL,34,FALSE)-50))</f>
        <v>275</v>
      </c>
      <c r="AH401" s="3">
        <v>294</v>
      </c>
      <c r="AI401" s="3">
        <f>IF(ISERROR((VLOOKUP($A401,'SegEnds_NonXtal_BW#'!$A:$Z,24,FALSE)+VLOOKUP($A401,A:AL,34,FALSE)-50)),"-",(VLOOKUP($A401,'SegEnds_NonXtal_BW#'!$A:$Z,24,FALSE)+VLOOKUP($A401,A:AL,34,FALSE)-50))</f>
        <v>300</v>
      </c>
      <c r="AJ401" s="3">
        <f>IF(ISERROR(VLOOKUP($A401,'SegEnds_NonXtal_BW#'!$A:$Z,25,FALSE)+VLOOKUP($A401,A:AL,37,FALSE)-50),"-",(VLOOKUP($A401,'SegEnds_NonXtal_BW#'!$A:$Z,25,FALSE)+VLOOKUP($A401,A:AL,37,FALSE)-50))</f>
        <v>301</v>
      </c>
      <c r="AK401" s="3">
        <v>304</v>
      </c>
      <c r="AL401" s="3">
        <f>IF(ISERROR((VLOOKUP($A401,'SegEnds_NonXtal_BW#'!$A:$Z,26,FALSE)+VLOOKUP($A401,A:AL,37,FALSE)-50)),"-",(VLOOKUP($A401,'SegEnds_NonXtal_BW#'!$A:$Z,26,FALSE)+VLOOKUP($A401,A:AL,37,FALSE)-50))</f>
        <v>314</v>
      </c>
      <c r="AM401" s="28" t="str">
        <f>VLOOKUP(A401,Classification!A:B,2,FALSE)</f>
        <v>T</v>
      </c>
      <c r="AN401" s="28" t="b">
        <f t="shared" si="292"/>
        <v>1</v>
      </c>
      <c r="AO401" s="3" t="str">
        <f>IF(ISERROR(MATCH(A401,'SegEnds_Xtal_Prot#'!B:B, 0)), "NoXtal", "Xtal")</f>
        <v>NoXtal</v>
      </c>
      <c r="AP401" s="3">
        <f t="shared" si="277"/>
        <v>1</v>
      </c>
      <c r="AQ401" s="3">
        <f t="shared" si="278"/>
        <v>1</v>
      </c>
      <c r="AR401" s="3" t="str">
        <f t="shared" si="279"/>
        <v>-</v>
      </c>
      <c r="AS401" s="3" t="str">
        <f t="shared" si="280"/>
        <v>-</v>
      </c>
      <c r="AT401" s="3">
        <f t="shared" si="281"/>
        <v>3</v>
      </c>
      <c r="AU401" s="3">
        <f t="shared" si="282"/>
        <v>1</v>
      </c>
      <c r="AV401" s="3" t="str">
        <f t="shared" si="283"/>
        <v>-</v>
      </c>
      <c r="AW401" s="3" t="str">
        <f t="shared" si="284"/>
        <v>-</v>
      </c>
      <c r="AX401" s="3">
        <f t="shared" si="285"/>
        <v>10</v>
      </c>
      <c r="AY401" s="3">
        <f t="shared" si="286"/>
        <v>6</v>
      </c>
      <c r="AZ401" s="3">
        <f t="shared" si="287"/>
        <v>1</v>
      </c>
      <c r="BA401" s="3">
        <f>IF(ISERROR(LEN(VLOOKUP(A401,Seqs!A:E,2,FALSE))-AL401),"-",LEN(VLOOKUP(A401,Seqs!A:E,2,FALSE))-AL401)</f>
        <v>19</v>
      </c>
      <c r="BB401" s="16">
        <f t="shared" si="288"/>
        <v>31</v>
      </c>
      <c r="BC401" s="9">
        <f t="shared" si="289"/>
        <v>20</v>
      </c>
      <c r="BD401" s="3">
        <f t="shared" si="290"/>
        <v>31</v>
      </c>
      <c r="BE401" s="3">
        <f t="shared" si="291"/>
        <v>53</v>
      </c>
      <c r="BF401" s="3">
        <f t="shared" si="276"/>
        <v>36</v>
      </c>
    </row>
    <row r="402" spans="1:58" s="3" customFormat="1" x14ac:dyDescent="0.2">
      <c r="A402" s="3" t="s">
        <v>461</v>
      </c>
      <c r="B402" s="3" t="str">
        <f>LOWER(VLOOKUP(A402,Xtal_Templ!A:B,2,FALSE))</f>
        <v>agtr1_human</v>
      </c>
      <c r="C402" s="3">
        <f>VLOOKUP($A402,'SegEnds_NonXtal_BW#'!$A:$Z,3,FALSE)+D402-50</f>
        <v>34</v>
      </c>
      <c r="D402" s="3">
        <v>52</v>
      </c>
      <c r="E402" s="3">
        <f t="shared" si="271"/>
        <v>64</v>
      </c>
      <c r="F402" s="3">
        <f t="shared" si="272"/>
        <v>65</v>
      </c>
      <c r="G402" s="3">
        <v>67</v>
      </c>
      <c r="H402" s="3">
        <f t="shared" si="273"/>
        <v>68</v>
      </c>
      <c r="I402" s="3">
        <f t="shared" si="273"/>
        <v>69</v>
      </c>
      <c r="J402" s="3">
        <v>83</v>
      </c>
      <c r="K402" s="3">
        <f>VLOOKUP($A402,'SegEnds_NonXtal_BW#'!$A:$Z,8,FALSE)+VLOOKUP($A402,A:AL,10,FALSE)-50</f>
        <v>99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103</v>
      </c>
      <c r="P402" s="3">
        <v>135</v>
      </c>
      <c r="Q402" s="3">
        <f>VLOOKUP($A402,'SegEnds_NonXtal_BW#'!$A:$Z,12,FALSE)+VLOOKUP($A402,A:AL,16,FALSE)-50</f>
        <v>141</v>
      </c>
      <c r="R402" s="3">
        <f t="shared" si="274"/>
        <v>144</v>
      </c>
      <c r="S402" s="3">
        <v>144</v>
      </c>
      <c r="T402" s="100">
        <f t="shared" si="275"/>
        <v>151</v>
      </c>
      <c r="U402" s="9">
        <f>IF(ISERROR(VLOOKUP($A402,'SegEnds_NonXtal_BW#'!$A:$Z,15,FALSE)+VLOOKUP($A402,A:AL,22,FALSE)-50),"-",VLOOKUP($A402,'SegEnds_NonXtal_BW#'!$A:$Z,15,FALSE)+VLOOKUP($A402,A:AL,22,FALSE)-50)</f>
        <v>152</v>
      </c>
      <c r="V402" s="3">
        <v>164</v>
      </c>
      <c r="W402" s="3">
        <f>IF(ISERROR(VLOOKUP($A402,'SegEnds_NonXtal_BW#'!$A:$Z,16,FALSE)+VLOOKUP($A402,A:AL,22,FALSE)-50),"-",(VLOOKUP($A402,'SegEnds_NonXtal_BW#'!$A:$Z,16,FALSE)+VLOOKUP($A402,A:AL,22,FALSE)-50))</f>
        <v>178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202</v>
      </c>
      <c r="AB402" s="3">
        <v>220</v>
      </c>
      <c r="AC402" s="3">
        <f>IF(ISERROR((VLOOKUP($A402,'SegEnds_NonXtal_BW#'!$A:$Z,20,FALSE)+VLOOKUP($A402,A:AL,28,FALSE)-50)),"-",(VLOOKUP($A402,'SegEnds_NonXtal_BW#'!$A:$Z,20,FALSE)+VLOOKUP($A402,A:AL,28,FALSE)-50))</f>
        <v>242</v>
      </c>
      <c r="AD402" s="3">
        <f>IF(ISERROR(VLOOKUP($A402,'SegEnds_NonXtal_BW#'!$A:$Z,21,FALSE)+VLOOKUP($A402,A:AL,31,FALSE)-50),"-",(VLOOKUP($A402,'SegEnds_NonXtal_BW#'!$A:$Z,21,FALSE)+VLOOKUP($A402,A:AL,31,FALSE)-50))</f>
        <v>252</v>
      </c>
      <c r="AE402" s="3">
        <v>273</v>
      </c>
      <c r="AF402" s="3">
        <f>IF(ISERROR((VLOOKUP($A402,'SegEnds_NonXtal_BW#'!$A:$Z,22,FALSE)+VLOOKUP($A402,A:AL,31,FALSE)-50)),"-",(VLOOKUP($A402,'SegEnds_NonXtal_BW#'!$A:$Z,22,FALSE)+VLOOKUP($A402,A:AL,31,FALSE)-50))</f>
        <v>284</v>
      </c>
      <c r="AG402" s="3">
        <f>IF(ISERROR(VLOOKUP($A402,'SegEnds_NonXtal_BW#'!$A:$Z,23,FALSE)+VLOOKUP($A402,A:AL,34,FALSE)-50),"-",(VLOOKUP($A402,'SegEnds_NonXtal_BW#'!$A:$Z,23,FALSE)+VLOOKUP($A402,A:AL,34,FALSE)-50))</f>
        <v>289</v>
      </c>
      <c r="AH402" s="3">
        <v>308</v>
      </c>
      <c r="AI402" s="3">
        <f>IF(ISERROR((VLOOKUP($A402,'SegEnds_NonXtal_BW#'!$A:$Z,24,FALSE)+VLOOKUP($A402,A:AL,34,FALSE)-50)),"-",(VLOOKUP($A402,'SegEnds_NonXtal_BW#'!$A:$Z,24,FALSE)+VLOOKUP($A402,A:AL,34,FALSE)-50))</f>
        <v>314</v>
      </c>
      <c r="AJ402" s="3">
        <f>IF(ISERROR(VLOOKUP($A402,'SegEnds_NonXtal_BW#'!$A:$Z,25,FALSE)+VLOOKUP($A402,A:AL,37,FALSE)-50),"-",(VLOOKUP($A402,'SegEnds_NonXtal_BW#'!$A:$Z,25,FALSE)+VLOOKUP($A402,A:AL,37,FALSE)-50))</f>
        <v>315</v>
      </c>
      <c r="AK402" s="3">
        <v>318</v>
      </c>
      <c r="AL402" s="3">
        <f>IF(ISERROR((VLOOKUP($A402,'SegEnds_NonXtal_BW#'!$A:$Z,26,FALSE)+VLOOKUP($A402,A:AL,37,FALSE)-50)),"-",(VLOOKUP($A402,'SegEnds_NonXtal_BW#'!$A:$Z,26,FALSE)+VLOOKUP($A402,A:AL,37,FALSE)-50))</f>
        <v>328</v>
      </c>
      <c r="AM402" s="28" t="str">
        <f>VLOOKUP(A402,Classification!A:B,2,FALSE)</f>
        <v>T</v>
      </c>
      <c r="AN402" s="28" t="b">
        <f t="shared" si="292"/>
        <v>1</v>
      </c>
      <c r="AO402" s="3" t="str">
        <f>IF(ISERROR(MATCH(A402,'SegEnds_Xtal_Prot#'!B:B, 0)), "NoXtal", "Xtal")</f>
        <v>NoXtal</v>
      </c>
      <c r="AP402" s="3">
        <f t="shared" si="277"/>
        <v>1</v>
      </c>
      <c r="AQ402" s="3">
        <f t="shared" si="278"/>
        <v>1</v>
      </c>
      <c r="AR402" s="3" t="str">
        <f t="shared" si="279"/>
        <v>-</v>
      </c>
      <c r="AS402" s="3" t="str">
        <f t="shared" si="280"/>
        <v>-</v>
      </c>
      <c r="AT402" s="3">
        <f t="shared" si="281"/>
        <v>3</v>
      </c>
      <c r="AU402" s="3">
        <f t="shared" si="282"/>
        <v>1</v>
      </c>
      <c r="AV402" s="3" t="str">
        <f t="shared" si="283"/>
        <v>-</v>
      </c>
      <c r="AW402" s="3" t="str">
        <f t="shared" si="284"/>
        <v>-</v>
      </c>
      <c r="AX402" s="3">
        <f t="shared" si="285"/>
        <v>10</v>
      </c>
      <c r="AY402" s="3">
        <f t="shared" si="286"/>
        <v>5</v>
      </c>
      <c r="AZ402" s="3">
        <f t="shared" si="287"/>
        <v>1</v>
      </c>
      <c r="BA402" s="3">
        <f>IF(ISERROR(LEN(VLOOKUP(A402,Seqs!A:E,2,FALSE))-AL402),"-",LEN(VLOOKUP(A402,Seqs!A:E,2,FALSE))-AL402)</f>
        <v>10</v>
      </c>
      <c r="BB402" s="16">
        <f t="shared" si="288"/>
        <v>31</v>
      </c>
      <c r="BC402" s="9">
        <f t="shared" si="289"/>
        <v>20</v>
      </c>
      <c r="BD402" s="3">
        <f t="shared" si="290"/>
        <v>31</v>
      </c>
      <c r="BE402" s="3">
        <f t="shared" si="291"/>
        <v>53</v>
      </c>
      <c r="BF402" s="3">
        <f t="shared" si="276"/>
        <v>35</v>
      </c>
    </row>
    <row r="403" spans="1:58" s="3" customFormat="1" x14ac:dyDescent="0.2">
      <c r="A403" s="3" t="s">
        <v>462</v>
      </c>
      <c r="B403" s="3" t="str">
        <f>LOWER(VLOOKUP(A403,Xtal_Templ!A:B,2,FALSE))</f>
        <v>5ht2a_human</v>
      </c>
      <c r="C403" s="3">
        <f>VLOOKUP($A403,'SegEnds_NonXtal_BW#'!$A:$Z,3,FALSE)+D403-50</f>
        <v>18</v>
      </c>
      <c r="D403" s="3">
        <v>36</v>
      </c>
      <c r="E403" s="3">
        <f t="shared" si="271"/>
        <v>48</v>
      </c>
      <c r="F403" s="3">
        <f t="shared" si="272"/>
        <v>49</v>
      </c>
      <c r="G403" s="3">
        <v>51</v>
      </c>
      <c r="H403" s="3">
        <f t="shared" si="273"/>
        <v>52</v>
      </c>
      <c r="I403" s="3">
        <f t="shared" si="273"/>
        <v>53</v>
      </c>
      <c r="J403" s="3">
        <v>67</v>
      </c>
      <c r="K403" s="3">
        <f>VLOOKUP($A403,'SegEnds_NonXtal_BW#'!$A:$Z,8,FALSE)+VLOOKUP($A403,A:AL,10,FALSE)-50</f>
        <v>83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87</v>
      </c>
      <c r="P403" s="3">
        <v>119</v>
      </c>
      <c r="Q403" s="3">
        <f>VLOOKUP($A403,'SegEnds_NonXtal_BW#'!$A:$Z,12,FALSE)+VLOOKUP($A403,A:AL,16,FALSE)-50</f>
        <v>125</v>
      </c>
      <c r="R403" s="3">
        <f t="shared" si="274"/>
        <v>128</v>
      </c>
      <c r="S403" s="3">
        <v>128</v>
      </c>
      <c r="T403" s="100">
        <f t="shared" si="275"/>
        <v>135</v>
      </c>
      <c r="U403" s="9">
        <f>IF(ISERROR(VLOOKUP($A403,'SegEnds_NonXtal_BW#'!$A:$Z,15,FALSE)+VLOOKUP($A403,A:AL,22,FALSE)-50),"-",VLOOKUP($A403,'SegEnds_NonXtal_BW#'!$A:$Z,15,FALSE)+VLOOKUP($A403,A:AL,22,FALSE)-50)</f>
        <v>136</v>
      </c>
      <c r="V403" s="3">
        <v>148</v>
      </c>
      <c r="W403" s="3">
        <f>IF(ISERROR(VLOOKUP($A403,'SegEnds_NonXtal_BW#'!$A:$Z,16,FALSE)+VLOOKUP($A403,A:AL,22,FALSE)-50),"-",(VLOOKUP($A403,'SegEnds_NonXtal_BW#'!$A:$Z,16,FALSE)+VLOOKUP($A403,A:AL,22,FALSE)-50))</f>
        <v>165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187</v>
      </c>
      <c r="AB403" s="3">
        <v>205</v>
      </c>
      <c r="AC403" s="3">
        <f>IF(ISERROR((VLOOKUP($A403,'SegEnds_NonXtal_BW#'!$A:$Z,20,FALSE)+VLOOKUP($A403,A:AL,28,FALSE)-50)),"-",(VLOOKUP($A403,'SegEnds_NonXtal_BW#'!$A:$Z,20,FALSE)+VLOOKUP($A403,A:AL,28,FALSE)-50))</f>
        <v>227</v>
      </c>
      <c r="AD403" s="3">
        <f>IF(ISERROR(VLOOKUP($A403,'SegEnds_NonXtal_BW#'!$A:$Z,21,FALSE)+VLOOKUP($A403,A:AL,31,FALSE)-50),"-",(VLOOKUP($A403,'SegEnds_NonXtal_BW#'!$A:$Z,21,FALSE)+VLOOKUP($A403,A:AL,31,FALSE)-50))</f>
        <v>237</v>
      </c>
      <c r="AE403" s="3">
        <v>258</v>
      </c>
      <c r="AF403" s="3">
        <f>IF(ISERROR((VLOOKUP($A403,'SegEnds_NonXtal_BW#'!$A:$Z,22,FALSE)+VLOOKUP($A403,A:AL,31,FALSE)-50)),"-",(VLOOKUP($A403,'SegEnds_NonXtal_BW#'!$A:$Z,22,FALSE)+VLOOKUP($A403,A:AL,31,FALSE)-50))</f>
        <v>269</v>
      </c>
      <c r="AG403" s="3">
        <f>IF(ISERROR(VLOOKUP($A403,'SegEnds_NonXtal_BW#'!$A:$Z,23,FALSE)+VLOOKUP($A403,A:AL,34,FALSE)-50),"-",(VLOOKUP($A403,'SegEnds_NonXtal_BW#'!$A:$Z,23,FALSE)+VLOOKUP($A403,A:AL,34,FALSE)-50))</f>
        <v>274</v>
      </c>
      <c r="AH403" s="3">
        <v>293</v>
      </c>
      <c r="AI403" s="3">
        <f>IF(ISERROR((VLOOKUP($A403,'SegEnds_NonXtal_BW#'!$A:$Z,24,FALSE)+VLOOKUP($A403,A:AL,34,FALSE)-50)),"-",(VLOOKUP($A403,'SegEnds_NonXtal_BW#'!$A:$Z,24,FALSE)+VLOOKUP($A403,A:AL,34,FALSE)-50))</f>
        <v>299</v>
      </c>
      <c r="AJ403" s="3">
        <f>IF(ISERROR(VLOOKUP($A403,'SegEnds_NonXtal_BW#'!$A:$Z,25,FALSE)+VLOOKUP($A403,A:AL,37,FALSE)-50),"-",(VLOOKUP($A403,'SegEnds_NonXtal_BW#'!$A:$Z,25,FALSE)+VLOOKUP($A403,A:AL,37,FALSE)-50))</f>
        <v>300</v>
      </c>
      <c r="AK403" s="3">
        <v>303</v>
      </c>
      <c r="AL403" s="3">
        <f>IF(ISERROR((VLOOKUP($A403,'SegEnds_NonXtal_BW#'!$A:$Z,26,FALSE)+VLOOKUP($A403,A:AL,37,FALSE)-50)),"-",(VLOOKUP($A403,'SegEnds_NonXtal_BW#'!$A:$Z,26,FALSE)+VLOOKUP($A403,A:AL,37,FALSE)-50))</f>
        <v>313</v>
      </c>
      <c r="AM403" s="28" t="str">
        <f>VLOOKUP(A403,Classification!A:B,2,FALSE)</f>
        <v>T</v>
      </c>
      <c r="AN403" s="28" t="b">
        <f t="shared" si="292"/>
        <v>1</v>
      </c>
      <c r="AO403" s="3" t="str">
        <f>IF(ISERROR(MATCH(A403,'SegEnds_Xtal_Prot#'!B:B, 0)), "NoXtal", "Xtal")</f>
        <v>NoXtal</v>
      </c>
      <c r="AP403" s="3">
        <f t="shared" si="277"/>
        <v>1</v>
      </c>
      <c r="AQ403" s="3">
        <f t="shared" si="278"/>
        <v>1</v>
      </c>
      <c r="AR403" s="3" t="str">
        <f t="shared" si="279"/>
        <v>-</v>
      </c>
      <c r="AS403" s="3" t="str">
        <f t="shared" si="280"/>
        <v>-</v>
      </c>
      <c r="AT403" s="3">
        <f t="shared" si="281"/>
        <v>3</v>
      </c>
      <c r="AU403" s="3">
        <f t="shared" si="282"/>
        <v>1</v>
      </c>
      <c r="AV403" s="3" t="str">
        <f t="shared" si="283"/>
        <v>-</v>
      </c>
      <c r="AW403" s="3" t="str">
        <f t="shared" si="284"/>
        <v>-</v>
      </c>
      <c r="AX403" s="3">
        <f t="shared" si="285"/>
        <v>10</v>
      </c>
      <c r="AY403" s="3">
        <f t="shared" si="286"/>
        <v>5</v>
      </c>
      <c r="AZ403" s="3">
        <f t="shared" si="287"/>
        <v>1</v>
      </c>
      <c r="BA403" s="3">
        <f>IF(ISERROR(LEN(VLOOKUP(A403,Seqs!A:E,2,FALSE))-AL403),"-",LEN(VLOOKUP(A403,Seqs!A:E,2,FALSE))-AL403)</f>
        <v>10</v>
      </c>
      <c r="BB403" s="16">
        <f t="shared" si="288"/>
        <v>31</v>
      </c>
      <c r="BC403" s="9">
        <f t="shared" si="289"/>
        <v>20</v>
      </c>
      <c r="BD403" s="3">
        <f t="shared" si="290"/>
        <v>31</v>
      </c>
      <c r="BE403" s="3">
        <f t="shared" si="291"/>
        <v>53</v>
      </c>
      <c r="BF403" s="3">
        <f t="shared" si="276"/>
        <v>35</v>
      </c>
    </row>
    <row r="404" spans="1:58" s="3" customFormat="1" x14ac:dyDescent="0.2">
      <c r="A404" s="3" t="s">
        <v>463</v>
      </c>
      <c r="B404" s="3" t="str">
        <f>LOWER(VLOOKUP(A404,Xtal_Templ!A:B,2,FALSE))</f>
        <v>drd2_human</v>
      </c>
      <c r="C404" s="3">
        <f>VLOOKUP($A404,'SegEnds_NonXtal_BW#'!$A:$Z,3,FALSE)+D404-50</f>
        <v>6</v>
      </c>
      <c r="D404" s="3">
        <v>24</v>
      </c>
      <c r="E404" s="3">
        <f t="shared" si="271"/>
        <v>36</v>
      </c>
      <c r="F404" s="3">
        <f t="shared" si="272"/>
        <v>37</v>
      </c>
      <c r="G404" s="3">
        <v>39</v>
      </c>
      <c r="H404" s="3">
        <f t="shared" si="273"/>
        <v>40</v>
      </c>
      <c r="I404" s="3">
        <f t="shared" si="273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74"/>
        <v>116</v>
      </c>
      <c r="S404" s="3">
        <v>116</v>
      </c>
      <c r="T404" s="100">
        <f t="shared" si="275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261</v>
      </c>
      <c r="AH404" s="3">
        <v>280</v>
      </c>
      <c r="AI404" s="3">
        <f>IF(ISERROR((VLOOKUP($A404,'SegEnds_NonXtal_BW#'!$A:$Z,24,FALSE)+VLOOKUP($A404,A:AL,34,FALSE)-50)),"-",(VLOOKUP($A404,'SegEnds_NonXtal_BW#'!$A:$Z,24,FALSE)+VLOOKUP($A404,A:AL,34,FALSE)-50))</f>
        <v>286</v>
      </c>
      <c r="AJ404" s="3">
        <f>IF(ISERROR(VLOOKUP($A404,'SegEnds_NonXtal_BW#'!$A:$Z,25,FALSE)+VLOOKUP($A404,A:AL,37,FALSE)-50),"-",(VLOOKUP($A404,'SegEnds_NonXtal_BW#'!$A:$Z,25,FALSE)+VLOOKUP($A404,A:AL,37,FALSE)-50))</f>
        <v>287</v>
      </c>
      <c r="AK404" s="3">
        <v>290</v>
      </c>
      <c r="AL404" s="3">
        <f>IF(ISERROR((VLOOKUP($A404,'SegEnds_NonXtal_BW#'!$A:$Z,26,FALSE)+VLOOKUP($A404,A:AL,37,FALSE)-50)),"-",(VLOOKUP($A404,'SegEnds_NonXtal_BW#'!$A:$Z,26,FALSE)+VLOOKUP($A404,A:AL,37,FALSE)-50))</f>
        <v>300</v>
      </c>
      <c r="AM404" s="28" t="str">
        <f>VLOOKUP(A404,Classification!A:B,2,FALSE)</f>
        <v>T</v>
      </c>
      <c r="AN404" s="28" t="b">
        <f t="shared" si="292"/>
        <v>1</v>
      </c>
      <c r="AO404" s="3" t="str">
        <f>IF(ISERROR(MATCH(A404,'SegEnds_Xtal_Prot#'!B:B, 0)), "NoXtal", "Xtal")</f>
        <v>NoXtal</v>
      </c>
      <c r="AP404" s="3">
        <f t="shared" si="277"/>
        <v>1</v>
      </c>
      <c r="AQ404" s="3">
        <f t="shared" si="278"/>
        <v>1</v>
      </c>
      <c r="AR404" s="3" t="str">
        <f t="shared" si="279"/>
        <v>-</v>
      </c>
      <c r="AS404" s="3" t="str">
        <f t="shared" si="280"/>
        <v>-</v>
      </c>
      <c r="AT404" s="3">
        <f t="shared" si="281"/>
        <v>3</v>
      </c>
      <c r="AU404" s="3">
        <f t="shared" si="282"/>
        <v>1</v>
      </c>
      <c r="AV404" s="3" t="str">
        <f t="shared" si="283"/>
        <v>-</v>
      </c>
      <c r="AW404" s="3" t="str">
        <f t="shared" si="284"/>
        <v>-</v>
      </c>
      <c r="AX404" s="3">
        <f t="shared" si="285"/>
        <v>10</v>
      </c>
      <c r="AY404" s="3">
        <f t="shared" si="286"/>
        <v>5</v>
      </c>
      <c r="AZ404" s="3">
        <f t="shared" si="287"/>
        <v>1</v>
      </c>
      <c r="BA404" s="3">
        <f>IF(ISERROR(LEN(VLOOKUP(A404,Seqs!A:E,2,FALSE))-AL404),"-",LEN(VLOOKUP(A404,Seqs!A:E,2,FALSE))-AL404)</f>
        <v>7</v>
      </c>
      <c r="BB404" s="16">
        <f t="shared" si="288"/>
        <v>31</v>
      </c>
      <c r="BC404" s="9">
        <f t="shared" si="289"/>
        <v>20</v>
      </c>
      <c r="BD404" s="3">
        <f t="shared" si="290"/>
        <v>31</v>
      </c>
      <c r="BE404" s="3">
        <f t="shared" si="291"/>
        <v>53</v>
      </c>
      <c r="BF404" s="3">
        <f t="shared" si="276"/>
        <v>35</v>
      </c>
    </row>
    <row r="405" spans="1:58" s="3" customFormat="1" x14ac:dyDescent="0.2">
      <c r="A405" s="3" t="s">
        <v>464</v>
      </c>
      <c r="B405" s="3" t="str">
        <f>LOWER(VLOOKUP(A405,Xtal_Templ!A:B,2,FALSE))</f>
        <v>hrh1_human</v>
      </c>
      <c r="C405" s="3">
        <f>VLOOKUP($A405,'SegEnds_NonXtal_BW#'!$A:$Z,3,FALSE)+D405-50</f>
        <v>6</v>
      </c>
      <c r="D405" s="3">
        <v>24</v>
      </c>
      <c r="E405" s="3">
        <f t="shared" si="271"/>
        <v>36</v>
      </c>
      <c r="F405" s="3">
        <f t="shared" si="272"/>
        <v>37</v>
      </c>
      <c r="G405" s="3">
        <v>39</v>
      </c>
      <c r="H405" s="3">
        <f t="shared" si="273"/>
        <v>40</v>
      </c>
      <c r="I405" s="3">
        <f t="shared" si="273"/>
        <v>41</v>
      </c>
      <c r="J405" s="3">
        <v>55</v>
      </c>
      <c r="K405" s="3">
        <f>VLOOKUP($A405,'SegEnds_NonXtal_BW#'!$A:$Z,8,FALSE)+VLOOKUP($A405,A:AL,10,FALSE)-50</f>
        <v>72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78</v>
      </c>
      <c r="P405" s="3">
        <v>107</v>
      </c>
      <c r="Q405" s="3">
        <f>VLOOKUP($A405,'SegEnds_NonXtal_BW#'!$A:$Z,12,FALSE)+VLOOKUP($A405,A:AL,16,FALSE)-50</f>
        <v>113</v>
      </c>
      <c r="R405" s="3">
        <f t="shared" si="274"/>
        <v>116</v>
      </c>
      <c r="S405" s="3">
        <v>116</v>
      </c>
      <c r="T405" s="100">
        <f t="shared" si="275"/>
        <v>123</v>
      </c>
      <c r="U405" s="9">
        <f>IF(ISERROR(VLOOKUP($A405,'SegEnds_NonXtal_BW#'!$A:$Z,15,FALSE)+VLOOKUP($A405,A:AL,22,FALSE)-50),"-",VLOOKUP($A405,'SegEnds_NonXtal_BW#'!$A:$Z,15,FALSE)+VLOOKUP($A405,A:AL,22,FALSE)-50)</f>
        <v>124</v>
      </c>
      <c r="V405" s="3">
        <v>136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174</v>
      </c>
      <c r="AB405" s="3">
        <v>192</v>
      </c>
      <c r="AC405" s="3">
        <f>IF(ISERROR((VLOOKUP($A405,'SegEnds_NonXtal_BW#'!$A:$Z,20,FALSE)+VLOOKUP($A405,A:AL,28,FALSE)-50)),"-",(VLOOKUP($A405,'SegEnds_NonXtal_BW#'!$A:$Z,20,FALSE)+VLOOKUP($A405,A:AL,28,FALSE)-50))</f>
        <v>214</v>
      </c>
      <c r="AD405" s="3">
        <f>IF(ISERROR(VLOOKUP($A405,'SegEnds_NonXtal_BW#'!$A:$Z,21,FALSE)+VLOOKUP($A405,A:AL,31,FALSE)-50),"-",(VLOOKUP($A405,'SegEnds_NonXtal_BW#'!$A:$Z,21,FALSE)+VLOOKUP($A405,A:AL,31,FALSE)-50))</f>
        <v>224</v>
      </c>
      <c r="AE405" s="3">
        <v>245</v>
      </c>
      <c r="AF405" s="3">
        <f>IF(ISERROR((VLOOKUP($A405,'SegEnds_NonXtal_BW#'!$A:$Z,22,FALSE)+VLOOKUP($A405,A:AL,31,FALSE)-50)),"-",(VLOOKUP($A405,'SegEnds_NonXtal_BW#'!$A:$Z,22,FALSE)+VLOOKUP($A405,A:AL,31,FALSE)-50))</f>
        <v>256</v>
      </c>
      <c r="AG405" s="3">
        <f>IF(ISERROR(VLOOKUP($A405,'SegEnds_NonXtal_BW#'!$A:$Z,23,FALSE)+VLOOKUP($A405,A:AL,34,FALSE)-50),"-",(VLOOKUP($A405,'SegEnds_NonXtal_BW#'!$A:$Z,23,FALSE)+VLOOKUP($A405,A:AL,34,FALSE)-50))</f>
        <v>262</v>
      </c>
      <c r="AH405" s="3">
        <v>281</v>
      </c>
      <c r="AI405" s="3">
        <f>IF(ISERROR((VLOOKUP($A405,'SegEnds_NonXtal_BW#'!$A:$Z,24,FALSE)+VLOOKUP($A405,A:AL,34,FALSE)-50)),"-",(VLOOKUP($A405,'SegEnds_NonXtal_BW#'!$A:$Z,24,FALSE)+VLOOKUP($A405,A:AL,34,FALSE)-50))</f>
        <v>287</v>
      </c>
      <c r="AJ405" s="3">
        <f>IF(ISERROR(VLOOKUP($A405,'SegEnds_NonXtal_BW#'!$A:$Z,25,FALSE)+VLOOKUP($A405,A:AL,37,FALSE)-50),"-",(VLOOKUP($A405,'SegEnds_NonXtal_BW#'!$A:$Z,25,FALSE)+VLOOKUP($A405,A:AL,37,FALSE)-50))</f>
        <v>288</v>
      </c>
      <c r="AK405" s="3">
        <v>291</v>
      </c>
      <c r="AL405" s="3">
        <f>IF(ISERROR((VLOOKUP($A405,'SegEnds_NonXtal_BW#'!$A:$Z,26,FALSE)+VLOOKUP($A405,A:AL,37,FALSE)-50)),"-",(VLOOKUP($A405,'SegEnds_NonXtal_BW#'!$A:$Z,26,FALSE)+VLOOKUP($A405,A:AL,37,FALSE)-50))</f>
        <v>301</v>
      </c>
      <c r="AM405" s="28" t="str">
        <f>VLOOKUP(A405,Classification!A:B,2,FALSE)</f>
        <v>T</v>
      </c>
      <c r="AN405" s="28" t="b">
        <f t="shared" si="292"/>
        <v>1</v>
      </c>
      <c r="AO405" s="3" t="str">
        <f>IF(ISERROR(MATCH(A405,'SegEnds_Xtal_Prot#'!B:B, 0)), "NoXtal", "Xtal")</f>
        <v>NoXtal</v>
      </c>
      <c r="AP405" s="3">
        <f t="shared" si="277"/>
        <v>1</v>
      </c>
      <c r="AQ405" s="3">
        <f t="shared" si="278"/>
        <v>1</v>
      </c>
      <c r="AR405" s="3" t="str">
        <f t="shared" si="279"/>
        <v>-</v>
      </c>
      <c r="AS405" s="3" t="str">
        <f t="shared" si="280"/>
        <v>-</v>
      </c>
      <c r="AT405" s="3">
        <f t="shared" si="281"/>
        <v>3</v>
      </c>
      <c r="AU405" s="3">
        <f t="shared" si="282"/>
        <v>1</v>
      </c>
      <c r="AV405" s="3" t="str">
        <f t="shared" si="283"/>
        <v>-</v>
      </c>
      <c r="AW405" s="3" t="str">
        <f t="shared" si="284"/>
        <v>-</v>
      </c>
      <c r="AX405" s="3">
        <f t="shared" si="285"/>
        <v>10</v>
      </c>
      <c r="AY405" s="3">
        <f t="shared" si="286"/>
        <v>6</v>
      </c>
      <c r="AZ405" s="3">
        <f t="shared" si="287"/>
        <v>1</v>
      </c>
      <c r="BA405" s="3">
        <f>IF(ISERROR(LEN(VLOOKUP(A405,Seqs!A:E,2,FALSE))-AL405),"-",LEN(VLOOKUP(A405,Seqs!A:E,2,FALSE))-AL405)</f>
        <v>13</v>
      </c>
      <c r="BB405" s="16">
        <f t="shared" si="288"/>
        <v>31</v>
      </c>
      <c r="BC405" s="9">
        <f t="shared" si="289"/>
        <v>20</v>
      </c>
      <c r="BD405" s="3">
        <f t="shared" si="290"/>
        <v>31</v>
      </c>
      <c r="BE405" s="3">
        <f t="shared" si="291"/>
        <v>53</v>
      </c>
      <c r="BF405" s="3">
        <f t="shared" si="276"/>
        <v>36</v>
      </c>
    </row>
    <row r="406" spans="1:58" s="3" customFormat="1" x14ac:dyDescent="0.2">
      <c r="A406" s="3" t="s">
        <v>465</v>
      </c>
      <c r="B406" s="3" t="str">
        <f>LOWER(VLOOKUP(A406,Xtal_Templ!A:B,2,FALSE))</f>
        <v>drd2_human</v>
      </c>
      <c r="C406" s="3">
        <f>VLOOKUP($A406,'SegEnds_NonXtal_BW#'!$A:$Z,3,FALSE)+D406-50</f>
        <v>6</v>
      </c>
      <c r="D406" s="3">
        <v>24</v>
      </c>
      <c r="E406" s="3">
        <f t="shared" si="271"/>
        <v>36</v>
      </c>
      <c r="F406" s="3">
        <f t="shared" si="272"/>
        <v>37</v>
      </c>
      <c r="G406" s="3">
        <v>39</v>
      </c>
      <c r="H406" s="3">
        <f t="shared" si="273"/>
        <v>40</v>
      </c>
      <c r="I406" s="3">
        <f t="shared" si="273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106</v>
      </c>
      <c r="Q406" s="3">
        <f>VLOOKUP($A406,'SegEnds_NonXtal_BW#'!$A:$Z,12,FALSE)+VLOOKUP($A406,A:AL,16,FALSE)-50</f>
        <v>112</v>
      </c>
      <c r="R406" s="3">
        <f t="shared" si="274"/>
        <v>115</v>
      </c>
      <c r="S406" s="3">
        <v>115</v>
      </c>
      <c r="T406" s="100">
        <f t="shared" si="275"/>
        <v>122</v>
      </c>
      <c r="U406" s="9">
        <f>IF(ISERROR(VLOOKUP($A406,'SegEnds_NonXtal_BW#'!$A:$Z,15,FALSE)+VLOOKUP($A406,A:AL,22,FALSE)-50),"-",VLOOKUP($A406,'SegEnds_NonXtal_BW#'!$A:$Z,15,FALSE)+VLOOKUP($A406,A:AL,22,FALSE)-50)</f>
        <v>123</v>
      </c>
      <c r="V406" s="3">
        <v>135</v>
      </c>
      <c r="W406" s="3">
        <f>IF(ISERROR(VLOOKUP($A406,'SegEnds_NonXtal_BW#'!$A:$Z,16,FALSE)+VLOOKUP($A406,A:AL,22,FALSE)-50),"-",(VLOOKUP($A406,'SegEnds_NonXtal_BW#'!$A:$Z,16,FALSE)+VLOOKUP($A406,A:AL,22,FALSE)-50))</f>
        <v>147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169</v>
      </c>
      <c r="AB406" s="3">
        <v>187</v>
      </c>
      <c r="AC406" s="3">
        <f>IF(ISERROR((VLOOKUP($A406,'SegEnds_NonXtal_BW#'!$A:$Z,20,FALSE)+VLOOKUP($A406,A:AL,28,FALSE)-50)),"-",(VLOOKUP($A406,'SegEnds_NonXtal_BW#'!$A:$Z,20,FALSE)+VLOOKUP($A406,A:AL,28,FALSE)-50))</f>
        <v>209</v>
      </c>
      <c r="AD406" s="3">
        <f>IF(ISERROR(VLOOKUP($A406,'SegEnds_NonXtal_BW#'!$A:$Z,21,FALSE)+VLOOKUP($A406,A:AL,31,FALSE)-50),"-",(VLOOKUP($A406,'SegEnds_NonXtal_BW#'!$A:$Z,21,FALSE)+VLOOKUP($A406,A:AL,31,FALSE)-50))</f>
        <v>219</v>
      </c>
      <c r="AE406" s="3">
        <v>240</v>
      </c>
      <c r="AF406" s="3">
        <f>IF(ISERROR((VLOOKUP($A406,'SegEnds_NonXtal_BW#'!$A:$Z,22,FALSE)+VLOOKUP($A406,A:AL,31,FALSE)-50)),"-",(VLOOKUP($A406,'SegEnds_NonXtal_BW#'!$A:$Z,22,FALSE)+VLOOKUP($A406,A:AL,31,FALSE)-50))</f>
        <v>251</v>
      </c>
      <c r="AG406" s="3">
        <f>IF(ISERROR(VLOOKUP($A406,'SegEnds_NonXtal_BW#'!$A:$Z,23,FALSE)+VLOOKUP($A406,A:AL,34,FALSE)-50),"-",(VLOOKUP($A406,'SegEnds_NonXtal_BW#'!$A:$Z,23,FALSE)+VLOOKUP($A406,A:AL,34,FALSE)-50))</f>
        <v>257</v>
      </c>
      <c r="AH406" s="3">
        <v>276</v>
      </c>
      <c r="AI406" s="3">
        <f>IF(ISERROR((VLOOKUP($A406,'SegEnds_NonXtal_BW#'!$A:$Z,24,FALSE)+VLOOKUP($A406,A:AL,34,FALSE)-50)),"-",(VLOOKUP($A406,'SegEnds_NonXtal_BW#'!$A:$Z,24,FALSE)+VLOOKUP($A406,A:AL,34,FALSE)-50))</f>
        <v>282</v>
      </c>
      <c r="AJ406" s="3">
        <f>IF(ISERROR(VLOOKUP($A406,'SegEnds_NonXtal_BW#'!$A:$Z,25,FALSE)+VLOOKUP($A406,A:AL,37,FALSE)-50),"-",(VLOOKUP($A406,'SegEnds_NonXtal_BW#'!$A:$Z,25,FALSE)+VLOOKUP($A406,A:AL,37,FALSE)-50))</f>
        <v>283</v>
      </c>
      <c r="AK406" s="3">
        <v>286</v>
      </c>
      <c r="AL406" s="3">
        <f>IF(ISERROR((VLOOKUP($A406,'SegEnds_NonXtal_BW#'!$A:$Z,26,FALSE)+VLOOKUP($A406,A:AL,37,FALSE)-50)),"-",(VLOOKUP($A406,'SegEnds_NonXtal_BW#'!$A:$Z,26,FALSE)+VLOOKUP($A406,A:AL,37,FALSE)-50))</f>
        <v>296</v>
      </c>
      <c r="AM406" s="28" t="str">
        <f>VLOOKUP(A406,Classification!A:B,2,FALSE)</f>
        <v>T</v>
      </c>
      <c r="AN406" s="28" t="b">
        <f t="shared" si="292"/>
        <v>1</v>
      </c>
      <c r="AO406" s="3" t="str">
        <f>IF(ISERROR(MATCH(A406,'SegEnds_Xtal_Prot#'!B:B, 0)), "NoXtal", "Xtal")</f>
        <v>NoXtal</v>
      </c>
      <c r="AP406" s="3">
        <f t="shared" si="277"/>
        <v>1</v>
      </c>
      <c r="AQ406" s="3">
        <f t="shared" si="278"/>
        <v>1</v>
      </c>
      <c r="AR406" s="3" t="str">
        <f t="shared" si="279"/>
        <v>-</v>
      </c>
      <c r="AS406" s="3" t="str">
        <f t="shared" si="280"/>
        <v>-</v>
      </c>
      <c r="AT406" s="3">
        <f t="shared" si="281"/>
        <v>3</v>
      </c>
      <c r="AU406" s="3">
        <f t="shared" si="282"/>
        <v>1</v>
      </c>
      <c r="AV406" s="3" t="str">
        <f t="shared" si="283"/>
        <v>-</v>
      </c>
      <c r="AW406" s="3" t="str">
        <f t="shared" si="284"/>
        <v>-</v>
      </c>
      <c r="AX406" s="3">
        <f t="shared" si="285"/>
        <v>10</v>
      </c>
      <c r="AY406" s="3">
        <f t="shared" si="286"/>
        <v>6</v>
      </c>
      <c r="AZ406" s="3">
        <f t="shared" si="287"/>
        <v>1</v>
      </c>
      <c r="BA406" s="3">
        <f>IF(ISERROR(LEN(VLOOKUP(A406,Seqs!A:E,2,FALSE))-AL406),"-",LEN(VLOOKUP(A406,Seqs!A:E,2,FALSE))-AL406)</f>
        <v>13</v>
      </c>
      <c r="BB406" s="16">
        <f t="shared" si="288"/>
        <v>31</v>
      </c>
      <c r="BC406" s="9">
        <f t="shared" si="289"/>
        <v>20</v>
      </c>
      <c r="BD406" s="3">
        <f t="shared" si="290"/>
        <v>31</v>
      </c>
      <c r="BE406" s="3">
        <f t="shared" si="291"/>
        <v>53</v>
      </c>
      <c r="BF406" s="3">
        <f t="shared" si="276"/>
        <v>36</v>
      </c>
    </row>
    <row r="407" spans="1:58" s="3" customFormat="1" x14ac:dyDescent="0.2">
      <c r="A407" s="3" t="s">
        <v>923</v>
      </c>
      <c r="B407" s="3" t="str">
        <f>LOWER(VLOOKUP(A407,Xtal_Templ!A:B,2,FALSE))</f>
        <v>5ht2c_human</v>
      </c>
      <c r="C407" s="3">
        <f>VLOOKUP($A407,'SegEnds_NonXtal_BW#'!$A:$Z,3,FALSE)+D407-50</f>
        <v>6</v>
      </c>
      <c r="D407" s="3">
        <v>24</v>
      </c>
      <c r="E407" s="3">
        <f t="shared" si="271"/>
        <v>36</v>
      </c>
      <c r="F407" s="3">
        <f t="shared" si="272"/>
        <v>37</v>
      </c>
      <c r="G407" s="3">
        <v>39</v>
      </c>
      <c r="H407" s="3">
        <f t="shared" si="273"/>
        <v>40</v>
      </c>
      <c r="I407" s="3">
        <f t="shared" si="273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74"/>
        <v>115</v>
      </c>
      <c r="S407" s="3">
        <v>115</v>
      </c>
      <c r="T407" s="100">
        <f t="shared" si="275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152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222</v>
      </c>
      <c r="AE407" s="3">
        <v>243</v>
      </c>
      <c r="AF407" s="3">
        <f>IF(ISERROR((VLOOKUP($A407,'SegEnds_NonXtal_BW#'!$A:$Z,22,FALSE)+VLOOKUP($A407,A:AL,31,FALSE)-50)),"-",(VLOOKUP($A407,'SegEnds_NonXtal_BW#'!$A:$Z,22,FALSE)+VLOOKUP($A407,A:AL,31,FALSE)-50))</f>
        <v>254</v>
      </c>
      <c r="AG407" s="3">
        <f>IF(ISERROR(VLOOKUP($A407,'SegEnds_NonXtal_BW#'!$A:$Z,23,FALSE)+VLOOKUP($A407,A:AL,34,FALSE)-50),"-",(VLOOKUP($A407,'SegEnds_NonXtal_BW#'!$A:$Z,23,FALSE)+VLOOKUP($A407,A:AL,34,FALSE)-50))</f>
        <v>259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292"/>
        <v>1</v>
      </c>
      <c r="AO407" s="3" t="str">
        <f>IF(ISERROR(MATCH(A407,'SegEnds_Xtal_Prot#'!B:B, 0)), "NoXtal", "Xtal")</f>
        <v>NoXtal</v>
      </c>
      <c r="AP407" s="3">
        <f t="shared" si="277"/>
        <v>1</v>
      </c>
      <c r="AQ407" s="3">
        <f t="shared" si="278"/>
        <v>1</v>
      </c>
      <c r="AR407" s="3" t="str">
        <f t="shared" si="279"/>
        <v>-</v>
      </c>
      <c r="AS407" s="3" t="str">
        <f t="shared" si="280"/>
        <v>-</v>
      </c>
      <c r="AT407" s="3">
        <f t="shared" si="281"/>
        <v>3</v>
      </c>
      <c r="AU407" s="3">
        <f t="shared" si="282"/>
        <v>1</v>
      </c>
      <c r="AV407" s="3" t="str">
        <f t="shared" si="283"/>
        <v>-</v>
      </c>
      <c r="AW407" s="3" t="str">
        <f t="shared" si="284"/>
        <v>-</v>
      </c>
      <c r="AX407" s="3">
        <f t="shared" si="285"/>
        <v>13</v>
      </c>
      <c r="AY407" s="3">
        <f t="shared" si="286"/>
        <v>5</v>
      </c>
      <c r="AZ407" s="3">
        <f t="shared" si="287"/>
        <v>1</v>
      </c>
      <c r="BA407" s="3">
        <f>IF(ISERROR(LEN(VLOOKUP(A407,Seqs!A:E,2,FALSE))-AL407),"-",LEN(VLOOKUP(A407,Seqs!A:E,2,FALSE))-AL407)</f>
        <v>3</v>
      </c>
      <c r="BB407" s="16">
        <f t="shared" si="288"/>
        <v>31</v>
      </c>
      <c r="BC407" s="9">
        <f t="shared" si="289"/>
        <v>20</v>
      </c>
      <c r="BD407" s="3">
        <f t="shared" si="290"/>
        <v>31</v>
      </c>
      <c r="BE407" s="3">
        <f t="shared" si="291"/>
        <v>56</v>
      </c>
      <c r="BF407" s="3">
        <f t="shared" si="276"/>
        <v>33</v>
      </c>
    </row>
    <row r="408" spans="1:58" s="3" customFormat="1" x14ac:dyDescent="0.2">
      <c r="A408" s="3" t="s">
        <v>466</v>
      </c>
      <c r="B408" s="3" t="str">
        <f>LOWER(VLOOKUP(A408,Xtal_Templ!A:B,2,FALSE))</f>
        <v>5ht2c_human</v>
      </c>
      <c r="C408" s="3">
        <f>VLOOKUP($A408,'SegEnds_NonXtal_BW#'!$A:$Z,3,FALSE)+D408-50</f>
        <v>6</v>
      </c>
      <c r="D408" s="3">
        <v>24</v>
      </c>
      <c r="E408" s="3">
        <f t="shared" si="271"/>
        <v>36</v>
      </c>
      <c r="F408" s="3">
        <f t="shared" si="272"/>
        <v>37</v>
      </c>
      <c r="G408" s="3">
        <v>39</v>
      </c>
      <c r="H408" s="3">
        <f t="shared" si="273"/>
        <v>40</v>
      </c>
      <c r="I408" s="3">
        <f t="shared" si="273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74"/>
        <v>115</v>
      </c>
      <c r="S408" s="3">
        <v>115</v>
      </c>
      <c r="T408" s="100">
        <f t="shared" si="275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152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219</v>
      </c>
      <c r="AE408" s="3">
        <v>240</v>
      </c>
      <c r="AF408" s="3">
        <f>IF(ISERROR((VLOOKUP($A408,'SegEnds_NonXtal_BW#'!$A:$Z,22,FALSE)+VLOOKUP($A408,A:AL,31,FALSE)-50)),"-",(VLOOKUP($A408,'SegEnds_NonXtal_BW#'!$A:$Z,22,FALSE)+VLOOKUP($A408,A:AL,31,FALSE)-50))</f>
        <v>251</v>
      </c>
      <c r="AG408" s="3">
        <f>IF(ISERROR(VLOOKUP($A408,'SegEnds_NonXtal_BW#'!$A:$Z,23,FALSE)+VLOOKUP($A408,A:AL,34,FALSE)-50),"-",(VLOOKUP($A408,'SegEnds_NonXtal_BW#'!$A:$Z,23,FALSE)+VLOOKUP($A408,A:AL,34,FALSE)-50))</f>
        <v>257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292"/>
        <v>1</v>
      </c>
      <c r="AO408" s="3" t="str">
        <f>IF(ISERROR(MATCH(A408,'SegEnds_Xtal_Prot#'!B:B, 0)), "NoXtal", "Xtal")</f>
        <v>NoXtal</v>
      </c>
      <c r="AP408" s="3">
        <f t="shared" si="277"/>
        <v>1</v>
      </c>
      <c r="AQ408" s="3">
        <f t="shared" si="278"/>
        <v>1</v>
      </c>
      <c r="AR408" s="3" t="str">
        <f t="shared" si="279"/>
        <v>-</v>
      </c>
      <c r="AS408" s="3" t="str">
        <f t="shared" si="280"/>
        <v>-</v>
      </c>
      <c r="AT408" s="3">
        <f t="shared" si="281"/>
        <v>3</v>
      </c>
      <c r="AU408" s="3">
        <f t="shared" si="282"/>
        <v>1</v>
      </c>
      <c r="AV408" s="3" t="str">
        <f t="shared" si="283"/>
        <v>-</v>
      </c>
      <c r="AW408" s="3" t="str">
        <f t="shared" si="284"/>
        <v>-</v>
      </c>
      <c r="AX408" s="3">
        <f t="shared" si="285"/>
        <v>10</v>
      </c>
      <c r="AY408" s="3">
        <f t="shared" si="286"/>
        <v>6</v>
      </c>
      <c r="AZ408" s="3">
        <f t="shared" si="287"/>
        <v>1</v>
      </c>
      <c r="BA408" s="3">
        <f>IF(ISERROR(LEN(VLOOKUP(A408,Seqs!A:E,2,FALSE))-AL408),"-",LEN(VLOOKUP(A408,Seqs!A:E,2,FALSE))-AL408)</f>
        <v>13</v>
      </c>
      <c r="BB408" s="16">
        <f t="shared" si="288"/>
        <v>31</v>
      </c>
      <c r="BC408" s="9">
        <f t="shared" si="289"/>
        <v>20</v>
      </c>
      <c r="BD408" s="3">
        <f t="shared" si="290"/>
        <v>31</v>
      </c>
      <c r="BE408" s="3">
        <f t="shared" si="291"/>
        <v>53</v>
      </c>
      <c r="BF408" s="3">
        <f t="shared" si="276"/>
        <v>36</v>
      </c>
    </row>
    <row r="409" spans="1:58" s="3" customFormat="1" x14ac:dyDescent="0.2">
      <c r="A409" s="3" t="s">
        <v>467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71"/>
        <v>36</v>
      </c>
      <c r="F409" s="3">
        <f t="shared" si="272"/>
        <v>37</v>
      </c>
      <c r="G409" s="3">
        <v>39</v>
      </c>
      <c r="H409" s="3">
        <f t="shared" si="273"/>
        <v>40</v>
      </c>
      <c r="I409" s="3">
        <f t="shared" si="273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77</v>
      </c>
      <c r="P409" s="3">
        <v>106</v>
      </c>
      <c r="Q409" s="3">
        <f>VLOOKUP($A409,'SegEnds_NonXtal_BW#'!$A:$Z,12,FALSE)+VLOOKUP($A409,A:AL,16,FALSE)-50</f>
        <v>112</v>
      </c>
      <c r="R409" s="3">
        <f t="shared" si="274"/>
        <v>115</v>
      </c>
      <c r="S409" s="3">
        <v>115</v>
      </c>
      <c r="T409" s="100">
        <f t="shared" si="275"/>
        <v>122</v>
      </c>
      <c r="U409" s="9">
        <f>IF(ISERROR(VLOOKUP($A409,'SegEnds_NonXtal_BW#'!$A:$Z,15,FALSE)+VLOOKUP($A409,A:AL,22,FALSE)-50),"-",VLOOKUP($A409,'SegEnds_NonXtal_BW#'!$A:$Z,15,FALSE)+VLOOKUP($A409,A:AL,22,FALSE)-50)</f>
        <v>123</v>
      </c>
      <c r="V409" s="3">
        <v>135</v>
      </c>
      <c r="W409" s="3">
        <f>IF(ISERROR(VLOOKUP($A409,'SegEnds_NonXtal_BW#'!$A:$Z,16,FALSE)+VLOOKUP($A409,A:AL,22,FALSE)-50),"-",(VLOOKUP($A409,'SegEnds_NonXtal_BW#'!$A:$Z,16,FALSE)+VLOOKUP($A409,A:AL,22,FALSE)-50))</f>
        <v>147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169</v>
      </c>
      <c r="AB409" s="3">
        <v>187</v>
      </c>
      <c r="AC409" s="3">
        <f>IF(ISERROR((VLOOKUP($A409,'SegEnds_NonXtal_BW#'!$A:$Z,20,FALSE)+VLOOKUP($A409,A:AL,28,FALSE)-50)),"-",(VLOOKUP($A409,'SegEnds_NonXtal_BW#'!$A:$Z,20,FALSE)+VLOOKUP($A409,A:AL,28,FALSE)-50))</f>
        <v>209</v>
      </c>
      <c r="AD409" s="3">
        <f>IF(ISERROR(VLOOKUP($A409,'SegEnds_NonXtal_BW#'!$A:$Z,21,FALSE)+VLOOKUP($A409,A:AL,31,FALSE)-50),"-",(VLOOKUP($A409,'SegEnds_NonXtal_BW#'!$A:$Z,21,FALSE)+VLOOKUP($A409,A:AL,31,FALSE)-50))</f>
        <v>219</v>
      </c>
      <c r="AE409" s="3">
        <v>240</v>
      </c>
      <c r="AF409" s="3">
        <f>IF(ISERROR((VLOOKUP($A409,'SegEnds_NonXtal_BW#'!$A:$Z,22,FALSE)+VLOOKUP($A409,A:AL,31,FALSE)-50)),"-",(VLOOKUP($A409,'SegEnds_NonXtal_BW#'!$A:$Z,22,FALSE)+VLOOKUP($A409,A:AL,31,FALSE)-50))</f>
        <v>251</v>
      </c>
      <c r="AG409" s="3">
        <f>IF(ISERROR(VLOOKUP($A409,'SegEnds_NonXtal_BW#'!$A:$Z,23,FALSE)+VLOOKUP($A409,A:AL,34,FALSE)-50),"-",(VLOOKUP($A409,'SegEnds_NonXtal_BW#'!$A:$Z,23,FALSE)+VLOOKUP($A409,A:AL,34,FALSE)-50))</f>
        <v>257</v>
      </c>
      <c r="AH409" s="3">
        <v>276</v>
      </c>
      <c r="AI409" s="3">
        <f>IF(ISERROR((VLOOKUP($A409,'SegEnds_NonXtal_BW#'!$A:$Z,24,FALSE)+VLOOKUP($A409,A:AL,34,FALSE)-50)),"-",(VLOOKUP($A409,'SegEnds_NonXtal_BW#'!$A:$Z,24,FALSE)+VLOOKUP($A409,A:AL,34,FALSE)-50))</f>
        <v>282</v>
      </c>
      <c r="AJ409" s="3">
        <f>IF(ISERROR(VLOOKUP($A409,'SegEnds_NonXtal_BW#'!$A:$Z,25,FALSE)+VLOOKUP($A409,A:AL,37,FALSE)-50),"-",(VLOOKUP($A409,'SegEnds_NonXtal_BW#'!$A:$Z,25,FALSE)+VLOOKUP($A409,A:AL,37,FALSE)-50))</f>
        <v>283</v>
      </c>
      <c r="AK409" s="3">
        <v>286</v>
      </c>
      <c r="AL409" s="3">
        <f>IF(ISERROR((VLOOKUP($A409,'SegEnds_NonXtal_BW#'!$A:$Z,26,FALSE)+VLOOKUP($A409,A:AL,37,FALSE)-50)),"-",(VLOOKUP($A409,'SegEnds_NonXtal_BW#'!$A:$Z,26,FALSE)+VLOOKUP($A409,A:AL,37,FALSE)-50))</f>
        <v>296</v>
      </c>
      <c r="AM409" s="28" t="str">
        <f>VLOOKUP(A409,Classification!A:B,2,FALSE)</f>
        <v>T</v>
      </c>
      <c r="AN409" s="28" t="b">
        <f t="shared" si="292"/>
        <v>1</v>
      </c>
      <c r="AO409" s="3" t="str">
        <f>IF(ISERROR(MATCH(A409,'SegEnds_Xtal_Prot#'!B:B, 0)), "NoXtal", "Xtal")</f>
        <v>NoXtal</v>
      </c>
      <c r="AP409" s="3">
        <f t="shared" si="277"/>
        <v>1</v>
      </c>
      <c r="AQ409" s="3">
        <f t="shared" si="278"/>
        <v>1</v>
      </c>
      <c r="AR409" s="3" t="str">
        <f t="shared" si="279"/>
        <v>-</v>
      </c>
      <c r="AS409" s="3" t="str">
        <f t="shared" si="280"/>
        <v>-</v>
      </c>
      <c r="AT409" s="3">
        <f t="shared" si="281"/>
        <v>3</v>
      </c>
      <c r="AU409" s="3">
        <f t="shared" si="282"/>
        <v>1</v>
      </c>
      <c r="AV409" s="3" t="str">
        <f t="shared" si="283"/>
        <v>-</v>
      </c>
      <c r="AW409" s="3" t="str">
        <f t="shared" si="284"/>
        <v>-</v>
      </c>
      <c r="AX409" s="3">
        <f t="shared" si="285"/>
        <v>10</v>
      </c>
      <c r="AY409" s="3">
        <f t="shared" si="286"/>
        <v>6</v>
      </c>
      <c r="AZ409" s="3">
        <f t="shared" si="287"/>
        <v>1</v>
      </c>
      <c r="BA409" s="3">
        <f>IF(ISERROR(LEN(VLOOKUP(A409,Seqs!A:E,2,FALSE))-AL409),"-",LEN(VLOOKUP(A409,Seqs!A:E,2,FALSE))-AL409)</f>
        <v>3</v>
      </c>
      <c r="BB409" s="16">
        <f t="shared" si="288"/>
        <v>31</v>
      </c>
      <c r="BC409" s="9">
        <f t="shared" si="289"/>
        <v>20</v>
      </c>
      <c r="BD409" s="3">
        <f t="shared" si="290"/>
        <v>31</v>
      </c>
      <c r="BE409" s="3">
        <f t="shared" si="291"/>
        <v>53</v>
      </c>
      <c r="BF409" s="3">
        <f t="shared" si="276"/>
        <v>36</v>
      </c>
    </row>
    <row r="410" spans="1:58" s="3" customFormat="1" x14ac:dyDescent="0.2">
      <c r="A410" s="3" t="s">
        <v>468</v>
      </c>
      <c r="B410" s="3" t="str">
        <f>LOWER(VLOOKUP(A410,Xtal_Templ!A:B,2,FALSE))</f>
        <v>oprk_human</v>
      </c>
      <c r="C410" s="3">
        <f>VLOOKUP($A410,'SegEnds_NonXtal_BW#'!$A:$Z,3,FALSE)+D410-50</f>
        <v>17</v>
      </c>
      <c r="D410" s="3">
        <v>35</v>
      </c>
      <c r="E410" s="3">
        <f t="shared" si="271"/>
        <v>47</v>
      </c>
      <c r="F410" s="3">
        <f t="shared" si="272"/>
        <v>48</v>
      </c>
      <c r="G410" s="3">
        <v>50</v>
      </c>
      <c r="H410" s="3">
        <f t="shared" si="273"/>
        <v>51</v>
      </c>
      <c r="I410" s="3">
        <f t="shared" si="273"/>
        <v>52</v>
      </c>
      <c r="J410" s="3">
        <v>66</v>
      </c>
      <c r="K410" s="3">
        <f>VLOOKUP($A410,'SegEnds_NonXtal_BW#'!$A:$Z,8,FALSE)+VLOOKUP($A410,A:AL,10,FALSE)-50</f>
        <v>82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86</v>
      </c>
      <c r="P410" s="3">
        <v>118</v>
      </c>
      <c r="Q410" s="3">
        <f>VLOOKUP($A410,'SegEnds_NonXtal_BW#'!$A:$Z,12,FALSE)+VLOOKUP($A410,A:AL,16,FALSE)-50</f>
        <v>124</v>
      </c>
      <c r="R410" s="3">
        <f t="shared" si="274"/>
        <v>127</v>
      </c>
      <c r="S410" s="3">
        <v>127</v>
      </c>
      <c r="T410" s="100">
        <f t="shared" si="275"/>
        <v>134</v>
      </c>
      <c r="U410" s="9">
        <f>IF(ISERROR(VLOOKUP($A410,'SegEnds_NonXtal_BW#'!$A:$Z,15,FALSE)+VLOOKUP($A410,A:AL,22,FALSE)-50),"-",VLOOKUP($A410,'SegEnds_NonXtal_BW#'!$A:$Z,15,FALSE)+VLOOKUP($A410,A:AL,22,FALSE)-50)</f>
        <v>135</v>
      </c>
      <c r="V410" s="3">
        <v>147</v>
      </c>
      <c r="W410" s="3">
        <f>IF(ISERROR(VLOOKUP($A410,'SegEnds_NonXtal_BW#'!$A:$Z,16,FALSE)+VLOOKUP($A410,A:AL,22,FALSE)-50),"-",(VLOOKUP($A410,'SegEnds_NonXtal_BW#'!$A:$Z,16,FALSE)+VLOOKUP($A410,A:AL,22,FALSE)-50))</f>
        <v>161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187</v>
      </c>
      <c r="AB410" s="3">
        <v>205</v>
      </c>
      <c r="AC410" s="3">
        <f>IF(ISERROR((VLOOKUP($A410,'SegEnds_NonXtal_BW#'!$A:$Z,20,FALSE)+VLOOKUP($A410,A:AL,28,FALSE)-50)),"-",(VLOOKUP($A410,'SegEnds_NonXtal_BW#'!$A:$Z,20,FALSE)+VLOOKUP($A410,A:AL,28,FALSE)-50))</f>
        <v>227</v>
      </c>
      <c r="AD410" s="3">
        <f>IF(ISERROR(VLOOKUP($A410,'SegEnds_NonXtal_BW#'!$A:$Z,21,FALSE)+VLOOKUP($A410,A:AL,31,FALSE)-50),"-",(VLOOKUP($A410,'SegEnds_NonXtal_BW#'!$A:$Z,21,FALSE)+VLOOKUP($A410,A:AL,31,FALSE)-50))</f>
        <v>237</v>
      </c>
      <c r="AE410" s="3">
        <v>258</v>
      </c>
      <c r="AF410" s="3">
        <f>IF(ISERROR((VLOOKUP($A410,'SegEnds_NonXtal_BW#'!$A:$Z,22,FALSE)+VLOOKUP($A410,A:AL,31,FALSE)-50)),"-",(VLOOKUP($A410,'SegEnds_NonXtal_BW#'!$A:$Z,22,FALSE)+VLOOKUP($A410,A:AL,31,FALSE)-50))</f>
        <v>269</v>
      </c>
      <c r="AG410" s="3">
        <f>IF(ISERROR(VLOOKUP($A410,'SegEnds_NonXtal_BW#'!$A:$Z,23,FALSE)+VLOOKUP($A410,A:AL,34,FALSE)-50),"-",(VLOOKUP($A410,'SegEnds_NonXtal_BW#'!$A:$Z,23,FALSE)+VLOOKUP($A410,A:AL,34,FALSE)-50))</f>
        <v>274</v>
      </c>
      <c r="AH410" s="3">
        <v>293</v>
      </c>
      <c r="AI410" s="3">
        <f>IF(ISERROR((VLOOKUP($A410,'SegEnds_NonXtal_BW#'!$A:$Z,24,FALSE)+VLOOKUP($A410,A:AL,34,FALSE)-50)),"-",(VLOOKUP($A410,'SegEnds_NonXtal_BW#'!$A:$Z,24,FALSE)+VLOOKUP($A410,A:AL,34,FALSE)-50))</f>
        <v>299</v>
      </c>
      <c r="AJ410" s="3">
        <f>IF(ISERROR(VLOOKUP($A410,'SegEnds_NonXtal_BW#'!$A:$Z,25,FALSE)+VLOOKUP($A410,A:AL,37,FALSE)-50),"-",(VLOOKUP($A410,'SegEnds_NonXtal_BW#'!$A:$Z,25,FALSE)+VLOOKUP($A410,A:AL,37,FALSE)-50))</f>
        <v>300</v>
      </c>
      <c r="AK410" s="3">
        <v>303</v>
      </c>
      <c r="AL410" s="3">
        <f>IF(ISERROR((VLOOKUP($A410,'SegEnds_NonXtal_BW#'!$A:$Z,26,FALSE)+VLOOKUP($A410,A:AL,37,FALSE)-50)),"-",(VLOOKUP($A410,'SegEnds_NonXtal_BW#'!$A:$Z,26,FALSE)+VLOOKUP($A410,A:AL,37,FALSE)-50))</f>
        <v>313</v>
      </c>
      <c r="AM410" s="28" t="str">
        <f>VLOOKUP(A410,Classification!A:B,2,FALSE)</f>
        <v>T</v>
      </c>
      <c r="AN410" s="28" t="b">
        <f t="shared" si="292"/>
        <v>1</v>
      </c>
      <c r="AO410" s="3" t="str">
        <f>IF(ISERROR(MATCH(A410,'SegEnds_Xtal_Prot#'!B:B, 0)), "NoXtal", "Xtal")</f>
        <v>NoXtal</v>
      </c>
      <c r="AP410" s="3">
        <f t="shared" si="277"/>
        <v>1</v>
      </c>
      <c r="AQ410" s="3">
        <f t="shared" si="278"/>
        <v>1</v>
      </c>
      <c r="AR410" s="3" t="str">
        <f t="shared" si="279"/>
        <v>-</v>
      </c>
      <c r="AS410" s="3" t="str">
        <f t="shared" si="280"/>
        <v>-</v>
      </c>
      <c r="AT410" s="3">
        <f t="shared" si="281"/>
        <v>3</v>
      </c>
      <c r="AU410" s="3">
        <f t="shared" si="282"/>
        <v>1</v>
      </c>
      <c r="AV410" s="3" t="str">
        <f t="shared" si="283"/>
        <v>-</v>
      </c>
      <c r="AW410" s="3" t="str">
        <f t="shared" si="284"/>
        <v>-</v>
      </c>
      <c r="AX410" s="3">
        <f t="shared" si="285"/>
        <v>10</v>
      </c>
      <c r="AY410" s="3">
        <f t="shared" si="286"/>
        <v>5</v>
      </c>
      <c r="AZ410" s="3">
        <f t="shared" si="287"/>
        <v>1</v>
      </c>
      <c r="BA410" s="3">
        <f>IF(ISERROR(LEN(VLOOKUP(A410,Seqs!A:E,2,FALSE))-AL410),"-",LEN(VLOOKUP(A410,Seqs!A:E,2,FALSE))-AL410)</f>
        <v>5</v>
      </c>
      <c r="BB410" s="16">
        <f t="shared" si="288"/>
        <v>31</v>
      </c>
      <c r="BC410" s="9">
        <f t="shared" si="289"/>
        <v>20</v>
      </c>
      <c r="BD410" s="3">
        <f t="shared" si="290"/>
        <v>31</v>
      </c>
      <c r="BE410" s="3">
        <f t="shared" si="291"/>
        <v>53</v>
      </c>
      <c r="BF410" s="3">
        <f t="shared" si="276"/>
        <v>35</v>
      </c>
    </row>
    <row r="411" spans="1:58" s="3" customFormat="1" x14ac:dyDescent="0.2">
      <c r="A411" s="3" t="s">
        <v>470</v>
      </c>
      <c r="B411" s="3" t="str">
        <f>LOWER(VLOOKUP(A411,Xtal_Templ!A:B,2,FALSE))</f>
        <v>cxcr4_human</v>
      </c>
      <c r="C411" s="3">
        <f>VLOOKUP($A411,'SegEnds_NonXtal_BW#'!$A:$Z,3,FALSE)+D411-50</f>
        <v>6</v>
      </c>
      <c r="D411" s="3">
        <v>24</v>
      </c>
      <c r="E411" s="3">
        <f t="shared" si="271"/>
        <v>36</v>
      </c>
      <c r="F411" s="3">
        <f t="shared" si="272"/>
        <v>37</v>
      </c>
      <c r="G411" s="3">
        <v>39</v>
      </c>
      <c r="H411" s="3">
        <f t="shared" si="273"/>
        <v>40</v>
      </c>
      <c r="I411" s="3">
        <f t="shared" si="273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77</v>
      </c>
      <c r="P411" s="3">
        <v>103</v>
      </c>
      <c r="Q411" s="3">
        <f>VLOOKUP($A411,'SegEnds_NonXtal_BW#'!$A:$Z,12,FALSE)+VLOOKUP($A411,A:AL,16,FALSE)-50</f>
        <v>109</v>
      </c>
      <c r="R411" s="3">
        <f t="shared" si="274"/>
        <v>112</v>
      </c>
      <c r="S411" s="3">
        <v>112</v>
      </c>
      <c r="T411" s="100">
        <f t="shared" si="275"/>
        <v>119</v>
      </c>
      <c r="U411" s="9">
        <f>IF(ISERROR(VLOOKUP($A411,'SegEnds_NonXtal_BW#'!$A:$Z,15,FALSE)+VLOOKUP($A411,A:AL,22,FALSE)-50),"-",VLOOKUP($A411,'SegEnds_NonXtal_BW#'!$A:$Z,15,FALSE)+VLOOKUP($A411,A:AL,22,FALSE)-50)</f>
        <v>120</v>
      </c>
      <c r="V411" s="3">
        <v>132</v>
      </c>
      <c r="W411" s="3">
        <f>IF(ISERROR(VLOOKUP($A411,'SegEnds_NonXtal_BW#'!$A:$Z,16,FALSE)+VLOOKUP($A411,A:AL,22,FALSE)-50),"-",(VLOOKUP($A411,'SegEnds_NonXtal_BW#'!$A:$Z,16,FALSE)+VLOOKUP($A411,A:AL,22,FALSE)-50))</f>
        <v>146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168</v>
      </c>
      <c r="AB411" s="3">
        <v>186</v>
      </c>
      <c r="AC411" s="3">
        <f>IF(ISERROR((VLOOKUP($A411,'SegEnds_NonXtal_BW#'!$A:$Z,20,FALSE)+VLOOKUP($A411,A:AL,28,FALSE)-50)),"-",(VLOOKUP($A411,'SegEnds_NonXtal_BW#'!$A:$Z,20,FALSE)+VLOOKUP($A411,A:AL,28,FALSE)-50))</f>
        <v>208</v>
      </c>
      <c r="AD411" s="3">
        <f>IF(ISERROR(VLOOKUP($A411,'SegEnds_NonXtal_BW#'!$A:$Z,21,FALSE)+VLOOKUP($A411,A:AL,31,FALSE)-50),"-",(VLOOKUP($A411,'SegEnds_NonXtal_BW#'!$A:$Z,21,FALSE)+VLOOKUP($A411,A:AL,31,FALSE)-50))</f>
        <v>218</v>
      </c>
      <c r="AE411" s="3">
        <v>239</v>
      </c>
      <c r="AF411" s="3">
        <f>IF(ISERROR((VLOOKUP($A411,'SegEnds_NonXtal_BW#'!$A:$Z,22,FALSE)+VLOOKUP($A411,A:AL,31,FALSE)-50)),"-",(VLOOKUP($A411,'SegEnds_NonXtal_BW#'!$A:$Z,22,FALSE)+VLOOKUP($A411,A:AL,31,FALSE)-50))</f>
        <v>250</v>
      </c>
      <c r="AG411" s="3">
        <f>IF(ISERROR(VLOOKUP($A411,'SegEnds_NonXtal_BW#'!$A:$Z,23,FALSE)+VLOOKUP($A411,A:AL,34,FALSE)-50),"-",(VLOOKUP($A411,'SegEnds_NonXtal_BW#'!$A:$Z,23,FALSE)+VLOOKUP($A411,A:AL,34,FALSE)-50))</f>
        <v>255</v>
      </c>
      <c r="AH411" s="3">
        <v>274</v>
      </c>
      <c r="AI411" s="3">
        <f>IF(ISERROR((VLOOKUP($A411,'SegEnds_NonXtal_BW#'!$A:$Z,24,FALSE)+VLOOKUP($A411,A:AL,34,FALSE)-50)),"-",(VLOOKUP($A411,'SegEnds_NonXtal_BW#'!$A:$Z,24,FALSE)+VLOOKUP($A411,A:AL,34,FALSE)-50))</f>
        <v>280</v>
      </c>
      <c r="AJ411" s="3">
        <f>IF(ISERROR(VLOOKUP($A411,'SegEnds_NonXtal_BW#'!$A:$Z,25,FALSE)+VLOOKUP($A411,A:AL,37,FALSE)-50),"-",(VLOOKUP($A411,'SegEnds_NonXtal_BW#'!$A:$Z,25,FALSE)+VLOOKUP($A411,A:AL,37,FALSE)-50))</f>
        <v>281</v>
      </c>
      <c r="AK411" s="3">
        <v>284</v>
      </c>
      <c r="AL411" s="3">
        <f>IF(ISERROR((VLOOKUP($A411,'SegEnds_NonXtal_BW#'!$A:$Z,26,FALSE)+VLOOKUP($A411,A:AL,37,FALSE)-50)),"-",(VLOOKUP($A411,'SegEnds_NonXtal_BW#'!$A:$Z,26,FALSE)+VLOOKUP($A411,A:AL,37,FALSE)-50))</f>
        <v>294</v>
      </c>
      <c r="AM411" s="28" t="str">
        <f>VLOOKUP(A411,Classification!A:B,2,FALSE)</f>
        <v>T</v>
      </c>
      <c r="AN411" s="28" t="b">
        <f t="shared" si="292"/>
        <v>1</v>
      </c>
      <c r="AO411" s="3" t="str">
        <f>IF(ISERROR(MATCH(A411,'SegEnds_Xtal_Prot#'!B:B, 0)), "NoXtal", "Xtal")</f>
        <v>NoXtal</v>
      </c>
      <c r="AP411" s="3">
        <f t="shared" si="277"/>
        <v>1</v>
      </c>
      <c r="AQ411" s="3">
        <f t="shared" si="278"/>
        <v>1</v>
      </c>
      <c r="AR411" s="3" t="str">
        <f t="shared" si="279"/>
        <v>-</v>
      </c>
      <c r="AS411" s="3" t="str">
        <f t="shared" si="280"/>
        <v>-</v>
      </c>
      <c r="AT411" s="3">
        <f t="shared" si="281"/>
        <v>3</v>
      </c>
      <c r="AU411" s="3">
        <f t="shared" si="282"/>
        <v>1</v>
      </c>
      <c r="AV411" s="3" t="str">
        <f t="shared" si="283"/>
        <v>-</v>
      </c>
      <c r="AW411" s="3" t="str">
        <f t="shared" si="284"/>
        <v>-</v>
      </c>
      <c r="AX411" s="3">
        <f t="shared" si="285"/>
        <v>10</v>
      </c>
      <c r="AY411" s="3">
        <f t="shared" si="286"/>
        <v>5</v>
      </c>
      <c r="AZ411" s="3">
        <f t="shared" si="287"/>
        <v>1</v>
      </c>
      <c r="BA411" s="3">
        <f>IF(ISERROR(LEN(VLOOKUP(A411,Seqs!A:E,2,FALSE))-AL411),"-",LEN(VLOOKUP(A411,Seqs!A:E,2,FALSE))-AL411)</f>
        <v>5</v>
      </c>
      <c r="BB411" s="16">
        <f t="shared" si="288"/>
        <v>31</v>
      </c>
      <c r="BC411" s="9">
        <f t="shared" si="289"/>
        <v>20</v>
      </c>
      <c r="BD411" s="3">
        <f t="shared" si="290"/>
        <v>31</v>
      </c>
      <c r="BE411" s="3">
        <f t="shared" si="291"/>
        <v>53</v>
      </c>
      <c r="BF411" s="3">
        <f t="shared" si="276"/>
        <v>35</v>
      </c>
    </row>
    <row r="412" spans="1:58" s="3" customFormat="1" x14ac:dyDescent="0.2">
      <c r="A412" s="3" t="s">
        <v>471</v>
      </c>
      <c r="B412" s="3" t="str">
        <f>LOWER(VLOOKUP(A412,Xtal_Templ!A:B,2,FALSE))</f>
        <v>cxcr4_human</v>
      </c>
      <c r="C412" s="3">
        <f>VLOOKUP($A412,'SegEnds_NonXtal_BW#'!$A:$Z,3,FALSE)+D412-50</f>
        <v>6</v>
      </c>
      <c r="D412" s="3">
        <v>24</v>
      </c>
      <c r="E412" s="3">
        <f t="shared" si="271"/>
        <v>36</v>
      </c>
      <c r="F412" s="3">
        <f t="shared" si="272"/>
        <v>37</v>
      </c>
      <c r="G412" s="3">
        <v>39</v>
      </c>
      <c r="H412" s="3">
        <f t="shared" si="273"/>
        <v>40</v>
      </c>
      <c r="I412" s="3">
        <f t="shared" si="273"/>
        <v>41</v>
      </c>
      <c r="J412" s="3">
        <v>55</v>
      </c>
      <c r="K412" s="3">
        <f>VLOOKUP($A412,'SegEnds_NonXtal_BW#'!$A:$Z,8,FALSE)+VLOOKUP($A412,A:AL,10,FALSE)-50</f>
        <v>72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78</v>
      </c>
      <c r="P412" s="3">
        <v>107</v>
      </c>
      <c r="Q412" s="3">
        <f>VLOOKUP($A412,'SegEnds_NonXtal_BW#'!$A:$Z,12,FALSE)+VLOOKUP($A412,A:AL,16,FALSE)-50</f>
        <v>113</v>
      </c>
      <c r="R412" s="3">
        <f t="shared" si="274"/>
        <v>116</v>
      </c>
      <c r="S412" s="3">
        <v>116</v>
      </c>
      <c r="T412" s="100">
        <f t="shared" si="275"/>
        <v>123</v>
      </c>
      <c r="U412" s="9">
        <f>IF(ISERROR(VLOOKUP($A412,'SegEnds_NonXtal_BW#'!$A:$Z,15,FALSE)+VLOOKUP($A412,A:AL,22,FALSE)-50),"-",VLOOKUP($A412,'SegEnds_NonXtal_BW#'!$A:$Z,15,FALSE)+VLOOKUP($A412,A:AL,22,FALSE)-50)</f>
        <v>124</v>
      </c>
      <c r="V412" s="3">
        <v>136</v>
      </c>
      <c r="W412" s="3">
        <f>IF(ISERROR(VLOOKUP($A412,'SegEnds_NonXtal_BW#'!$A:$Z,16,FALSE)+VLOOKUP($A412,A:AL,22,FALSE)-50),"-",(VLOOKUP($A412,'SegEnds_NonXtal_BW#'!$A:$Z,16,FALSE)+VLOOKUP($A412,A:AL,22,FALSE)-50))</f>
        <v>150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174</v>
      </c>
      <c r="AB412" s="3">
        <v>192</v>
      </c>
      <c r="AC412" s="3">
        <f>IF(ISERROR((VLOOKUP($A412,'SegEnds_NonXtal_BW#'!$A:$Z,20,FALSE)+VLOOKUP($A412,A:AL,28,FALSE)-50)),"-",(VLOOKUP($A412,'SegEnds_NonXtal_BW#'!$A:$Z,20,FALSE)+VLOOKUP($A412,A:AL,28,FALSE)-50))</f>
        <v>214</v>
      </c>
      <c r="AD412" s="3">
        <f>IF(ISERROR(VLOOKUP($A412,'SegEnds_NonXtal_BW#'!$A:$Z,21,FALSE)+VLOOKUP($A412,A:AL,31,FALSE)-50),"-",(VLOOKUP($A412,'SegEnds_NonXtal_BW#'!$A:$Z,21,FALSE)+VLOOKUP($A412,A:AL,31,FALSE)-50))</f>
        <v>224</v>
      </c>
      <c r="AE412" s="3">
        <v>245</v>
      </c>
      <c r="AF412" s="3">
        <f>IF(ISERROR((VLOOKUP($A412,'SegEnds_NonXtal_BW#'!$A:$Z,22,FALSE)+VLOOKUP($A412,A:AL,31,FALSE)-50)),"-",(VLOOKUP($A412,'SegEnds_NonXtal_BW#'!$A:$Z,22,FALSE)+VLOOKUP($A412,A:AL,31,FALSE)-50))</f>
        <v>256</v>
      </c>
      <c r="AG412" s="3">
        <f>IF(ISERROR(VLOOKUP($A412,'SegEnds_NonXtal_BW#'!$A:$Z,23,FALSE)+VLOOKUP($A412,A:AL,34,FALSE)-50),"-",(VLOOKUP($A412,'SegEnds_NonXtal_BW#'!$A:$Z,23,FALSE)+VLOOKUP($A412,A:AL,34,FALSE)-50))</f>
        <v>262</v>
      </c>
      <c r="AH412" s="3">
        <v>281</v>
      </c>
      <c r="AI412" s="3">
        <f>IF(ISERROR((VLOOKUP($A412,'SegEnds_NonXtal_BW#'!$A:$Z,24,FALSE)+VLOOKUP($A412,A:AL,34,FALSE)-50)),"-",(VLOOKUP($A412,'SegEnds_NonXtal_BW#'!$A:$Z,24,FALSE)+VLOOKUP($A412,A:AL,34,FALSE)-50))</f>
        <v>287</v>
      </c>
      <c r="AJ412" s="3">
        <f>IF(ISERROR(VLOOKUP($A412,'SegEnds_NonXtal_BW#'!$A:$Z,25,FALSE)+VLOOKUP($A412,A:AL,37,FALSE)-50),"-",(VLOOKUP($A412,'SegEnds_NonXtal_BW#'!$A:$Z,25,FALSE)+VLOOKUP($A412,A:AL,37,FALSE)-50))</f>
        <v>288</v>
      </c>
      <c r="AK412" s="3">
        <v>291</v>
      </c>
      <c r="AL412" s="3">
        <f>IF(ISERROR((VLOOKUP($A412,'SegEnds_NonXtal_BW#'!$A:$Z,26,FALSE)+VLOOKUP($A412,A:AL,37,FALSE)-50)),"-",(VLOOKUP($A412,'SegEnds_NonXtal_BW#'!$A:$Z,26,FALSE)+VLOOKUP($A412,A:AL,37,FALSE)-50))</f>
        <v>301</v>
      </c>
      <c r="AM412" s="28" t="str">
        <f>VLOOKUP(A412,Classification!A:B,2,FALSE)</f>
        <v>T</v>
      </c>
      <c r="AN412" s="28" t="b">
        <f t="shared" si="292"/>
        <v>1</v>
      </c>
      <c r="AO412" s="3" t="str">
        <f>IF(ISERROR(MATCH(A412,'SegEnds_Xtal_Prot#'!B:B, 0)), "NoXtal", "Xtal")</f>
        <v>NoXtal</v>
      </c>
      <c r="AP412" s="3">
        <f t="shared" si="277"/>
        <v>1</v>
      </c>
      <c r="AQ412" s="3">
        <f t="shared" si="278"/>
        <v>1</v>
      </c>
      <c r="AR412" s="3" t="str">
        <f t="shared" si="279"/>
        <v>-</v>
      </c>
      <c r="AS412" s="3" t="str">
        <f t="shared" si="280"/>
        <v>-</v>
      </c>
      <c r="AT412" s="3">
        <f t="shared" si="281"/>
        <v>3</v>
      </c>
      <c r="AU412" s="3">
        <f t="shared" si="282"/>
        <v>1</v>
      </c>
      <c r="AV412" s="3" t="str">
        <f t="shared" si="283"/>
        <v>-</v>
      </c>
      <c r="AW412" s="3" t="str">
        <f t="shared" si="284"/>
        <v>-</v>
      </c>
      <c r="AX412" s="3">
        <f t="shared" si="285"/>
        <v>10</v>
      </c>
      <c r="AY412" s="3">
        <f t="shared" si="286"/>
        <v>6</v>
      </c>
      <c r="AZ412" s="3">
        <f t="shared" si="287"/>
        <v>1</v>
      </c>
      <c r="BA412" s="3">
        <f>IF(ISERROR(LEN(VLOOKUP(A412,Seqs!A:E,2,FALSE))-AL412),"-",LEN(VLOOKUP(A412,Seqs!A:E,2,FALSE))-AL412)</f>
        <v>15</v>
      </c>
      <c r="BB412" s="16">
        <f t="shared" si="288"/>
        <v>31</v>
      </c>
      <c r="BC412" s="9">
        <f t="shared" si="289"/>
        <v>20</v>
      </c>
      <c r="BD412" s="3">
        <f t="shared" si="290"/>
        <v>31</v>
      </c>
      <c r="BE412" s="3">
        <f t="shared" si="291"/>
        <v>53</v>
      </c>
      <c r="BF412" s="3">
        <f t="shared" si="276"/>
        <v>36</v>
      </c>
    </row>
    <row r="413" spans="1:58" s="3" customFormat="1" x14ac:dyDescent="0.2">
      <c r="A413" s="3" t="s">
        <v>472</v>
      </c>
      <c r="B413" s="3" t="str">
        <f>LOWER(VLOOKUP(A413,Xtal_Templ!A:B,2,FALSE))</f>
        <v>5ht1b_human</v>
      </c>
      <c r="C413" s="3">
        <f>VLOOKUP($A413,'SegEnds_NonXtal_BW#'!$A:$Z,3,FALSE)+D413-50</f>
        <v>6</v>
      </c>
      <c r="D413" s="3">
        <v>24</v>
      </c>
      <c r="E413" s="3">
        <f t="shared" si="271"/>
        <v>36</v>
      </c>
      <c r="F413" s="3">
        <f t="shared" si="272"/>
        <v>37</v>
      </c>
      <c r="G413" s="3">
        <v>39</v>
      </c>
      <c r="H413" s="3">
        <f t="shared" si="273"/>
        <v>40</v>
      </c>
      <c r="I413" s="3">
        <f t="shared" si="273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77</v>
      </c>
      <c r="P413" s="3">
        <v>106</v>
      </c>
      <c r="Q413" s="3">
        <f>VLOOKUP($A413,'SegEnds_NonXtal_BW#'!$A:$Z,12,FALSE)+VLOOKUP($A413,A:AL,16,FALSE)-50</f>
        <v>112</v>
      </c>
      <c r="R413" s="3">
        <f t="shared" si="274"/>
        <v>115</v>
      </c>
      <c r="S413" s="3">
        <v>115</v>
      </c>
      <c r="T413" s="100">
        <f t="shared" si="275"/>
        <v>122</v>
      </c>
      <c r="U413" s="9">
        <f>IF(ISERROR(VLOOKUP($A413,'SegEnds_NonXtal_BW#'!$A:$Z,15,FALSE)+VLOOKUP($A413,A:AL,22,FALSE)-50),"-",VLOOKUP($A413,'SegEnds_NonXtal_BW#'!$A:$Z,15,FALSE)+VLOOKUP($A413,A:AL,22,FALSE)-50)</f>
        <v>123</v>
      </c>
      <c r="V413" s="3">
        <v>135</v>
      </c>
      <c r="W413" s="3">
        <f>IF(ISERROR(VLOOKUP($A413,'SegEnds_NonXtal_BW#'!$A:$Z,16,FALSE)+VLOOKUP($A413,A:AL,22,FALSE)-50),"-",(VLOOKUP($A413,'SegEnds_NonXtal_BW#'!$A:$Z,16,FALSE)+VLOOKUP($A413,A:AL,22,FALSE)-50))</f>
        <v>148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170</v>
      </c>
      <c r="AB413" s="3">
        <v>188</v>
      </c>
      <c r="AC413" s="3">
        <f>IF(ISERROR((VLOOKUP($A413,'SegEnds_NonXtal_BW#'!$A:$Z,20,FALSE)+VLOOKUP($A413,A:AL,28,FALSE)-50)),"-",(VLOOKUP($A413,'SegEnds_NonXtal_BW#'!$A:$Z,20,FALSE)+VLOOKUP($A413,A:AL,28,FALSE)-50))</f>
        <v>210</v>
      </c>
      <c r="AD413" s="3">
        <f>IF(ISERROR(VLOOKUP($A413,'SegEnds_NonXtal_BW#'!$A:$Z,21,FALSE)+VLOOKUP($A413,A:AL,31,FALSE)-50),"-",(VLOOKUP($A413,'SegEnds_NonXtal_BW#'!$A:$Z,21,FALSE)+VLOOKUP($A413,A:AL,31,FALSE)-50))</f>
        <v>220</v>
      </c>
      <c r="AE413" s="3">
        <v>241</v>
      </c>
      <c r="AF413" s="3">
        <f>IF(ISERROR((VLOOKUP($A413,'SegEnds_NonXtal_BW#'!$A:$Z,22,FALSE)+VLOOKUP($A413,A:AL,31,FALSE)-50)),"-",(VLOOKUP($A413,'SegEnds_NonXtal_BW#'!$A:$Z,22,FALSE)+VLOOKUP($A413,A:AL,31,FALSE)-50))</f>
        <v>252</v>
      </c>
      <c r="AG413" s="3">
        <f>IF(ISERROR(VLOOKUP($A413,'SegEnds_NonXtal_BW#'!$A:$Z,23,FALSE)+VLOOKUP($A413,A:AL,34,FALSE)-50),"-",(VLOOKUP($A413,'SegEnds_NonXtal_BW#'!$A:$Z,23,FALSE)+VLOOKUP($A413,A:AL,34,FALSE)-50))</f>
        <v>258</v>
      </c>
      <c r="AH413" s="3">
        <v>277</v>
      </c>
      <c r="AI413" s="3">
        <f>IF(ISERROR((VLOOKUP($A413,'SegEnds_NonXtal_BW#'!$A:$Z,24,FALSE)+VLOOKUP($A413,A:AL,34,FALSE)-50)),"-",(VLOOKUP($A413,'SegEnds_NonXtal_BW#'!$A:$Z,24,FALSE)+VLOOKUP($A413,A:AL,34,FALSE)-50))</f>
        <v>283</v>
      </c>
      <c r="AJ413" s="3">
        <f>IF(ISERROR(VLOOKUP($A413,'SegEnds_NonXtal_BW#'!$A:$Z,25,FALSE)+VLOOKUP($A413,A:AL,37,FALSE)-50),"-",(VLOOKUP($A413,'SegEnds_NonXtal_BW#'!$A:$Z,25,FALSE)+VLOOKUP($A413,A:AL,37,FALSE)-50))</f>
        <v>284</v>
      </c>
      <c r="AK413" s="3">
        <v>287</v>
      </c>
      <c r="AL413" s="3">
        <f>IF(ISERROR((VLOOKUP($A413,'SegEnds_NonXtal_BW#'!$A:$Z,26,FALSE)+VLOOKUP($A413,A:AL,37,FALSE)-50)),"-",(VLOOKUP($A413,'SegEnds_NonXtal_BW#'!$A:$Z,26,FALSE)+VLOOKUP($A413,A:AL,37,FALSE)-50))</f>
        <v>297</v>
      </c>
      <c r="AM413" s="28" t="str">
        <f>VLOOKUP(A413,Classification!A:B,2,FALSE)</f>
        <v>T</v>
      </c>
      <c r="AN413" s="28" t="b">
        <f t="shared" si="292"/>
        <v>1</v>
      </c>
      <c r="AO413" s="3" t="str">
        <f>IF(ISERROR(MATCH(A413,'SegEnds_Xtal_Prot#'!B:B, 0)), "NoXtal", "Xtal")</f>
        <v>NoXtal</v>
      </c>
      <c r="AP413" s="3">
        <f t="shared" si="277"/>
        <v>1</v>
      </c>
      <c r="AQ413" s="3">
        <f t="shared" si="278"/>
        <v>1</v>
      </c>
      <c r="AR413" s="3" t="str">
        <f t="shared" si="279"/>
        <v>-</v>
      </c>
      <c r="AS413" s="3" t="str">
        <f t="shared" si="280"/>
        <v>-</v>
      </c>
      <c r="AT413" s="3">
        <f t="shared" si="281"/>
        <v>3</v>
      </c>
      <c r="AU413" s="3">
        <f t="shared" si="282"/>
        <v>1</v>
      </c>
      <c r="AV413" s="3" t="str">
        <f t="shared" si="283"/>
        <v>-</v>
      </c>
      <c r="AW413" s="3" t="str">
        <f t="shared" si="284"/>
        <v>-</v>
      </c>
      <c r="AX413" s="3">
        <f t="shared" si="285"/>
        <v>10</v>
      </c>
      <c r="AY413" s="3">
        <f t="shared" si="286"/>
        <v>6</v>
      </c>
      <c r="AZ413" s="3">
        <f t="shared" si="287"/>
        <v>1</v>
      </c>
      <c r="BA413" s="3">
        <f>IF(ISERROR(LEN(VLOOKUP(A413,Seqs!A:E,2,FALSE))-AL413),"-",LEN(VLOOKUP(A413,Seqs!A:E,2,FALSE))-AL413)</f>
        <v>2</v>
      </c>
      <c r="BB413" s="16">
        <f t="shared" si="288"/>
        <v>31</v>
      </c>
      <c r="BC413" s="9">
        <f t="shared" si="289"/>
        <v>20</v>
      </c>
      <c r="BD413" s="3">
        <f t="shared" si="290"/>
        <v>31</v>
      </c>
      <c r="BE413" s="3">
        <f t="shared" si="291"/>
        <v>53</v>
      </c>
      <c r="BF413" s="3">
        <f t="shared" si="276"/>
        <v>36</v>
      </c>
    </row>
    <row r="414" spans="1:58" s="3" customFormat="1" x14ac:dyDescent="0.2">
      <c r="A414" s="3" t="s">
        <v>473</v>
      </c>
      <c r="B414" s="3" t="str">
        <f>LOWER(VLOOKUP(A414,Xtal_Templ!A:B,2,FALSE))</f>
        <v>hrh1_human</v>
      </c>
      <c r="C414" s="3">
        <f>VLOOKUP($A414,'SegEnds_NonXtal_BW#'!$A:$Z,3,FALSE)+D414-50</f>
        <v>6</v>
      </c>
      <c r="D414" s="3">
        <v>24</v>
      </c>
      <c r="E414" s="3">
        <f t="shared" si="271"/>
        <v>36</v>
      </c>
      <c r="F414" s="3">
        <f t="shared" si="272"/>
        <v>37</v>
      </c>
      <c r="G414" s="3">
        <v>39</v>
      </c>
      <c r="H414" s="3">
        <f t="shared" si="273"/>
        <v>40</v>
      </c>
      <c r="I414" s="3">
        <f t="shared" si="273"/>
        <v>41</v>
      </c>
      <c r="J414" s="3">
        <v>55</v>
      </c>
      <c r="K414" s="3">
        <f>VLOOKUP($A414,'SegEnds_NonXtal_BW#'!$A:$Z,8,FALSE)+VLOOKUP($A414,A:AL,10,FALSE)-50</f>
        <v>71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77</v>
      </c>
      <c r="P414" s="3">
        <v>103</v>
      </c>
      <c r="Q414" s="3">
        <f>VLOOKUP($A414,'SegEnds_NonXtal_BW#'!$A:$Z,12,FALSE)+VLOOKUP($A414,A:AL,16,FALSE)-50</f>
        <v>109</v>
      </c>
      <c r="R414" s="3">
        <f t="shared" si="274"/>
        <v>112</v>
      </c>
      <c r="S414" s="3">
        <v>112</v>
      </c>
      <c r="T414" s="100">
        <f t="shared" si="275"/>
        <v>119</v>
      </c>
      <c r="U414" s="9">
        <f>IF(ISERROR(VLOOKUP($A414,'SegEnds_NonXtal_BW#'!$A:$Z,15,FALSE)+VLOOKUP($A414,A:AL,22,FALSE)-50),"-",VLOOKUP($A414,'SegEnds_NonXtal_BW#'!$A:$Z,15,FALSE)+VLOOKUP($A414,A:AL,22,FALSE)-50)</f>
        <v>120</v>
      </c>
      <c r="V414" s="3">
        <v>132</v>
      </c>
      <c r="W414" s="3">
        <f>IF(ISERROR(VLOOKUP($A414,'SegEnds_NonXtal_BW#'!$A:$Z,16,FALSE)+VLOOKUP($A414,A:AL,22,FALSE)-50),"-",(VLOOKUP($A414,'SegEnds_NonXtal_BW#'!$A:$Z,16,FALSE)+VLOOKUP($A414,A:AL,22,FALSE)-50))</f>
        <v>144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162</v>
      </c>
      <c r="AB414" s="3">
        <v>180</v>
      </c>
      <c r="AC414" s="3">
        <f>IF(ISERROR((VLOOKUP($A414,'SegEnds_NonXtal_BW#'!$A:$Z,20,FALSE)+VLOOKUP($A414,A:AL,28,FALSE)-50)),"-",(VLOOKUP($A414,'SegEnds_NonXtal_BW#'!$A:$Z,20,FALSE)+VLOOKUP($A414,A:AL,28,FALSE)-50))</f>
        <v>202</v>
      </c>
      <c r="AD414" s="3">
        <f>IF(ISERROR(VLOOKUP($A414,'SegEnds_NonXtal_BW#'!$A:$Z,21,FALSE)+VLOOKUP($A414,A:AL,31,FALSE)-50),"-",(VLOOKUP($A414,'SegEnds_NonXtal_BW#'!$A:$Z,21,FALSE)+VLOOKUP($A414,A:AL,31,FALSE)-50))</f>
        <v>212</v>
      </c>
      <c r="AE414" s="3">
        <v>233</v>
      </c>
      <c r="AF414" s="3">
        <f>IF(ISERROR((VLOOKUP($A414,'SegEnds_NonXtal_BW#'!$A:$Z,22,FALSE)+VLOOKUP($A414,A:AL,31,FALSE)-50)),"-",(VLOOKUP($A414,'SegEnds_NonXtal_BW#'!$A:$Z,22,FALSE)+VLOOKUP($A414,A:AL,31,FALSE)-50))</f>
        <v>244</v>
      </c>
      <c r="AG414" s="3">
        <f>IF(ISERROR(VLOOKUP($A414,'SegEnds_NonXtal_BW#'!$A:$Z,23,FALSE)+VLOOKUP($A414,A:AL,34,FALSE)-50),"-",(VLOOKUP($A414,'SegEnds_NonXtal_BW#'!$A:$Z,23,FALSE)+VLOOKUP($A414,A:AL,34,FALSE)-50))</f>
        <v>250</v>
      </c>
      <c r="AH414" s="3">
        <v>269</v>
      </c>
      <c r="AI414" s="3">
        <f>IF(ISERROR((VLOOKUP($A414,'SegEnds_NonXtal_BW#'!$A:$Z,24,FALSE)+VLOOKUP($A414,A:AL,34,FALSE)-50)),"-",(VLOOKUP($A414,'SegEnds_NonXtal_BW#'!$A:$Z,24,FALSE)+VLOOKUP($A414,A:AL,34,FALSE)-50))</f>
        <v>275</v>
      </c>
      <c r="AJ414" s="3">
        <f>IF(ISERROR(VLOOKUP($A414,'SegEnds_NonXtal_BW#'!$A:$Z,25,FALSE)+VLOOKUP($A414,A:AL,37,FALSE)-50),"-",(VLOOKUP($A414,'SegEnds_NonXtal_BW#'!$A:$Z,25,FALSE)+VLOOKUP($A414,A:AL,37,FALSE)-50))</f>
        <v>276</v>
      </c>
      <c r="AK414" s="3">
        <v>279</v>
      </c>
      <c r="AL414" s="3">
        <f>IF(ISERROR((VLOOKUP($A414,'SegEnds_NonXtal_BW#'!$A:$Z,26,FALSE)+VLOOKUP($A414,A:AL,37,FALSE)-50)),"-",(VLOOKUP($A414,'SegEnds_NonXtal_BW#'!$A:$Z,26,FALSE)+VLOOKUP($A414,A:AL,37,FALSE)-50))</f>
        <v>289</v>
      </c>
      <c r="AM414" s="28" t="str">
        <f>VLOOKUP(A414,Classification!A:B,2,FALSE)</f>
        <v>T</v>
      </c>
      <c r="AN414" s="28" t="b">
        <f t="shared" si="292"/>
        <v>1</v>
      </c>
      <c r="AO414" s="3" t="str">
        <f>IF(ISERROR(MATCH(A414,'SegEnds_Xtal_Prot#'!B:B, 0)), "NoXtal", "Xtal")</f>
        <v>NoXtal</v>
      </c>
      <c r="AP414" s="3">
        <f t="shared" si="277"/>
        <v>1</v>
      </c>
      <c r="AQ414" s="3">
        <f t="shared" si="278"/>
        <v>1</v>
      </c>
      <c r="AR414" s="3" t="str">
        <f t="shared" si="279"/>
        <v>-</v>
      </c>
      <c r="AS414" s="3" t="str">
        <f t="shared" si="280"/>
        <v>-</v>
      </c>
      <c r="AT414" s="3">
        <f t="shared" si="281"/>
        <v>3</v>
      </c>
      <c r="AU414" s="3">
        <f t="shared" si="282"/>
        <v>1</v>
      </c>
      <c r="AV414" s="3" t="str">
        <f t="shared" si="283"/>
        <v>-</v>
      </c>
      <c r="AW414" s="3" t="str">
        <f t="shared" si="284"/>
        <v>-</v>
      </c>
      <c r="AX414" s="3">
        <f t="shared" si="285"/>
        <v>10</v>
      </c>
      <c r="AY414" s="3">
        <f t="shared" si="286"/>
        <v>6</v>
      </c>
      <c r="AZ414" s="3">
        <f t="shared" si="287"/>
        <v>1</v>
      </c>
      <c r="BA414" s="3">
        <f>IF(ISERROR(LEN(VLOOKUP(A414,Seqs!A:E,2,FALSE))-AL414),"-",LEN(VLOOKUP(A414,Seqs!A:E,2,FALSE))-AL414)</f>
        <v>10</v>
      </c>
      <c r="BB414" s="16">
        <f t="shared" si="288"/>
        <v>31</v>
      </c>
      <c r="BC414" s="9">
        <f t="shared" si="289"/>
        <v>20</v>
      </c>
      <c r="BD414" s="3">
        <f t="shared" si="290"/>
        <v>31</v>
      </c>
      <c r="BE414" s="3">
        <f t="shared" si="291"/>
        <v>53</v>
      </c>
      <c r="BF414" s="3">
        <f t="shared" si="276"/>
        <v>36</v>
      </c>
    </row>
    <row r="415" spans="1:58" s="3" customFormat="1" x14ac:dyDescent="0.2">
      <c r="A415" s="3" t="s">
        <v>474</v>
      </c>
      <c r="B415" s="3" t="str">
        <f>LOWER(VLOOKUP(A415,Xtal_Templ!A:B,2,FALSE))</f>
        <v>drd2_human</v>
      </c>
      <c r="C415" s="3">
        <f>VLOOKUP($A415,'SegEnds_NonXtal_BW#'!$A:$Z,3,FALSE)+D415-50</f>
        <v>6</v>
      </c>
      <c r="D415" s="3">
        <v>24</v>
      </c>
      <c r="E415" s="3">
        <f t="shared" si="271"/>
        <v>36</v>
      </c>
      <c r="F415" s="3">
        <f t="shared" si="272"/>
        <v>37</v>
      </c>
      <c r="G415" s="3">
        <v>39</v>
      </c>
      <c r="H415" s="3">
        <f t="shared" si="273"/>
        <v>40</v>
      </c>
      <c r="I415" s="3">
        <f t="shared" si="273"/>
        <v>41</v>
      </c>
      <c r="J415" s="3">
        <v>55</v>
      </c>
      <c r="K415" s="3">
        <f>VLOOKUP($A415,'SegEnds_NonXtal_BW#'!$A:$Z,8,FALSE)+VLOOKUP($A415,A:AL,10,FALSE)-50</f>
        <v>72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78</v>
      </c>
      <c r="P415" s="3">
        <v>107</v>
      </c>
      <c r="Q415" s="3">
        <f>VLOOKUP($A415,'SegEnds_NonXtal_BW#'!$A:$Z,12,FALSE)+VLOOKUP($A415,A:AL,16,FALSE)-50</f>
        <v>113</v>
      </c>
      <c r="R415" s="3">
        <f t="shared" si="274"/>
        <v>116</v>
      </c>
      <c r="S415" s="3">
        <v>116</v>
      </c>
      <c r="T415" s="100">
        <f t="shared" si="275"/>
        <v>123</v>
      </c>
      <c r="U415" s="9">
        <f>IF(ISERROR(VLOOKUP($A415,'SegEnds_NonXtal_BW#'!$A:$Z,15,FALSE)+VLOOKUP($A415,A:AL,22,FALSE)-50),"-",VLOOKUP($A415,'SegEnds_NonXtal_BW#'!$A:$Z,15,FALSE)+VLOOKUP($A415,A:AL,22,FALSE)-50)</f>
        <v>124</v>
      </c>
      <c r="V415" s="3">
        <v>136</v>
      </c>
      <c r="W415" s="3">
        <f>IF(ISERROR(VLOOKUP($A415,'SegEnds_NonXtal_BW#'!$A:$Z,16,FALSE)+VLOOKUP($A415,A:AL,22,FALSE)-50),"-",(VLOOKUP($A415,'SegEnds_NonXtal_BW#'!$A:$Z,16,FALSE)+VLOOKUP($A415,A:AL,22,FALSE)-50))</f>
        <v>148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175</v>
      </c>
      <c r="AB415" s="3">
        <v>193</v>
      </c>
      <c r="AC415" s="3">
        <f>IF(ISERROR((VLOOKUP($A415,'SegEnds_NonXtal_BW#'!$A:$Z,20,FALSE)+VLOOKUP($A415,A:AL,28,FALSE)-50)),"-",(VLOOKUP($A415,'SegEnds_NonXtal_BW#'!$A:$Z,20,FALSE)+VLOOKUP($A415,A:AL,28,FALSE)-50))</f>
        <v>215</v>
      </c>
      <c r="AD415" s="3">
        <f>IF(ISERROR(VLOOKUP($A415,'SegEnds_NonXtal_BW#'!$A:$Z,21,FALSE)+VLOOKUP($A415,A:AL,31,FALSE)-50),"-",(VLOOKUP($A415,'SegEnds_NonXtal_BW#'!$A:$Z,21,FALSE)+VLOOKUP($A415,A:AL,31,FALSE)-50))</f>
        <v>225</v>
      </c>
      <c r="AE415" s="3">
        <v>246</v>
      </c>
      <c r="AF415" s="3">
        <f>IF(ISERROR((VLOOKUP($A415,'SegEnds_NonXtal_BW#'!$A:$Z,22,FALSE)+VLOOKUP($A415,A:AL,31,FALSE)-50)),"-",(VLOOKUP($A415,'SegEnds_NonXtal_BW#'!$A:$Z,22,FALSE)+VLOOKUP($A415,A:AL,31,FALSE)-50))</f>
        <v>257</v>
      </c>
      <c r="AG415" s="3">
        <f>IF(ISERROR(VLOOKUP($A415,'SegEnds_NonXtal_BW#'!$A:$Z,23,FALSE)+VLOOKUP($A415,A:AL,34,FALSE)-50),"-",(VLOOKUP($A415,'SegEnds_NonXtal_BW#'!$A:$Z,23,FALSE)+VLOOKUP($A415,A:AL,34,FALSE)-50))</f>
        <v>263</v>
      </c>
      <c r="AH415" s="3">
        <v>282</v>
      </c>
      <c r="AI415" s="3">
        <f>IF(ISERROR((VLOOKUP($A415,'SegEnds_NonXtal_BW#'!$A:$Z,24,FALSE)+VLOOKUP($A415,A:AL,34,FALSE)-50)),"-",(VLOOKUP($A415,'SegEnds_NonXtal_BW#'!$A:$Z,24,FALSE)+VLOOKUP($A415,A:AL,34,FALSE)-50))</f>
        <v>288</v>
      </c>
      <c r="AJ415" s="3">
        <f>IF(ISERROR(VLOOKUP($A415,'SegEnds_NonXtal_BW#'!$A:$Z,25,FALSE)+VLOOKUP($A415,A:AL,37,FALSE)-50),"-",(VLOOKUP($A415,'SegEnds_NonXtal_BW#'!$A:$Z,25,FALSE)+VLOOKUP($A415,A:AL,37,FALSE)-50))</f>
        <v>289</v>
      </c>
      <c r="AK415" s="3">
        <v>292</v>
      </c>
      <c r="AL415" s="3">
        <f>IF(ISERROR((VLOOKUP($A415,'SegEnds_NonXtal_BW#'!$A:$Z,26,FALSE)+VLOOKUP($A415,A:AL,37,FALSE)-50)),"-",(VLOOKUP($A415,'SegEnds_NonXtal_BW#'!$A:$Z,26,FALSE)+VLOOKUP($A415,A:AL,37,FALSE)-50))</f>
        <v>302</v>
      </c>
      <c r="AM415" s="28" t="str">
        <f>VLOOKUP(A415,Classification!A:B,2,FALSE)</f>
        <v>T</v>
      </c>
      <c r="AN415" s="28" t="b">
        <f t="shared" si="292"/>
        <v>1</v>
      </c>
      <c r="AO415" s="3" t="str">
        <f>IF(ISERROR(MATCH(A415,'SegEnds_Xtal_Prot#'!B:B, 0)), "NoXtal", "Xtal")</f>
        <v>NoXtal</v>
      </c>
      <c r="AP415" s="3">
        <f t="shared" si="277"/>
        <v>1</v>
      </c>
      <c r="AQ415" s="3">
        <f t="shared" si="278"/>
        <v>1</v>
      </c>
      <c r="AR415" s="3" t="str">
        <f t="shared" si="279"/>
        <v>-</v>
      </c>
      <c r="AS415" s="3" t="str">
        <f t="shared" si="280"/>
        <v>-</v>
      </c>
      <c r="AT415" s="3">
        <f t="shared" si="281"/>
        <v>3</v>
      </c>
      <c r="AU415" s="3">
        <f t="shared" si="282"/>
        <v>1</v>
      </c>
      <c r="AV415" s="3" t="str">
        <f t="shared" si="283"/>
        <v>-</v>
      </c>
      <c r="AW415" s="3" t="str">
        <f t="shared" si="284"/>
        <v>-</v>
      </c>
      <c r="AX415" s="3">
        <f t="shared" si="285"/>
        <v>10</v>
      </c>
      <c r="AY415" s="3">
        <f t="shared" si="286"/>
        <v>6</v>
      </c>
      <c r="AZ415" s="3">
        <f t="shared" si="287"/>
        <v>1</v>
      </c>
      <c r="BA415" s="3">
        <f>IF(ISERROR(LEN(VLOOKUP(A415,Seqs!A:E,2,FALSE))-AL415),"-",LEN(VLOOKUP(A415,Seqs!A:E,2,FALSE))-AL415)</f>
        <v>16</v>
      </c>
      <c r="BB415" s="16">
        <f t="shared" si="288"/>
        <v>31</v>
      </c>
      <c r="BC415" s="9">
        <f t="shared" si="289"/>
        <v>20</v>
      </c>
      <c r="BD415" s="3">
        <f t="shared" si="290"/>
        <v>31</v>
      </c>
      <c r="BE415" s="3">
        <f t="shared" si="291"/>
        <v>53</v>
      </c>
      <c r="BF415" s="3">
        <f t="shared" si="276"/>
        <v>36</v>
      </c>
    </row>
    <row r="416" spans="1:58" s="3" customFormat="1" x14ac:dyDescent="0.2">
      <c r="A416" s="3" t="s">
        <v>475</v>
      </c>
      <c r="B416" s="3" t="str">
        <f>LOWER(VLOOKUP(A416,Xtal_Templ!A:B,2,FALSE))</f>
        <v>drd2_human</v>
      </c>
      <c r="C416" s="3">
        <f>VLOOKUP($A416,'SegEnds_NonXtal_BW#'!$A:$Z,3,FALSE)+D416-50</f>
        <v>6</v>
      </c>
      <c r="D416" s="3">
        <v>24</v>
      </c>
      <c r="E416" s="3">
        <f t="shared" si="271"/>
        <v>36</v>
      </c>
      <c r="F416" s="3">
        <f t="shared" si="272"/>
        <v>37</v>
      </c>
      <c r="G416" s="3">
        <v>39</v>
      </c>
      <c r="H416" s="3">
        <f t="shared" si="273"/>
        <v>40</v>
      </c>
      <c r="I416" s="3">
        <f t="shared" si="273"/>
        <v>41</v>
      </c>
      <c r="J416" s="3">
        <v>55</v>
      </c>
      <c r="K416" s="3">
        <f>VLOOKUP($A416,'SegEnds_NonXtal_BW#'!$A:$Z,8,FALSE)+VLOOKUP($A416,A:AL,10,FALSE)-50</f>
        <v>71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75</v>
      </c>
      <c r="P416" s="3">
        <v>107</v>
      </c>
      <c r="Q416" s="3">
        <f>VLOOKUP($A416,'SegEnds_NonXtal_BW#'!$A:$Z,12,FALSE)+VLOOKUP($A416,A:AL,16,FALSE)-50</f>
        <v>113</v>
      </c>
      <c r="R416" s="3">
        <f t="shared" si="274"/>
        <v>116</v>
      </c>
      <c r="S416" s="3">
        <v>116</v>
      </c>
      <c r="T416" s="100">
        <f t="shared" si="275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148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175</v>
      </c>
      <c r="AB416" s="3">
        <v>193</v>
      </c>
      <c r="AC416" s="3">
        <f>IF(ISERROR((VLOOKUP($A416,'SegEnds_NonXtal_BW#'!$A:$Z,20,FALSE)+VLOOKUP($A416,A:AL,28,FALSE)-50)),"-",(VLOOKUP($A416,'SegEnds_NonXtal_BW#'!$A:$Z,20,FALSE)+VLOOKUP($A416,A:AL,28,FALSE)-50))</f>
        <v>215</v>
      </c>
      <c r="AD416" s="3">
        <f>IF(ISERROR(VLOOKUP($A416,'SegEnds_NonXtal_BW#'!$A:$Z,21,FALSE)+VLOOKUP($A416,A:AL,31,FALSE)-50),"-",(VLOOKUP($A416,'SegEnds_NonXtal_BW#'!$A:$Z,21,FALSE)+VLOOKUP($A416,A:AL,31,FALSE)-50))</f>
        <v>225</v>
      </c>
      <c r="AE416" s="3">
        <v>246</v>
      </c>
      <c r="AF416" s="3">
        <f>IF(ISERROR((VLOOKUP($A416,'SegEnds_NonXtal_BW#'!$A:$Z,22,FALSE)+VLOOKUP($A416,A:AL,31,FALSE)-50)),"-",(VLOOKUP($A416,'SegEnds_NonXtal_BW#'!$A:$Z,22,FALSE)+VLOOKUP($A416,A:AL,31,FALSE)-50))</f>
        <v>257</v>
      </c>
      <c r="AG416" s="3">
        <f>IF(ISERROR(VLOOKUP($A416,'SegEnds_NonXtal_BW#'!$A:$Z,23,FALSE)+VLOOKUP($A416,A:AL,34,FALSE)-50),"-",(VLOOKUP($A416,'SegEnds_NonXtal_BW#'!$A:$Z,23,FALSE)+VLOOKUP($A416,A:AL,34,FALSE)-50))</f>
        <v>263</v>
      </c>
      <c r="AH416" s="3">
        <v>282</v>
      </c>
      <c r="AI416" s="3">
        <f>IF(ISERROR((VLOOKUP($A416,'SegEnds_NonXtal_BW#'!$A:$Z,24,FALSE)+VLOOKUP($A416,A:AL,34,FALSE)-50)),"-",(VLOOKUP($A416,'SegEnds_NonXtal_BW#'!$A:$Z,24,FALSE)+VLOOKUP($A416,A:AL,34,FALSE)-50))</f>
        <v>288</v>
      </c>
      <c r="AJ416" s="3">
        <f>IF(ISERROR(VLOOKUP($A416,'SegEnds_NonXtal_BW#'!$A:$Z,25,FALSE)+VLOOKUP($A416,A:AL,37,FALSE)-50),"-",(VLOOKUP($A416,'SegEnds_NonXtal_BW#'!$A:$Z,25,FALSE)+VLOOKUP($A416,A:AL,37,FALSE)-50))</f>
        <v>289</v>
      </c>
      <c r="AK416" s="3">
        <v>292</v>
      </c>
      <c r="AL416" s="3">
        <f>IF(ISERROR((VLOOKUP($A416,'SegEnds_NonXtal_BW#'!$A:$Z,26,FALSE)+VLOOKUP($A416,A:AL,37,FALSE)-50)),"-",(VLOOKUP($A416,'SegEnds_NonXtal_BW#'!$A:$Z,26,FALSE)+VLOOKUP($A416,A:AL,37,FALSE)-50))</f>
        <v>302</v>
      </c>
      <c r="AM416" s="28" t="str">
        <f>VLOOKUP(A416,Classification!A:B,2,FALSE)</f>
        <v>T</v>
      </c>
      <c r="AN416" s="28" t="b">
        <f t="shared" si="292"/>
        <v>1</v>
      </c>
      <c r="AO416" s="3" t="str">
        <f>IF(ISERROR(MATCH(A416,'SegEnds_Xtal_Prot#'!B:B, 0)), "NoXtal", "Xtal")</f>
        <v>NoXtal</v>
      </c>
      <c r="AP416" s="3">
        <f t="shared" si="277"/>
        <v>1</v>
      </c>
      <c r="AQ416" s="3">
        <f t="shared" si="278"/>
        <v>1</v>
      </c>
      <c r="AR416" s="3" t="str">
        <f t="shared" si="279"/>
        <v>-</v>
      </c>
      <c r="AS416" s="3" t="str">
        <f t="shared" si="280"/>
        <v>-</v>
      </c>
      <c r="AT416" s="3">
        <f t="shared" si="281"/>
        <v>3</v>
      </c>
      <c r="AU416" s="3">
        <f t="shared" si="282"/>
        <v>1</v>
      </c>
      <c r="AV416" s="3" t="str">
        <f t="shared" si="283"/>
        <v>-</v>
      </c>
      <c r="AW416" s="3" t="str">
        <f t="shared" si="284"/>
        <v>-</v>
      </c>
      <c r="AX416" s="3">
        <f t="shared" si="285"/>
        <v>10</v>
      </c>
      <c r="AY416" s="3">
        <f t="shared" si="286"/>
        <v>6</v>
      </c>
      <c r="AZ416" s="3">
        <f t="shared" si="287"/>
        <v>1</v>
      </c>
      <c r="BA416" s="3">
        <f>IF(ISERROR(LEN(VLOOKUP(A416,Seqs!A:E,2,FALSE))-AL416),"-",LEN(VLOOKUP(A416,Seqs!A:E,2,FALSE))-AL416)</f>
        <v>7</v>
      </c>
      <c r="BB416" s="16">
        <f t="shared" si="288"/>
        <v>31</v>
      </c>
      <c r="BC416" s="9">
        <f t="shared" si="289"/>
        <v>20</v>
      </c>
      <c r="BD416" s="3">
        <f t="shared" si="290"/>
        <v>31</v>
      </c>
      <c r="BE416" s="3">
        <f t="shared" si="291"/>
        <v>53</v>
      </c>
      <c r="BF416" s="3">
        <f t="shared" si="276"/>
        <v>36</v>
      </c>
    </row>
    <row r="417" spans="1:58" s="3" customFormat="1" x14ac:dyDescent="0.2">
      <c r="A417" s="3" t="s">
        <v>476</v>
      </c>
      <c r="B417" s="3" t="str">
        <f>LOWER(VLOOKUP(A417,Xtal_Templ!A:B,2,FALSE))</f>
        <v>agtr1_human</v>
      </c>
      <c r="C417" s="3">
        <f>VLOOKUP($A417,'SegEnds_NonXtal_BW#'!$A:$Z,3,FALSE)+D417-50</f>
        <v>6</v>
      </c>
      <c r="D417" s="3">
        <v>24</v>
      </c>
      <c r="E417" s="3">
        <f t="shared" si="271"/>
        <v>36</v>
      </c>
      <c r="F417" s="3">
        <f t="shared" si="272"/>
        <v>37</v>
      </c>
      <c r="G417" s="3">
        <v>39</v>
      </c>
      <c r="H417" s="3">
        <f t="shared" si="273"/>
        <v>40</v>
      </c>
      <c r="I417" s="3">
        <f t="shared" si="273"/>
        <v>41</v>
      </c>
      <c r="J417" s="3">
        <v>55</v>
      </c>
      <c r="K417" s="3">
        <f>VLOOKUP($A417,'SegEnds_NonXtal_BW#'!$A:$Z,8,FALSE)+VLOOKUP($A417,A:AL,10,FALSE)-50</f>
        <v>71</v>
      </c>
      <c r="L417" s="3" t="str">
        <f>IF(ISERROR(VLOOKUP($A417,'SegEnds_NonXtal_BW#'!$A:$Z,9,FALSE)+VLOOKUP($A417,A:AL,13,FALSE)-50),"-",(VLOOKUP($A417,'SegEnds_NonXtal_BW#'!$A:$Z,9,FALSE)+VLOOKUP($A417,A:AL,13,FALSE)-50))</f>
        <v>-</v>
      </c>
      <c r="M417" s="3" t="s">
        <v>23</v>
      </c>
      <c r="N417" s="3" t="str">
        <f>IF(ISERROR(VLOOKUP($A417,'SegEnds_NonXtal_BW#'!$A:$Z,10,FALSE)+VLOOKUP($A417,A:AL,13,FALSE)-50),"-",(VLOOKUP($A417,'SegEnds_NonXtal_BW#'!$A:$Z,10,FALSE)+VLOOKUP($A417,A:AL,13,FALSE)-50))</f>
        <v>-</v>
      </c>
      <c r="O417" s="3">
        <f>VLOOKUP($A417,'SegEnds_NonXtal_BW#'!$A:$Z,11,FALSE)+VLOOKUP($A417,A:AL,16,FALSE)-50</f>
        <v>75</v>
      </c>
      <c r="P417" s="3">
        <v>107</v>
      </c>
      <c r="Q417" s="3">
        <f>VLOOKUP($A417,'SegEnds_NonXtal_BW#'!$A:$Z,12,FALSE)+VLOOKUP($A417,A:AL,16,FALSE)-50</f>
        <v>113</v>
      </c>
      <c r="R417" s="3">
        <f t="shared" si="274"/>
        <v>116</v>
      </c>
      <c r="S417" s="3">
        <v>116</v>
      </c>
      <c r="T417" s="100">
        <f t="shared" si="275"/>
        <v>123</v>
      </c>
      <c r="U417" s="9">
        <f>IF(ISERROR(VLOOKUP($A417,'SegEnds_NonXtal_BW#'!$A:$Z,15,FALSE)+VLOOKUP($A417,A:AL,22,FALSE)-50),"-",VLOOKUP($A417,'SegEnds_NonXtal_BW#'!$A:$Z,15,FALSE)+VLOOKUP($A417,A:AL,22,FALSE)-50)</f>
        <v>124</v>
      </c>
      <c r="V417" s="3">
        <v>136</v>
      </c>
      <c r="W417" s="3">
        <f>IF(ISERROR(VLOOKUP($A417,'SegEnds_NonXtal_BW#'!$A:$Z,16,FALSE)+VLOOKUP($A417,A:AL,22,FALSE)-50),"-",(VLOOKUP($A417,'SegEnds_NonXtal_BW#'!$A:$Z,16,FALSE)+VLOOKUP($A417,A:AL,22,FALSE)-50))</f>
        <v>150</v>
      </c>
      <c r="X417" s="3" t="str">
        <f>IF(ISERROR(VLOOKUP($A417,'SegEnds_NonXtal_BW#'!$A:$Z,17,FALSE)+VLOOKUP($A417,A:AL,25,FALSE)-50),"-",(VLOOKUP($A417,'SegEnds_NonXtal_BW#'!$A:$Z,17,FALSE)+VLOOKUP($A417,A:AL,25,FALSE)-50))</f>
        <v>-</v>
      </c>
      <c r="Y417" s="3" t="s">
        <v>23</v>
      </c>
      <c r="Z417" s="3" t="str">
        <f>IF(ISERROR(VLOOKUP($A417,'SegEnds_NonXtal_BW#'!$A:$Z,18,FALSE)+VLOOKUP($A417,A:AL,25,FALSE)-50),"-",(VLOOKUP($A417,'SegEnds_NonXtal_BW#'!$A:$Z,18,FALSE)+VLOOKUP($A417,A:AL,25,FALSE)-50))</f>
        <v>-</v>
      </c>
      <c r="AA417" s="3">
        <f>IF(ISERROR(VLOOKUP($A417,'SegEnds_NonXtal_BW#'!$A:$Z,19,FALSE)+VLOOKUP($A417,A:AL,28,FALSE)-50),"-",(VLOOKUP($A417,'SegEnds_NonXtal_BW#'!$A:$Z,19,FALSE)+VLOOKUP($A417,A:AL,28,FALSE)-50))</f>
        <v>172</v>
      </c>
      <c r="AB417" s="3">
        <v>190</v>
      </c>
      <c r="AC417" s="3">
        <f>IF(ISERROR((VLOOKUP($A417,'SegEnds_NonXtal_BW#'!$A:$Z,20,FALSE)+VLOOKUP($A417,A:AL,28,FALSE)-50)),"-",(VLOOKUP($A417,'SegEnds_NonXtal_BW#'!$A:$Z,20,FALSE)+VLOOKUP($A417,A:AL,28,FALSE)-50))</f>
        <v>212</v>
      </c>
      <c r="AD417" s="3">
        <f>IF(ISERROR(VLOOKUP($A417,'SegEnds_NonXtal_BW#'!$A:$Z,21,FALSE)+VLOOKUP($A417,A:AL,31,FALSE)-50),"-",(VLOOKUP($A417,'SegEnds_NonXtal_BW#'!$A:$Z,21,FALSE)+VLOOKUP($A417,A:AL,31,FALSE)-50))</f>
        <v>222</v>
      </c>
      <c r="AE417" s="3">
        <v>243</v>
      </c>
      <c r="AF417" s="3">
        <f>IF(ISERROR((VLOOKUP($A417,'SegEnds_NonXtal_BW#'!$A:$Z,22,FALSE)+VLOOKUP($A417,A:AL,31,FALSE)-50)),"-",(VLOOKUP($A417,'SegEnds_NonXtal_BW#'!$A:$Z,22,FALSE)+VLOOKUP($A417,A:AL,31,FALSE)-50))</f>
        <v>254</v>
      </c>
      <c r="AG417" s="3">
        <f>IF(ISERROR(VLOOKUP($A417,'SegEnds_NonXtal_BW#'!$A:$Z,23,FALSE)+VLOOKUP($A417,A:AL,34,FALSE)-50),"-",(VLOOKUP($A417,'SegEnds_NonXtal_BW#'!$A:$Z,23,FALSE)+VLOOKUP($A417,A:AL,34,FALSE)-50))</f>
        <v>260</v>
      </c>
      <c r="AH417" s="3">
        <v>279</v>
      </c>
      <c r="AI417" s="3">
        <f>IF(ISERROR((VLOOKUP($A417,'SegEnds_NonXtal_BW#'!$A:$Z,24,FALSE)+VLOOKUP($A417,A:AL,34,FALSE)-50)),"-",(VLOOKUP($A417,'SegEnds_NonXtal_BW#'!$A:$Z,24,FALSE)+VLOOKUP($A417,A:AL,34,FALSE)-50))</f>
        <v>285</v>
      </c>
      <c r="AJ417" s="3">
        <f>IF(ISERROR(VLOOKUP($A417,'SegEnds_NonXtal_BW#'!$A:$Z,25,FALSE)+VLOOKUP($A417,A:AL,37,FALSE)-50),"-",(VLOOKUP($A417,'SegEnds_NonXtal_BW#'!$A:$Z,25,FALSE)+VLOOKUP($A417,A:AL,37,FALSE)-50))</f>
        <v>286</v>
      </c>
      <c r="AK417" s="3">
        <v>289</v>
      </c>
      <c r="AL417" s="3">
        <f>IF(ISERROR((VLOOKUP($A417,'SegEnds_NonXtal_BW#'!$A:$Z,26,FALSE)+VLOOKUP($A417,A:AL,37,FALSE)-50)),"-",(VLOOKUP($A417,'SegEnds_NonXtal_BW#'!$A:$Z,26,FALSE)+VLOOKUP($A417,A:AL,37,FALSE)-50))</f>
        <v>299</v>
      </c>
      <c r="AM417" s="28" t="str">
        <f>VLOOKUP(A417,Classification!A:B,2,FALSE)</f>
        <v>T</v>
      </c>
      <c r="AN417" s="28" t="b">
        <f t="shared" si="292"/>
        <v>1</v>
      </c>
      <c r="AO417" s="3" t="str">
        <f>IF(ISERROR(MATCH(A417,'SegEnds_Xtal_Prot#'!B:B, 0)), "NoXtal", "Xtal")</f>
        <v>NoXtal</v>
      </c>
      <c r="AP417" s="3">
        <f t="shared" si="277"/>
        <v>1</v>
      </c>
      <c r="AQ417" s="3">
        <f t="shared" si="278"/>
        <v>1</v>
      </c>
      <c r="AR417" s="3" t="str">
        <f t="shared" si="279"/>
        <v>-</v>
      </c>
      <c r="AS417" s="3" t="str">
        <f t="shared" si="280"/>
        <v>-</v>
      </c>
      <c r="AT417" s="3">
        <f t="shared" si="281"/>
        <v>3</v>
      </c>
      <c r="AU417" s="3">
        <f t="shared" si="282"/>
        <v>1</v>
      </c>
      <c r="AV417" s="3" t="str">
        <f t="shared" si="283"/>
        <v>-</v>
      </c>
      <c r="AW417" s="3" t="str">
        <f t="shared" si="284"/>
        <v>-</v>
      </c>
      <c r="AX417" s="3">
        <f t="shared" si="285"/>
        <v>10</v>
      </c>
      <c r="AY417" s="3">
        <f t="shared" si="286"/>
        <v>6</v>
      </c>
      <c r="AZ417" s="3">
        <f t="shared" si="287"/>
        <v>1</v>
      </c>
      <c r="BA417" s="3">
        <f>IF(ISERROR(LEN(VLOOKUP(A417,Seqs!A:E,2,FALSE))-AL417),"-",LEN(VLOOKUP(A417,Seqs!A:E,2,FALSE))-AL417)</f>
        <v>13</v>
      </c>
      <c r="BB417" s="16">
        <f t="shared" si="288"/>
        <v>31</v>
      </c>
      <c r="BC417" s="9">
        <f t="shared" si="289"/>
        <v>20</v>
      </c>
      <c r="BD417" s="3">
        <f t="shared" si="290"/>
        <v>31</v>
      </c>
      <c r="BE417" s="3">
        <f t="shared" si="291"/>
        <v>53</v>
      </c>
      <c r="BF417" s="3">
        <f t="shared" si="276"/>
        <v>36</v>
      </c>
    </row>
    <row r="418" spans="1:58" s="3" customFormat="1" x14ac:dyDescent="0.2">
      <c r="T418" s="100"/>
      <c r="U418" s="9"/>
      <c r="AM418" s="28"/>
      <c r="AN418" s="16"/>
      <c r="BB418" s="16"/>
      <c r="BC418" s="9"/>
    </row>
    <row r="419" spans="1:58" s="3" customFormat="1" x14ac:dyDescent="0.2">
      <c r="T419" s="100"/>
      <c r="U419" s="9"/>
      <c r="AM419" s="28"/>
      <c r="AN419" s="16"/>
      <c r="BB419" s="16"/>
      <c r="BC419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7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7">
    <cfRule type="expression" dxfId="22" priority="25">
      <formula>NOT(OR(C2&lt;E2,C2="-",E2="-"))</formula>
    </cfRule>
  </conditionalFormatting>
  <conditionalFormatting sqref="K2:L2 K3 K4:L417">
    <cfRule type="expression" dxfId="21" priority="29">
      <formula>NOT(OR(G2&lt;K2,G2="-",K2="-"))</formula>
    </cfRule>
  </conditionalFormatting>
  <conditionalFormatting sqref="N2:O2 N4:N18 O3:O18 N19:O417">
    <cfRule type="expression" dxfId="20" priority="31">
      <formula>NOT(OR(I2&lt;N2,I2="-",N2="-"))</formula>
    </cfRule>
  </conditionalFormatting>
  <conditionalFormatting sqref="Q2:R417">
    <cfRule type="expression" dxfId="19" priority="33">
      <formula>NOT(OR(K2&lt;Q2,K2="-",Q2="-"))</formula>
    </cfRule>
  </conditionalFormatting>
  <conditionalFormatting sqref="T2:U417">
    <cfRule type="expression" dxfId="18" priority="35">
      <formula>NOT(OR(M2&lt;T2,M2="-",T2="-"))</formula>
    </cfRule>
  </conditionalFormatting>
  <conditionalFormatting sqref="W2:X417">
    <cfRule type="expression" dxfId="17" priority="37">
      <formula>NOT(OR(O2&lt;W2,O2="-",W2="-"))</formula>
    </cfRule>
  </conditionalFormatting>
  <conditionalFormatting sqref="Z2:AA417">
    <cfRule type="expression" dxfId="16" priority="39">
      <formula>NOT(OR(Q2&lt;Z2,Q2="-",Z2="-"))</formula>
    </cfRule>
  </conditionalFormatting>
  <conditionalFormatting sqref="AC2:AD417">
    <cfRule type="expression" dxfId="15" priority="41">
      <formula>NOT(OR(S2&lt;AC2,S2="-",AC2="-"))</formula>
    </cfRule>
  </conditionalFormatting>
  <conditionalFormatting sqref="AF2:AG417">
    <cfRule type="expression" dxfId="14" priority="43">
      <formula>NOT(OR(U2&lt;AF2,U2="-",AF2="-"))</formula>
    </cfRule>
  </conditionalFormatting>
  <conditionalFormatting sqref="AI2:AJ417">
    <cfRule type="expression" dxfId="13" priority="45">
      <formula>NOT(OR(W2&lt;AI2,W2="-",AI2="-"))</formula>
    </cfRule>
  </conditionalFormatting>
  <conditionalFormatting sqref="AL2:AL417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20"/>
  <sheetViews>
    <sheetView zoomScale="120" zoomScaleNormal="120" zoomScalePageLayoutView="120" workbookViewId="0">
      <pane ySplit="1" topLeftCell="A360" activePane="bottomLeft" state="frozenSplit"/>
      <selection pane="bottomLeft" activeCell="A380" sqref="A380:XFD380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1197</v>
      </c>
      <c r="C1" s="30" t="s">
        <v>99</v>
      </c>
      <c r="D1" s="30" t="s">
        <v>1220</v>
      </c>
      <c r="E1" s="30" t="s">
        <v>1463</v>
      </c>
      <c r="F1" s="55" t="s">
        <v>13</v>
      </c>
      <c r="G1" s="20" t="s">
        <v>5</v>
      </c>
      <c r="H1" s="4" t="s">
        <v>1357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1313</v>
      </c>
      <c r="P1" s="53" t="s">
        <v>1317</v>
      </c>
      <c r="Q1" s="53" t="s">
        <v>1360</v>
      </c>
      <c r="R1" s="20" t="s">
        <v>9</v>
      </c>
      <c r="S1" s="20" t="s">
        <v>1316</v>
      </c>
      <c r="T1" s="20" t="s">
        <v>12</v>
      </c>
      <c r="U1" s="20" t="s">
        <v>1318</v>
      </c>
      <c r="V1" s="26" t="s">
        <v>1303</v>
      </c>
      <c r="W1" s="30" t="s">
        <v>1304</v>
      </c>
      <c r="X1" s="30" t="s">
        <v>1305</v>
      </c>
      <c r="Y1" s="30" t="s">
        <v>1306</v>
      </c>
      <c r="Z1" s="30" t="s">
        <v>1307</v>
      </c>
      <c r="AA1" s="103" t="s">
        <v>1377</v>
      </c>
      <c r="AB1" s="26" t="s">
        <v>1308</v>
      </c>
      <c r="AC1" s="26" t="s">
        <v>1309</v>
      </c>
      <c r="AD1" s="26" t="s">
        <v>1310</v>
      </c>
      <c r="AE1" s="26" t="s">
        <v>1311</v>
      </c>
      <c r="AF1" s="30" t="s">
        <v>1312</v>
      </c>
      <c r="AG1" s="26" t="s">
        <v>1314</v>
      </c>
      <c r="AH1" s="30" t="s">
        <v>1315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ada2b_human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ada2a_human</v>
      </c>
      <c r="C10" s="2" t="str">
        <f>VLOOKUP(A10,Classification!A:D,2,FALSE)</f>
        <v>A</v>
      </c>
      <c r="D10" s="2" t="str">
        <f>IF(ISERROR(MATCH(A10,'SegEnds_Xtal_Prot#'!B:B, 0)), "NoXtal", "Xtal")</f>
        <v>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ada2c_human</v>
      </c>
      <c r="C11" s="2" t="str">
        <f>VLOOKUP(A11,Classification!A:D,2,FALSE)</f>
        <v>A</v>
      </c>
      <c r="D11" s="2" t="str">
        <f>IF(ISERROR(MATCH(A11,'SegEnds_Xtal_Prot#'!B:B, 0)), "NoXtal", "Xtal")</f>
        <v>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219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226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264</v>
      </c>
      <c r="B14" s="2" t="str">
        <f>LOWER(VLOOKUP(A14,Xtal_Templ!A:B,2,FALSE))</f>
        <v>drd2_human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387</v>
      </c>
      <c r="B15" s="2" t="str">
        <f>LOWER(VLOOKUP(A15,Xtal_Templ!A:B,2,FALSE))</f>
        <v>ada2a_human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388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389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390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391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392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1463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229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247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270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1313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1313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1313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1313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203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283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290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297</v>
      </c>
      <c r="B34" s="2" t="str">
        <f>LOWER(VLOOKUP(A34,Xtal_Templ!A:B,2,FALSE))</f>
        <v>mc4r_human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M</v>
      </c>
      <c r="AH34" s="49" t="str">
        <f>MID(VLOOKUP($A34,Seqs!$A:$B,2,FALSE),VLOOKUP($A34,'SegEnds_NonXtal_Prot#'!$A:$AL,28,FALSE),1)</f>
        <v>M</v>
      </c>
    </row>
    <row r="35" spans="1:34" s="2" customFormat="1" x14ac:dyDescent="0.2">
      <c r="A35" s="2" t="s">
        <v>360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394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234</v>
      </c>
      <c r="B38" s="2" t="str">
        <f>LOWER(VLOOKUP(A38,Xtal_Templ!A:B,2,FALSE))</f>
        <v>gpbar_human</v>
      </c>
      <c r="C38" s="2" t="str">
        <f>VLOOKUP(A38,Classification!A:D,2,FALSE)</f>
        <v>A</v>
      </c>
      <c r="D38" s="2" t="str">
        <f>IF(ISERROR(MATCH(A38,'SegEnds_Xtal_Prot#'!B:B, 0)), "NoXtal", "Xtal")</f>
        <v>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279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903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280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227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ada2b_human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ada2b_human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905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211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258</v>
      </c>
      <c r="B57" s="2" t="str">
        <f>LOWER(VLOOKUP(A57,Xtal_Templ!A:B,2,FALSE))</f>
        <v>ccr6_human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278</v>
      </c>
      <c r="B58" s="2" t="str">
        <f>LOWER(VLOOKUP(A58,Xtal_Templ!A:B,2,FALSE))</f>
        <v>ada2c_human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310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375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386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374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fpr2_human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232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235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236</v>
      </c>
      <c r="B74" s="2" t="str">
        <f>LOWER(VLOOKUP(A74,Xtal_Templ!A:B,2,FALSE))</f>
        <v>fpr2_human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238</v>
      </c>
      <c r="B75" s="2" t="str">
        <f>LOWER(VLOOKUP(A75,Xtal_Templ!A:B,2,FALSE))</f>
        <v>ccr6_human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245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251</v>
      </c>
      <c r="B77" s="2" t="str">
        <f>LOWER(VLOOKUP(A77,Xtal_Templ!A:B,2,FALSE))</f>
        <v>fpr2_human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282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291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303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305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330</v>
      </c>
      <c r="B82" s="2" t="str">
        <f>LOWER(VLOOKUP(A82,Xtal_Templ!A:B,2,FALSE))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372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373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fpr2_human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ccr6_human</v>
      </c>
      <c r="C94" s="2" t="str">
        <f>VLOOKUP(A94,Classification!A:D,2,FALSE)</f>
        <v>A</v>
      </c>
      <c r="D94" s="2" t="str">
        <f>IF(ISERROR(MATCH(A94,'SegEnds_Xtal_Prot#'!B:B, 0)), "NoXtal", "Xtal")</f>
        <v>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ccr6_human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cxcr2_human</v>
      </c>
      <c r="C100" s="2" t="str">
        <f>VLOOKUP(A100,Classification!A:D,2,FALSE)</f>
        <v>A</v>
      </c>
      <c r="D100" s="2" t="str">
        <f>IF(ISERROR(MATCH(A100,'SegEnds_Xtal_Prot#'!B:B, 0)), "NoXtal", "Xtal")</f>
        <v>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399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1165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200</v>
      </c>
      <c r="B110" s="2" t="str">
        <f>LOWER(VLOOKUP(A110,Xtal_Templ!A:B,2,FALSE))</f>
        <v>fpr2_human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201</v>
      </c>
      <c r="B111" s="2" t="str">
        <f>LOWER(VLOOKUP(A111,Xtal_Templ!A:B,2,FALSE))</f>
        <v>fpr2_human</v>
      </c>
      <c r="C111" s="2" t="str">
        <f>VLOOKUP(A111,Classification!A:D,2,FALSE)</f>
        <v>A</v>
      </c>
      <c r="D111" s="2" t="str">
        <f>IF(ISERROR(MATCH(A111,'SegEnds_Xtal_Prot#'!B:B, 0)), "NoXtal", "Xtal")</f>
        <v>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202</v>
      </c>
      <c r="B112" s="2" t="str">
        <f>LOWER(VLOOKUP(A112,Xtal_Templ!A:B,2,FALSE))</f>
        <v>fpr2_human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292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ada2b_human</v>
      </c>
      <c r="C114" s="2" t="str">
        <f>VLOOKUP(A114,Classification!A:D,2,FALSE)</f>
        <v>A</v>
      </c>
      <c r="D114" s="2" t="str">
        <f>IF(ISERROR(MATCH(A114,'SegEnds_Xtal_Prot#'!B:B, 0)), "NoXtal", "Xtal")</f>
        <v>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1688</v>
      </c>
      <c r="B118" s="2" t="str">
        <f>LOWER(VLOOKUP(A118,Xtal_Templ!A:B,2,FALSE))</f>
        <v>drd4_mouse</v>
      </c>
      <c r="C118" s="2" t="str">
        <f>VLOOKUP(A118,Classification!A:D,2,FALSE)</f>
        <v>A</v>
      </c>
      <c r="D118" s="2" t="str">
        <f>IF(ISERROR(MATCH(A118,'SegEnds_Xtal_Prot#'!B:B, 0)), "NoXtal", "Xtal")</f>
        <v>Xtal</v>
      </c>
      <c r="G118" s="2" t="s">
        <v>5</v>
      </c>
      <c r="H118" s="4"/>
      <c r="N118" s="2" t="s">
        <v>14</v>
      </c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L</v>
      </c>
      <c r="X118" s="49" t="str">
        <f>MID(VLOOKUP($A118,Seqs!$A:$B,2,FALSE),VLOOKUP($A118,'SegEnds_NonXtal_Prot#'!A:AL,10,FALSE)+7,1)</f>
        <v>V</v>
      </c>
      <c r="Y118" s="49" t="str">
        <f>MID(VLOOKUP($A118,Seqs!$A:$B,2,FALSE),VLOOKUP($A118,'SegEnds_NonXtal_Prot#'!A:AL,10,FALSE)+8,1)</f>
        <v>L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V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P</v>
      </c>
      <c r="AF118" s="49" t="str">
        <f>MID(VLOOKUP($A118,Seqs!$A:$B,2,FALSE),VLOOKUP($A118,'SegEnds_NonXtal_Prot#'!$A:$AL,22,FALSE)+10,1)</f>
        <v>V</v>
      </c>
      <c r="AG118" s="28" t="str">
        <f>MID(VLOOKUP($A118,Seqs!$A:$B,2,FALSE),VLOOKUP($A118,'SegEnds_NonXtal_Prot#'!$A:$AL,28,FALSE)-4,1)</f>
        <v>S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262</v>
      </c>
      <c r="B119" s="2" t="str">
        <f>LOWER(VLOOKUP(A119,Xtal_Templ!A:B,2,FALSE))</f>
        <v>ox2r_human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T</v>
      </c>
      <c r="X119" s="49" t="str">
        <f>MID(VLOOKUP($A119,Seqs!$A:$B,2,FALSE),VLOOKUP($A119,'SegEnds_NonXtal_Prot#'!A:AL,10,FALSE)+7,1)</f>
        <v>L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M</v>
      </c>
      <c r="AC119" s="49" t="str">
        <f>MID(VLOOKUP($A119,Seqs!$A:$B,2,FALSE),VLOOKUP($A119,'SegEnds_NonXtal_Prot#'!$A:$AL,22,FALSE)+7,1)</f>
        <v>A</v>
      </c>
      <c r="AD119" s="49" t="str">
        <f>MID(VLOOKUP($A119,Seqs!$A:$B,2,FALSE),VLOOKUP($A119,'SegEnds_NonXtal_Prot#'!$A:$AL,22,FALSE)+8,1)</f>
        <v>S</v>
      </c>
      <c r="AE119" s="49" t="str">
        <f>MID(VLOOKUP($A119,Seqs!$A:$B,2,FALSE),VLOOKUP($A119,'SegEnds_NonXtal_Prot#'!$A:$AL,22,FALSE)+9,1)</f>
        <v>V</v>
      </c>
      <c r="AF119" s="49" t="str">
        <f>MID(VLOOKUP($A119,Seqs!$A:$B,2,FALSE),VLOOKUP($A119,'SegEnds_NonXtal_Prot#'!$A:$AL,22,FALSE)+10,1)</f>
        <v>P</v>
      </c>
      <c r="AG119" s="28" t="str">
        <f>MID(VLOOKUP($A119,Seqs!$A:$B,2,FALSE),VLOOKUP($A119,'SegEnds_NonXtal_Prot#'!$A:$AL,28,FALSE)-4,1)</f>
        <v>Y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263</v>
      </c>
      <c r="B120" s="2" t="str">
        <f>LOWER(VLOOKUP(A120,Xtal_Templ!A:B,2,FALSE))</f>
        <v>drd3_human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R120" s="2" t="s">
        <v>9</v>
      </c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S</v>
      </c>
      <c r="X120" s="49" t="str">
        <f>MID(VLOOKUP($A120,Seqs!$A:$B,2,FALSE),VLOOKUP($A120,'SegEnds_NonXtal_Prot#'!A:AL,10,FALSE)+7,1)</f>
        <v>I</v>
      </c>
      <c r="Y120" s="49" t="str">
        <f>MID(VLOOKUP($A120,Seqs!$A:$B,2,FALSE),VLOOKUP($A120,'SegEnds_NonXtal_Prot#'!A:AL,10,FALSE)+8,1)</f>
        <v>M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L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G</v>
      </c>
      <c r="AD120" s="49" t="str">
        <f>MID(VLOOKUP($A120,Seqs!$A:$B,2,FALSE),VLOOKUP($A120,'SegEnds_NonXtal_Prot#'!$A:$AL,22,FALSE)+8,1)</f>
        <v>A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S</v>
      </c>
      <c r="AG120" s="28" t="str">
        <f>MID(VLOOKUP($A120,Seqs!$A:$B,2,FALSE),VLOOKUP($A120,'SegEnds_NonXtal_Prot#'!$A:$AL,28,FALSE)-4,1)</f>
        <v>A</v>
      </c>
      <c r="AH120" s="49" t="str">
        <f>MID(VLOOKUP($A120,Seqs!$A:$B,2,FALSE),VLOOKUP($A120,'SegEnds_NonXtal_Prot#'!$A:$AL,28,FALSE),1)</f>
        <v>P</v>
      </c>
    </row>
    <row r="121" spans="1:34" s="2" customFormat="1" x14ac:dyDescent="0.2">
      <c r="A121" s="2" t="s">
        <v>265</v>
      </c>
      <c r="B121" s="2" t="str">
        <f>LOWER(VLOOKUP(A121,Xtal_Templ!A:B,2,FALSE))</f>
        <v>ccr9_human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V</v>
      </c>
      <c r="X121" s="49" t="str">
        <f>MID(VLOOKUP($A121,Seqs!$A:$B,2,FALSE),VLOOKUP($A121,'SegEnds_NonXtal_Prot#'!A:AL,10,FALSE)+7,1)</f>
        <v>T</v>
      </c>
      <c r="Y121" s="49" t="str">
        <f>MID(VLOOKUP($A121,Seqs!$A:$B,2,FALSE),VLOOKUP($A121,'SegEnds_NonXtal_Prot#'!A:AL,10,FALSE)+8,1)</f>
        <v>A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M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A</v>
      </c>
      <c r="AD121" s="49" t="str">
        <f>MID(VLOOKUP($A121,Seqs!$A:$B,2,FALSE),VLOOKUP($A121,'SegEnds_NonXtal_Prot#'!$A:$AL,22,FALSE)+8,1)</f>
        <v>T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A</v>
      </c>
      <c r="AG121" s="28" t="str">
        <f>MID(VLOOKUP($A121,Seqs!$A:$B,2,FALSE),VLOOKUP($A121,'SegEnds_NonXtal_Prot#'!$A:$AL,28,FALSE)-4,1)</f>
        <v>D</v>
      </c>
      <c r="AH121" s="49" t="str">
        <f>MID(VLOOKUP($A121,Seqs!$A:$B,2,FALSE),VLOOKUP($A121,'SegEnds_NonXtal_Prot#'!$A:$AL,28,FALSE),1)</f>
        <v>C</v>
      </c>
    </row>
    <row r="122" spans="1:34" s="2" customFormat="1" x14ac:dyDescent="0.2">
      <c r="A122" s="2" t="s">
        <v>272</v>
      </c>
      <c r="B122" s="2" t="str">
        <f>LOWER(VLOOKUP(A122,Xtal_Templ!A:B,2,FALSE))</f>
        <v>ox1r_human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R122" s="2" t="s">
        <v>9</v>
      </c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L</v>
      </c>
      <c r="X122" s="49" t="str">
        <f>MID(VLOOKUP($A122,Seqs!$A:$B,2,FALSE),VLOOKUP($A122,'SegEnds_NonXtal_Prot#'!A:AL,10,FALSE)+7,1)</f>
        <v>W</v>
      </c>
      <c r="Y122" s="49" t="str">
        <f>MID(VLOOKUP($A122,Seqs!$A:$B,2,FALSE),VLOOKUP($A122,'SegEnds_NonXtal_Prot#'!A:AL,10,FALSE)+8,1)</f>
        <v>M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Q</v>
      </c>
      <c r="AB122" s="28" t="str">
        <f>MID(VLOOKUP($A122,Seqs!$A:$B,2,FALSE),VLOOKUP($A122,'SegEnds_NonXtal_Prot#'!$A:$AL,22,FALSE)+6,1)</f>
        <v>L</v>
      </c>
      <c r="AC122" s="49" t="str">
        <f>MID(VLOOKUP($A122,Seqs!$A:$B,2,FALSE),VLOOKUP($A122,'SegEnds_NonXtal_Prot#'!$A:$AL,22,FALSE)+7,1)</f>
        <v>V</v>
      </c>
      <c r="AD122" s="49" t="str">
        <f>MID(VLOOKUP($A122,Seqs!$A:$B,2,FALSE),VLOOKUP($A122,'SegEnds_NonXtal_Prot#'!$A:$AL,22,FALSE)+8,1)</f>
        <v>L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L</v>
      </c>
      <c r="AG122" s="28" t="str">
        <f>MID(VLOOKUP($A122,Seqs!$A:$B,2,FALSE),VLOOKUP($A122,'SegEnds_NonXtal_Prot#'!$A:$AL,28,FALSE)-4,1)</f>
        <v>L</v>
      </c>
      <c r="AH122" s="49" t="str">
        <f>MID(VLOOKUP($A122,Seqs!$A:$B,2,FALSE),VLOOKUP($A122,'SegEnds_NonXtal_Prot#'!$A:$AL,28,FALSE),1)</f>
        <v>P</v>
      </c>
    </row>
    <row r="123" spans="1:34" s="2" customFormat="1" x14ac:dyDescent="0.2">
      <c r="A123" s="2" t="s">
        <v>365</v>
      </c>
      <c r="B123" s="2" t="str">
        <f>LOWER(VLOOKUP(A123,Xtal_Templ!A:B,2,FALSE))</f>
        <v>pe2r4_human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F</v>
      </c>
      <c r="X123" s="49" t="str">
        <f>MID(VLOOKUP($A123,Seqs!$A:$B,2,FALSE),VLOOKUP($A123,'SegEnds_NonXtal_Prot#'!A:AL,10,FALSE)+7,1)</f>
        <v>L</v>
      </c>
      <c r="Y123" s="49" t="str">
        <f>MID(VLOOKUP($A123,Seqs!$A:$B,2,FALSE),VLOOKUP($A123,'SegEnds_NonXtal_Prot#'!A:AL,10,FALSE)+8,1)</f>
        <v>S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A</v>
      </c>
      <c r="AB123" s="28" t="str">
        <f>MID(VLOOKUP($A123,Seqs!$A:$B,2,FALSE),VLOOKUP($A123,'SegEnds_NonXtal_Prot#'!$A:$AL,22,FALSE)+6,1)</f>
        <v>F</v>
      </c>
      <c r="AC123" s="49" t="str">
        <f>MID(VLOOKUP($A123,Seqs!$A:$B,2,FALSE),VLOOKUP($A123,'SegEnds_NonXtal_Prot#'!$A:$AL,22,FALSE)+7,1)</f>
        <v>C</v>
      </c>
      <c r="AD123" s="49" t="str">
        <f>MID(VLOOKUP($A123,Seqs!$A:$B,2,FALSE),VLOOKUP($A123,'SegEnds_NonXtal_Prot#'!$A:$AL,22,FALSE)+8,1)</f>
        <v>A</v>
      </c>
      <c r="AE123" s="49" t="str">
        <f>MID(VLOOKUP($A123,Seqs!$A:$B,2,FALSE),VLOOKUP($A123,'SegEnds_NonXtal_Prot#'!$A:$AL,22,FALSE)+9,1)</f>
        <v>L</v>
      </c>
      <c r="AF123" s="49" t="str">
        <f>MID(VLOOKUP($A123,Seqs!$A:$B,2,FALSE),VLOOKUP($A123,'SegEnds_NonXtal_Prot#'!$A:$AL,22,FALSE)+10,1)</f>
        <v>P</v>
      </c>
      <c r="AG123" s="28" t="str">
        <f>MID(VLOOKUP($A123,Seqs!$A:$B,2,FALSE),VLOOKUP($A123,'SegEnds_NonXtal_Prot#'!$A:$AL,28,FALSE)-4,1)</f>
        <v>A</v>
      </c>
      <c r="AH123" s="49" t="str">
        <f>MID(VLOOKUP($A123,Seqs!$A:$B,2,FALSE),VLOOKUP($A123,'SegEnds_NonXtal_Prot#'!$A:$AL,28,FALSE),1)</f>
        <v>A</v>
      </c>
    </row>
    <row r="124" spans="1:34" s="2" customFormat="1" x14ac:dyDescent="0.2">
      <c r="A124" s="2" t="s">
        <v>195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NoXtal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L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I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196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I</v>
      </c>
      <c r="X125" s="49" t="str">
        <f>MID(VLOOKUP($A125,Seqs!$A:$B,2,FALSE),VLOOKUP($A125,'SegEnds_NonXtal_Prot#'!A:AL,10,FALSE)+7,1)</f>
        <v>D</v>
      </c>
      <c r="Y125" s="49" t="str">
        <f>MID(VLOOKUP($A125,Seqs!$A:$B,2,FALSE),VLOOKUP($A125,'SegEnds_NonXtal_Prot#'!A:AL,10,FALSE)+8,1)</f>
        <v>I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3" t="s">
        <v>1690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I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V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254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R127" s="2" t="s">
        <v>9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F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L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L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L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Y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273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A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I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F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316</v>
      </c>
      <c r="B129" s="2" t="str">
        <f>LOWER(VLOOKUP(A129,Xtal_Templ!A:B,2,FALSE))</f>
        <v>ednrb_human</v>
      </c>
      <c r="C129" s="2" t="str">
        <f>VLOOKUP(A129,Classification!A:D,2,FALSE)</f>
        <v>A</v>
      </c>
      <c r="D129" s="2" t="str">
        <f>IF(ISERROR(MATCH(A129,'SegEnds_Xtal_Prot#'!B:B, 0)), "NoXtal", "Xtal")</f>
        <v>NoXtal</v>
      </c>
      <c r="G129" s="2" t="s">
        <v>5</v>
      </c>
      <c r="H129" s="4"/>
      <c r="N129" s="2" t="s">
        <v>14</v>
      </c>
      <c r="R129" s="2" t="s">
        <v>9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T</v>
      </c>
      <c r="X129" s="49" t="str">
        <f>MID(VLOOKUP($A129,Seqs!$A:$B,2,FALSE),VLOOKUP($A129,'SegEnds_NonXtal_Prot#'!A:AL,10,FALSE)+7,1)</f>
        <v>C</v>
      </c>
      <c r="Y129" s="49" t="str">
        <f>MID(VLOOKUP($A129,Seqs!$A:$B,2,FALSE),VLOOKUP($A129,'SegEnds_NonXtal_Prot#'!A:AL,10,FALSE)+8,1)</f>
        <v>V</v>
      </c>
      <c r="Z129" s="49" t="str">
        <f>MID(VLOOKUP($A129,Seqs!$A:$B,2,FALSE),VLOOKUP($A129,'SegEnds_NonXtal_Prot#'!A:AL,10,FALSE)+9,1)</f>
        <v>P</v>
      </c>
      <c r="AA129" s="49" t="str">
        <f>MID(VLOOKUP($A129,Seqs!$A:$B,2,FALSE),VLOOKUP($A129,'SegEnds_NonXtal_Prot#'!A:AL,10,FALSE)+10,1)</f>
        <v>V</v>
      </c>
      <c r="AB129" s="28" t="str">
        <f>MID(VLOOKUP($A129,Seqs!$A:$B,2,FALSE),VLOOKUP($A129,'SegEnds_NonXtal_Prot#'!$A:$AL,22,FALSE)+6,1)</f>
        <v>L</v>
      </c>
      <c r="AC129" s="49" t="str">
        <f>MID(VLOOKUP($A129,Seqs!$A:$B,2,FALSE),VLOOKUP($A129,'SegEnds_NonXtal_Prot#'!$A:$AL,22,FALSE)+7,1)</f>
        <v>A</v>
      </c>
      <c r="AD129" s="49" t="str">
        <f>MID(VLOOKUP($A129,Seqs!$A:$B,2,FALSE),VLOOKUP($A129,'SegEnds_NonXtal_Prot#'!$A:$AL,22,FALSE)+8,1)</f>
        <v>V</v>
      </c>
      <c r="AE129" s="49" t="str">
        <f>MID(VLOOKUP($A129,Seqs!$A:$B,2,FALSE),VLOOKUP($A129,'SegEnds_NonXtal_Prot#'!$A:$AL,22,FALSE)+9,1)</f>
        <v>P</v>
      </c>
      <c r="AF129" s="49" t="str">
        <f>MID(VLOOKUP($A129,Seqs!$A:$B,2,FALSE),VLOOKUP($A129,'SegEnds_NonXtal_Prot#'!$A:$AL,22,FALSE)+10,1)</f>
        <v>E</v>
      </c>
      <c r="AG129" s="28" t="str">
        <f>MID(VLOOKUP($A129,Seqs!$A:$B,2,FALSE),VLOOKUP($A129,'SegEnds_NonXtal_Prot#'!$A:$AL,28,FALSE)-4,1)</f>
        <v>Y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1166</v>
      </c>
      <c r="B130" s="2" t="str">
        <f>LOWER(VLOOKUP(A130,Xtal_Templ!A:B,2,FALSE))</f>
        <v>ffar1_human</v>
      </c>
      <c r="C130" s="2" t="str">
        <f>VLOOKUP(A130,Classification!A:D,2,FALSE)</f>
        <v>A</v>
      </c>
      <c r="D130" s="2" t="str">
        <f>IF(ISERROR(MATCH(A130,'SegEnds_Xtal_Prot#'!B:B, 0)), "NoXtal", "Xtal")</f>
        <v>Xtal</v>
      </c>
      <c r="H130" s="4"/>
      <c r="R130" s="2" t="s">
        <v>9</v>
      </c>
      <c r="S130" s="2" t="s">
        <v>1316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S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L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L</v>
      </c>
      <c r="AD130" s="49" t="str">
        <f>MID(VLOOKUP($A130,Seqs!$A:$B,2,FALSE),VLOOKUP($A130,'SegEnds_NonXtal_Prot#'!$A:$AL,22,FALSE)+8,1)</f>
        <v>G</v>
      </c>
      <c r="AE130" s="49" t="str">
        <f>MID(VLOOKUP($A130,Seqs!$A:$B,2,FALSE),VLOOKUP($A130,'SegEnds_NonXtal_Prot#'!$A:$AL,22,FALSE)+9,1)</f>
        <v>L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197</v>
      </c>
      <c r="B131" s="2" t="str">
        <f>LOWER(VLOOKUP(A131,Xtal_Templ!A:B,2,FALSE))</f>
        <v>par2_human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H131" s="4"/>
      <c r="R131" s="2" t="s">
        <v>9</v>
      </c>
      <c r="S131" s="2" t="s">
        <v>1316</v>
      </c>
      <c r="T131" s="4" t="s">
        <v>12</v>
      </c>
      <c r="V131" s="28" t="str">
        <f>MID(VLOOKUP($A131,Seqs!$A:$B,2,FALSE),VLOOKUP($A131,'SegEnds_NonXtal_Prot#'!A:AL,10,FALSE),1)</f>
        <v>D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P</v>
      </c>
      <c r="Z131" s="49" t="str">
        <f>MID(VLOOKUP($A131,Seqs!$A:$B,2,FALSE),VLOOKUP($A131,'SegEnds_NonXtal_Prot#'!A:AL,10,FALSE)+9,1)</f>
        <v>F</v>
      </c>
      <c r="AA131" s="49" t="str">
        <f>MID(VLOOKUP($A131,Seqs!$A:$B,2,FALSE),VLOOKUP($A131,'SegEnds_NonXtal_Prot#'!A:AL,10,FALSE)+10,1)</f>
        <v>K</v>
      </c>
      <c r="AB131" s="28" t="str">
        <f>MID(VLOOKUP($A131,Seqs!$A:$B,2,FALSE),VLOOKUP($A131,'SegEnds_NonXtal_Prot#'!$A:$AL,22,FALSE)+6,1)</f>
        <v>H</v>
      </c>
      <c r="AC131" s="49" t="str">
        <f>MID(VLOOKUP($A131,Seqs!$A:$B,2,FALSE),VLOOKUP($A131,'SegEnds_NonXtal_Prot#'!$A:$AL,22,FALSE)+7,1)</f>
        <v>C</v>
      </c>
      <c r="AD131" s="49" t="str">
        <f>MID(VLOOKUP($A131,Seqs!$A:$B,2,FALSE),VLOOKUP($A131,'SegEnds_NonXtal_Prot#'!$A:$AL,22,FALSE)+8,1)</f>
        <v>T</v>
      </c>
      <c r="AE131" s="49" t="str">
        <f>MID(VLOOKUP($A131,Seqs!$A:$B,2,FALSE),VLOOKUP($A131,'SegEnds_NonXtal_Prot#'!$A:$AL,22,FALSE)+9,1)</f>
        <v>I</v>
      </c>
      <c r="AF131" s="49" t="str">
        <f>MID(VLOOKUP($A131,Seqs!$A:$B,2,FALSE),VLOOKUP($A131,'SegEnds_NonXtal_Prot#'!$A:$AL,22,FALSE)+10,1)</f>
        <v>V</v>
      </c>
      <c r="AG131" s="28" t="str">
        <f>MID(VLOOKUP($A131,Seqs!$A:$B,2,FALSE),VLOOKUP($A131,'SegEnds_NonXtal_Prot#'!$A:$AL,28,FALSE)-4,1)</f>
        <v>L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218</v>
      </c>
      <c r="B132" s="2" t="str">
        <f>LOWER(VLOOKUP(A132,Xtal_Templ!A:B,2,FALSE))</f>
        <v>ccr6_human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2" t="s">
        <v>5</v>
      </c>
      <c r="H132" s="4"/>
      <c r="R132" s="2" t="s">
        <v>9</v>
      </c>
      <c r="T132" s="4" t="s">
        <v>12</v>
      </c>
      <c r="V132" s="28" t="str">
        <f>MID(VLOOKUP($A132,Seqs!$A:$B,2,FALSE),VLOOKUP($A132,'SegEnds_NonXtal_Prot#'!A:AL,10,FALSE),1)</f>
        <v>A</v>
      </c>
      <c r="W132" s="49" t="str">
        <f>MID(VLOOKUP($A132,Seqs!$A:$B,2,FALSE),VLOOKUP($A132,'SegEnds_NonXtal_Prot#'!A:AL,10,FALSE)+6,1)</f>
        <v>L</v>
      </c>
      <c r="X132" s="49" t="str">
        <f>MID(VLOOKUP($A132,Seqs!$A:$B,2,FALSE),VLOOKUP($A132,'SegEnds_NonXtal_Prot#'!A:AL,10,FALSE)+7,1)</f>
        <v>L</v>
      </c>
      <c r="Y132" s="49" t="str">
        <f>MID(VLOOKUP($A132,Seqs!$A:$B,2,FALSE),VLOOKUP($A132,'SegEnds_NonXtal_Prot#'!A:AL,10,FALSE)+8,1)</f>
        <v>G</v>
      </c>
      <c r="Z132" s="49" t="str">
        <f>MID(VLOOKUP($A132,Seqs!$A:$B,2,FALSE),VLOOKUP($A132,'SegEnds_NonXtal_Prot#'!A:AL,10,FALSE)+9,1)</f>
        <v>P</v>
      </c>
      <c r="AA132" s="49" t="str">
        <f>MID(VLOOKUP($A132,Seqs!$A:$B,2,FALSE),VLOOKUP($A132,'SegEnds_NonXtal_Prot#'!A:AL,10,FALSE)+10,1)</f>
        <v>P</v>
      </c>
      <c r="AB132" s="28" t="str">
        <f>MID(VLOOKUP($A132,Seqs!$A:$B,2,FALSE),VLOOKUP($A132,'SegEnds_NonXtal_Prot#'!$A:$AL,22,FALSE)+6,1)</f>
        <v>T</v>
      </c>
      <c r="AC132" s="49" t="str">
        <f>MID(VLOOKUP($A132,Seqs!$A:$B,2,FALSE),VLOOKUP($A132,'SegEnds_NonXtal_Prot#'!$A:$AL,22,FALSE)+7,1)</f>
        <v>S</v>
      </c>
      <c r="AD132" s="49" t="str">
        <f>MID(VLOOKUP($A132,Seqs!$A:$B,2,FALSE),VLOOKUP($A132,'SegEnds_NonXtal_Prot#'!$A:$AL,22,FALSE)+8,1)</f>
        <v>F</v>
      </c>
      <c r="AE132" s="49" t="str">
        <f>MID(VLOOKUP($A132,Seqs!$A:$B,2,FALSE),VLOOKUP($A132,'SegEnds_NonXtal_Prot#'!$A:$AL,22,FALSE)+9,1)</f>
        <v>S</v>
      </c>
      <c r="AF132" s="49" t="str">
        <f>MID(VLOOKUP($A132,Seqs!$A:$B,2,FALSE),VLOOKUP($A132,'SegEnds_NonXtal_Prot#'!$A:$AL,22,FALSE)+10,1)</f>
        <v>S</v>
      </c>
      <c r="AG132" s="28" t="str">
        <f>MID(VLOOKUP($A132,Seqs!$A:$B,2,FALSE),VLOOKUP($A132,'SegEnds_NonXtal_Prot#'!$A:$AL,28,FALSE)-4,1)</f>
        <v>G</v>
      </c>
      <c r="AH132" s="49" t="str">
        <f>MID(VLOOKUP($A132,Seqs!$A:$B,2,FALSE),VLOOKUP($A132,'SegEnds_NonXtal_Prot#'!$A:$AL,28,FALSE),1)</f>
        <v>P</v>
      </c>
    </row>
    <row r="133" spans="1:34" s="2" customFormat="1" x14ac:dyDescent="0.2">
      <c r="A133" s="2" t="s">
        <v>225</v>
      </c>
      <c r="B133" s="2" t="str">
        <f>LOWER(VLOOKUP(A133,Xtal_Templ!A:B,2,FALSE))</f>
        <v>p2y12_human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N</v>
      </c>
      <c r="X133" s="49" t="str">
        <f>MID(VLOOKUP($A133,Seqs!$A:$B,2,FALSE),VLOOKUP($A133,'SegEnds_NonXtal_Prot#'!A:AL,10,FALSE)+7,1)</f>
        <v>I</v>
      </c>
      <c r="Y133" s="49" t="str">
        <f>MID(VLOOKUP($A133,Seqs!$A:$B,2,FALSE),VLOOKUP($A133,'SegEnds_NonXtal_Prot#'!A:AL,10,FALSE)+8,1)</f>
        <v>S</v>
      </c>
      <c r="Z133" s="49" t="str">
        <f>MID(VLOOKUP($A133,Seqs!$A:$B,2,FALSE),VLOOKUP($A133,'SegEnds_NonXtal_Prot#'!A:AL,10,FALSE)+9,1)</f>
        <v>I</v>
      </c>
      <c r="AA133" s="49" t="str">
        <f>MID(VLOOKUP($A133,Seqs!$A:$B,2,FALSE),VLOOKUP($A133,'SegEnds_NonXtal_Prot#'!A:AL,10,FALSE)+10,1)</f>
        <v>I</v>
      </c>
      <c r="AB133" s="28" t="str">
        <f>MID(VLOOKUP($A133,Seqs!$A:$B,2,FALSE),VLOOKUP($A133,'SegEnds_NonXtal_Prot#'!$A:$AL,22,FALSE)+6,1)</f>
        <v>Y</v>
      </c>
      <c r="AC133" s="49" t="str">
        <f>MID(VLOOKUP($A133,Seqs!$A:$B,2,FALSE),VLOOKUP($A133,'SegEnds_NonXtal_Prot#'!$A:$AL,22,FALSE)+7,1)</f>
        <v>V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G</v>
      </c>
      <c r="AF133" s="49" t="str">
        <f>MID(VLOOKUP($A133,Seqs!$A:$B,2,FALSE),VLOOKUP($A133,'SegEnds_NonXtal_Prot#'!$A:$AL,22,FALSE)+10,1)</f>
        <v>D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A</v>
      </c>
    </row>
    <row r="134" spans="1:34" s="2" customFormat="1" x14ac:dyDescent="0.2">
      <c r="A134" s="2" t="s">
        <v>244</v>
      </c>
      <c r="B134" s="2" t="str">
        <f>LOWER(VLOOKUP(A134,Xtal_Templ!A:B,2,FALSE))</f>
        <v>5ht2c_human</v>
      </c>
      <c r="C134" s="2" t="str">
        <f>VLOOKUP(A134,Classification!A:D,2,FALSE)</f>
        <v>A</v>
      </c>
      <c r="D134" s="2" t="str">
        <f>IF(ISERROR(MATCH(A134,'SegEnds_Xtal_Prot#'!B:B, 0)), "NoXtal", "Xtal")</f>
        <v>NoXtal</v>
      </c>
      <c r="G134" s="2" t="s">
        <v>5</v>
      </c>
      <c r="H134" s="4"/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G</v>
      </c>
      <c r="X134" s="49" t="str">
        <f>MID(VLOOKUP($A134,Seqs!$A:$B,2,FALSE),VLOOKUP($A134,'SegEnds_NonXtal_Prot#'!A:AL,10,FALSE)+7,1)</f>
        <v>C</v>
      </c>
      <c r="Y134" s="49" t="str">
        <f>MID(VLOOKUP($A134,Seqs!$A:$B,2,FALSE),VLOOKUP($A134,'SegEnds_NonXtal_Prot#'!A:AL,10,FALSE)+8,1)</f>
        <v>I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L</v>
      </c>
      <c r="AB134" s="28" t="str">
        <f>MID(VLOOKUP($A134,Seqs!$A:$B,2,FALSE),VLOOKUP($A134,'SegEnds_NonXtal_Prot#'!$A:$AL,22,FALSE)+6,1)</f>
        <v>S</v>
      </c>
      <c r="AC134" s="49" t="str">
        <f>MID(VLOOKUP($A134,Seqs!$A:$B,2,FALSE),VLOOKUP($A134,'SegEnds_NonXtal_Prot#'!$A:$AL,22,FALSE)+7,1)</f>
        <v>F</v>
      </c>
      <c r="AD134" s="49" t="str">
        <f>MID(VLOOKUP($A134,Seqs!$A:$B,2,FALSE),VLOOKUP($A134,'SegEnds_NonXtal_Prot#'!$A:$AL,22,FALSE)+8,1)</f>
        <v>L</v>
      </c>
      <c r="AE134" s="49" t="str">
        <f>MID(VLOOKUP($A134,Seqs!$A:$B,2,FALSE),VLOOKUP($A134,'SegEnds_NonXtal_Prot#'!$A:$AL,22,FALSE)+9,1)</f>
        <v>I</v>
      </c>
      <c r="AF134" s="49" t="str">
        <f>MID(VLOOKUP($A134,Seqs!$A:$B,2,FALSE),VLOOKUP($A134,'SegEnds_NonXtal_Prot#'!$A:$AL,22,FALSE)+10,1)</f>
        <v>P</v>
      </c>
      <c r="AG134" s="28" t="str">
        <f>MID(VLOOKUP($A134,Seqs!$A:$B,2,FALSE),VLOOKUP($A134,'SegEnds_NonXtal_Prot#'!$A:$AL,28,FALSE)-4,1)</f>
        <v>I</v>
      </c>
      <c r="AH134" s="49" t="str">
        <f>MID(VLOOKUP($A134,Seqs!$A:$B,2,FALSE),VLOOKUP($A134,'SegEnds_NonXtal_Prot#'!$A:$AL,28,FALSE),1)</f>
        <v>T</v>
      </c>
    </row>
    <row r="135" spans="1:34" s="2" customFormat="1" x14ac:dyDescent="0.2">
      <c r="A135" s="2" t="s">
        <v>277</v>
      </c>
      <c r="B135" s="2" t="str">
        <f>LOWER(VLOOKUP(A135,Xtal_Templ!A:B,2,FALSE))</f>
        <v>hrh1_human</v>
      </c>
      <c r="C135" s="2" t="str">
        <f>VLOOKUP(A135,Classification!A:D,2,FALSE)</f>
        <v>A</v>
      </c>
      <c r="D135" s="2" t="str">
        <f>IF(ISERROR(MATCH(A135,'SegEnds_Xtal_Prot#'!B:B, 0)), "NoXtal", "Xtal")</f>
        <v>Xtal</v>
      </c>
      <c r="G135" s="2" t="s">
        <v>5</v>
      </c>
      <c r="H135" s="4"/>
      <c r="L135" s="2" t="s">
        <v>20</v>
      </c>
      <c r="R135" s="2" t="s">
        <v>9</v>
      </c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V</v>
      </c>
      <c r="X135" s="49" t="str">
        <f>MID(VLOOKUP($A135,Seqs!$A:$B,2,FALSE),VLOOKUP($A135,'SegEnds_NonXtal_Prot#'!A:AL,10,FALSE)+7,1)</f>
        <v>V</v>
      </c>
      <c r="Y135" s="49" t="str">
        <f>MID(VLOOKUP($A135,Seqs!$A:$B,2,FALSE),VLOOKUP($A135,'SegEnds_NonXtal_Prot#'!A:AL,10,FALSE)+8,1)</f>
        <v>M</v>
      </c>
      <c r="Z135" s="49" t="str">
        <f>MID(VLOOKUP($A135,Seqs!$A:$B,2,FALSE),VLOOKUP($A135,'SegEnds_NonXtal_Prot#'!A:AL,10,FALSE)+9,1)</f>
        <v>P</v>
      </c>
      <c r="AA135" s="49" t="str">
        <f>MID(VLOOKUP($A135,Seqs!$A:$B,2,FALSE),VLOOKUP($A135,'SegEnds_NonXtal_Prot#'!A:AL,10,FALSE)+10,1)</f>
        <v>M</v>
      </c>
      <c r="AB135" s="28" t="str">
        <f>MID(VLOOKUP($A135,Seqs!$A:$B,2,FALSE),VLOOKUP($A135,'SegEnds_NonXtal_Prot#'!$A:$AL,22,FALSE)+6,1)</f>
        <v>W</v>
      </c>
      <c r="AC135" s="49" t="str">
        <f>MID(VLOOKUP($A135,Seqs!$A:$B,2,FALSE),VLOOKUP($A135,'SegEnds_NonXtal_Prot#'!$A:$AL,22,FALSE)+7,1)</f>
        <v>V</v>
      </c>
      <c r="AD135" s="49" t="str">
        <f>MID(VLOOKUP($A135,Seqs!$A:$B,2,FALSE),VLOOKUP($A135,'SegEnds_NonXtal_Prot#'!$A:$AL,22,FALSE)+8,1)</f>
        <v>I</v>
      </c>
      <c r="AE135" s="49" t="str">
        <f>MID(VLOOKUP($A135,Seqs!$A:$B,2,FALSE),VLOOKUP($A135,'SegEnds_NonXtal_Prot#'!$A:$AL,22,FALSE)+9,1)</f>
        <v>P</v>
      </c>
      <c r="AF135" s="49" t="str">
        <f>MID(VLOOKUP($A135,Seqs!$A:$B,2,FALSE),VLOOKUP($A135,'SegEnds_NonXtal_Prot#'!$A:$AL,22,FALSE)+10,1)</f>
        <v>I</v>
      </c>
      <c r="AG135" s="28" t="str">
        <f>MID(VLOOKUP($A135,Seqs!$A:$B,2,FALSE),VLOOKUP($A135,'SegEnds_NonXtal_Prot#'!$A:$AL,28,FALSE)-4,1)</f>
        <v>N</v>
      </c>
      <c r="AH135" s="49" t="str">
        <f>MID(VLOOKUP($A135,Seqs!$A:$B,2,FALSE),VLOOKUP($A135,'SegEnds_NonXtal_Prot#'!$A:$AL,28,FALSE),1)</f>
        <v>P</v>
      </c>
    </row>
    <row r="136" spans="1:34" s="2" customFormat="1" x14ac:dyDescent="0.2">
      <c r="A136" s="2" t="s">
        <v>248</v>
      </c>
      <c r="B136" s="2" t="str">
        <f>LOWER(VLOOKUP(A136,Xtal_Templ!A:B,2,FALSE))</f>
        <v>mc4r_human</v>
      </c>
      <c r="C136" s="2" t="str">
        <f>VLOOKUP(A136,Classification!A:D,2,FALSE)</f>
        <v>A</v>
      </c>
      <c r="D136" s="2" t="str">
        <f>IF(ISERROR(MATCH(A136,'SegEnds_Xtal_Prot#'!B:B, 0)), "NoXtal", "Xtal")</f>
        <v>NoXtal</v>
      </c>
      <c r="H136" s="4"/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G</v>
      </c>
      <c r="X136" s="49" t="str">
        <f>MID(VLOOKUP($A136,Seqs!$A:$B,2,FALSE),VLOOKUP($A136,'SegEnds_NonXtal_Prot#'!A:AL,10,FALSE)+7,1)</f>
        <v>L</v>
      </c>
      <c r="Y136" s="49" t="str">
        <f>MID(VLOOKUP($A136,Seqs!$A:$B,2,FALSE),VLOOKUP($A136,'SegEnds_NonXtal_Prot#'!A:AL,10,FALSE)+8,1)</f>
        <v>V</v>
      </c>
      <c r="Z136" s="49" t="str">
        <f>MID(VLOOKUP($A136,Seqs!$A:$B,2,FALSE),VLOOKUP($A136,'SegEnds_NonXtal_Prot#'!A:AL,10,FALSE)+9,1)</f>
        <v>L</v>
      </c>
      <c r="AA136" s="49" t="str">
        <f>MID(VLOOKUP($A136,Seqs!$A:$B,2,FALSE),VLOOKUP($A136,'SegEnds_NonXtal_Prot#'!A:AL,10,FALSE)+10,1)</f>
        <v>H</v>
      </c>
      <c r="AB136" s="28" t="str">
        <f>MID(VLOOKUP($A136,Seqs!$A:$B,2,FALSE),VLOOKUP($A136,'SegEnds_NonXtal_Prot#'!$A:$AL,22,FALSE)+6,1)</f>
        <v>L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L</v>
      </c>
      <c r="AE136" s="49" t="str">
        <f>MID(VLOOKUP($A136,Seqs!$A:$B,2,FALSE),VLOOKUP($A136,'SegEnds_NonXtal_Prot#'!$A:$AL,22,FALSE)+9,1)</f>
        <v>L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A</v>
      </c>
      <c r="AH136" s="49" t="str">
        <f>MID(VLOOKUP($A136,Seqs!$A:$B,2,FALSE),VLOOKUP($A136,'SegEnds_NonXtal_Prot#'!$A:$AL,28,FALSE),1)</f>
        <v>V</v>
      </c>
    </row>
    <row r="137" spans="1:34" s="2" customFormat="1" x14ac:dyDescent="0.2">
      <c r="A137" s="2" t="s">
        <v>103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F</v>
      </c>
      <c r="Z137" s="49" t="str">
        <f>MID(VLOOKUP($A137,Seqs!$A:$B,2,FALSE),VLOOKUP($A137,'SegEnds_NonXtal_Prot#'!A:AL,10,FALSE)+9,1)</f>
        <v>Y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M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A</v>
      </c>
      <c r="AE137" s="49" t="str">
        <f>MID(VLOOKUP($A137,Seqs!$A:$B,2,FALSE),VLOOKUP($A137,'SegEnds_NonXtal_Prot#'!$A:$AL,22,FALSE)+9,1)</f>
        <v>I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F</v>
      </c>
      <c r="AH137" s="49" t="str">
        <f>MID(VLOOKUP($A137,Seqs!$A:$B,2,FALSE),VLOOKUP($A137,'SegEnds_NonXtal_Prot#'!$A:$AL,28,FALSE),1)</f>
        <v>T</v>
      </c>
    </row>
    <row r="138" spans="1:34" s="2" customFormat="1" x14ac:dyDescent="0.2">
      <c r="A138" s="2" t="s">
        <v>285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L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L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L</v>
      </c>
      <c r="AE138" s="49" t="str">
        <f>MID(VLOOKUP($A138,Seqs!$A:$B,2,FALSE),VLOOKUP($A138,'SegEnds_NonXtal_Prot#'!$A:$AL,22,FALSE)+9,1)</f>
        <v>L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V</v>
      </c>
    </row>
    <row r="139" spans="1:34" s="2" customFormat="1" x14ac:dyDescent="0.2">
      <c r="A139" s="2" t="s">
        <v>286</v>
      </c>
      <c r="B139" s="2" t="str">
        <f>LOWER(VLOOKUP(A139,Xtal_Templ!A:B,2,FALSE))</f>
        <v>lpar1_human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H139" s="4"/>
      <c r="I139" s="2" t="s">
        <v>21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A</v>
      </c>
      <c r="X139" s="49" t="str">
        <f>MID(VLOOKUP($A139,Seqs!$A:$B,2,FALSE),VLOOKUP($A139,'SegEnds_NonXtal_Prot#'!A:AL,10,FALSE)+7,1)</f>
        <v>Y</v>
      </c>
      <c r="Y139" s="49" t="str">
        <f>MID(VLOOKUP($A139,Seqs!$A:$B,2,FALSE),VLOOKUP($A139,'SegEnds_NonXtal_Prot#'!A:AL,10,FALSE)+8,1)</f>
        <v>V</v>
      </c>
      <c r="Z139" s="49" t="str">
        <f>MID(VLOOKUP($A139,Seqs!$A:$B,2,FALSE),VLOOKUP($A139,'SegEnds_NonXtal_Prot#'!A:AL,10,FALSE)+9,1)</f>
        <v>F</v>
      </c>
      <c r="AA139" s="49" t="str">
        <f>MID(VLOOKUP($A139,Seqs!$A:$B,2,FALSE),VLOOKUP($A139,'SegEnds_NonXtal_Prot#'!A:AL,10,FALSE)+10,1)</f>
        <v>L</v>
      </c>
      <c r="AB139" s="28" t="str">
        <f>MID(VLOOKUP($A139,Seqs!$A:$B,2,FALSE),VLOOKUP($A139,'SegEnds_NonXtal_Prot#'!$A:$AL,22,FALSE)+6,1)</f>
        <v>M</v>
      </c>
      <c r="AC139" s="49" t="str">
        <f>MID(VLOOKUP($A139,Seqs!$A:$B,2,FALSE),VLOOKUP($A139,'SegEnds_NonXtal_Prot#'!$A:$AL,22,FALSE)+7,1)</f>
        <v>G</v>
      </c>
      <c r="AD139" s="49" t="str">
        <f>MID(VLOOKUP($A139,Seqs!$A:$B,2,FALSE),VLOOKUP($A139,'SegEnds_NonXtal_Prot#'!$A:$AL,22,FALSE)+8,1)</f>
        <v>A</v>
      </c>
      <c r="AE139" s="49" t="str">
        <f>MID(VLOOKUP($A139,Seqs!$A:$B,2,FALSE),VLOOKUP($A139,'SegEnds_NonXtal_Prot#'!$A:$AL,22,FALSE)+9,1)</f>
        <v>V</v>
      </c>
      <c r="AF139" s="49" t="str">
        <f>MID(VLOOKUP($A139,Seqs!$A:$B,2,FALSE),VLOOKUP($A139,'SegEnds_NonXtal_Prot#'!$A:$AL,22,FALSE)+10,1)</f>
        <v>P</v>
      </c>
      <c r="AG139" s="28" t="str">
        <f>MID(VLOOKUP($A139,Seqs!$A:$B,2,FALSE),VLOOKUP($A139,'SegEnds_NonXtal_Prot#'!$A:$AL,28,FALSE)-4,1)</f>
        <v>S</v>
      </c>
      <c r="AH139" s="49" t="str">
        <f>MID(VLOOKUP($A139,Seqs!$A:$B,2,FALSE),VLOOKUP($A139,'SegEnds_NonXtal_Prot#'!$A:$AL,28,FALSE),1)</f>
        <v>A</v>
      </c>
    </row>
    <row r="140" spans="1:34" s="2" customFormat="1" x14ac:dyDescent="0.2">
      <c r="A140" s="2" t="s">
        <v>1434</v>
      </c>
      <c r="B140" s="2" t="str">
        <f>LOWER(VLOOKUP(A140,Xtal_Templ!A:B,2,FALSE))</f>
        <v>q08bg4_danre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H140" s="4"/>
      <c r="R140" s="2" t="s">
        <v>9</v>
      </c>
      <c r="T140" s="4" t="s">
        <v>12</v>
      </c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L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L</v>
      </c>
      <c r="AA140" s="49" t="str">
        <f>MID(VLOOKUP($A140,Seqs!$A:$B,2,FALSE),VLOOKUP($A140,'SegEnds_NonXtal_Prot#'!A:AL,10,FALSE)+10,1)</f>
        <v>R</v>
      </c>
      <c r="AB140" s="28" t="str">
        <f>MID(VLOOKUP($A140,Seqs!$A:$B,2,FALSE),VLOOKUP($A140,'SegEnds_NonXtal_Prot#'!$A:$AL,22,FALSE)+6,1)</f>
        <v>G</v>
      </c>
      <c r="AC140" s="49" t="str">
        <f>MID(VLOOKUP($A140,Seqs!$A:$B,2,FALSE),VLOOKUP($A140,'SegEnds_NonXtal_Prot#'!$A:$AL,22,FALSE)+7,1)</f>
        <v>S</v>
      </c>
      <c r="AD140" s="49" t="str">
        <f>MID(VLOOKUP($A140,Seqs!$A:$B,2,FALSE),VLOOKUP($A140,'SegEnds_NonXtal_Prot#'!$A:$AL,22,FALSE)+8,1)</f>
        <v>L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T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1445</v>
      </c>
      <c r="B141" s="2" t="str">
        <f>LOWER(VLOOKUP(A141,Xtal_Templ!A:B,2,FALSE))</f>
        <v>q9wtk1_cavpo</v>
      </c>
      <c r="C141" s="2" t="str">
        <f>VLOOKUP(A141,Classification!A:D,2,FALSE)</f>
        <v>A</v>
      </c>
      <c r="D141" s="2" t="str">
        <f>IF(ISERROR(MATCH(A141,'SegEnds_Xtal_Prot#'!B:B, 0)), "NoXtal", "Xtal")</f>
        <v>Xtal</v>
      </c>
      <c r="F141" s="121"/>
      <c r="G141" s="121"/>
      <c r="H141" s="121"/>
      <c r="I141" s="121"/>
      <c r="J141" s="121"/>
      <c r="K141" s="121"/>
      <c r="L141" s="121"/>
      <c r="M141" s="121"/>
      <c r="N141" s="122" t="s">
        <v>14</v>
      </c>
      <c r="O141" s="121"/>
      <c r="P141" s="121"/>
      <c r="Q141" s="121"/>
      <c r="R141" s="121" t="s">
        <v>9</v>
      </c>
      <c r="S141" s="121"/>
      <c r="T141" s="121" t="s">
        <v>12</v>
      </c>
      <c r="U141" s="121"/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T</v>
      </c>
      <c r="X141" s="49" t="str">
        <f>MID(VLOOKUP($A141,Seqs!$A:$B,2,FALSE),VLOOKUP($A141,'SegEnds_NonXtal_Prot#'!A:AL,10,FALSE)+7,1)</f>
        <v>A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F</v>
      </c>
      <c r="AA141" s="49" t="str">
        <f>MID(VLOOKUP($A141,Seqs!$A:$B,2,FALSE),VLOOKUP($A141,'SegEnds_NonXtal_Prot#'!A:AL,10,FALSE)+10,1)</f>
        <v>F</v>
      </c>
      <c r="AB141" s="28" t="str">
        <f>MID(VLOOKUP($A141,Seqs!$A:$B,2,FALSE),VLOOKUP($A141,'SegEnds_NonXtal_Prot#'!$A:$AL,22,FALSE)+6,1)</f>
        <v>L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T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V</v>
      </c>
      <c r="AG141" s="28" t="str">
        <f>MID(VLOOKUP($A141,Seqs!$A:$B,2,FALSE),VLOOKUP($A141,'SegEnds_NonXtal_Prot#'!$A:$AL,28,FALSE)-4,1)</f>
        <v>G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208</v>
      </c>
      <c r="B142" s="2" t="str">
        <f>LOWER(VLOOKUP(A142,Xtal_Templ!A:B,2,FALSE))</f>
        <v>ghsr_human</v>
      </c>
      <c r="C142" s="2" t="str">
        <f>VLOOKUP(A142,Classification!A:D,2,FALSE)</f>
        <v>A</v>
      </c>
      <c r="D142" s="2" t="str">
        <f>IF(ISERROR(MATCH(A142,'SegEnds_Xtal_Prot#'!B:B, 0)), "NoXtal", "Xtal")</f>
        <v>Xtal</v>
      </c>
      <c r="H142" s="4"/>
      <c r="N142" s="2" t="s">
        <v>14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C</v>
      </c>
      <c r="X142" s="49" t="str">
        <f>MID(VLOOKUP($A142,Seqs!$A:$B,2,FALSE),VLOOKUP($A142,'SegEnds_NonXtal_Prot#'!A:AL,10,FALSE)+7,1)</f>
        <v>M</v>
      </c>
      <c r="Y142" s="49" t="str">
        <f>MID(VLOOKUP($A142,Seqs!$A:$B,2,FALSE),VLOOKUP($A142,'SegEnds_NonXtal_Prot#'!A:AL,10,FALSE)+8,1)</f>
        <v>P</v>
      </c>
      <c r="Z142" s="49" t="str">
        <f>MID(VLOOKUP($A142,Seqs!$A:$B,2,FALSE),VLOOKUP($A142,'SegEnds_NonXtal_Prot#'!A:AL,10,FALSE)+9,1)</f>
        <v>L</v>
      </c>
      <c r="AA142" s="49" t="str">
        <f>MID(VLOOKUP($A142,Seqs!$A:$B,2,FALSE),VLOOKUP($A142,'SegEnds_NonXtal_Prot#'!A:AL,10,FALSE)+10,1)</f>
        <v>D</v>
      </c>
      <c r="AB142" s="28" t="str">
        <f>MID(VLOOKUP($A142,Seqs!$A:$B,2,FALSE),VLOOKUP($A142,'SegEnds_NonXtal_Prot#'!$A:$AL,22,FALSE)+6,1)</f>
        <v>S</v>
      </c>
      <c r="AC142" s="49" t="str">
        <f>MID(VLOOKUP($A142,Seqs!$A:$B,2,FALSE),VLOOKUP($A142,'SegEnds_NonXtal_Prot#'!$A:$AL,22,FALSE)+7,1)</f>
        <v>A</v>
      </c>
      <c r="AD142" s="49" t="str">
        <f>MID(VLOOKUP($A142,Seqs!$A:$B,2,FALSE),VLOOKUP($A142,'SegEnds_NonXtal_Prot#'!$A:$AL,22,FALSE)+8,1)</f>
        <v>G</v>
      </c>
      <c r="AE142" s="49" t="str">
        <f>MID(VLOOKUP($A142,Seqs!$A:$B,2,FALSE),VLOOKUP($A142,'SegEnds_NonXtal_Prot#'!$A:$AL,22,FALSE)+9,1)</f>
        <v>P</v>
      </c>
      <c r="AF142" s="49" t="str">
        <f>MID(VLOOKUP($A142,Seqs!$A:$B,2,FALSE),VLOOKUP($A142,'SegEnds_NonXtal_Prot#'!$A:$AL,22,FALSE)+10,1)</f>
        <v>I</v>
      </c>
      <c r="AG142" s="28" t="str">
        <f>MID(VLOOKUP($A142,Seqs!$A:$B,2,FALSE),VLOOKUP($A142,'SegEnds_NonXtal_Prot#'!$A:$AL,28,FALSE)-4,1)</f>
        <v>F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215</v>
      </c>
      <c r="B143" s="2" t="str">
        <f>LOWER(VLOOKUP(A143,Xtal_Templ!A:B,2,FALSE))</f>
        <v>5ht2c_human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F</v>
      </c>
      <c r="X143" s="49" t="str">
        <f>MID(VLOOKUP($A143,Seqs!$A:$B,2,FALSE),VLOOKUP($A143,'SegEnds_NonXtal_Prot#'!A:AL,10,FALSE)+7,1)</f>
        <v>I</v>
      </c>
      <c r="Y143" s="49" t="str">
        <f>MID(VLOOKUP($A143,Seqs!$A:$B,2,FALSE),VLOOKUP($A143,'SegEnds_NonXtal_Prot#'!A:AL,10,FALSE)+8,1)</f>
        <v>V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V</v>
      </c>
      <c r="AB143" s="28" t="str">
        <f>MID(VLOOKUP($A143,Seqs!$A:$B,2,FALSE),VLOOKUP($A143,'SegEnds_NonXtal_Prot#'!$A:$AL,22,FALSE)+6,1)</f>
        <v>L</v>
      </c>
      <c r="AC143" s="49" t="str">
        <f>MID(VLOOKUP($A143,Seqs!$A:$B,2,FALSE),VLOOKUP($A143,'SegEnds_NonXtal_Prot#'!$A:$AL,22,FALSE)+7,1)</f>
        <v>T</v>
      </c>
      <c r="AD143" s="49" t="str">
        <f>MID(VLOOKUP($A143,Seqs!$A:$B,2,FALSE),VLOOKUP($A143,'SegEnds_NonXtal_Prot#'!$A:$AL,22,FALSE)+8,1)</f>
        <v>S</v>
      </c>
      <c r="AE143" s="49" t="str">
        <f>MID(VLOOKUP($A143,Seqs!$A:$B,2,FALSE),VLOOKUP($A143,'SegEnds_NonXtal_Prot#'!$A:$AL,22,FALSE)+9,1)</f>
        <v>I</v>
      </c>
      <c r="AF143" s="49" t="str">
        <f>MID(VLOOKUP($A143,Seqs!$A:$B,2,FALSE),VLOOKUP($A143,'SegEnds_NonXtal_Prot#'!$A:$AL,22,FALSE)+10,1)</f>
        <v>P</v>
      </c>
      <c r="AG143" s="28" t="str">
        <f>MID(VLOOKUP($A143,Seqs!$A:$B,2,FALSE),VLOOKUP($A143,'SegEnds_NonXtal_Prot#'!$A:$AL,28,FALSE)-4,1)</f>
        <v>V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223</v>
      </c>
      <c r="B144" s="2" t="str">
        <f>LOWER(VLOOKUP(A144,Xtal_Templ!A:B,2,FALSE))</f>
        <v>fpr2_human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H144" s="4"/>
      <c r="N144" s="2" t="s">
        <v>14</v>
      </c>
      <c r="R144" s="2" t="s">
        <v>9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A</v>
      </c>
      <c r="X144" s="49" t="str">
        <f>MID(VLOOKUP($A144,Seqs!$A:$B,2,FALSE),VLOOKUP($A144,'SegEnds_NonXtal_Prot#'!A:AL,10,FALSE)+7,1)</f>
        <v>A</v>
      </c>
      <c r="Y144" s="49" t="str">
        <f>MID(VLOOKUP($A144,Seqs!$A:$B,2,FALSE),VLOOKUP($A144,'SegEnds_NonXtal_Prot#'!A:AL,10,FALSE)+8,1)</f>
        <v>A</v>
      </c>
      <c r="Z144" s="49" t="str">
        <f>MID(VLOOKUP($A144,Seqs!$A:$B,2,FALSE),VLOOKUP($A144,'SegEnds_NonXtal_Prot#'!A:AL,10,FALSE)+9,1)</f>
        <v>F</v>
      </c>
      <c r="AA144" s="49" t="str">
        <f>MID(VLOOKUP($A144,Seqs!$A:$B,2,FALSE),VLOOKUP($A144,'SegEnds_NonXtal_Prot#'!A:AL,10,FALSE)+10,1)</f>
        <v>Q</v>
      </c>
      <c r="AB144" s="28" t="str">
        <f>MID(VLOOKUP($A144,Seqs!$A:$B,2,FALSE),VLOOKUP($A144,'SegEnds_NonXtal_Prot#'!$A:$AL,22,FALSE)+6,1)</f>
        <v>F</v>
      </c>
      <c r="AC144" s="49" t="str">
        <f>MID(VLOOKUP($A144,Seqs!$A:$B,2,FALSE),VLOOKUP($A144,'SegEnds_NonXtal_Prot#'!$A:$AL,22,FALSE)+7,1)</f>
        <v>S</v>
      </c>
      <c r="AD144" s="49" t="str">
        <f>MID(VLOOKUP($A144,Seqs!$A:$B,2,FALSE),VLOOKUP($A144,'SegEnds_NonXtal_Prot#'!$A:$AL,22,FALSE)+8,1)</f>
        <v>V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W</v>
      </c>
      <c r="AG144" s="28" t="str">
        <f>MID(VLOOKUP($A144,Seqs!$A:$B,2,FALSE),VLOOKUP($A144,'SegEnds_NonXtal_Prot#'!$A:$AL,28,FALSE)-4,1)</f>
        <v>G</v>
      </c>
      <c r="AH144" s="49" t="str">
        <f>MID(VLOOKUP($A144,Seqs!$A:$B,2,FALSE),VLOOKUP($A144,'SegEnds_NonXtal_Prot#'!$A:$AL,28,FALSE),1)</f>
        <v>P</v>
      </c>
    </row>
    <row r="145" spans="1:34" s="2" customFormat="1" x14ac:dyDescent="0.2">
      <c r="A145" s="2" t="s">
        <v>255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G145" s="2" t="s">
        <v>5</v>
      </c>
      <c r="H145" s="4"/>
      <c r="N145" s="2" t="s">
        <v>14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I</v>
      </c>
      <c r="X145" s="49" t="str">
        <f>MID(VLOOKUP($A145,Seqs!$A:$B,2,FALSE),VLOOKUP($A145,'SegEnds_NonXtal_Prot#'!A:AL,10,FALSE)+7,1)</f>
        <v>G</v>
      </c>
      <c r="Y145" s="49" t="str">
        <f>MID(VLOOKUP($A145,Seqs!$A:$B,2,FALSE),VLOOKUP($A145,'SegEnds_NonXtal_Prot#'!A:AL,10,FALSE)+8,1)</f>
        <v>M</v>
      </c>
      <c r="Z145" s="49" t="str">
        <f>MID(VLOOKUP($A145,Seqs!$A:$B,2,FALSE),VLOOKUP($A145,'SegEnds_NonXtal_Prot#'!A:AL,10,FALSE)+9,1)</f>
        <v>P</v>
      </c>
      <c r="AA145" s="49" t="str">
        <f>MID(VLOOKUP($A145,Seqs!$A:$B,2,FALSE),VLOOKUP($A145,'SegEnds_NonXtal_Prot#'!A:AL,10,FALSE)+10,1)</f>
        <v>M</v>
      </c>
      <c r="AB145" s="28" t="str">
        <f>MID(VLOOKUP($A145,Seqs!$A:$B,2,FALSE),VLOOKUP($A145,'SegEnds_NonXtal_Prot#'!$A:$AL,22,FALSE)+6,1)</f>
        <v>V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L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L</v>
      </c>
      <c r="AG145" s="28" t="str">
        <f>MID(VLOOKUP($A145,Seqs!$A:$B,2,FALSE),VLOOKUP($A145,'SegEnds_NonXtal_Prot#'!$A:$AL,28,FALSE)-4,1)</f>
        <v>A</v>
      </c>
      <c r="AH145" s="49" t="str">
        <f>MID(VLOOKUP($A145,Seqs!$A:$B,2,FALSE),VLOOKUP($A145,'SegEnds_NonXtal_Prot#'!$A:$AL,28,FALSE),1)</f>
        <v>Y</v>
      </c>
    </row>
    <row r="146" spans="1:34" s="2" customFormat="1" x14ac:dyDescent="0.2">
      <c r="A146" s="2" t="s">
        <v>309</v>
      </c>
      <c r="B146" s="2" t="str">
        <f>LOWER(VLOOKUP(A146,Xtal_Templ!A:B,2,FALSE))</f>
        <v>ghsr_human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H146" s="4"/>
      <c r="N146" s="2" t="s">
        <v>14</v>
      </c>
      <c r="R146" s="2" t="s">
        <v>9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G</v>
      </c>
      <c r="X146" s="49" t="str">
        <f>MID(VLOOKUP($A146,Seqs!$A:$B,2,FALSE),VLOOKUP($A146,'SegEnds_NonXtal_Prot#'!A:AL,10,FALSE)+7,1)</f>
        <v>L</v>
      </c>
      <c r="Y146" s="49" t="str">
        <f>MID(VLOOKUP($A146,Seqs!$A:$B,2,FALSE),VLOOKUP($A146,'SegEnds_NonXtal_Prot#'!A:AL,10,FALSE)+8,1)</f>
        <v>P</v>
      </c>
      <c r="Z146" s="49" t="str">
        <f>MID(VLOOKUP($A146,Seqs!$A:$B,2,FALSE),VLOOKUP($A146,'SegEnds_NonXtal_Prot#'!A:AL,10,FALSE)+9,1)</f>
        <v>F</v>
      </c>
      <c r="AA146" s="49" t="str">
        <f>MID(VLOOKUP($A146,Seqs!$A:$B,2,FALSE),VLOOKUP($A146,'SegEnds_NonXtal_Prot#'!A:AL,10,FALSE)+10,1)</f>
        <v>D</v>
      </c>
      <c r="AB146" s="28" t="str">
        <f>MID(VLOOKUP($A146,Seqs!$A:$B,2,FALSE),VLOOKUP($A146,'SegEnds_NonXtal_Prot#'!$A:$AL,22,FALSE)+6,1)</f>
        <v>S</v>
      </c>
      <c r="AC146" s="49" t="str">
        <f>MID(VLOOKUP($A146,Seqs!$A:$B,2,FALSE),VLOOKUP($A146,'SegEnds_NonXtal_Prot#'!$A:$AL,22,FALSE)+7,1)</f>
        <v>A</v>
      </c>
      <c r="AD146" s="49" t="str">
        <f>MID(VLOOKUP($A146,Seqs!$A:$B,2,FALSE),VLOOKUP($A146,'SegEnds_NonXtal_Prot#'!$A:$AL,22,FALSE)+8,1)</f>
        <v>G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F</v>
      </c>
      <c r="AG146" s="28" t="str">
        <f>MID(VLOOKUP($A146,Seqs!$A:$B,2,FALSE),VLOOKUP($A146,'SegEnds_NonXtal_Prot#'!$A:$AL,28,FALSE)-4,1)</f>
        <v>Y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317</v>
      </c>
      <c r="B147" s="2" t="str">
        <f>LOWER(VLOOKUP(A147,Xtal_Templ!A:B,2,FALSE))</f>
        <v>ghsr_human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V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L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C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318</v>
      </c>
      <c r="B148" s="2" t="str">
        <f>LOWER(VLOOKUP(A148,Xtal_Templ!A:B,2,FALSE))</f>
        <v>ghsr_human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G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L</v>
      </c>
      <c r="AB148" s="28" t="str">
        <f>MID(VLOOKUP($A148,Seqs!$A:$B,2,FALSE),VLOOKUP($A148,'SegEnds_NonXtal_Prot#'!$A:$AL,22,FALSE)+6,1)</f>
        <v>F</v>
      </c>
      <c r="AC148" s="49" t="str">
        <f>MID(VLOOKUP($A148,Seqs!$A:$B,2,FALSE),VLOOKUP($A148,'SegEnds_NonXtal_Prot#'!$A:$AL,22,FALSE)+7,1)</f>
        <v>S</v>
      </c>
      <c r="AD148" s="49" t="str">
        <f>MID(VLOOKUP($A148,Seqs!$A:$B,2,FALSE),VLOOKUP($A148,'SegEnds_NonXtal_Prot#'!$A:$AL,22,FALSE)+8,1)</f>
        <v>L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N</v>
      </c>
      <c r="AG148" s="28" t="str">
        <f>MID(VLOOKUP($A148,Seqs!$A:$B,2,FALSE),VLOOKUP($A148,'SegEnds_NonXtal_Prot#'!$A:$AL,28,FALSE)-4,1)</f>
        <v>F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127</v>
      </c>
      <c r="B149" s="2" t="str">
        <f>LOWER(VLOOKUP(A149,Xtal_Templ!A:B,2,FALSE))</f>
        <v>ntr1_human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V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907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D</v>
      </c>
      <c r="W150" s="49" t="str">
        <f>MID(VLOOKUP($A150,Seqs!$A:$B,2,FALSE),VLOOKUP($A150,'SegEnds_NonXtal_Prot#'!A:AL,10,FALSE)+6,1)</f>
        <v>L</v>
      </c>
      <c r="X150" s="49" t="str">
        <f>MID(VLOOKUP($A150,Seqs!$A:$B,2,FALSE),VLOOKUP($A150,'SegEnds_NonXtal_Prot#'!A:AL,10,FALSE)+7,1)</f>
        <v>A</v>
      </c>
      <c r="Y150" s="49" t="str">
        <f>MID(VLOOKUP($A150,Seqs!$A:$B,2,FALSE),VLOOKUP($A150,'SegEnds_NonXtal_Prot#'!A:AL,10,FALSE)+8,1)</f>
        <v>M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I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329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N151" s="2" t="s">
        <v>14</v>
      </c>
      <c r="R151" s="2" t="s">
        <v>9</v>
      </c>
      <c r="T151" s="4" t="s">
        <v>12</v>
      </c>
      <c r="V151" s="28" t="str">
        <f>MID(VLOOKUP($A151,Seqs!$A:$B,2,FALSE),VLOOKUP($A151,'SegEnds_NonXtal_Prot#'!A:AL,10,FALSE),1)</f>
        <v>G</v>
      </c>
      <c r="W151" s="49" t="str">
        <f>MID(VLOOKUP($A151,Seqs!$A:$B,2,FALSE),VLOOKUP($A151,'SegEnds_NonXtal_Prot#'!A:AL,10,FALSE)+6,1)</f>
        <v>V</v>
      </c>
      <c r="X151" s="49" t="str">
        <f>MID(VLOOKUP($A151,Seqs!$A:$B,2,FALSE),VLOOKUP($A151,'SegEnds_NonXtal_Prot#'!A:AL,10,FALSE)+7,1)</f>
        <v>G</v>
      </c>
      <c r="Y151" s="49" t="str">
        <f>MID(VLOOKUP($A151,Seqs!$A:$B,2,FALSE),VLOOKUP($A151,'SegEnds_NonXtal_Prot#'!A:AL,10,FALSE)+8,1)</f>
        <v>V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L</v>
      </c>
      <c r="AC151" s="49" t="str">
        <f>MID(VLOOKUP($A151,Seqs!$A:$B,2,FALSE),VLOOKUP($A151,'SegEnds_NonXtal_Prot#'!$A:$AL,22,FALSE)+7,1)</f>
        <v>A</v>
      </c>
      <c r="AD151" s="49" t="str">
        <f>MID(VLOOKUP($A151,Seqs!$A:$B,2,FALSE),VLOOKUP($A151,'SegEnds_NonXtal_Prot#'!$A:$AL,22,FALSE)+8,1)</f>
        <v>L</v>
      </c>
      <c r="AE151" s="49" t="str">
        <f>MID(VLOOKUP($A151,Seqs!$A:$B,2,FALSE),VLOOKUP($A151,'SegEnds_NonXtal_Prot#'!$A:$AL,22,FALSE)+9,1)</f>
        <v>P</v>
      </c>
      <c r="AF151" s="49" t="str">
        <f>MID(VLOOKUP($A151,Seqs!$A:$B,2,FALSE),VLOOKUP($A151,'SegEnds_NonXtal_Prot#'!$A:$AL,22,FALSE)+10,1)</f>
        <v>M</v>
      </c>
      <c r="AG151" s="28" t="str">
        <f>MID(VLOOKUP($A151,Seqs!$A:$B,2,FALSE),VLOOKUP($A151,'SegEnds_NonXtal_Prot#'!$A:$AL,28,FALSE)-4,1)</f>
        <v>S</v>
      </c>
      <c r="AH151" s="49" t="str">
        <f>MID(VLOOKUP($A151,Seqs!$A:$B,2,FALSE),VLOOKUP($A151,'SegEnds_NonXtal_Prot#'!$A:$AL,28,FALSE),1)</f>
        <v>P</v>
      </c>
    </row>
    <row r="152" spans="1:34" s="2" customFormat="1" x14ac:dyDescent="0.2">
      <c r="A152" s="2" t="s">
        <v>361</v>
      </c>
      <c r="B152" s="2" t="str">
        <f>LOWER(VLOOKUP(A152,Xtal_Templ!A:B,2,FALSE))</f>
        <v>pe2r4_human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2" t="s">
        <v>5</v>
      </c>
      <c r="H152" s="4"/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L</v>
      </c>
      <c r="X152" s="49" t="str">
        <f>MID(VLOOKUP($A152,Seqs!$A:$B,2,FALSE),VLOOKUP($A152,'SegEnds_NonXtal_Prot#'!A:AL,10,FALSE)+7,1)</f>
        <v>I</v>
      </c>
      <c r="Y152" s="49" t="str">
        <f>MID(VLOOKUP($A152,Seqs!$A:$B,2,FALSE),VLOOKUP($A152,'SegEnds_NonXtal_Prot#'!A:AL,10,FALSE)+8,1)</f>
        <v>S</v>
      </c>
      <c r="Z152" s="49" t="str">
        <f>MID(VLOOKUP($A152,Seqs!$A:$B,2,FALSE),VLOOKUP($A152,'SegEnds_NonXtal_Prot#'!A:AL,10,FALSE)+9,1)</f>
        <v>P</v>
      </c>
      <c r="AA152" s="49" t="str">
        <f>MID(VLOOKUP($A152,Seqs!$A:$B,2,FALSE),VLOOKUP($A152,'SegEnds_NonXtal_Prot#'!A:AL,10,FALSE)+10,1)</f>
        <v>V</v>
      </c>
      <c r="AB152" s="28" t="str">
        <f>MID(VLOOKUP($A152,Seqs!$A:$B,2,FALSE),VLOOKUP($A152,'SegEnds_NonXtal_Prot#'!$A:$AL,22,FALSE)+6,1)</f>
        <v>F</v>
      </c>
      <c r="AC152" s="49" t="str">
        <f>MID(VLOOKUP($A152,Seqs!$A:$B,2,FALSE),VLOOKUP($A152,'SegEnds_NonXtal_Prot#'!$A:$AL,22,FALSE)+7,1)</f>
        <v>C</v>
      </c>
      <c r="AD152" s="49" t="str">
        <f>MID(VLOOKUP($A152,Seqs!$A:$B,2,FALSE),VLOOKUP($A152,'SegEnds_NonXtal_Prot#'!$A:$AL,22,FALSE)+8,1)</f>
        <v>S</v>
      </c>
      <c r="AE152" s="49" t="str">
        <f>MID(VLOOKUP($A152,Seqs!$A:$B,2,FALSE),VLOOKUP($A152,'SegEnds_NonXtal_Prot#'!$A:$AL,22,FALSE)+9,1)</f>
        <v>L</v>
      </c>
      <c r="AF152" s="49" t="str">
        <f>MID(VLOOKUP($A152,Seqs!$A:$B,2,FALSE),VLOOKUP($A152,'SegEnds_NonXtal_Prot#'!$A:$AL,22,FALSE)+10,1)</f>
        <v>P</v>
      </c>
      <c r="AG152" s="28" t="str">
        <f>MID(VLOOKUP($A152,Seqs!$A:$B,2,FALSE),VLOOKUP($A152,'SegEnds_NonXtal_Prot#'!$A:$AL,28,FALSE)-4,1)</f>
        <v>L</v>
      </c>
      <c r="AH152" s="49" t="str">
        <f>MID(VLOOKUP($A152,Seqs!$A:$B,2,FALSE),VLOOKUP($A152,'SegEnds_NonXtal_Prot#'!$A:$AL,28,FALSE),1)</f>
        <v>V</v>
      </c>
    </row>
    <row r="153" spans="1:34" s="2" customFormat="1" x14ac:dyDescent="0.2">
      <c r="A153" s="2" t="s">
        <v>334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Xtal</v>
      </c>
      <c r="H153" s="4"/>
      <c r="R153" s="2" t="s">
        <v>9</v>
      </c>
      <c r="T153" s="4" t="s">
        <v>12</v>
      </c>
      <c r="V153" s="28" t="str">
        <f>MID(VLOOKUP($A153,Seqs!$A:$B,2,FALSE),VLOOKUP($A153,'SegEnds_NonXtal_Prot#'!A:AL,10,FALSE),1)</f>
        <v>D</v>
      </c>
      <c r="W153" s="49" t="str">
        <f>MID(VLOOKUP($A153,Seqs!$A:$B,2,FALSE),VLOOKUP($A153,'SegEnds_NonXtal_Prot#'!A:AL,10,FALSE)+6,1)</f>
        <v>T</v>
      </c>
      <c r="X153" s="49" t="str">
        <f>MID(VLOOKUP($A153,Seqs!$A:$B,2,FALSE),VLOOKUP($A153,'SegEnds_NonXtal_Prot#'!A:AL,10,FALSE)+7,1)</f>
        <v>L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Q</v>
      </c>
      <c r="AB153" s="28" t="str">
        <f>MID(VLOOKUP($A153,Seqs!$A:$B,2,FALSE),VLOOKUP($A153,'SegEnds_NonXtal_Prot#'!$A:$AL,22,FALSE)+6,1)</f>
        <v>V</v>
      </c>
      <c r="AC153" s="49" t="str">
        <f>MID(VLOOKUP($A153,Seqs!$A:$B,2,FALSE),VLOOKUP($A153,'SegEnds_NonXtal_Prot#'!$A:$AL,22,FALSE)+7,1)</f>
        <v>G</v>
      </c>
      <c r="AD153" s="49" t="str">
        <f>MID(VLOOKUP($A153,Seqs!$A:$B,2,FALSE),VLOOKUP($A153,'SegEnds_NonXtal_Prot#'!$A:$AL,22,FALSE)+8,1)</f>
        <v>V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I</v>
      </c>
      <c r="AG153" s="28" t="str">
        <f>MID(VLOOKUP($A153,Seqs!$A:$B,2,FALSE),VLOOKUP($A153,'SegEnds_NonXtal_Prot#'!$A:$AL,28,FALSE)-4,1)</f>
        <v>A</v>
      </c>
      <c r="AH153" s="49" t="str">
        <f>MID(VLOOKUP($A153,Seqs!$A:$B,2,FALSE),VLOOKUP($A153,'SegEnds_NonXtal_Prot#'!$A:$AL,28,FALSE),1)</f>
        <v>P</v>
      </c>
    </row>
    <row r="154" spans="1:34" s="2" customFormat="1" x14ac:dyDescent="0.2">
      <c r="A154" s="2" t="s">
        <v>267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T154" s="4" t="s">
        <v>12</v>
      </c>
      <c r="V154" s="28" t="str">
        <f>MID(VLOOKUP($A154,Seqs!$A:$B,2,FALSE),VLOOKUP($A154,'SegEnds_NonXtal_Prot#'!A:AL,10,FALSE),1)</f>
        <v>N</v>
      </c>
      <c r="W154" s="49" t="str">
        <f>MID(VLOOKUP($A154,Seqs!$A:$B,2,FALSE),VLOOKUP($A154,'SegEnds_NonXtal_Prot#'!A:AL,10,FALSE)+6,1)</f>
        <v>A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M</v>
      </c>
      <c r="AB154" s="28" t="str">
        <f>MID(VLOOKUP($A154,Seqs!$A:$B,2,FALSE),VLOOKUP($A154,'SegEnds_NonXtal_Prot#'!$A:$AL,22,FALSE)+6,1)</f>
        <v>I</v>
      </c>
      <c r="AC154" s="49" t="str">
        <f>MID(VLOOKUP($A154,Seqs!$A:$B,2,FALSE),VLOOKUP($A154,'SegEnds_NonXtal_Prot#'!$A:$AL,22,FALSE)+7,1)</f>
        <v>I</v>
      </c>
      <c r="AD154" s="49" t="str">
        <f>MID(VLOOKUP($A154,Seqs!$A:$B,2,FALSE),VLOOKUP($A154,'SegEnds_NonXtal_Prot#'!$A:$AL,22,FALSE)+8,1)</f>
        <v>I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F</v>
      </c>
      <c r="AH154" s="49" t="str">
        <f>MID(VLOOKUP($A154,Seqs!$A:$B,2,FALSE),VLOOKUP($A154,'SegEnds_NonXtal_Prot#'!$A:$AL,28,FALSE),1)</f>
        <v>S</v>
      </c>
    </row>
    <row r="155" spans="1:34" s="2" customFormat="1" x14ac:dyDescent="0.2">
      <c r="A155" s="2" t="s">
        <v>299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G</v>
      </c>
      <c r="X155" s="49" t="str">
        <f>MID(VLOOKUP($A155,Seqs!$A:$B,2,FALSE),VLOOKUP($A155,'SegEnds_NonXtal_Prot#'!A:AL,10,FALSE)+7,1)</f>
        <v>M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F</v>
      </c>
      <c r="AA155" s="49" t="str">
        <f>MID(VLOOKUP($A155,Seqs!$A:$B,2,FALSE),VLOOKUP($A155,'SegEnds_NonXtal_Prot#'!A:AL,10,FALSE)+10,1)</f>
        <v>L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A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V</v>
      </c>
      <c r="AG155" s="28" t="str">
        <f>MID(VLOOKUP($A155,Seqs!$A:$B,2,FALSE),VLOOKUP($A155,'SegEnds_NonXtal_Prot#'!$A:$AL,28,FALSE)-4,1)</f>
        <v>T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320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H156" s="4"/>
      <c r="N156" s="2" t="s">
        <v>14</v>
      </c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V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V</v>
      </c>
      <c r="AA156" s="49" t="str">
        <f>MID(VLOOKUP($A156,Seqs!$A:$B,2,FALSE),VLOOKUP($A156,'SegEnds_NonXtal_Prot#'!A:AL,10,FALSE)+10,1)</f>
        <v>N</v>
      </c>
      <c r="AB156" s="28" t="str">
        <f>MID(VLOOKUP($A156,Seqs!$A:$B,2,FALSE),VLOOKUP($A156,'SegEnds_NonXtal_Prot#'!$A:$AL,22,FALSE)+6,1)</f>
        <v>L</v>
      </c>
      <c r="AC156" s="49" t="str">
        <f>MID(VLOOKUP($A156,Seqs!$A:$B,2,FALSE),VLOOKUP($A156,'SegEnds_NonXtal_Prot#'!$A:$AL,22,FALSE)+7,1)</f>
        <v>V</v>
      </c>
      <c r="AD156" s="49" t="str">
        <f>MID(VLOOKUP($A156,Seqs!$A:$B,2,FALSE),VLOOKUP($A156,'SegEnds_NonXtal_Prot#'!$A:$AL,22,FALSE)+8,1)</f>
        <v>L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F</v>
      </c>
      <c r="AG156" s="28" t="str">
        <f>MID(VLOOKUP($A156,Seqs!$A:$B,2,FALSE),VLOOKUP($A156,'SegEnds_NonXtal_Prot#'!$A:$AL,28,FALSE)-4,1)</f>
        <v>G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909</v>
      </c>
      <c r="B157" s="2" t="str">
        <f>LOWER(VLOOKUP(A157,Xtal_Templ!A:B,2,FALSE))</f>
        <v>oprd_mouse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T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Q</v>
      </c>
      <c r="AB157" s="28" t="str">
        <f>MID(VLOOKUP($A157,Seqs!$A:$B,2,FALSE),VLOOKUP($A157,'SegEnds_NonXtal_Prot#'!$A:$AL,22,FALSE)+6,1)</f>
        <v>V</v>
      </c>
      <c r="AC157" s="49" t="str">
        <f>MID(VLOOKUP($A157,Seqs!$A:$B,2,FALSE),VLOOKUP($A157,'SegEnds_NonXtal_Prot#'!$A:$AL,22,FALSE)+7,1)</f>
        <v>G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I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359</v>
      </c>
      <c r="B158" s="2" t="str">
        <f>LOWER(VLOOKUP(A158,Xtal_Templ!A:B,2,FALSE))</f>
        <v>pd2r2_human</v>
      </c>
      <c r="C158" s="2" t="str">
        <f>VLOOKUP(A158,Classification!A:D,2,FALSE)</f>
        <v>A</v>
      </c>
      <c r="D158" s="2" t="str">
        <f>IF(ISERROR(MATCH(A158,'SegEnds_Xtal_Prot#'!B:B, 0)), "NoXtal", "Xtal")</f>
        <v>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L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F</v>
      </c>
      <c r="AB158" s="28" t="str">
        <f>MID(VLOOKUP($A158,Seqs!$A:$B,2,FALSE),VLOOKUP($A158,'SegEnds_NonXtal_Prot#'!$A:$AL,22,FALSE)+6,1)</f>
        <v>N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V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Y</v>
      </c>
      <c r="AG158" s="28" t="str">
        <f>MID(VLOOKUP($A158,Seqs!$A:$B,2,FALSE),VLOOKUP($A158,'SegEnds_NonXtal_Prot#'!$A:$AL,28,FALSE)-4,1)</f>
        <v>A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383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V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V</v>
      </c>
      <c r="AB159" s="28" t="str">
        <f>MID(VLOOKUP($A159,Seqs!$A:$B,2,FALSE),VLOOKUP($A159,'SegEnds_NonXtal_Prot#'!$A:$AL,22,FALSE)+6,1)</f>
        <v>V</v>
      </c>
      <c r="AC159" s="49" t="str">
        <f>MID(VLOOKUP($A159,Seqs!$A:$B,2,FALSE),VLOOKUP($A159,'SegEnds_NonXtal_Prot#'!$A:$AL,22,FALSE)+7,1)</f>
        <v>T</v>
      </c>
      <c r="AD159" s="49" t="str">
        <f>MID(VLOOKUP($A159,Seqs!$A:$B,2,FALSE),VLOOKUP($A159,'SegEnds_NonXtal_Prot#'!$A:$AL,22,FALSE)+8,1)</f>
        <v>L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I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164</v>
      </c>
      <c r="B160" s="2" t="str">
        <f>LOWER(VLOOKUP(A160,Xtal_Templ!A:B,2,FALSE))</f>
        <v>c5ar1_human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S</v>
      </c>
      <c r="X160" s="49" t="str">
        <f>MID(VLOOKUP($A160,Seqs!$A:$B,2,FALSE),VLOOKUP($A160,'SegEnds_NonXtal_Prot#'!A:AL,10,FALSE)+7,1)</f>
        <v>L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F</v>
      </c>
      <c r="AA160" s="49" t="str">
        <f>MID(VLOOKUP($A160,Seqs!$A:$B,2,FALSE),VLOOKUP($A160,'SegEnds_NonXtal_Prot#'!A:AL,10,FALSE)+10,1)</f>
        <v>S</v>
      </c>
      <c r="AB160" s="28" t="str">
        <f>MID(VLOOKUP($A160,Seqs!$A:$B,2,FALSE),VLOOKUP($A160,'SegEnds_NonXtal_Prot#'!$A:$AL,22,FALSE)+6,1)</f>
        <v>M</v>
      </c>
      <c r="AC160" s="49" t="str">
        <f>MID(VLOOKUP($A160,Seqs!$A:$B,2,FALSE),VLOOKUP($A160,'SegEnds_NonXtal_Prot#'!$A:$AL,22,FALSE)+7,1)</f>
        <v>C</v>
      </c>
      <c r="AD160" s="49" t="str">
        <f>MID(VLOOKUP($A160,Seqs!$A:$B,2,FALSE),VLOOKUP($A160,'SegEnds_NonXtal_Prot#'!$A:$AL,22,FALSE)+8,1)</f>
        <v>I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V</v>
      </c>
      <c r="AG160" s="28" t="str">
        <f>MID(VLOOKUP($A160,Seqs!$A:$B,2,FALSE),VLOOKUP($A160,'SegEnds_NonXtal_Prot#'!$A:$AL,28,FALSE)-4,1)</f>
        <v>G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199</v>
      </c>
      <c r="B161" s="2" t="str">
        <f>LOWER(VLOOKUP(A161,Xtal_Templ!A:B,2,FALSE))</f>
        <v>ox2r_human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N161" s="2" t="s">
        <v>14</v>
      </c>
      <c r="R161" s="2" t="s">
        <v>9</v>
      </c>
      <c r="S161" s="2" t="s">
        <v>1316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A</v>
      </c>
      <c r="X161" s="49" t="str">
        <f>MID(VLOOKUP($A161,Seqs!$A:$B,2,FALSE),VLOOKUP($A161,'SegEnds_NonXtal_Prot#'!A:AL,10,FALSE)+7,1)</f>
        <v>I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L</v>
      </c>
      <c r="AA161" s="49" t="str">
        <f>MID(VLOOKUP($A161,Seqs!$A:$B,2,FALSE),VLOOKUP($A161,'SegEnds_NonXtal_Prot#'!A:AL,10,FALSE)+10,1)</f>
        <v>V</v>
      </c>
      <c r="AB161" s="28" t="str">
        <f>MID(VLOOKUP($A161,Seqs!$A:$B,2,FALSE),VLOOKUP($A161,'SegEnds_NonXtal_Prot#'!$A:$AL,22,FALSE)+6,1)</f>
        <v>A</v>
      </c>
      <c r="AC161" s="49" t="str">
        <f>MID(VLOOKUP($A161,Seqs!$A:$B,2,FALSE),VLOOKUP($A161,'SegEnds_NonXtal_Prot#'!$A:$AL,22,FALSE)+7,1)</f>
        <v>A</v>
      </c>
      <c r="AD161" s="49" t="str">
        <f>MID(VLOOKUP($A161,Seqs!$A:$B,2,FALSE),VLOOKUP($A161,'SegEnds_NonXtal_Prot#'!$A:$AL,22,FALSE)+8,1)</f>
        <v>L</v>
      </c>
      <c r="AE161" s="49" t="str">
        <f>MID(VLOOKUP($A161,Seqs!$A:$B,2,FALSE),VLOOKUP($A161,'SegEnds_NonXtal_Prot#'!$A:$AL,22,FALSE)+9,1)</f>
        <v>P</v>
      </c>
      <c r="AF161" s="49" t="str">
        <f>MID(VLOOKUP($A161,Seqs!$A:$B,2,FALSE),VLOOKUP($A161,'SegEnds_NonXtal_Prot#'!$A:$AL,22,FALSE)+10,1)</f>
        <v>L</v>
      </c>
      <c r="AG161" s="28" t="str">
        <f>MID(VLOOKUP($A161,Seqs!$A:$B,2,FALSE),VLOOKUP($A161,'SegEnds_NonXtal_Prot#'!$A:$AL,28,FALSE)-4,1)</f>
        <v>N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250</v>
      </c>
      <c r="B162" s="2" t="str">
        <f>LOWER(VLOOKUP(A162,Xtal_Templ!A:B,2,FALSE))</f>
        <v>fpr2_human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R162" s="2" t="s">
        <v>9</v>
      </c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S</v>
      </c>
      <c r="X162" s="49" t="str">
        <f>MID(VLOOKUP($A162,Seqs!$A:$B,2,FALSE),VLOOKUP($A162,'SegEnds_NonXtal_Prot#'!A:AL,10,FALSE)+7,1)</f>
        <v>L</v>
      </c>
      <c r="Y162" s="49" t="str">
        <f>MID(VLOOKUP($A162,Seqs!$A:$B,2,FALSE),VLOOKUP($A162,'SegEnds_NonXtal_Prot#'!A:AL,10,FALSE)+8,1)</f>
        <v>P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A</v>
      </c>
      <c r="AB162" s="28" t="str">
        <f>MID(VLOOKUP($A162,Seqs!$A:$B,2,FALSE),VLOOKUP($A162,'SegEnds_NonXtal_Prot#'!$A:$AL,22,FALSE)+6,1)</f>
        <v>L</v>
      </c>
      <c r="AC162" s="49" t="str">
        <f>MID(VLOOKUP($A162,Seqs!$A:$B,2,FALSE),VLOOKUP($A162,'SegEnds_NonXtal_Prot#'!$A:$AL,22,FALSE)+7,1)</f>
        <v>C</v>
      </c>
      <c r="AD162" s="49" t="str">
        <f>MID(VLOOKUP($A162,Seqs!$A:$B,2,FALSE),VLOOKUP($A162,'SegEnds_NonXtal_Prot#'!$A:$AL,22,FALSE)+8,1)</f>
        <v>S</v>
      </c>
      <c r="AE162" s="49" t="str">
        <f>MID(VLOOKUP($A162,Seqs!$A:$B,2,FALSE),VLOOKUP($A162,'SegEnds_NonXtal_Prot#'!$A:$AL,22,FALSE)+9,1)</f>
        <v>A</v>
      </c>
      <c r="AF162" s="49" t="str">
        <f>MID(VLOOKUP($A162,Seqs!$A:$B,2,FALSE),VLOOKUP($A162,'SegEnds_NonXtal_Prot#'!$A:$AL,22,FALSE)+10,1)</f>
        <v>H</v>
      </c>
      <c r="AG162" s="28" t="str">
        <f>MID(VLOOKUP($A162,Seqs!$A:$B,2,FALSE),VLOOKUP($A162,'SegEnds_NonXtal_Prot#'!$A:$AL,28,FALSE)-4,1)</f>
        <v>G</v>
      </c>
      <c r="AH162" s="49" t="str">
        <f>MID(VLOOKUP($A162,Seqs!$A:$B,2,FALSE),VLOOKUP($A162,'SegEnds_NonXtal_Prot#'!$A:$AL,28,FALSE),1)</f>
        <v>P</v>
      </c>
    </row>
    <row r="163" spans="1:34" s="2" customFormat="1" x14ac:dyDescent="0.2">
      <c r="A163" s="2" t="s">
        <v>307</v>
      </c>
      <c r="B163" s="2" t="str">
        <f>LOWER(VLOOKUP(A163,Xtal_Templ!A:B,2,FALSE))</f>
        <v>par2_human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H163" s="4"/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F</v>
      </c>
      <c r="X163" s="49" t="str">
        <f>MID(VLOOKUP($A163,Seqs!$A:$B,2,FALSE),VLOOKUP($A163,'SegEnds_NonXtal_Prot#'!A:AL,10,FALSE)+7,1)</f>
        <v>Q</v>
      </c>
      <c r="Y163" s="49" t="str">
        <f>MID(VLOOKUP($A163,Seqs!$A:$B,2,FALSE),VLOOKUP($A163,'SegEnds_NonXtal_Prot#'!A:AL,10,FALSE)+8,1)</f>
        <v>I</v>
      </c>
      <c r="Z163" s="49" t="str">
        <f>MID(VLOOKUP($A163,Seqs!$A:$B,2,FALSE),VLOOKUP($A163,'SegEnds_NonXtal_Prot#'!A:AL,10,FALSE)+9,1)</f>
        <v>I</v>
      </c>
      <c r="AA163" s="49" t="str">
        <f>MID(VLOOKUP($A163,Seqs!$A:$B,2,FALSE),VLOOKUP($A163,'SegEnds_NonXtal_Prot#'!A:AL,10,FALSE)+10,1)</f>
        <v>R</v>
      </c>
      <c r="AB163" s="28" t="str">
        <f>MID(VLOOKUP($A163,Seqs!$A:$B,2,FALSE),VLOOKUP($A163,'SegEnds_NonXtal_Prot#'!$A:$AL,22,FALSE)+6,1)</f>
        <v>F</v>
      </c>
      <c r="AC163" s="49" t="str">
        <f>MID(VLOOKUP($A163,Seqs!$A:$B,2,FALSE),VLOOKUP($A163,'SegEnds_NonXtal_Prot#'!$A:$AL,22,FALSE)+7,1)</f>
        <v>S</v>
      </c>
      <c r="AD163" s="49" t="str">
        <f>MID(VLOOKUP($A163,Seqs!$A:$B,2,FALSE),VLOOKUP($A163,'SegEnds_NonXtal_Prot#'!$A:$AL,22,FALSE)+8,1)</f>
        <v>M</v>
      </c>
      <c r="AE163" s="49" t="str">
        <f>MID(VLOOKUP($A163,Seqs!$A:$B,2,FALSE),VLOOKUP($A163,'SegEnds_NonXtal_Prot#'!$A:$AL,22,FALSE)+9,1)</f>
        <v>L</v>
      </c>
      <c r="AF163" s="49" t="str">
        <f>MID(VLOOKUP($A163,Seqs!$A:$B,2,FALSE),VLOOKUP($A163,'SegEnds_NonXtal_Prot#'!$A:$AL,22,FALSE)+10,1)</f>
        <v>E</v>
      </c>
      <c r="AG163" s="28" t="str">
        <f>MID(VLOOKUP($A163,Seqs!$A:$B,2,FALSE),VLOOKUP($A163,'SegEnds_NonXtal_Prot#'!$A:$AL,28,FALSE)-4,1)</f>
        <v>I</v>
      </c>
      <c r="AH163" s="49" t="str">
        <f>MID(VLOOKUP($A163,Seqs!$A:$B,2,FALSE),VLOOKUP($A163,'SegEnds_NonXtal_Prot#'!$A:$AL,28,FALSE),1)</f>
        <v>V</v>
      </c>
    </row>
    <row r="164" spans="1:34" s="2" customFormat="1" x14ac:dyDescent="0.2">
      <c r="A164" s="2" t="s">
        <v>335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T</v>
      </c>
      <c r="X164" s="49" t="str">
        <f>MID(VLOOKUP($A164,Seqs!$A:$B,2,FALSE),VLOOKUP($A164,'SegEnds_NonXtal_Prot#'!A:AL,10,FALSE)+7,1)</f>
        <v>M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F</v>
      </c>
      <c r="AA164" s="49" t="str">
        <f>MID(VLOOKUP($A164,Seqs!$A:$B,2,FALSE),VLOOKUP($A164,'SegEnds_NonXtal_Prot#'!A:AL,10,FALSE)+10,1)</f>
        <v>Q</v>
      </c>
      <c r="AB164" s="28" t="str">
        <f>MID(VLOOKUP($A164,Seqs!$A:$B,2,FALSE),VLOOKUP($A164,'SegEnds_NonXtal_Prot#'!$A:$AL,22,FALSE)+6,1)</f>
        <v>V</v>
      </c>
      <c r="AC164" s="49" t="str">
        <f>MID(VLOOKUP($A164,Seqs!$A:$B,2,FALSE),VLOOKUP($A164,'SegEnds_NonXtal_Prot#'!$A:$AL,22,FALSE)+7,1)</f>
        <v>G</v>
      </c>
      <c r="AD164" s="49" t="str">
        <f>MID(VLOOKUP($A164,Seqs!$A:$B,2,FALSE),VLOOKUP($A164,'SegEnds_NonXtal_Prot#'!$A:$AL,22,FALSE)+8,1)</f>
        <v>I</v>
      </c>
      <c r="AE164" s="49" t="str">
        <f>MID(VLOOKUP($A164,Seqs!$A:$B,2,FALSE),VLOOKUP($A164,'SegEnds_NonXtal_Prot#'!$A:$AL,22,FALSE)+9,1)</f>
        <v>S</v>
      </c>
      <c r="AF164" s="49" t="str">
        <f>MID(VLOOKUP($A164,Seqs!$A:$B,2,FALSE),VLOOKUP($A164,'SegEnds_NonXtal_Prot#'!$A:$AL,22,FALSE)+10,1)</f>
        <v>A</v>
      </c>
      <c r="AG164" s="28" t="str">
        <f>MID(VLOOKUP($A164,Seqs!$A:$B,2,FALSE),VLOOKUP($A164,'SegEnds_NonXtal_Prot#'!$A:$AL,28,FALSE)-4,1)</f>
        <v>A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341</v>
      </c>
      <c r="B165" s="2" t="str">
        <f>LOWER(VLOOKUP(A165,Xtal_Templ!A:B,2,FALSE))</f>
        <v>pd2r2_human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H165" s="4"/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N</v>
      </c>
      <c r="X165" s="49" t="str">
        <f>MID(VLOOKUP($A165,Seqs!$A:$B,2,FALSE),VLOOKUP($A165,'SegEnds_NonXtal_Prot#'!A:AL,10,FALSE)+7,1)</f>
        <v>L</v>
      </c>
      <c r="Y165" s="49" t="str">
        <f>MID(VLOOKUP($A165,Seqs!$A:$B,2,FALSE),VLOOKUP($A165,'SegEnds_NonXtal_Prot#'!A:AL,10,FALSE)+8,1)</f>
        <v>P</v>
      </c>
      <c r="Z165" s="49" t="str">
        <f>MID(VLOOKUP($A165,Seqs!$A:$B,2,FALSE),VLOOKUP($A165,'SegEnds_NonXtal_Prot#'!A:AL,10,FALSE)+9,1)</f>
        <v>L</v>
      </c>
      <c r="AA165" s="49" t="str">
        <f>MID(VLOOKUP($A165,Seqs!$A:$B,2,FALSE),VLOOKUP($A165,'SegEnds_NonXtal_Prot#'!A:AL,10,FALSE)+10,1)</f>
        <v>R</v>
      </c>
      <c r="AB165" s="28" t="str">
        <f>MID(VLOOKUP($A165,Seqs!$A:$B,2,FALSE),VLOOKUP($A165,'SegEnds_NonXtal_Prot#'!$A:$AL,22,FALSE)+6,1)</f>
        <v>L</v>
      </c>
      <c r="AC165" s="49" t="str">
        <f>MID(VLOOKUP($A165,Seqs!$A:$B,2,FALSE),VLOOKUP($A165,'SegEnds_NonXtal_Prot#'!$A:$AL,22,FALSE)+7,1)</f>
        <v>N</v>
      </c>
      <c r="AD165" s="49" t="str">
        <f>MID(VLOOKUP($A165,Seqs!$A:$B,2,FALSE),VLOOKUP($A165,'SegEnds_NonXtal_Prot#'!$A:$AL,22,FALSE)+8,1)</f>
        <v>G</v>
      </c>
      <c r="AE165" s="49" t="str">
        <f>MID(VLOOKUP($A165,Seqs!$A:$B,2,FALSE),VLOOKUP($A165,'SegEnds_NonXtal_Prot#'!$A:$AL,22,FALSE)+9,1)</f>
        <v>H</v>
      </c>
      <c r="AF165" s="49" t="str">
        <f>MID(VLOOKUP($A165,Seqs!$A:$B,2,FALSE),VLOOKUP($A165,'SegEnds_NonXtal_Prot#'!$A:$AL,22,FALSE)+10,1)</f>
        <v>L</v>
      </c>
      <c r="AG165" s="28" t="str">
        <f>MID(VLOOKUP($A165,Seqs!$A:$B,2,FALSE),VLOOKUP($A165,'SegEnds_NonXtal_Prot#'!$A:$AL,28,FALSE)-4,1)</f>
        <v>E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204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F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I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M</v>
      </c>
      <c r="AC166" s="49" t="str">
        <f>MID(VLOOKUP($A166,Seqs!$A:$B,2,FALSE),VLOOKUP($A166,'SegEnds_NonXtal_Prot#'!$A:$AL,22,FALSE)+7,1)</f>
        <v>A</v>
      </c>
      <c r="AD166" s="49" t="str">
        <f>MID(VLOOKUP($A166,Seqs!$A:$B,2,FALSE),VLOOKUP($A166,'SegEnds_NonXtal_Prot#'!$A:$AL,22,FALSE)+8,1)</f>
        <v>S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V</v>
      </c>
      <c r="AG166" s="28" t="str">
        <f>MID(VLOOKUP($A166,Seqs!$A:$B,2,FALSE),VLOOKUP($A166,'SegEnds_NonXtal_Prot#'!$A:$AL,28,FALSE)-4,1)</f>
        <v>G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205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G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S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206</v>
      </c>
      <c r="B168" s="2" t="str">
        <f>LOWER(VLOOKUP(A168,Xtal_Templ!A:B,2,FALSE))</f>
        <v>oprk_human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2" t="s">
        <v>5</v>
      </c>
      <c r="H168" s="4"/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D</v>
      </c>
      <c r="W168" s="49" t="str">
        <f>MID(VLOOKUP($A168,Seqs!$A:$B,2,FALSE),VLOOKUP($A168,'SegEnds_NonXtal_Prot#'!A:AL,10,FALSE)+6,1)</f>
        <v>C</v>
      </c>
      <c r="X168" s="49" t="str">
        <f>MID(VLOOKUP($A168,Seqs!$A:$B,2,FALSE),VLOOKUP($A168,'SegEnds_NonXtal_Prot#'!A:AL,10,FALSE)+7,1)</f>
        <v>C</v>
      </c>
      <c r="Y168" s="49" t="str">
        <f>MID(VLOOKUP($A168,Seqs!$A:$B,2,FALSE),VLOOKUP($A168,'SegEnds_NonXtal_Prot#'!A:AL,10,FALSE)+8,1)</f>
        <v>V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F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S</v>
      </c>
      <c r="AD168" s="49" t="str">
        <f>MID(VLOOKUP($A168,Seqs!$A:$B,2,FALSE),VLOOKUP($A168,'SegEnds_NonXtal_Prot#'!$A:$AL,22,FALSE)+8,1)</f>
        <v>A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Y</v>
      </c>
      <c r="AG168" s="28" t="str">
        <f>MID(VLOOKUP($A168,Seqs!$A:$B,2,FALSE),VLOOKUP($A168,'SegEnds_NonXtal_Prot#'!$A:$AL,28,FALSE)-4,1)</f>
        <v>G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209</v>
      </c>
      <c r="B169" s="2" t="str">
        <f>LOWER(VLOOKUP(A169,Xtal_Templ!A:B,2,FALSE))</f>
        <v>oxyr_human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106" t="s">
        <v>5</v>
      </c>
      <c r="N169" s="2" t="s">
        <v>14</v>
      </c>
      <c r="R169" s="2" t="s">
        <v>9</v>
      </c>
      <c r="T169" s="4" t="s">
        <v>12</v>
      </c>
      <c r="V169" s="28" t="str">
        <f>MID(VLOOKUP($A169,Seqs!$A:$B,2,FALSE),VLOOKUP($A169,'SegEnds_NonXtal_Prot#'!A:AL,10,FALSE),1)</f>
        <v>N</v>
      </c>
      <c r="W169" s="49" t="str">
        <f>MID(VLOOKUP($A169,Seqs!$A:$B,2,FALSE),VLOOKUP($A169,'SegEnds_NonXtal_Prot#'!A:AL,10,FALSE)+6,1)</f>
        <v>I</v>
      </c>
      <c r="X169" s="49" t="str">
        <f>MID(VLOOKUP($A169,Seqs!$A:$B,2,FALSE),VLOOKUP($A169,'SegEnds_NonXtal_Prot#'!A:AL,10,FALSE)+7,1)</f>
        <v>V</v>
      </c>
      <c r="Y169" s="49" t="str">
        <f>MID(VLOOKUP($A169,Seqs!$A:$B,2,FALSE),VLOOKUP($A169,'SegEnds_NonXtal_Prot#'!A:AL,10,FALSE)+8,1)</f>
        <v>M</v>
      </c>
      <c r="Z169" s="49" t="str">
        <f>MID(VLOOKUP($A169,Seqs!$A:$B,2,FALSE),VLOOKUP($A169,'SegEnds_NonXtal_Prot#'!A:AL,10,FALSE)+9,1)</f>
        <v>P</v>
      </c>
      <c r="AA169" s="49" t="str">
        <f>MID(VLOOKUP($A169,Seqs!$A:$B,2,FALSE),VLOOKUP($A169,'SegEnds_NonXtal_Prot#'!A:AL,10,FALSE)+10,1)</f>
        <v>L</v>
      </c>
      <c r="AB169" s="28" t="str">
        <f>MID(VLOOKUP($A169,Seqs!$A:$B,2,FALSE),VLOOKUP($A169,'SegEnds_NonXtal_Prot#'!$A:$AL,22,FALSE)+6,1)</f>
        <v>F</v>
      </c>
      <c r="AC169" s="49" t="str">
        <f>MID(VLOOKUP($A169,Seqs!$A:$B,2,FALSE),VLOOKUP($A169,'SegEnds_NonXtal_Prot#'!$A:$AL,22,FALSE)+7,1)</f>
        <v>A</v>
      </c>
      <c r="AD169" s="49" t="str">
        <f>MID(VLOOKUP($A169,Seqs!$A:$B,2,FALSE),VLOOKUP($A169,'SegEnds_NonXtal_Prot#'!$A:$AL,22,FALSE)+8,1)</f>
        <v>G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Q</v>
      </c>
      <c r="AG169" s="28" t="str">
        <f>MID(VLOOKUP($A169,Seqs!$A:$B,2,FALSE),VLOOKUP($A169,'SegEnds_NonXtal_Prot#'!$A:$AL,28,FALSE)-4,1)</f>
        <v>L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336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911</v>
      </c>
      <c r="B171" s="2" t="str">
        <f>LOWER(VLOOKUP(A171,Xtal_Templ!A:B,2,FALSE))</f>
        <v>oprm_mouse</v>
      </c>
      <c r="C171" s="2" t="str">
        <f>VLOOKUP(A171,Classification!A:D,2,FALSE)</f>
        <v>A</v>
      </c>
      <c r="D171" s="2" t="str">
        <f>IF(ISERROR(MATCH(A171,'SegEnds_Xtal_Prot#'!B:B, 0)), "NoXtal", "Xtal")</f>
        <v>Xtal</v>
      </c>
      <c r="H171" s="4"/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T</v>
      </c>
      <c r="X171" s="49" t="str">
        <f>MID(VLOOKUP($A171,Seqs!$A:$B,2,FALSE),VLOOKUP($A171,'SegEnds_NonXtal_Prot#'!A:AL,10,FALSE)+7,1)</f>
        <v>L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Q</v>
      </c>
      <c r="AB171" s="28" t="str">
        <f>MID(VLOOKUP($A171,Seqs!$A:$B,2,FALSE),VLOOKUP($A171,'SegEnds_NonXtal_Prot#'!$A:$AL,22,FALSE)+6,1)</f>
        <v>I</v>
      </c>
      <c r="AC171" s="49" t="str">
        <f>MID(VLOOKUP($A171,Seqs!$A:$B,2,FALSE),VLOOKUP($A171,'SegEnds_NonXtal_Prot#'!$A:$AL,22,FALSE)+7,1)</f>
        <v>G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V</v>
      </c>
      <c r="AG171" s="28" t="str">
        <f>MID(VLOOKUP($A171,Seqs!$A:$B,2,FALSE),VLOOKUP($A171,'SegEnds_NonXtal_Prot#'!$A:$AL,28,FALSE)-4,1)</f>
        <v>A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380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S</v>
      </c>
      <c r="X172" s="49" t="str">
        <f>MID(VLOOKUP($A172,Seqs!$A:$B,2,FALSE),VLOOKUP($A172,'SegEnds_NonXtal_Prot#'!A:AL,10,FALSE)+7,1)</f>
        <v>V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381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V</v>
      </c>
      <c r="AC173" s="49" t="str">
        <f>MID(VLOOKUP($A173,Seqs!$A:$B,2,FALSE),VLOOKUP($A173,'SegEnds_NonXtal_Prot#'!$A:$AL,22,FALSE)+7,1)</f>
        <v>I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I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384</v>
      </c>
      <c r="B174" s="2" t="str">
        <f>LOWER(VLOOKUP(A174,Xtal_Templ!A:B,2,FALSE))</f>
        <v>oprd_human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G</v>
      </c>
      <c r="X174" s="49" t="str">
        <f>MID(VLOOKUP($A174,Seqs!$A:$B,2,FALSE),VLOOKUP($A174,'SegEnds_NonXtal_Prot#'!A:AL,10,FALSE)+7,1)</f>
        <v>L</v>
      </c>
      <c r="Y174" s="49" t="str">
        <f>MID(VLOOKUP($A174,Seqs!$A:$B,2,FALSE),VLOOKUP($A174,'SegEnds_NonXtal_Prot#'!A:AL,10,FALSE)+8,1)</f>
        <v>P</v>
      </c>
      <c r="Z174" s="49" t="str">
        <f>MID(VLOOKUP($A174,Seqs!$A:$B,2,FALSE),VLOOKUP($A174,'SegEnds_NonXtal_Prot#'!A:AL,10,FALSE)+9,1)</f>
        <v>F</v>
      </c>
      <c r="AA174" s="49" t="str">
        <f>MID(VLOOKUP($A174,Seqs!$A:$B,2,FALSE),VLOOKUP($A174,'SegEnds_NonXtal_Prot#'!A:AL,10,FALSE)+10,1)</f>
        <v>L</v>
      </c>
      <c r="AB174" s="28" t="str">
        <f>MID(VLOOKUP($A174,Seqs!$A:$B,2,FALSE),VLOOKUP($A174,'SegEnds_NonXtal_Prot#'!$A:$AL,22,FALSE)+6,1)</f>
        <v>M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L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L</v>
      </c>
      <c r="AG174" s="28" t="str">
        <f>MID(VLOOKUP($A174,Seqs!$A:$B,2,FALSE),VLOOKUP($A174,'SegEnds_NonXtal_Prot#'!$A:$AL,28,FALSE)-4,1)</f>
        <v>G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396</v>
      </c>
      <c r="B175" s="2" t="str">
        <f>LOWER(VLOOKUP(A175,Xtal_Templ!A:B,2,FALSE))</f>
        <v>oxyr_human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G175" s="2" t="s">
        <v>5</v>
      </c>
      <c r="H175" s="4"/>
      <c r="N175" s="2" t="s">
        <v>14</v>
      </c>
      <c r="R175" s="2" t="s">
        <v>9</v>
      </c>
      <c r="T175" s="4" t="s">
        <v>12</v>
      </c>
      <c r="V175" s="28" t="str">
        <f>MID(VLOOKUP($A175,Seqs!$A:$B,2,FALSE),VLOOKUP($A175,'SegEnds_NonXtal_Prot#'!A:AL,10,FALSE),1)</f>
        <v>D</v>
      </c>
      <c r="W175" s="49" t="str">
        <f>MID(VLOOKUP($A175,Seqs!$A:$B,2,FALSE),VLOOKUP($A175,'SegEnds_NonXtal_Prot#'!A:AL,10,FALSE)+6,1)</f>
        <v>F</v>
      </c>
      <c r="X175" s="49" t="str">
        <f>MID(VLOOKUP($A175,Seqs!$A:$B,2,FALSE),VLOOKUP($A175,'SegEnds_NonXtal_Prot#'!A:AL,10,FALSE)+7,1)</f>
        <v>Q</v>
      </c>
      <c r="Y175" s="49" t="str">
        <f>MID(VLOOKUP($A175,Seqs!$A:$B,2,FALSE),VLOOKUP($A175,'SegEnds_NonXtal_Prot#'!A:AL,10,FALSE)+8,1)</f>
        <v>V</v>
      </c>
      <c r="Z175" s="49" t="str">
        <f>MID(VLOOKUP($A175,Seqs!$A:$B,2,FALSE),VLOOKUP($A175,'SegEnds_NonXtal_Prot#'!A:AL,10,FALSE)+9,1)</f>
        <v>L</v>
      </c>
      <c r="AA175" s="49" t="str">
        <f>MID(VLOOKUP($A175,Seqs!$A:$B,2,FALSE),VLOOKUP($A175,'SegEnds_NonXtal_Prot#'!A:AL,10,FALSE)+10,1)</f>
        <v>P</v>
      </c>
      <c r="AB175" s="28" t="str">
        <f>MID(VLOOKUP($A175,Seqs!$A:$B,2,FALSE),VLOOKUP($A175,'SegEnds_NonXtal_Prot#'!$A:$AL,22,FALSE)+6,1)</f>
        <v>L</v>
      </c>
      <c r="AC175" s="49" t="str">
        <f>MID(VLOOKUP($A175,Seqs!$A:$B,2,FALSE),VLOOKUP($A175,'SegEnds_NonXtal_Prot#'!$A:$AL,22,FALSE)+7,1)</f>
        <v>S</v>
      </c>
      <c r="AD175" s="49" t="str">
        <f>MID(VLOOKUP($A175,Seqs!$A:$B,2,FALSE),VLOOKUP($A175,'SegEnds_NonXtal_Prot#'!$A:$AL,22,FALSE)+8,1)</f>
        <v>T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Q</v>
      </c>
      <c r="AG175" s="28" t="str">
        <f>MID(VLOOKUP($A175,Seqs!$A:$B,2,FALSE),VLOOKUP($A175,'SegEnds_NonXtal_Prot#'!$A:$AL,28,FALSE)-4,1)</f>
        <v>I</v>
      </c>
      <c r="AH175" s="49" t="str">
        <f>MID(VLOOKUP($A175,Seqs!$A:$B,2,FALSE),VLOOKUP($A175,'SegEnds_NonXtal_Prot#'!$A:$AL,28,FALSE),1)</f>
        <v>P</v>
      </c>
    </row>
    <row r="176" spans="1:34" s="2" customFormat="1" x14ac:dyDescent="0.2">
      <c r="A176" s="2" t="s">
        <v>216</v>
      </c>
      <c r="B176" s="2" t="str">
        <f>LOWER(VLOOKUP(A176,Xtal_Templ!A:B,2,FALSE))</f>
        <v>ccr7_human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N176" s="2" t="s">
        <v>14</v>
      </c>
      <c r="T176" s="4" t="s">
        <v>12</v>
      </c>
      <c r="V176" s="28" t="str">
        <f>MID(VLOOKUP($A176,Seqs!$A:$B,2,FALSE),VLOOKUP($A176,'SegEnds_NonXtal_Prot#'!A:AL,10,FALSE),1)</f>
        <v>H</v>
      </c>
      <c r="W176" s="49" t="str">
        <f>MID(VLOOKUP($A176,Seqs!$A:$B,2,FALSE),VLOOKUP($A176,'SegEnds_NonXtal_Prot#'!A:AL,10,FALSE)+6,1)</f>
        <v>T</v>
      </c>
      <c r="X176" s="49" t="str">
        <f>MID(VLOOKUP($A176,Seqs!$A:$B,2,FALSE),VLOOKUP($A176,'SegEnds_NonXtal_Prot#'!A:AL,10,FALSE)+7,1)</f>
        <v>V</v>
      </c>
      <c r="Y176" s="49" t="str">
        <f>MID(VLOOKUP($A176,Seqs!$A:$B,2,FALSE),VLOOKUP($A176,'SegEnds_NonXtal_Prot#'!A:AL,10,FALSE)+8,1)</f>
        <v>P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R</v>
      </c>
      <c r="AB176" s="28" t="str">
        <f>MID(VLOOKUP($A176,Seqs!$A:$B,2,FALSE),VLOOKUP($A176,'SegEnds_NonXtal_Prot#'!$A:$AL,22,FALSE)+6,1)</f>
        <v>I</v>
      </c>
      <c r="AC176" s="49" t="str">
        <f>MID(VLOOKUP($A176,Seqs!$A:$B,2,FALSE),VLOOKUP($A176,'SegEnds_NonXtal_Prot#'!$A:$AL,22,FALSE)+7,1)</f>
        <v>V</v>
      </c>
      <c r="AD176" s="49" t="str">
        <f>MID(VLOOKUP($A176,Seqs!$A:$B,2,FALSE),VLOOKUP($A176,'SegEnds_NonXtal_Prot#'!$A:$AL,22,FALSE)+8,1)</f>
        <v>V</v>
      </c>
      <c r="AE176" s="49" t="str">
        <f>MID(VLOOKUP($A176,Seqs!$A:$B,2,FALSE),VLOOKUP($A176,'SegEnds_NonXtal_Prot#'!$A:$AL,22,FALSE)+9,1)</f>
        <v>P</v>
      </c>
      <c r="AF176" s="49" t="str">
        <f>MID(VLOOKUP($A176,Seqs!$A:$B,2,FALSE),VLOOKUP($A176,'SegEnds_NonXtal_Prot#'!$A:$AL,22,FALSE)+10,1)</f>
        <v>L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L</v>
      </c>
    </row>
    <row r="177" spans="1:34" s="2" customFormat="1" x14ac:dyDescent="0.2">
      <c r="A177" s="2" t="s">
        <v>217</v>
      </c>
      <c r="B177" s="2" t="str">
        <f>LOWER(VLOOKUP(A177,Xtal_Templ!A:B,2,FALSE))</f>
        <v>5ht2a_human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H177" s="4"/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V</v>
      </c>
      <c r="X177" s="49" t="str">
        <f>MID(VLOOKUP($A177,Seqs!$A:$B,2,FALSE),VLOOKUP($A177,'SegEnds_NonXtal_Prot#'!A:AL,10,FALSE)+7,1)</f>
        <v>I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F</v>
      </c>
      <c r="AA177" s="49" t="str">
        <f>MID(VLOOKUP($A177,Seqs!$A:$B,2,FALSE),VLOOKUP($A177,'SegEnds_NonXtal_Prot#'!A:AL,10,FALSE)+10,1)</f>
        <v>A</v>
      </c>
      <c r="AB177" s="28" t="str">
        <f>MID(VLOOKUP($A177,Seqs!$A:$B,2,FALSE),VLOOKUP($A177,'SegEnds_NonXtal_Prot#'!$A:$AL,22,FALSE)+6,1)</f>
        <v>L</v>
      </c>
      <c r="AC177" s="49" t="str">
        <f>MID(VLOOKUP($A177,Seqs!$A:$B,2,FALSE),VLOOKUP($A177,'SegEnds_NonXtal_Prot#'!$A:$AL,22,FALSE)+7,1)</f>
        <v>T</v>
      </c>
      <c r="AD177" s="49" t="str">
        <f>MID(VLOOKUP($A177,Seqs!$A:$B,2,FALSE),VLOOKUP($A177,'SegEnds_NonXtal_Prot#'!$A:$AL,22,FALSE)+8,1)</f>
        <v>G</v>
      </c>
      <c r="AE177" s="49" t="str">
        <f>MID(VLOOKUP($A177,Seqs!$A:$B,2,FALSE),VLOOKUP($A177,'SegEnds_NonXtal_Prot#'!$A:$AL,22,FALSE)+9,1)</f>
        <v>I</v>
      </c>
      <c r="AF177" s="49" t="str">
        <f>MID(VLOOKUP($A177,Seqs!$A:$B,2,FALSE),VLOOKUP($A177,'SegEnds_NonXtal_Prot#'!$A:$AL,22,FALSE)+10,1)</f>
        <v>P</v>
      </c>
      <c r="AG177" s="28" t="str">
        <f>MID(VLOOKUP($A177,Seqs!$A:$B,2,FALSE),VLOOKUP($A177,'SegEnds_NonXtal_Prot#'!$A:$AL,28,FALSE)-4,1)</f>
        <v>V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281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G178" s="2" t="s">
        <v>5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C</v>
      </c>
      <c r="X178" s="49" t="str">
        <f>MID(VLOOKUP($A178,Seqs!$A:$B,2,FALSE),VLOOKUP($A178,'SegEnds_NonXtal_Prot#'!A:AL,10,FALSE)+7,1)</f>
        <v>C</v>
      </c>
      <c r="Y178" s="49" t="str">
        <f>MID(VLOOKUP($A178,Seqs!$A:$B,2,FALSE),VLOOKUP($A178,'SegEnds_NonXtal_Prot#'!A:AL,10,FALSE)+8,1)</f>
        <v>V</v>
      </c>
      <c r="Z178" s="49" t="str">
        <f>MID(VLOOKUP($A178,Seqs!$A:$B,2,FALSE),VLOOKUP($A178,'SegEnds_NonXtal_Prot#'!A:AL,10,FALSE)+9,1)</f>
        <v>P</v>
      </c>
      <c r="AA178" s="49" t="str">
        <f>MID(VLOOKUP($A178,Seqs!$A:$B,2,FALSE),VLOOKUP($A178,'SegEnds_NonXtal_Prot#'!A:AL,10,FALSE)+10,1)</f>
        <v>F</v>
      </c>
      <c r="AB178" s="28" t="str">
        <f>MID(VLOOKUP($A178,Seqs!$A:$B,2,FALSE),VLOOKUP($A178,'SegEnds_NonXtal_Prot#'!$A:$AL,22,FALSE)+6,1)</f>
        <v>V</v>
      </c>
      <c r="AC178" s="49" t="str">
        <f>MID(VLOOKUP($A178,Seqs!$A:$B,2,FALSE),VLOOKUP($A178,'SegEnds_NonXtal_Prot#'!$A:$AL,22,FALSE)+7,1)</f>
        <v>S</v>
      </c>
      <c r="AD178" s="49" t="str">
        <f>MID(VLOOKUP($A178,Seqs!$A:$B,2,FALSE),VLOOKUP($A178,'SegEnds_NonXtal_Prot#'!$A:$AL,22,FALSE)+8,1)</f>
        <v>A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L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298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G</v>
      </c>
      <c r="X179" s="49" t="str">
        <f>MID(VLOOKUP($A179,Seqs!$A:$B,2,FALSE),VLOOKUP($A179,'SegEnds_NonXtal_Prot#'!A:AL,10,FALSE)+7,1)</f>
        <v>M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F</v>
      </c>
      <c r="AA179" s="49" t="str">
        <f>MID(VLOOKUP($A179,Seqs!$A:$B,2,FALSE),VLOOKUP($A179,'SegEnds_NonXtal_Prot#'!A:AL,10,FALSE)+10,1)</f>
        <v>M</v>
      </c>
      <c r="AB179" s="28" t="str">
        <f>MID(VLOOKUP($A179,Seqs!$A:$B,2,FALSE),VLOOKUP($A179,'SegEnds_NonXtal_Prot#'!$A:$AL,22,FALSE)+6,1)</f>
        <v>S</v>
      </c>
      <c r="AC179" s="49" t="str">
        <f>MID(VLOOKUP($A179,Seqs!$A:$B,2,FALSE),VLOOKUP($A179,'SegEnds_NonXtal_Prot#'!$A:$AL,22,FALSE)+7,1)</f>
        <v>I</v>
      </c>
      <c r="AD179" s="49" t="str">
        <f>MID(VLOOKUP($A179,Seqs!$A:$B,2,FALSE),VLOOKUP($A179,'SegEnds_NonXtal_Prot#'!$A:$AL,22,FALSE)+8,1)</f>
        <v>T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V</v>
      </c>
      <c r="AG179" s="28" t="str">
        <f>MID(VLOOKUP($A179,Seqs!$A:$B,2,FALSE),VLOOKUP($A179,'SegEnds_NonXtal_Prot#'!$A:$AL,28,FALSE)-4,1)</f>
        <v>A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319</v>
      </c>
      <c r="B180" s="2" t="str">
        <f>LOWER(VLOOKUP(A180,Xtal_Templ!A:B,2,FALSE))</f>
        <v>oprd_human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H180" s="4"/>
      <c r="N180" s="2" t="s">
        <v>14</v>
      </c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V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I</v>
      </c>
      <c r="AA180" s="49" t="str">
        <f>MID(VLOOKUP($A180,Seqs!$A:$B,2,FALSE),VLOOKUP($A180,'SegEnds_NonXtal_Prot#'!A:AL,10,FALSE)+10,1)</f>
        <v>N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V</v>
      </c>
      <c r="AD180" s="49" t="str">
        <f>MID(VLOOKUP($A180,Seqs!$A:$B,2,FALSE),VLOOKUP($A180,'SegEnds_NonXtal_Prot#'!$A:$AL,22,FALSE)+8,1)</f>
        <v>L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F</v>
      </c>
      <c r="AG180" s="28" t="str">
        <f>MID(VLOOKUP($A180,Seqs!$A:$B,2,FALSE),VLOOKUP($A180,'SegEnds_NonXtal_Prot#'!$A:$AL,28,FALSE)-4,1)</f>
        <v>G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1167</v>
      </c>
      <c r="B181" s="2" t="str">
        <f>LOWER(VLOOKUP(A181,Xtal_Templ!A:B,2,FALSE))</f>
        <v>oprx_human</v>
      </c>
      <c r="C181" s="2" t="str">
        <f>VLOOKUP(A181,Classification!A:D,2,FALSE)</f>
        <v>A</v>
      </c>
      <c r="D181" s="2" t="str">
        <f>IF(ISERROR(MATCH(A181,'SegEnds_Xtal_Prot#'!B:B, 0)), "NoXtal", "Xtal")</f>
        <v>Xtal</v>
      </c>
      <c r="H181" s="4"/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T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Q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G</v>
      </c>
      <c r="AD181" s="49" t="str">
        <f>MID(VLOOKUP($A181,Seqs!$A:$B,2,FALSE),VLOOKUP($A181,'SegEnds_NonXtal_Prot#'!$A:$AL,22,FALSE)+8,1)</f>
        <v>V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S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382</v>
      </c>
      <c r="B182" s="2" t="str">
        <f>LOWER(VLOOKUP(A182,Xtal_Templ!A:B,2,FALSE))</f>
        <v>oprk_human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N182" s="2" t="s">
        <v>14</v>
      </c>
      <c r="R182" s="2" t="s">
        <v>9</v>
      </c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G</v>
      </c>
      <c r="X182" s="49" t="str">
        <f>MID(VLOOKUP($A182,Seqs!$A:$B,2,FALSE),VLOOKUP($A182,'SegEnds_NonXtal_Prot#'!A:AL,10,FALSE)+7,1)</f>
        <v>L</v>
      </c>
      <c r="Y182" s="49" t="str">
        <f>MID(VLOOKUP($A182,Seqs!$A:$B,2,FALSE),VLOOKUP($A182,'SegEnds_NonXtal_Prot#'!A:AL,10,FALSE)+8,1)</f>
        <v>P</v>
      </c>
      <c r="Z182" s="49" t="str">
        <f>MID(VLOOKUP($A182,Seqs!$A:$B,2,FALSE),VLOOKUP($A182,'SegEnds_NonXtal_Prot#'!A:AL,10,FALSE)+9,1)</f>
        <v>F</v>
      </c>
      <c r="AA182" s="49" t="str">
        <f>MID(VLOOKUP($A182,Seqs!$A:$B,2,FALSE),VLOOKUP($A182,'SegEnds_NonXtal_Prot#'!A:AL,10,FALSE)+10,1)</f>
        <v>L</v>
      </c>
      <c r="AB182" s="28" t="str">
        <f>MID(VLOOKUP($A182,Seqs!$A:$B,2,FALSE),VLOOKUP($A182,'SegEnds_NonXtal_Prot#'!$A:$AL,22,FALSE)+6,1)</f>
        <v>V</v>
      </c>
      <c r="AC182" s="49" t="str">
        <f>MID(VLOOKUP($A182,Seqs!$A:$B,2,FALSE),VLOOKUP($A182,'SegEnds_NonXtal_Prot#'!$A:$AL,22,FALSE)+7,1)</f>
        <v>V</v>
      </c>
      <c r="AD182" s="49" t="str">
        <f>MID(VLOOKUP($A182,Seqs!$A:$B,2,FALSE),VLOOKUP($A182,'SegEnds_NonXtal_Prot#'!$A:$AL,22,FALSE)+8,1)</f>
        <v>L</v>
      </c>
      <c r="AE182" s="49" t="str">
        <f>MID(VLOOKUP($A182,Seqs!$A:$B,2,FALSE),VLOOKUP($A182,'SegEnds_NonXtal_Prot#'!$A:$AL,22,FALSE)+9,1)</f>
        <v>P</v>
      </c>
      <c r="AF182" s="49" t="str">
        <f>MID(VLOOKUP($A182,Seqs!$A:$B,2,FALSE),VLOOKUP($A182,'SegEnds_NonXtal_Prot#'!$A:$AL,22,FALSE)+10,1)</f>
        <v>V</v>
      </c>
      <c r="AG182" s="28" t="str">
        <f>MID(VLOOKUP($A182,Seqs!$A:$B,2,FALSE),VLOOKUP($A182,'SegEnds_NonXtal_Prot#'!$A:$AL,28,FALSE)-4,1)</f>
        <v>G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393</v>
      </c>
      <c r="B183" s="2" t="str">
        <f>LOWER(VLOOKUP(A183,Xtal_Templ!A:B,2,FALSE))</f>
        <v>oprx_human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106" t="s">
        <v>5</v>
      </c>
      <c r="H183" s="4"/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A</v>
      </c>
      <c r="X183" s="49" t="str">
        <f>MID(VLOOKUP($A183,Seqs!$A:$B,2,FALSE),VLOOKUP($A183,'SegEnds_NonXtal_Prot#'!A:AL,10,FALSE)+7,1)</f>
        <v>A</v>
      </c>
      <c r="Y183" s="49" t="str">
        <f>MID(VLOOKUP($A183,Seqs!$A:$B,2,FALSE),VLOOKUP($A183,'SegEnds_NonXtal_Prot#'!A:AL,10,FALSE)+8,1)</f>
        <v>G</v>
      </c>
      <c r="Z183" s="49" t="str">
        <f>MID(VLOOKUP($A183,Seqs!$A:$B,2,FALSE),VLOOKUP($A183,'SegEnds_NonXtal_Prot#'!A:AL,10,FALSE)+9,1)</f>
        <v>L</v>
      </c>
      <c r="AA183" s="49" t="str">
        <f>MID(VLOOKUP($A183,Seqs!$A:$B,2,FALSE),VLOOKUP($A183,'SegEnds_NonXtal_Prot#'!A:AL,10,FALSE)+10,1)</f>
        <v>P</v>
      </c>
      <c r="AB183" s="28" t="str">
        <f>MID(VLOOKUP($A183,Seqs!$A:$B,2,FALSE),VLOOKUP($A183,'SegEnds_NonXtal_Prot#'!$A:$AL,22,FALSE)+6,1)</f>
        <v>Y</v>
      </c>
      <c r="AC183" s="49" t="str">
        <f>MID(VLOOKUP($A183,Seqs!$A:$B,2,FALSE),VLOOKUP($A183,'SegEnds_NonXtal_Prot#'!$A:$AL,22,FALSE)+7,1)</f>
        <v>C</v>
      </c>
      <c r="AD183" s="49" t="str">
        <f>MID(VLOOKUP($A183,Seqs!$A:$B,2,FALSE),VLOOKUP($A183,'SegEnds_NonXtal_Prot#'!$A:$AL,22,FALSE)+8,1)</f>
        <v>M</v>
      </c>
      <c r="AE183" s="49" t="str">
        <f>MID(VLOOKUP($A183,Seqs!$A:$B,2,FALSE),VLOOKUP($A183,'SegEnds_NonXtal_Prot#'!$A:$AL,22,FALSE)+9,1)</f>
        <v>L</v>
      </c>
      <c r="AF183" s="49" t="str">
        <f>MID(VLOOKUP($A183,Seqs!$A:$B,2,FALSE),VLOOKUP($A183,'SegEnds_NonXtal_Prot#'!$A:$AL,22,FALSE)+10,1)</f>
        <v>W</v>
      </c>
      <c r="AG183" s="28" t="str">
        <f>MID(VLOOKUP($A183,Seqs!$A:$B,2,FALSE),VLOOKUP($A183,'SegEnds_NonXtal_Prot#'!$A:$AL,28,FALSE)-4,1)</f>
        <v>F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395</v>
      </c>
      <c r="B184" s="2" t="str">
        <f>LOWER(VLOOKUP(A184,Xtal_Templ!A:B,2,FALSE))</f>
        <v>ccr5_human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S</v>
      </c>
      <c r="X184" s="49" t="str">
        <f>MID(VLOOKUP($A184,Seqs!$A:$B,2,FALSE),VLOOKUP($A184,'SegEnds_NonXtal_Prot#'!A:AL,10,FALSE)+7,1)</f>
        <v>I</v>
      </c>
      <c r="Y184" s="49" t="str">
        <f>MID(VLOOKUP($A184,Seqs!$A:$B,2,FALSE),VLOOKUP($A184,'SegEnds_NonXtal_Prot#'!A:AL,10,FALSE)+8,1)</f>
        <v>P</v>
      </c>
      <c r="Z184" s="49" t="str">
        <f>MID(VLOOKUP($A184,Seqs!$A:$B,2,FALSE),VLOOKUP($A184,'SegEnds_NonXtal_Prot#'!A:AL,10,FALSE)+9,1)</f>
        <v>F</v>
      </c>
      <c r="AA184" s="49" t="str">
        <f>MID(VLOOKUP($A184,Seqs!$A:$B,2,FALSE),VLOOKUP($A184,'SegEnds_NonXtal_Prot#'!A:AL,10,FALSE)+10,1)</f>
        <v>I</v>
      </c>
      <c r="AB184" s="28" t="str">
        <f>MID(VLOOKUP($A184,Seqs!$A:$B,2,FALSE),VLOOKUP($A184,'SegEnds_NonXtal_Prot#'!$A:$AL,22,FALSE)+6,1)</f>
        <v>L</v>
      </c>
      <c r="AC184" s="49" t="str">
        <f>MID(VLOOKUP($A184,Seqs!$A:$B,2,FALSE),VLOOKUP($A184,'SegEnds_NonXtal_Prot#'!$A:$AL,22,FALSE)+7,1)</f>
        <v>T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V</v>
      </c>
      <c r="AG184" s="28" t="str">
        <f>MID(VLOOKUP($A184,Seqs!$A:$B,2,FALSE),VLOOKUP($A184,'SegEnds_NonXtal_Prot#'!$A:$AL,28,FALSE)-4,1)</f>
        <v>S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397</v>
      </c>
      <c r="B185" s="2" t="str">
        <f>LOWER(VLOOKUP(A185,Xtal_Templ!A:B,2,FALSE))</f>
        <v>oxyr_human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G185" s="106" t="s">
        <v>5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F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I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398</v>
      </c>
      <c r="B186" s="2" t="str">
        <f>LOWER(VLOOKUP(A186,Xtal_Templ!A:B,2,FALSE))</f>
        <v>oxyr_human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106" t="s">
        <v>5</v>
      </c>
      <c r="H186" s="4"/>
      <c r="N186" s="2" t="s">
        <v>14</v>
      </c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Q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L</v>
      </c>
      <c r="AA186" s="49" t="str">
        <f>MID(VLOOKUP($A186,Seqs!$A:$B,2,FALSE),VLOOKUP($A186,'SegEnds_NonXtal_Prot#'!A:AL,10,FALSE)+10,1)</f>
        <v>P</v>
      </c>
      <c r="AB186" s="28" t="str">
        <f>MID(VLOOKUP($A186,Seqs!$A:$B,2,FALSE),VLOOKUP($A186,'SegEnds_NonXtal_Prot#'!$A:$AL,22,FALSE)+6,1)</f>
        <v>L</v>
      </c>
      <c r="AC186" s="49" t="str">
        <f>MID(VLOOKUP($A186,Seqs!$A:$B,2,FALSE),VLOOKUP($A186,'SegEnds_NonXtal_Prot#'!$A:$AL,22,FALSE)+7,1)</f>
        <v>S</v>
      </c>
      <c r="AD186" s="49" t="str">
        <f>MID(VLOOKUP($A186,Seqs!$A:$B,2,FALSE),VLOOKUP($A186,'SegEnds_NonXtal_Prot#'!$A:$AL,22,FALSE)+8,1)</f>
        <v>L</v>
      </c>
      <c r="AE186" s="49" t="str">
        <f>MID(VLOOKUP($A186,Seqs!$A:$B,2,FALSE),VLOOKUP($A186,'SegEnds_NonXtal_Prot#'!$A:$AL,22,FALSE)+9,1)</f>
        <v>P</v>
      </c>
      <c r="AF186" s="49" t="str">
        <f>MID(VLOOKUP($A186,Seqs!$A:$B,2,FALSE),VLOOKUP($A186,'SegEnds_NonXtal_Prot#'!$A:$AL,22,FALSE)+10,1)</f>
        <v>Q</v>
      </c>
      <c r="AG186" s="28" t="str">
        <f>MID(VLOOKUP($A186,Seqs!$A:$B,2,FALSE),VLOOKUP($A186,'SegEnds_NonXtal_Prot#'!$A:$AL,28,FALSE)-4,1)</f>
        <v>V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331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F</v>
      </c>
      <c r="X187" s="49" t="str">
        <f>MID(VLOOKUP($A187,Seqs!$A:$B,2,FALSE),VLOOKUP($A187,'SegEnds_NonXtal_Prot#'!A:AL,10,FALSE)+7,1)</f>
        <v>G</v>
      </c>
      <c r="Y187" s="49" t="str">
        <f>MID(VLOOKUP($A187,Seqs!$A:$B,2,FALSE),VLOOKUP($A187,'SegEnds_NonXtal_Prot#'!A:AL,10,FALSE)+8,1)</f>
        <v>V</v>
      </c>
      <c r="Z187" s="49" t="str">
        <f>MID(VLOOKUP($A187,Seqs!$A:$B,2,FALSE),VLOOKUP($A187,'SegEnds_NonXtal_Prot#'!A:AL,10,FALSE)+9,1)</f>
        <v>T</v>
      </c>
      <c r="AA187" s="49" t="str">
        <f>MID(VLOOKUP($A187,Seqs!$A:$B,2,FALSE),VLOOKUP($A187,'SegEnds_NonXtal_Prot#'!A:AL,10,FALSE)+10,1)</f>
        <v>F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A</v>
      </c>
      <c r="AD187" s="49" t="str">
        <f>MID(VLOOKUP($A187,Seqs!$A:$B,2,FALSE),VLOOKUP($A187,'SegEnds_NonXtal_Prot#'!$A:$AL,22,FALSE)+8,1)</f>
        <v>G</v>
      </c>
      <c r="AE187" s="49" t="str">
        <f>MID(VLOOKUP($A187,Seqs!$A:$B,2,FALSE),VLOOKUP($A187,'SegEnds_NonXtal_Prot#'!$A:$AL,22,FALSE)+9,1)</f>
        <v>A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C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332</v>
      </c>
      <c r="B188" s="2" t="s">
        <v>913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T</v>
      </c>
      <c r="X188" s="49" t="str">
        <f>MID(VLOOKUP($A188,Seqs!$A:$B,2,FALSE),VLOOKUP($A188,'SegEnds_NonXtal_Prot#'!A:AL,10,FALSE)+7,1)</f>
        <v>Q</v>
      </c>
      <c r="Y188" s="49" t="str">
        <f>MID(VLOOKUP($A188,Seqs!$A:$B,2,FALSE),VLOOKUP($A188,'SegEnds_NonXtal_Prot#'!A:AL,10,FALSE)+8,1)</f>
        <v>A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V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S</v>
      </c>
      <c r="AD188" s="49" t="str">
        <f>MID(VLOOKUP($A188,Seqs!$A:$B,2,FALSE),VLOOKUP($A188,'SegEnds_NonXtal_Prot#'!$A:$AL,22,FALSE)+8,1)</f>
        <v>L</v>
      </c>
      <c r="AE188" s="49" t="str">
        <f>MID(VLOOKUP($A188,Seqs!$A:$B,2,FALSE),VLOOKUP($A188,'SegEnds_NonXtal_Prot#'!$A:$AL,22,FALSE)+9,1)</f>
        <v>P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V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333</v>
      </c>
      <c r="B189" s="2" t="s">
        <v>913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V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K</v>
      </c>
      <c r="Z189" s="49" t="str">
        <f>MID(VLOOKUP($A189,Seqs!$A:$B,2,FALSE),VLOOKUP($A189,'SegEnds_NonXtal_Prot#'!A:AL,10,FALSE)+9,1)</f>
        <v>P</v>
      </c>
      <c r="AA189" s="49" t="str">
        <f>MID(VLOOKUP($A189,Seqs!$A:$B,2,FALSE),VLOOKUP($A189,'SegEnds_NonXtal_Prot#'!A:AL,10,FALSE)+10,1)</f>
        <v>F</v>
      </c>
      <c r="AB189" s="28" t="str">
        <f>MID(VLOOKUP($A189,Seqs!$A:$B,2,FALSE),VLOOKUP($A189,'SegEnds_NonXtal_Prot#'!$A:$AL,22,FALSE)+6,1)</f>
        <v>W</v>
      </c>
      <c r="AC189" s="49" t="str">
        <f>MID(VLOOKUP($A189,Seqs!$A:$B,2,FALSE),VLOOKUP($A189,'SegEnds_NonXtal_Prot#'!$A:$AL,22,FALSE)+7,1)</f>
        <v>T</v>
      </c>
      <c r="AD189" s="49" t="str">
        <f>MID(VLOOKUP($A189,Seqs!$A:$B,2,FALSE),VLOOKUP($A189,'SegEnds_NonXtal_Prot#'!$A:$AL,22,FALSE)+8,1)</f>
        <v>T</v>
      </c>
      <c r="AE189" s="49" t="str">
        <f>MID(VLOOKUP($A189,Seqs!$A:$B,2,FALSE),VLOOKUP($A189,'SegEnds_NonXtal_Prot#'!$A:$AL,22,FALSE)+9,1)</f>
        <v>M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C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913</v>
      </c>
      <c r="B190" s="2" t="str">
        <f>LOWER(VLOOKUP(A190,Xtal_Templ!A:B,2,FALSE))</f>
        <v>opsd_bovin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G190" s="2" t="s">
        <v>5</v>
      </c>
      <c r="H190" s="4"/>
      <c r="R190" s="2" t="s">
        <v>9</v>
      </c>
      <c r="T190" s="4" t="s">
        <v>12</v>
      </c>
      <c r="V190" s="28" t="str">
        <f>MID(VLOOKUP($A190,Seqs!$A:$B,2,FALSE),VLOOKUP($A190,'SegEnds_NonXtal_Prot#'!A:AL,10,FALSE),1)</f>
        <v>D</v>
      </c>
      <c r="W190" s="49" t="str">
        <f>MID(VLOOKUP($A190,Seqs!$A:$B,2,FALSE),VLOOKUP($A190,'SegEnds_NonXtal_Prot#'!A:AL,10,FALSE)+6,1)</f>
        <v>G</v>
      </c>
      <c r="X190" s="49" t="str">
        <f>MID(VLOOKUP($A190,Seqs!$A:$B,2,FALSE),VLOOKUP($A190,'SegEnds_NonXtal_Prot#'!A:AL,10,FALSE)+7,1)</f>
        <v>G</v>
      </c>
      <c r="Y190" s="49" t="str">
        <f>MID(VLOOKUP($A190,Seqs!$A:$B,2,FALSE),VLOOKUP($A190,'SegEnds_NonXtal_Prot#'!A:AL,10,FALSE)+8,1)</f>
        <v>F</v>
      </c>
      <c r="Z190" s="49" t="str">
        <f>MID(VLOOKUP($A190,Seqs!$A:$B,2,FALSE),VLOOKUP($A190,'SegEnds_NonXtal_Prot#'!A:AL,10,FALSE)+9,1)</f>
        <v>T</v>
      </c>
      <c r="AA190" s="49" t="str">
        <f>MID(VLOOKUP($A190,Seqs!$A:$B,2,FALSE),VLOOKUP($A190,'SegEnds_NonXtal_Prot#'!A:AL,10,FALSE)+10,1)</f>
        <v>T</v>
      </c>
      <c r="AB190" s="28" t="str">
        <f>MID(VLOOKUP($A190,Seqs!$A:$B,2,FALSE),VLOOKUP($A190,'SegEnds_NonXtal_Prot#'!$A:$AL,22,FALSE)+6,1)</f>
        <v>C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P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H</v>
      </c>
      <c r="AH190" s="49" t="str">
        <f>MID(VLOOKUP($A190,Seqs!$A:$B,2,FALSE),VLOOKUP($A190,'SegEnds_NonXtal_Prot#'!$A:$AL,28,FALSE),1)</f>
        <v>P</v>
      </c>
    </row>
    <row r="191" spans="1:34" s="2" customFormat="1" x14ac:dyDescent="0.2">
      <c r="A191" s="2" t="s">
        <v>284</v>
      </c>
      <c r="B191" s="2" t="str">
        <f>LOWER(VLOOKUP(A191,Xtal_Templ!A:B,2,FALSE))</f>
        <v>mtr1a_human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T191" s="4" t="s">
        <v>12</v>
      </c>
      <c r="V191" s="28" t="str">
        <f>MID(VLOOKUP($A191,Seqs!$A:$B,2,FALSE),VLOOKUP($A191,'SegEnds_NonXtal_Prot#'!A:AL,10,FALSE),1)</f>
        <v>N</v>
      </c>
      <c r="W191" s="49" t="str">
        <f>MID(VLOOKUP($A191,Seqs!$A:$B,2,FALSE),VLOOKUP($A191,'SegEnds_NonXtal_Prot#'!A:AL,10,FALSE)+6,1)</f>
        <v>S</v>
      </c>
      <c r="X191" s="49" t="str">
        <f>MID(VLOOKUP($A191,Seqs!$A:$B,2,FALSE),VLOOKUP($A191,'SegEnds_NonXtal_Prot#'!A:AL,10,FALSE)+7,1)</f>
        <v>C</v>
      </c>
      <c r="Y191" s="49" t="str">
        <f>MID(VLOOKUP($A191,Seqs!$A:$B,2,FALSE),VLOOKUP($A191,'SegEnds_NonXtal_Prot#'!A:AL,10,FALSE)+8,1)</f>
        <v>G</v>
      </c>
      <c r="Z191" s="49" t="str">
        <f>MID(VLOOKUP($A191,Seqs!$A:$B,2,FALSE),VLOOKUP($A191,'SegEnds_NonXtal_Prot#'!A:AL,10,FALSE)+9,1)</f>
        <v>L</v>
      </c>
      <c r="AA191" s="49" t="str">
        <f>MID(VLOOKUP($A191,Seqs!$A:$B,2,FALSE),VLOOKUP($A191,'SegEnds_NonXtal_Prot#'!A:AL,10,FALSE)+10,1)</f>
        <v>L</v>
      </c>
      <c r="AB191" s="28" t="str">
        <f>MID(VLOOKUP($A191,Seqs!$A:$B,2,FALSE),VLOOKUP($A191,'SegEnds_NonXtal_Prot#'!$A:$AL,22,FALSE)+6,1)</f>
        <v>A</v>
      </c>
      <c r="AC191" s="49" t="str">
        <f>MID(VLOOKUP($A191,Seqs!$A:$B,2,FALSE),VLOOKUP($A191,'SegEnds_NonXtal_Prot#'!$A:$AL,22,FALSE)+7,1)</f>
        <v>A</v>
      </c>
      <c r="AD191" s="49" t="str">
        <f>MID(VLOOKUP($A191,Seqs!$A:$B,2,FALSE),VLOOKUP($A191,'SegEnds_NonXtal_Prot#'!$A:$AL,22,FALSE)+8,1)</f>
        <v>A</v>
      </c>
      <c r="AE191" s="49" t="str">
        <f>MID(VLOOKUP($A191,Seqs!$A:$B,2,FALSE),VLOOKUP($A191,'SegEnds_NonXtal_Prot#'!$A:$AL,22,FALSE)+9,1)</f>
        <v>L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M</v>
      </c>
      <c r="AH191" s="49" t="str">
        <f>MID(VLOOKUP($A191,Seqs!$A:$B,2,FALSE),VLOOKUP($A191,'SegEnds_NonXtal_Prot#'!$A:$AL,28,FALSE),1)</f>
        <v>C</v>
      </c>
    </row>
    <row r="192" spans="1:34" s="2" customFormat="1" x14ac:dyDescent="0.2">
      <c r="A192" s="2" t="s">
        <v>337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G</v>
      </c>
      <c r="W192" s="49" t="str">
        <f>MID(VLOOKUP($A192,Seqs!$A:$B,2,FALSE),VLOOKUP($A192,'SegEnds_NonXtal_Prot#'!A:AL,10,FALSE)+6,1)</f>
        <v>F</v>
      </c>
      <c r="X192" s="49" t="str">
        <f>MID(VLOOKUP($A192,Seqs!$A:$B,2,FALSE),VLOOKUP($A192,'SegEnds_NonXtal_Prot#'!A:AL,10,FALSE)+7,1)</f>
        <v>S</v>
      </c>
      <c r="Y192" s="49" t="str">
        <f>MID(VLOOKUP($A192,Seqs!$A:$B,2,FALSE),VLOOKUP($A192,'SegEnds_NonXtal_Prot#'!A:AL,10,FALSE)+8,1)</f>
        <v>V</v>
      </c>
      <c r="Z192" s="49" t="str">
        <f>MID(VLOOKUP($A192,Seqs!$A:$B,2,FALSE),VLOOKUP($A192,'SegEnds_NonXtal_Prot#'!A:AL,10,FALSE)+9,1)</f>
        <v>F</v>
      </c>
      <c r="AA192" s="49" t="str">
        <f>MID(VLOOKUP($A192,Seqs!$A:$B,2,FALSE),VLOOKUP($A192,'SegEnds_NonXtal_Prot#'!A:AL,10,FALSE)+10,1)</f>
        <v>P</v>
      </c>
      <c r="AB192" s="28" t="str">
        <f>MID(VLOOKUP($A192,Seqs!$A:$B,2,FALSE),VLOOKUP($A192,'SegEnds_NonXtal_Prot#'!$A:$AL,22,FALSE)+6,1)</f>
        <v>V</v>
      </c>
      <c r="AC192" s="49" t="str">
        <f>MID(VLOOKUP($A192,Seqs!$A:$B,2,FALSE),VLOOKUP($A192,'SegEnds_NonXtal_Prot#'!$A:$AL,22,FALSE)+7,1)</f>
        <v>S</v>
      </c>
      <c r="AD192" s="49" t="str">
        <f>MID(VLOOKUP($A192,Seqs!$A:$B,2,FALSE),VLOOKUP($A192,'SegEnds_NonXtal_Prot#'!$A:$AL,22,FALSE)+8,1)</f>
        <v>I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C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338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2" t="s">
        <v>5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G</v>
      </c>
      <c r="X193" s="49" t="str">
        <f>MID(VLOOKUP($A193,Seqs!$A:$B,2,FALSE),VLOOKUP($A193,'SegEnds_NonXtal_Prot#'!A:AL,10,FALSE)+7,1)</f>
        <v>G</v>
      </c>
      <c r="Y193" s="49" t="str">
        <f>MID(VLOOKUP($A193,Seqs!$A:$B,2,FALSE),VLOOKUP($A193,'SegEnds_NonXtal_Prot#'!A:AL,10,FALSE)+8,1)</f>
        <v>F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S</v>
      </c>
      <c r="AB193" s="28" t="str">
        <f>MID(VLOOKUP($A193,Seqs!$A:$B,2,FALSE),VLOOKUP($A193,'SegEnds_NonXtal_Prot#'!$A:$AL,22,FALSE)+6,1)</f>
        <v>C</v>
      </c>
      <c r="AC193" s="49" t="str">
        <f>MID(VLOOKUP($A193,Seqs!$A:$B,2,FALSE),VLOOKUP($A193,'SegEnds_NonXtal_Prot#'!$A:$AL,22,FALSE)+7,1)</f>
        <v>A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H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339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340</v>
      </c>
      <c r="B195" s="2" t="str">
        <f>LOWER(VLOOKUP(A195,Xtal_Templ!A:B,2,FALSE))</f>
        <v>opsd_human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H195" s="4"/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I</v>
      </c>
      <c r="X195" s="49" t="str">
        <f>MID(VLOOKUP($A195,Seqs!$A:$B,2,FALSE),VLOOKUP($A195,'SegEnds_NonXtal_Prot#'!A:AL,10,FALSE)+7,1)</f>
        <v>A</v>
      </c>
      <c r="Y195" s="49" t="str">
        <f>MID(VLOOKUP($A195,Seqs!$A:$B,2,FALSE),VLOOKUP($A195,'SegEnds_NonXtal_Prot#'!A:AL,10,FALSE)+8,1)</f>
        <v>S</v>
      </c>
      <c r="Z195" s="49" t="str">
        <f>MID(VLOOKUP($A195,Seqs!$A:$B,2,FALSE),VLOOKUP($A195,'SegEnds_NonXtal_Prot#'!A:AL,10,FALSE)+9,1)</f>
        <v>T</v>
      </c>
      <c r="AA195" s="49" t="str">
        <f>MID(VLOOKUP($A195,Seqs!$A:$B,2,FALSE),VLOOKUP($A195,'SegEnds_NonXtal_Prot#'!A:AL,10,FALSE)+10,1)</f>
        <v>I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T</v>
      </c>
      <c r="AD195" s="49" t="str">
        <f>MID(VLOOKUP($A195,Seqs!$A:$B,2,FALSE),VLOOKUP($A195,'SegEnds_NonXtal_Prot#'!$A:$AL,22,FALSE)+8,1)</f>
        <v>A</v>
      </c>
      <c r="AE195" s="49" t="str">
        <f>MID(VLOOKUP($A195,Seqs!$A:$B,2,FALSE),VLOOKUP($A195,'SegEnds_NonXtal_Prot#'!$A:$AL,22,FALSE)+9,1)</f>
        <v>P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C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915</v>
      </c>
      <c r="B196" s="2" t="str">
        <f>LOWER(VLOOKUP(A196,Xtal_Templ!A:B,2,FALSE))</f>
        <v>opsd_todpa</v>
      </c>
      <c r="C196" s="2" t="str">
        <f>VLOOKUP(A196,Classification!A:D,2,FALSE)</f>
        <v>A</v>
      </c>
      <c r="D196" s="2" t="str">
        <f>IF(ISERROR(MATCH(A196,'SegEnds_Xtal_Prot#'!B:B, 0)), "NoXtal", "Xtal")</f>
        <v>Xtal</v>
      </c>
      <c r="H196" s="4" t="s">
        <v>1357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V</v>
      </c>
      <c r="X196" s="49" t="str">
        <f>MID(VLOOKUP($A196,Seqs!$A:$B,2,FALSE),VLOOKUP($A196,'SegEnds_NonXtal_Prot#'!A:AL,10,FALSE)+7,1)</f>
        <v>N</v>
      </c>
      <c r="Y196" s="49" t="str">
        <f>MID(VLOOKUP($A196,Seqs!$A:$B,2,FALSE),VLOOKUP($A196,'SegEnds_NonXtal_Prot#'!A:AL,10,FALSE)+8,1)</f>
        <v>G</v>
      </c>
      <c r="Z196" s="49" t="str">
        <f>MID(VLOOKUP($A196,Seqs!$A:$B,2,FALSE),VLOOKUP($A196,'SegEnds_NonXtal_Prot#'!A:AL,10,FALSE)+9,1)</f>
        <v>F</v>
      </c>
      <c r="AA196" s="49" t="str">
        <f>MID(VLOOKUP($A196,Seqs!$A:$B,2,FALSE),VLOOKUP($A196,'SegEnds_NonXtal_Prot#'!A:AL,10,FALSE)+10,1)</f>
        <v>P</v>
      </c>
      <c r="AB196" s="28" t="str">
        <f>MID(VLOOKUP($A196,Seqs!$A:$B,2,FALSE),VLOOKUP($A196,'SegEnds_NonXtal_Prot#'!$A:$AL,22,FALSE)+6,1)</f>
        <v>W</v>
      </c>
      <c r="AC196" s="49" t="str">
        <f>MID(VLOOKUP($A196,Seqs!$A:$B,2,FALSE),VLOOKUP($A196,'SegEnds_NonXtal_Prot#'!$A:$AL,22,FALSE)+7,1)</f>
        <v>A</v>
      </c>
      <c r="AD196" s="49" t="str">
        <f>MID(VLOOKUP($A196,Seqs!$A:$B,2,FALSE),VLOOKUP($A196,'SegEnds_NonXtal_Prot#'!$A:$AL,22,FALSE)+8,1)</f>
        <v>I</v>
      </c>
      <c r="AE196" s="49" t="str">
        <f>MID(VLOOKUP($A196,Seqs!$A:$B,2,FALSE),VLOOKUP($A196,'SegEnds_NonXtal_Prot#'!$A:$AL,22,FALSE)+9,1)</f>
        <v>G</v>
      </c>
      <c r="AF196" s="49" t="str">
        <f>MID(VLOOKUP($A196,Seqs!$A:$B,2,FALSE),VLOOKUP($A196,'SegEnds_NonXtal_Prot#'!$A:$AL,22,FALSE)+10,1)</f>
        <v>P</v>
      </c>
      <c r="AG196" s="28" t="str">
        <f>MID(VLOOKUP($A196,Seqs!$A:$B,2,FALSE),VLOOKUP($A196,'SegEnds_NonXtal_Prot#'!$A:$AL,28,FALSE)-4,1)</f>
        <v>G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214</v>
      </c>
      <c r="B197" s="2" t="str">
        <f>LOWER(VLOOKUP(A197,Xtal_Templ!A:B,2,FALSE))</f>
        <v>mtr1a_human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G197" s="2" t="s">
        <v>5</v>
      </c>
      <c r="H197" s="4"/>
      <c r="N197" s="2" t="s">
        <v>14</v>
      </c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L</v>
      </c>
      <c r="X197" s="49" t="str">
        <f>MID(VLOOKUP($A197,Seqs!$A:$B,2,FALSE),VLOOKUP($A197,'SegEnds_NonXtal_Prot#'!A:AL,10,FALSE)+7,1)</f>
        <v>C</v>
      </c>
      <c r="Y197" s="49" t="str">
        <f>MID(VLOOKUP($A197,Seqs!$A:$B,2,FALSE),VLOOKUP($A197,'SegEnds_NonXtal_Prot#'!A:AL,10,FALSE)+8,1)</f>
        <v>L</v>
      </c>
      <c r="Z197" s="49" t="str">
        <f>MID(VLOOKUP($A197,Seqs!$A:$B,2,FALSE),VLOOKUP($A197,'SegEnds_NonXtal_Prot#'!A:AL,10,FALSE)+9,1)</f>
        <v>P</v>
      </c>
      <c r="AA197" s="49" t="str">
        <f>MID(VLOOKUP($A197,Seqs!$A:$B,2,FALSE),VLOOKUP($A197,'SegEnds_NonXtal_Prot#'!A:AL,10,FALSE)+10,1)</f>
        <v>A</v>
      </c>
      <c r="AB197" s="28" t="str">
        <f>MID(VLOOKUP($A197,Seqs!$A:$B,2,FALSE),VLOOKUP($A197,'SegEnds_NonXtal_Prot#'!$A:$AL,22,FALSE)+6,1)</f>
        <v>F</v>
      </c>
      <c r="AC197" s="49" t="str">
        <f>MID(VLOOKUP($A197,Seqs!$A:$B,2,FALSE),VLOOKUP($A197,'SegEnds_NonXtal_Prot#'!$A:$AL,22,FALSE)+7,1)</f>
        <v>S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W</v>
      </c>
      <c r="AG197" s="28" t="str">
        <f>MID(VLOOKUP($A197,Seqs!$A:$B,2,FALSE),VLOOKUP($A197,'SegEnds_NonXtal_Prot#'!$A:$AL,28,FALSE)-4,1)</f>
        <v>C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221</v>
      </c>
      <c r="B198" s="2" t="str">
        <f>LOWER(VLOOKUP(A198,Xtal_Templ!A:B,2,FALSE))</f>
        <v>oxyr_human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H198" s="4"/>
      <c r="R198" s="2" t="s">
        <v>9</v>
      </c>
      <c r="T198" s="4" t="s">
        <v>12</v>
      </c>
      <c r="V198" s="28" t="str">
        <f>MID(VLOOKUP($A198,Seqs!$A:$B,2,FALSE),VLOOKUP($A198,'SegEnds_NonXtal_Prot#'!A:AL,10,FALSE),1)</f>
        <v>D</v>
      </c>
      <c r="W198" s="49" t="str">
        <f>MID(VLOOKUP($A198,Seqs!$A:$B,2,FALSE),VLOOKUP($A198,'SegEnds_NonXtal_Prot#'!A:AL,10,FALSE)+6,1)</f>
        <v>G</v>
      </c>
      <c r="X198" s="49" t="str">
        <f>MID(VLOOKUP($A198,Seqs!$A:$B,2,FALSE),VLOOKUP($A198,'SegEnds_NonXtal_Prot#'!A:AL,10,FALSE)+7,1)</f>
        <v>T</v>
      </c>
      <c r="Y198" s="49" t="str">
        <f>MID(VLOOKUP($A198,Seqs!$A:$B,2,FALSE),VLOOKUP($A198,'SegEnds_NonXtal_Prot#'!A:AL,10,FALSE)+8,1)</f>
        <v>A</v>
      </c>
      <c r="Z198" s="49" t="str">
        <f>MID(VLOOKUP($A198,Seqs!$A:$B,2,FALSE),VLOOKUP($A198,'SegEnds_NonXtal_Prot#'!A:AL,10,FALSE)+9,1)</f>
        <v>L</v>
      </c>
      <c r="AA198" s="49" t="str">
        <f>MID(VLOOKUP($A198,Seqs!$A:$B,2,FALSE),VLOOKUP($A198,'SegEnds_NonXtal_Prot#'!A:AL,10,FALSE)+10,1)</f>
        <v>S</v>
      </c>
      <c r="AB198" s="28" t="str">
        <f>MID(VLOOKUP($A198,Seqs!$A:$B,2,FALSE),VLOOKUP($A198,'SegEnds_NonXtal_Prot#'!$A:$AL,22,FALSE)+6,1)</f>
        <v>L</v>
      </c>
      <c r="AC198" s="49" t="str">
        <f>MID(VLOOKUP($A198,Seqs!$A:$B,2,FALSE),VLOOKUP($A198,'SegEnds_NonXtal_Prot#'!$A:$AL,22,FALSE)+7,1)</f>
        <v>A</v>
      </c>
      <c r="AD198" s="49" t="str">
        <f>MID(VLOOKUP($A198,Seqs!$A:$B,2,FALSE),VLOOKUP($A198,'SegEnds_NonXtal_Prot#'!$A:$AL,22,FALSE)+8,1)</f>
        <v>L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P</v>
      </c>
      <c r="AG198" s="28" t="str">
        <f>MID(VLOOKUP($A198,Seqs!$A:$B,2,FALSE),VLOOKUP($A198,'SegEnds_NonXtal_Prot#'!$A:$AL,28,FALSE)-4,1)</f>
        <v>G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231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N199" s="2" t="s">
        <v>14</v>
      </c>
      <c r="R199" s="2" t="s">
        <v>9</v>
      </c>
      <c r="T199" s="4" t="s">
        <v>12</v>
      </c>
      <c r="V199" s="28" t="str">
        <f>MID(VLOOKUP($A199,Seqs!$A:$B,2,FALSE),VLOOKUP($A199,'SegEnds_NonXtal_Prot#'!A:AL,10,FALSE),1)</f>
        <v>G</v>
      </c>
      <c r="W199" s="49" t="str">
        <f>MID(VLOOKUP($A199,Seqs!$A:$B,2,FALSE),VLOOKUP($A199,'SegEnds_NonXtal_Prot#'!A:AL,10,FALSE)+6,1)</f>
        <v>V</v>
      </c>
      <c r="X199" s="49" t="str">
        <f>MID(VLOOKUP($A199,Seqs!$A:$B,2,FALSE),VLOOKUP($A199,'SegEnds_NonXtal_Prot#'!A:AL,10,FALSE)+7,1)</f>
        <v>C</v>
      </c>
      <c r="Y199" s="49" t="str">
        <f>MID(VLOOKUP($A199,Seqs!$A:$B,2,FALSE),VLOOKUP($A199,'SegEnds_NonXtal_Prot#'!A:AL,10,FALSE)+8,1)</f>
        <v>V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A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V</v>
      </c>
      <c r="AE199" s="49" t="str">
        <f>MID(VLOOKUP($A199,Seqs!$A:$B,2,FALSE),VLOOKUP($A199,'SegEnds_NonXtal_Prot#'!$A:$AL,22,FALSE)+9,1)</f>
        <v>P</v>
      </c>
      <c r="AF199" s="49" t="str">
        <f>MID(VLOOKUP($A199,Seqs!$A:$B,2,FALSE),VLOOKUP($A199,'SegEnds_NonXtal_Prot#'!$A:$AL,22,FALSE)+10,1)</f>
        <v>V</v>
      </c>
      <c r="AG199" s="28" t="str">
        <f>MID(VLOOKUP($A199,Seqs!$A:$B,2,FALSE),VLOOKUP($A199,'SegEnds_NonXtal_Prot#'!$A:$AL,28,FALSE)-4,1)</f>
        <v>T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266</v>
      </c>
      <c r="B200" s="2" t="str">
        <f>LOWER(VLOOKUP(A200,Xtal_Templ!A:B,2,FALSE))</f>
        <v>drd2_human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R200" s="2" t="s">
        <v>9</v>
      </c>
      <c r="T200" s="4" t="s">
        <v>12</v>
      </c>
      <c r="V200" s="28" t="str">
        <f>MID(VLOOKUP($A200,Seqs!$A:$B,2,FALSE),VLOOKUP($A200,'SegEnds_NonXtal_Prot#'!A:AL,10,FALSE),1)</f>
        <v>H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D</v>
      </c>
      <c r="Y200" s="49" t="str">
        <f>MID(VLOOKUP($A200,Seqs!$A:$B,2,FALSE),VLOOKUP($A200,'SegEnds_NonXtal_Prot#'!A:AL,10,FALSE)+8,1)</f>
        <v>M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F</v>
      </c>
      <c r="AC200" s="49" t="str">
        <f>MID(VLOOKUP($A200,Seqs!$A:$B,2,FALSE),VLOOKUP($A200,'SegEnds_NonXtal_Prot#'!$A:$AL,22,FALSE)+7,1)</f>
        <v>S</v>
      </c>
      <c r="AD200" s="49" t="str">
        <f>MID(VLOOKUP($A200,Seqs!$A:$B,2,FALSE),VLOOKUP($A200,'SegEnds_NonXtal_Prot#'!$A:$AL,22,FALSE)+8,1)</f>
        <v>G</v>
      </c>
      <c r="AE200" s="49" t="str">
        <f>MID(VLOOKUP($A200,Seqs!$A:$B,2,FALSE),VLOOKUP($A200,'SegEnds_NonXtal_Prot#'!$A:$AL,22,FALSE)+9,1)</f>
        <v>A</v>
      </c>
      <c r="AF200" s="49" t="str">
        <f>MID(VLOOKUP($A200,Seqs!$A:$B,2,FALSE),VLOOKUP($A200,'SegEnds_NonXtal_Prot#'!$A:$AL,22,FALSE)+10,1)</f>
        <v>A</v>
      </c>
      <c r="AG200" s="28" t="str">
        <f>MID(VLOOKUP($A200,Seqs!$A:$B,2,FALSE),VLOOKUP($A200,'SegEnds_NonXtal_Prot#'!$A:$AL,28,FALSE)-4,1)</f>
        <v>G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269</v>
      </c>
      <c r="B201" s="2" t="str">
        <f>LOWER(VLOOKUP(A201,Xtal_Templ!A:B,2,FALSE))</f>
        <v>ednrb_human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G201" s="2" t="s">
        <v>5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L</v>
      </c>
      <c r="X201" s="49" t="str">
        <f>MID(VLOOKUP($A201,Seqs!$A:$B,2,FALSE),VLOOKUP($A201,'SegEnds_NonXtal_Prot#'!A:AL,10,FALSE)+7,1)</f>
        <v>L</v>
      </c>
      <c r="Y201" s="49" t="str">
        <f>MID(VLOOKUP($A201,Seqs!$A:$B,2,FALSE),VLOOKUP($A201,'SegEnds_NonXtal_Prot#'!A:AL,10,FALSE)+8,1)</f>
        <v>Q</v>
      </c>
      <c r="Z201" s="49" t="str">
        <f>MID(VLOOKUP($A201,Seqs!$A:$B,2,FALSE),VLOOKUP($A201,'SegEnds_NonXtal_Prot#'!A:AL,10,FALSE)+9,1)</f>
        <v>P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S</v>
      </c>
      <c r="AC201" s="49" t="str">
        <f>MID(VLOOKUP($A201,Seqs!$A:$B,2,FALSE),VLOOKUP($A201,'SegEnds_NonXtal_Prot#'!$A:$AL,22,FALSE)+7,1)</f>
        <v>F</v>
      </c>
      <c r="AD201" s="49" t="str">
        <f>MID(VLOOKUP($A201,Seqs!$A:$B,2,FALSE),VLOOKUP($A201,'SegEnds_NonXtal_Prot#'!$A:$AL,22,FALSE)+8,1)</f>
        <v>A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L</v>
      </c>
      <c r="AG201" s="28" t="str">
        <f>MID(VLOOKUP($A201,Seqs!$A:$B,2,FALSE),VLOOKUP($A201,'SegEnds_NonXtal_Prot#'!$A:$AL,28,FALSE)-4,1)</f>
        <v>D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314</v>
      </c>
      <c r="B202" s="2" t="str">
        <f>LOWER(VLOOKUP(A202,Xtal_Templ!A:B,2,FALSE))</f>
        <v>nk1r_human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N</v>
      </c>
      <c r="Y202" s="49" t="str">
        <f>MID(VLOOKUP($A202,Seqs!$A:$B,2,FALSE),VLOOKUP($A202,'SegEnds_NonXtal_Prot#'!A:AL,10,FALSE)+8,1)</f>
        <v>A</v>
      </c>
      <c r="Z202" s="49" t="str">
        <f>MID(VLOOKUP($A202,Seqs!$A:$B,2,FALSE),VLOOKUP($A202,'SegEnds_NonXtal_Prot#'!A:AL,10,FALSE)+9,1)</f>
        <v>A</v>
      </c>
      <c r="AA202" s="49" t="str">
        <f>MID(VLOOKUP($A202,Seqs!$A:$B,2,FALSE),VLOOKUP($A202,'SegEnds_NonXtal_Prot#'!A:AL,10,FALSE)+10,1)</f>
        <v>F</v>
      </c>
      <c r="AB202" s="28" t="str">
        <f>MID(VLOOKUP($A202,Seqs!$A:$B,2,FALSE),VLOOKUP($A202,'SegEnds_NonXtal_Prot#'!$A:$AL,22,FALSE)+6,1)</f>
        <v>L</v>
      </c>
      <c r="AC202" s="49" t="str">
        <f>MID(VLOOKUP($A202,Seqs!$A:$B,2,FALSE),VLOOKUP($A202,'SegEnds_NonXtal_Prot#'!$A:$AL,22,FALSE)+7,1)</f>
        <v>A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Q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322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F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M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I</v>
      </c>
      <c r="AB203" s="28" t="str">
        <f>MID(VLOOKUP($A203,Seqs!$A:$B,2,FALSE),VLOOKUP($A203,'SegEnds_NonXtal_Prot#'!$A:$AL,22,FALSE)+6,1)</f>
        <v>I</v>
      </c>
      <c r="AC203" s="49" t="str">
        <f>MID(VLOOKUP($A203,Seqs!$A:$B,2,FALSE),VLOOKUP($A203,'SegEnds_NonXtal_Prot#'!$A:$AL,22,FALSE)+7,1)</f>
        <v>M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S</v>
      </c>
      <c r="AG203" s="28" t="str">
        <f>MID(VLOOKUP($A203,Seqs!$A:$B,2,FALSE),VLOOKUP($A203,'SegEnds_NonXtal_Prot#'!$A:$AL,28,FALSE)-4,1)</f>
        <v>I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325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L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F</v>
      </c>
      <c r="AB204" s="28" t="str">
        <f>MID(VLOOKUP($A204,Seqs!$A:$B,2,FALSE),VLOOKUP($A204,'SegEnds_NonXtal_Prot#'!$A:$AL,22,FALSE)+6,1)</f>
        <v>L</v>
      </c>
      <c r="AC204" s="49" t="str">
        <f>MID(VLOOKUP($A204,Seqs!$A:$B,2,FALSE),VLOOKUP($A204,'SegEnds_NonXtal_Prot#'!$A:$AL,22,FALSE)+7,1)</f>
        <v>A</v>
      </c>
      <c r="AD204" s="49" t="str">
        <f>MID(VLOOKUP($A204,Seqs!$A:$B,2,FALSE),VLOOKUP($A204,'SegEnds_NonXtal_Prot#'!$A:$AL,22,FALSE)+8,1)</f>
        <v>S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L</v>
      </c>
      <c r="AG204" s="28" t="str">
        <f>MID(VLOOKUP($A204,Seqs!$A:$B,2,FALSE),VLOOKUP($A204,'SegEnds_NonXtal_Prot#'!$A:$AL,28,FALSE)-4,1)</f>
        <v>L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1168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Xtal</v>
      </c>
      <c r="G205" s="2" t="s">
        <v>5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I</v>
      </c>
      <c r="X205" s="49" t="str">
        <f>MID(VLOOKUP($A205,Seqs!$A:$B,2,FALSE),VLOOKUP($A205,'SegEnds_NonXtal_Prot#'!A:AL,10,FALSE)+7,1)</f>
        <v>C</v>
      </c>
      <c r="Y205" s="49" t="str">
        <f>MID(VLOOKUP($A205,Seqs!$A:$B,2,FALSE),VLOOKUP($A205,'SegEnds_NonXtal_Prot#'!A:AL,10,FALSE)+8,1)</f>
        <v>L</v>
      </c>
      <c r="Z205" s="49" t="str">
        <f>MID(VLOOKUP($A205,Seqs!$A:$B,2,FALSE),VLOOKUP($A205,'SegEnds_NonXtal_Prot#'!A:AL,10,FALSE)+9,1)</f>
        <v>P</v>
      </c>
      <c r="AA205" s="49" t="str">
        <f>MID(VLOOKUP($A205,Seqs!$A:$B,2,FALSE),VLOOKUP($A205,'SegEnds_NonXtal_Prot#'!A:AL,10,FALSE)+10,1)</f>
        <v>A</v>
      </c>
      <c r="AB205" s="28" t="str">
        <f>MID(VLOOKUP($A205,Seqs!$A:$B,2,FALSE),VLOOKUP($A205,'SegEnds_NonXtal_Prot#'!$A:$AL,22,FALSE)+6,1)</f>
        <v>I</v>
      </c>
      <c r="AC205" s="49" t="str">
        <f>MID(VLOOKUP($A205,Seqs!$A:$B,2,FALSE),VLOOKUP($A205,'SegEnds_NonXtal_Prot#'!$A:$AL,22,FALSE)+7,1)</f>
        <v>M</v>
      </c>
      <c r="AD205" s="49" t="str">
        <f>MID(VLOOKUP($A205,Seqs!$A:$B,2,FALSE),VLOOKUP($A205,'SegEnds_NonXtal_Prot#'!$A:$AL,22,FALSE)+8,1)</f>
        <v>V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T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343</v>
      </c>
      <c r="B206" s="2" t="str">
        <f>LOWER(VLOOKUP(A206,Xtal_Templ!A:B,2,FALSE))</f>
        <v>oxyr_human</v>
      </c>
      <c r="C206" s="2" t="str">
        <f>VLOOKUP(A206,Classification!A:D,2,FALSE)</f>
        <v>A</v>
      </c>
      <c r="D206" s="2" t="str">
        <f>IF(ISERROR(MATCH(A206,'SegEnds_Xtal_Prot#'!B:B, 0)), "NoXtal", "Xtal")</f>
        <v>Xtal</v>
      </c>
      <c r="G206" s="106" t="s">
        <v>5</v>
      </c>
      <c r="H206" s="4"/>
      <c r="N206" s="2" t="s">
        <v>14</v>
      </c>
      <c r="R206" s="2" t="s">
        <v>9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F</v>
      </c>
      <c r="X206" s="49" t="str">
        <f>MID(VLOOKUP($A206,Seqs!$A:$B,2,FALSE),VLOOKUP($A206,'SegEnds_NonXtal_Prot#'!A:AL,10,FALSE)+7,1)</f>
        <v>Q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L</v>
      </c>
      <c r="AA206" s="49" t="str">
        <f>MID(VLOOKUP($A206,Seqs!$A:$B,2,FALSE),VLOOKUP($A206,'SegEnds_NonXtal_Prot#'!A:AL,10,FALSE)+10,1)</f>
        <v>P</v>
      </c>
      <c r="AB206" s="28" t="str">
        <f>MID(VLOOKUP($A206,Seqs!$A:$B,2,FALSE),VLOOKUP($A206,'SegEnds_NonXtal_Prot#'!$A:$AL,22,FALSE)+6,1)</f>
        <v>A</v>
      </c>
      <c r="AC206" s="49" t="str">
        <f>MID(VLOOKUP($A206,Seqs!$A:$B,2,FALSE),VLOOKUP($A206,'SegEnds_NonXtal_Prot#'!$A:$AL,22,FALSE)+7,1)</f>
        <v>S</v>
      </c>
      <c r="AD206" s="49" t="str">
        <f>MID(VLOOKUP($A206,Seqs!$A:$B,2,FALSE),VLOOKUP($A206,'SegEnds_NonXtal_Prot#'!$A:$AL,22,FALSE)+8,1)</f>
        <v>A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Q</v>
      </c>
      <c r="AG206" s="28" t="str">
        <f>MID(VLOOKUP($A206,Seqs!$A:$B,2,FALSE),VLOOKUP($A206,'SegEnds_NonXtal_Prot#'!$A:$AL,28,FALSE)-4,1)</f>
        <v>V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163</v>
      </c>
      <c r="B207" s="2" t="str">
        <f>LOWER(VLOOKUP(A207,Xtal_Templ!A:B,2,FALSE))</f>
        <v>ednrb_human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T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V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V</v>
      </c>
      <c r="AB207" s="28" t="str">
        <f>MID(VLOOKUP($A207,Seqs!$A:$B,2,FALSE),VLOOKUP($A207,'SegEnds_NonXtal_Prot#'!$A:$AL,22,FALSE)+6,1)</f>
        <v>F</v>
      </c>
      <c r="AC207" s="49" t="str">
        <f>MID(VLOOKUP($A207,Seqs!$A:$B,2,FALSE),VLOOKUP($A207,'SegEnds_NonXtal_Prot#'!$A:$AL,22,FALSE)+7,1)</f>
        <v>A</v>
      </c>
      <c r="AD207" s="49" t="str">
        <f>MID(VLOOKUP($A207,Seqs!$A:$B,2,FALSE),VLOOKUP($A207,'SegEnds_NonXtal_Prot#'!$A:$AL,22,FALSE)+8,1)</f>
        <v>L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E</v>
      </c>
      <c r="AG207" s="28" t="str">
        <f>MID(VLOOKUP($A207,Seqs!$A:$B,2,FALSE),VLOOKUP($A207,'SegEnds_NonXtal_Prot#'!$A:$AL,28,FALSE)-4,1)</f>
        <v>F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167</v>
      </c>
      <c r="B208" s="2" t="str">
        <f>LOWER(VLOOKUP(A208,Xtal_Templ!A:B,2,FALSE))</f>
        <v>ox1r_human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F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I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T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207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A</v>
      </c>
      <c r="X209" s="49" t="str">
        <f>MID(VLOOKUP($A209,Seqs!$A:$B,2,FALSE),VLOOKUP($A209,'SegEnds_NonXtal_Prot#'!A:AL,10,FALSE)+7,1)</f>
        <v>C</v>
      </c>
      <c r="Y209" s="49" t="str">
        <f>MID(VLOOKUP($A209,Seqs!$A:$B,2,FALSE),VLOOKUP($A209,'SegEnds_NonXtal_Prot#'!A:AL,10,FALSE)+8,1)</f>
        <v>M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F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M</v>
      </c>
      <c r="AD209" s="49" t="str">
        <f>MID(VLOOKUP($A209,Seqs!$A:$B,2,FALSE),VLOOKUP($A209,'SegEnds_NonXtal_Prot#'!$A:$AL,22,FALSE)+8,1)</f>
        <v>V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Y</v>
      </c>
      <c r="AG209" s="28" t="str">
        <f>MID(VLOOKUP($A209,Seqs!$A:$B,2,FALSE),VLOOKUP($A209,'SegEnds_NonXtal_Prot#'!$A:$AL,28,FALSE)-4,1)</f>
        <v>L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222</v>
      </c>
      <c r="B210" s="2" t="str">
        <f>LOWER(VLOOKUP(A210,Xtal_Templ!A:B,2,FALSE))</f>
        <v>agtr2_human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2" t="s">
        <v>5</v>
      </c>
      <c r="H210" s="4"/>
      <c r="N210" s="2" t="s">
        <v>14</v>
      </c>
      <c r="R210" s="2" t="s">
        <v>9</v>
      </c>
      <c r="T210" s="4" t="s">
        <v>12</v>
      </c>
      <c r="V210" s="28" t="str">
        <f>MID(VLOOKUP($A210,Seqs!$A:$B,2,FALSE),VLOOKUP($A210,'SegEnds_NonXtal_Prot#'!A:AL,10,FALSE),1)</f>
        <v>D</v>
      </c>
      <c r="W210" s="49" t="str">
        <f>MID(VLOOKUP($A210,Seqs!$A:$B,2,FALSE),VLOOKUP($A210,'SegEnds_NonXtal_Prot#'!A:AL,10,FALSE)+6,1)</f>
        <v>F</v>
      </c>
      <c r="X210" s="49" t="str">
        <f>MID(VLOOKUP($A210,Seqs!$A:$B,2,FALSE),VLOOKUP($A210,'SegEnds_NonXtal_Prot#'!A:AL,10,FALSE)+7,1)</f>
        <v>S</v>
      </c>
      <c r="Y210" s="49" t="str">
        <f>MID(VLOOKUP($A210,Seqs!$A:$B,2,FALSE),VLOOKUP($A210,'SegEnds_NonXtal_Prot#'!A:AL,10,FALSE)+8,1)</f>
        <v>A</v>
      </c>
      <c r="Z210" s="49" t="str">
        <f>MID(VLOOKUP($A210,Seqs!$A:$B,2,FALSE),VLOOKUP($A210,'SegEnds_NonXtal_Prot#'!A:AL,10,FALSE)+9,1)</f>
        <v>P</v>
      </c>
      <c r="AA210" s="49" t="str">
        <f>MID(VLOOKUP($A210,Seqs!$A:$B,2,FALSE),VLOOKUP($A210,'SegEnds_NonXtal_Prot#'!A:AL,10,FALSE)+10,1)</f>
        <v>I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P</v>
      </c>
      <c r="AD210" s="49" t="str">
        <f>MID(VLOOKUP($A210,Seqs!$A:$B,2,FALSE),VLOOKUP($A210,'SegEnds_NonXtal_Prot#'!$A:$AL,22,FALSE)+8,1)</f>
        <v>L</v>
      </c>
      <c r="AE210" s="49" t="str">
        <f>MID(VLOOKUP($A210,Seqs!$A:$B,2,FALSE),VLOOKUP($A210,'SegEnds_NonXtal_Prot#'!$A:$AL,22,FALSE)+9,1)</f>
        <v>P</v>
      </c>
      <c r="AF210" s="49" t="str">
        <f>MID(VLOOKUP($A210,Seqs!$A:$B,2,FALSE),VLOOKUP($A210,'SegEnds_NonXtal_Prot#'!$A:$AL,22,FALSE)+10,1)</f>
        <v>E</v>
      </c>
      <c r="AG210" s="28" t="str">
        <f>MID(VLOOKUP($A210,Seqs!$A:$B,2,FALSE),VLOOKUP($A210,'SegEnds_NonXtal_Prot#'!$A:$AL,28,FALSE)-4,1)</f>
        <v>A</v>
      </c>
      <c r="AH210" s="49" t="str">
        <f>MID(VLOOKUP($A210,Seqs!$A:$B,2,FALSE),VLOOKUP($A210,'SegEnds_NonXtal_Prot#'!$A:$AL,28,FALSE),1)</f>
        <v>P</v>
      </c>
    </row>
    <row r="211" spans="1:34" s="2" customFormat="1" x14ac:dyDescent="0.2">
      <c r="A211" s="2" t="s">
        <v>224</v>
      </c>
      <c r="B211" s="2" t="str">
        <f>LOWER(VLOOKUP(A211,Xtal_Templ!A:B,2,FALSE))</f>
        <v>5ht2a_human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H211" s="4"/>
      <c r="T211" s="4" t="s">
        <v>12</v>
      </c>
      <c r="V211" s="28" t="str">
        <f>MID(VLOOKUP($A211,Seqs!$A:$B,2,FALSE),VLOOKUP($A211,'SegEnds_NonXtal_Prot#'!A:AL,10,FALSE),1)</f>
        <v>T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V</v>
      </c>
      <c r="Y211" s="49" t="str">
        <f>MID(VLOOKUP($A211,Seqs!$A:$B,2,FALSE),VLOOKUP($A211,'SegEnds_NonXtal_Prot#'!A:AL,10,FALSE)+8,1)</f>
        <v>P</v>
      </c>
      <c r="Z211" s="49" t="str">
        <f>MID(VLOOKUP($A211,Seqs!$A:$B,2,FALSE),VLOOKUP($A211,'SegEnds_NonXtal_Prot#'!A:AL,10,FALSE)+9,1)</f>
        <v>I</v>
      </c>
      <c r="AA211" s="49" t="str">
        <f>MID(VLOOKUP($A211,Seqs!$A:$B,2,FALSE),VLOOKUP($A211,'SegEnds_NonXtal_Prot#'!A:AL,10,FALSE)+10,1)</f>
        <v>A</v>
      </c>
      <c r="AB211" s="28" t="str">
        <f>MID(VLOOKUP($A211,Seqs!$A:$B,2,FALSE),VLOOKUP($A211,'SegEnds_NonXtal_Prot#'!$A:$AL,22,FALSE)+6,1)</f>
        <v>L</v>
      </c>
      <c r="AC211" s="49" t="str">
        <f>MID(VLOOKUP($A211,Seqs!$A:$B,2,FALSE),VLOOKUP($A211,'SegEnds_NonXtal_Prot#'!$A:$AL,22,FALSE)+7,1)</f>
        <v>S</v>
      </c>
      <c r="AD211" s="49" t="str">
        <f>MID(VLOOKUP($A211,Seqs!$A:$B,2,FALSE),VLOOKUP($A211,'SegEnds_NonXtal_Prot#'!$A:$AL,22,FALSE)+8,1)</f>
        <v>A</v>
      </c>
      <c r="AE211" s="49" t="str">
        <f>MID(VLOOKUP($A211,Seqs!$A:$B,2,FALSE),VLOOKUP($A211,'SegEnds_NonXtal_Prot#'!$A:$AL,22,FALSE)+9,1)</f>
        <v>L</v>
      </c>
      <c r="AF211" s="49" t="str">
        <f>MID(VLOOKUP($A211,Seqs!$A:$B,2,FALSE),VLOOKUP($A211,'SegEnds_NonXtal_Prot#'!$A:$AL,22,FALSE)+10,1)</f>
        <v>P</v>
      </c>
      <c r="AG211" s="28" t="str">
        <f>MID(VLOOKUP($A211,Seqs!$A:$B,2,FALSE),VLOOKUP($A211,'SegEnds_NonXtal_Prot#'!$A:$AL,28,FALSE)-4,1)</f>
        <v>V</v>
      </c>
      <c r="AH211" s="49" t="str">
        <f>MID(VLOOKUP($A211,Seqs!$A:$B,2,FALSE),VLOOKUP($A211,'SegEnds_NonXtal_Prot#'!$A:$AL,28,FALSE),1)</f>
        <v>V</v>
      </c>
    </row>
    <row r="212" spans="1:34" s="2" customFormat="1" x14ac:dyDescent="0.2">
      <c r="A212" s="2" t="s">
        <v>241</v>
      </c>
      <c r="B212" s="2" t="str">
        <f>LOWER(VLOOKUP(A212,Xtal_Templ!A:B,2,FALSE))</f>
        <v>ox2r_human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2" t="s">
        <v>5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A</v>
      </c>
      <c r="X212" s="49" t="str">
        <f>MID(VLOOKUP($A212,Seqs!$A:$B,2,FALSE),VLOOKUP($A212,'SegEnds_NonXtal_Prot#'!A:AL,10,FALSE)+7,1)</f>
        <v>S</v>
      </c>
      <c r="Y212" s="49" t="str">
        <f>MID(VLOOKUP($A212,Seqs!$A:$B,2,FALSE),VLOOKUP($A212,'SegEnds_NonXtal_Prot#'!A:AL,10,FALSE)+8,1)</f>
        <v>T</v>
      </c>
      <c r="Z212" s="49" t="str">
        <f>MID(VLOOKUP($A212,Seqs!$A:$B,2,FALSE),VLOOKUP($A212,'SegEnds_NonXtal_Prot#'!A:AL,10,FALSE)+9,1)</f>
        <v>P</v>
      </c>
      <c r="AA212" s="49" t="str">
        <f>MID(VLOOKUP($A212,Seqs!$A:$B,2,FALSE),VLOOKUP($A212,'SegEnds_NonXtal_Prot#'!A:AL,10,FALSE)+10,1)</f>
        <v>F</v>
      </c>
      <c r="AB212" s="28" t="str">
        <f>MID(VLOOKUP($A212,Seqs!$A:$B,2,FALSE),VLOOKUP($A212,'SegEnds_NonXtal_Prot#'!$A:$AL,22,FALSE)+6,1)</f>
        <v>F</v>
      </c>
      <c r="AC212" s="49" t="str">
        <f>MID(VLOOKUP($A212,Seqs!$A:$B,2,FALSE),VLOOKUP($A212,'SegEnds_NonXtal_Prot#'!$A:$AL,22,FALSE)+7,1)</f>
        <v>V</v>
      </c>
      <c r="AD212" s="49" t="str">
        <f>MID(VLOOKUP($A212,Seqs!$A:$B,2,FALSE),VLOOKUP($A212,'SegEnds_NonXtal_Prot#'!$A:$AL,22,FALSE)+8,1)</f>
        <v>T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V</v>
      </c>
      <c r="AG212" s="28" t="str">
        <f>MID(VLOOKUP($A212,Seqs!$A:$B,2,FALSE),VLOOKUP($A212,'SegEnds_NonXtal_Prot#'!$A:$AL,28,FALSE)-4,1)</f>
        <v>G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243</v>
      </c>
      <c r="B213" s="2" t="str">
        <f>LOWER(VLOOKUP(A213,Xtal_Templ!A:B,2,FALSE))</f>
        <v>gpr52_human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H213" s="4"/>
      <c r="N213" s="2" t="s">
        <v>14</v>
      </c>
      <c r="R213" s="2" t="s">
        <v>9</v>
      </c>
      <c r="T213" s="4" t="s">
        <v>12</v>
      </c>
      <c r="V213" s="28" t="str">
        <f>MID(VLOOKUP($A213,Seqs!$A:$B,2,FALSE),VLOOKUP($A213,'SegEnds_NonXtal_Prot#'!A:AL,10,FALSE),1)</f>
        <v>D</v>
      </c>
      <c r="W213" s="49" t="str">
        <f>MID(VLOOKUP($A213,Seqs!$A:$B,2,FALSE),VLOOKUP($A213,'SegEnds_NonXtal_Prot#'!A:AL,10,FALSE)+6,1)</f>
        <v>S</v>
      </c>
      <c r="X213" s="49" t="str">
        <f>MID(VLOOKUP($A213,Seqs!$A:$B,2,FALSE),VLOOKUP($A213,'SegEnds_NonXtal_Prot#'!A:AL,10,FALSE)+7,1)</f>
        <v>C</v>
      </c>
      <c r="Y213" s="49" t="str">
        <f>MID(VLOOKUP($A213,Seqs!$A:$B,2,FALSE),VLOOKUP($A213,'SegEnds_NonXtal_Prot#'!A:AL,10,FALSE)+8,1)</f>
        <v>V</v>
      </c>
      <c r="Z213" s="49" t="str">
        <f>MID(VLOOKUP($A213,Seqs!$A:$B,2,FALSE),VLOOKUP($A213,'SegEnds_NonXtal_Prot#'!A:AL,10,FALSE)+9,1)</f>
        <v>V</v>
      </c>
      <c r="AA213" s="49" t="str">
        <f>MID(VLOOKUP($A213,Seqs!$A:$B,2,FALSE),VLOOKUP($A213,'SegEnds_NonXtal_Prot#'!A:AL,10,FALSE)+10,1)</f>
        <v>P</v>
      </c>
      <c r="AB213" s="28" t="str">
        <f>MID(VLOOKUP($A213,Seqs!$A:$B,2,FALSE),VLOOKUP($A213,'SegEnds_NonXtal_Prot#'!$A:$AL,22,FALSE)+6,1)</f>
        <v>V</v>
      </c>
      <c r="AC213" s="49" t="str">
        <f>MID(VLOOKUP($A213,Seqs!$A:$B,2,FALSE),VLOOKUP($A213,'SegEnds_NonXtal_Prot#'!$A:$AL,22,FALSE)+7,1)</f>
        <v>F</v>
      </c>
      <c r="AD213" s="49" t="str">
        <f>MID(VLOOKUP($A213,Seqs!$A:$B,2,FALSE),VLOOKUP($A213,'SegEnds_NonXtal_Prot#'!$A:$AL,22,FALSE)+8,1)</f>
        <v>L</v>
      </c>
      <c r="AE213" s="49" t="str">
        <f>MID(VLOOKUP($A213,Seqs!$A:$B,2,FALSE),VLOOKUP($A213,'SegEnds_NonXtal_Prot#'!$A:$AL,22,FALSE)+9,1)</f>
        <v>P</v>
      </c>
      <c r="AF213" s="49" t="str">
        <f>MID(VLOOKUP($A213,Seqs!$A:$B,2,FALSE),VLOOKUP($A213,'SegEnds_NonXtal_Prot#'!$A:$AL,22,FALSE)+10,1)</f>
        <v>S</v>
      </c>
      <c r="AG213" s="28" t="str">
        <f>MID(VLOOKUP($A213,Seqs!$A:$B,2,FALSE),VLOOKUP($A213,'SegEnds_NonXtal_Prot#'!$A:$AL,28,FALSE)-4,1)</f>
        <v>M</v>
      </c>
      <c r="AH213" s="49" t="str">
        <f>MID(VLOOKUP($A213,Seqs!$A:$B,2,FALSE),VLOOKUP($A213,'SegEnds_NonXtal_Prot#'!$A:$AL,28,FALSE),1)</f>
        <v>P</v>
      </c>
    </row>
    <row r="214" spans="1:34" s="2" customFormat="1" x14ac:dyDescent="0.2">
      <c r="A214" s="2" t="s">
        <v>246</v>
      </c>
      <c r="B214" s="2" t="str">
        <f>LOWER(VLOOKUP(A214,Xtal_Templ!A:B,2,FALSE))</f>
        <v>drd2_human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2" t="s">
        <v>5</v>
      </c>
      <c r="H214" s="4"/>
      <c r="T214" s="4" t="s">
        <v>12</v>
      </c>
      <c r="V214" s="28" t="str">
        <f>MID(VLOOKUP($A214,Seqs!$A:$B,2,FALSE),VLOOKUP($A214,'SegEnds_NonXtal_Prot#'!A:AL,10,FALSE),1)</f>
        <v>N</v>
      </c>
      <c r="W214" s="49" t="str">
        <f>MID(VLOOKUP($A214,Seqs!$A:$B,2,FALSE),VLOOKUP($A214,'SegEnds_NonXtal_Prot#'!A:AL,10,FALSE)+6,1)</f>
        <v>V</v>
      </c>
      <c r="X214" s="49" t="str">
        <f>MID(VLOOKUP($A214,Seqs!$A:$B,2,FALSE),VLOOKUP($A214,'SegEnds_NonXtal_Prot#'!A:AL,10,FALSE)+7,1)</f>
        <v>N</v>
      </c>
      <c r="Y214" s="49" t="str">
        <f>MID(VLOOKUP($A214,Seqs!$A:$B,2,FALSE),VLOOKUP($A214,'SegEnds_NonXtal_Prot#'!A:AL,10,FALSE)+8,1)</f>
        <v>M</v>
      </c>
      <c r="Z214" s="49" t="str">
        <f>MID(VLOOKUP($A214,Seqs!$A:$B,2,FALSE),VLOOKUP($A214,'SegEnds_NonXtal_Prot#'!A:AL,10,FALSE)+9,1)</f>
        <v>P</v>
      </c>
      <c r="AA214" s="49" t="str">
        <f>MID(VLOOKUP($A214,Seqs!$A:$B,2,FALSE),VLOOKUP($A214,'SegEnds_NonXtal_Prot#'!A:AL,10,FALSE)+10,1)</f>
        <v>L</v>
      </c>
      <c r="AB214" s="28" t="str">
        <f>MID(VLOOKUP($A214,Seqs!$A:$B,2,FALSE),VLOOKUP($A214,'SegEnds_NonXtal_Prot#'!$A:$AL,22,FALSE)+6,1)</f>
        <v>F</v>
      </c>
      <c r="AC214" s="49" t="str">
        <f>MID(VLOOKUP($A214,Seqs!$A:$B,2,FALSE),VLOOKUP($A214,'SegEnds_NonXtal_Prot#'!$A:$AL,22,FALSE)+7,1)</f>
        <v>P</v>
      </c>
      <c r="AD214" s="49" t="str">
        <f>MID(VLOOKUP($A214,Seqs!$A:$B,2,FALSE),VLOOKUP($A214,'SegEnds_NonXtal_Prot#'!$A:$AL,22,FALSE)+8,1)</f>
        <v>A</v>
      </c>
      <c r="AE214" s="49" t="str">
        <f>MID(VLOOKUP($A214,Seqs!$A:$B,2,FALSE),VLOOKUP($A214,'SegEnds_NonXtal_Prot#'!$A:$AL,22,FALSE)+9,1)</f>
        <v>A</v>
      </c>
      <c r="AF214" s="49" t="str">
        <f>MID(VLOOKUP($A214,Seqs!$A:$B,2,FALSE),VLOOKUP($A214,'SegEnds_NonXtal_Prot#'!$A:$AL,22,FALSE)+10,1)</f>
        <v>A</v>
      </c>
      <c r="AG214" s="28" t="str">
        <f>MID(VLOOKUP($A214,Seqs!$A:$B,2,FALSE),VLOOKUP($A214,'SegEnds_NonXtal_Prot#'!$A:$AL,28,FALSE)-4,1)</f>
        <v>S</v>
      </c>
      <c r="AH214" s="49" t="str">
        <f>MID(VLOOKUP($A214,Seqs!$A:$B,2,FALSE),VLOOKUP($A214,'SegEnds_NonXtal_Prot#'!$A:$AL,28,FALSE),1)</f>
        <v>S</v>
      </c>
    </row>
    <row r="215" spans="1:34" s="2" customFormat="1" x14ac:dyDescent="0.2">
      <c r="A215" s="2" t="s">
        <v>259</v>
      </c>
      <c r="B215" s="2" t="str">
        <f>LOWER(VLOOKUP(A215,Xtal_Templ!A:B,2,FALSE))</f>
        <v>gpr52_human</v>
      </c>
      <c r="C215" s="2" t="str">
        <f>VLOOKUP(A215,Classification!A:D,2,FALSE)</f>
        <v>A</v>
      </c>
      <c r="D215" s="2" t="str">
        <f>IF(ISERROR(MATCH(A215,'SegEnds_Xtal_Prot#'!B:B, 0)), "NoXtal", "Xtal")</f>
        <v>Xtal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S</v>
      </c>
      <c r="X215" s="49" t="str">
        <f>MID(VLOOKUP($A215,Seqs!$A:$B,2,FALSE),VLOOKUP($A215,'SegEnds_NonXtal_Prot#'!A:AL,10,FALSE)+7,1)</f>
        <v>C</v>
      </c>
      <c r="Y215" s="49" t="str">
        <f>MID(VLOOKUP($A215,Seqs!$A:$B,2,FALSE),VLOOKUP($A215,'SegEnds_NonXtal_Prot#'!A:AL,10,FALSE)+8,1)</f>
        <v>L</v>
      </c>
      <c r="Z215" s="49" t="str">
        <f>MID(VLOOKUP($A215,Seqs!$A:$B,2,FALSE),VLOOKUP($A215,'SegEnds_NonXtal_Prot#'!A:AL,10,FALSE)+9,1)</f>
        <v>V</v>
      </c>
      <c r="AA215" s="49" t="str">
        <f>MID(VLOOKUP($A215,Seqs!$A:$B,2,FALSE),VLOOKUP($A215,'SegEnds_NonXtal_Prot#'!A:AL,10,FALSE)+10,1)</f>
        <v>P</v>
      </c>
      <c r="AB215" s="28" t="str">
        <f>MID(VLOOKUP($A215,Seqs!$A:$B,2,FALSE),VLOOKUP($A215,'SegEnds_NonXtal_Prot#'!$A:$AL,22,FALSE)+6,1)</f>
        <v>I</v>
      </c>
      <c r="AC215" s="49" t="str">
        <f>MID(VLOOKUP($A215,Seqs!$A:$B,2,FALSE),VLOOKUP($A215,'SegEnds_NonXtal_Prot#'!$A:$AL,22,FALSE)+7,1)</f>
        <v>F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S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268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L</v>
      </c>
      <c r="X216" s="49" t="str">
        <f>MID(VLOOKUP($A216,Seqs!$A:$B,2,FALSE),VLOOKUP($A216,'SegEnds_NonXtal_Prot#'!A:AL,10,FALSE)+7,1)</f>
        <v>N</v>
      </c>
      <c r="Y216" s="49" t="str">
        <f>MID(VLOOKUP($A216,Seqs!$A:$B,2,FALSE),VLOOKUP($A216,'SegEnds_NonXtal_Prot#'!A:AL,10,FALSE)+8,1)</f>
        <v>T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F</v>
      </c>
      <c r="AB216" s="28" t="str">
        <f>MID(VLOOKUP($A216,Seqs!$A:$B,2,FALSE),VLOOKUP($A216,'SegEnds_NonXtal_Prot#'!$A:$AL,22,FALSE)+6,1)</f>
        <v>F</v>
      </c>
      <c r="AC216" s="49" t="str">
        <f>MID(VLOOKUP($A216,Seqs!$A:$B,2,FALSE),VLOOKUP($A216,'SegEnds_NonXtal_Prot#'!$A:$AL,22,FALSE)+7,1)</f>
        <v>S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H</v>
      </c>
      <c r="AG216" s="28" t="str">
        <f>MID(VLOOKUP($A216,Seqs!$A:$B,2,FALSE),VLOOKUP($A216,'SegEnds_NonXtal_Prot#'!$A:$AL,28,FALSE)-4,1)</f>
        <v>L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311</v>
      </c>
      <c r="B217" s="2" t="str">
        <f>LOWER(VLOOKUP(A217,Xtal_Templ!A:B,2,FALSE))</f>
        <v>mtr1b_human</v>
      </c>
      <c r="C217" s="2" t="str">
        <f>VLOOKUP(A217,Classification!A:D,2,FALSE)</f>
        <v>A</v>
      </c>
      <c r="D217" s="2" t="str">
        <f>IF(ISERROR(MATCH(A217,'SegEnds_Xtal_Prot#'!B:B, 0)), "NoXtal", "Xtal")</f>
        <v>Xtal</v>
      </c>
      <c r="G217" s="2" t="s">
        <v>5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L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312</v>
      </c>
      <c r="B218" s="2" t="str">
        <f>LOWER(VLOOKUP(A218,Xtal_Templ!A:B,2,FALSE))</f>
        <v>mtr1a_human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H218" s="4"/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D</v>
      </c>
      <c r="W218" s="49" t="str">
        <f>MID(VLOOKUP($A218,Seqs!$A:$B,2,FALSE),VLOOKUP($A218,'SegEnds_NonXtal_Prot#'!A:AL,10,FALSE)+6,1)</f>
        <v>Y</v>
      </c>
      <c r="X218" s="49" t="str">
        <f>MID(VLOOKUP($A218,Seqs!$A:$B,2,FALSE),VLOOKUP($A218,'SegEnds_NonXtal_Prot#'!A:AL,10,FALSE)+7,1)</f>
        <v>P</v>
      </c>
      <c r="Y218" s="49" t="str">
        <f>MID(VLOOKUP($A218,Seqs!$A:$B,2,FALSE),VLOOKUP($A218,'SegEnds_NonXtal_Prot#'!A:AL,10,FALSE)+8,1)</f>
        <v>Y</v>
      </c>
      <c r="Z218" s="49" t="str">
        <f>MID(VLOOKUP($A218,Seqs!$A:$B,2,FALSE),VLOOKUP($A218,'SegEnds_NonXtal_Prot#'!A:AL,10,FALSE)+9,1)</f>
        <v>P</v>
      </c>
      <c r="AA218" s="49" t="str">
        <f>MID(VLOOKUP($A218,Seqs!$A:$B,2,FALSE),VLOOKUP($A218,'SegEnds_NonXtal_Prot#'!A:AL,10,FALSE)+10,1)</f>
        <v>L</v>
      </c>
      <c r="AB218" s="28" t="str">
        <f>MID(VLOOKUP($A218,Seqs!$A:$B,2,FALSE),VLOOKUP($A218,'SegEnds_NonXtal_Prot#'!$A:$AL,22,FALSE)+6,1)</f>
        <v>A</v>
      </c>
      <c r="AC218" s="49" t="str">
        <f>MID(VLOOKUP($A218,Seqs!$A:$B,2,FALSE),VLOOKUP($A218,'SegEnds_NonXtal_Prot#'!$A:$AL,22,FALSE)+7,1)</f>
        <v>V</v>
      </c>
      <c r="AD218" s="49" t="str">
        <f>MID(VLOOKUP($A218,Seqs!$A:$B,2,FALSE),VLOOKUP($A218,'SegEnds_NonXtal_Prot#'!$A:$AL,22,FALSE)+8,1)</f>
        <v>L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N</v>
      </c>
      <c r="AG218" s="28" t="str">
        <f>MID(VLOOKUP($A218,Seqs!$A:$B,2,FALSE),VLOOKUP($A218,'SegEnds_NonXtal_Prot#'!$A:$AL,28,FALSE)-4,1)</f>
        <v>H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313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Xtal</v>
      </c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E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V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I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315</v>
      </c>
      <c r="B220" s="2" t="str">
        <f>LOWER(VLOOKUP(A220,Xtal_Templ!A:B,2,FALSE))</f>
        <v>nk1r_human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N</v>
      </c>
      <c r="Y220" s="49" t="str">
        <f>MID(VLOOKUP($A220,Seqs!$A:$B,2,FALSE),VLOOKUP($A220,'SegEnds_NonXtal_Prot#'!A:AL,10,FALSE)+8,1)</f>
        <v>T</v>
      </c>
      <c r="Z220" s="49" t="str">
        <f>MID(VLOOKUP($A220,Seqs!$A:$B,2,FALSE),VLOOKUP($A220,'SegEnds_NonXtal_Prot#'!A:AL,10,FALSE)+9,1)</f>
        <v>L</v>
      </c>
      <c r="AA220" s="49" t="str">
        <f>MID(VLOOKUP($A220,Seqs!$A:$B,2,FALSE),VLOOKUP($A220,'SegEnds_NonXtal_Prot#'!A:AL,10,FALSE)+10,1)</f>
        <v>V</v>
      </c>
      <c r="AB220" s="28" t="str">
        <f>MID(VLOOKUP($A220,Seqs!$A:$B,2,FALSE),VLOOKUP($A220,'SegEnds_NonXtal_Prot#'!$A:$AL,22,FALSE)+6,1)</f>
        <v>L</v>
      </c>
      <c r="AC220" s="49" t="str">
        <f>MID(VLOOKUP($A220,Seqs!$A:$B,2,FALSE),VLOOKUP($A220,'SegEnds_NonXtal_Prot#'!$A:$AL,22,FALSE)+7,1)</f>
        <v>A</v>
      </c>
      <c r="AD220" s="49" t="str">
        <f>MID(VLOOKUP($A220,Seqs!$A:$B,2,FALSE),VLOOKUP($A220,'SegEnds_NonXtal_Prot#'!$A:$AL,22,FALSE)+8,1)</f>
        <v>F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Q</v>
      </c>
      <c r="AG220" s="28" t="str">
        <f>MID(VLOOKUP($A220,Seqs!$A:$B,2,FALSE),VLOOKUP($A220,'SegEnds_NonXtal_Prot#'!$A:$AL,28,FALSE)-4,1)</f>
        <v>V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321</v>
      </c>
      <c r="B221" s="2" t="str">
        <f>LOWER(VLOOKUP(A221,Xtal_Templ!A:B,2,FALSE))</f>
        <v>ox1r_human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G221" s="2" t="s">
        <v>5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F</v>
      </c>
      <c r="X221" s="49" t="str">
        <f>MID(VLOOKUP($A221,Seqs!$A:$B,2,FALSE),VLOOKUP($A221,'SegEnds_NonXtal_Prot#'!A:AL,10,FALSE)+7,1)</f>
        <v>C</v>
      </c>
      <c r="Y221" s="49" t="str">
        <f>MID(VLOOKUP($A221,Seqs!$A:$B,2,FALSE),VLOOKUP($A221,'SegEnds_NonXtal_Prot#'!A:AL,10,FALSE)+8,1)</f>
        <v>M</v>
      </c>
      <c r="Z221" s="49" t="str">
        <f>MID(VLOOKUP($A221,Seqs!$A:$B,2,FALSE),VLOOKUP($A221,'SegEnds_NonXtal_Prot#'!A:AL,10,FALSE)+9,1)</f>
        <v>P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I</v>
      </c>
      <c r="AC221" s="49" t="str">
        <f>MID(VLOOKUP($A221,Seqs!$A:$B,2,FALSE),VLOOKUP($A221,'SegEnds_NonXtal_Prot#'!$A:$AL,22,FALSE)+7,1)</f>
        <v>M</v>
      </c>
      <c r="AD221" s="49" t="str">
        <f>MID(VLOOKUP($A221,Seqs!$A:$B,2,FALSE),VLOOKUP($A221,'SegEnds_NonXtal_Prot#'!$A:$AL,22,FALSE)+8,1)</f>
        <v>C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S</v>
      </c>
      <c r="AG221" s="28" t="str">
        <f>MID(VLOOKUP($A221,Seqs!$A:$B,2,FALSE),VLOOKUP($A221,'SegEnds_NonXtal_Prot#'!$A:$AL,28,FALSE)-4,1)</f>
        <v>I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323</v>
      </c>
      <c r="B222" s="2" t="str">
        <f>LOWER(VLOOKUP(A222,Xtal_Templ!A:B,2,FALSE))</f>
        <v>oxyr_human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V</v>
      </c>
      <c r="X222" s="49" t="str">
        <f>MID(VLOOKUP($A222,Seqs!$A:$B,2,FALSE),VLOOKUP($A222,'SegEnds_NonXtal_Prot#'!A:AL,10,FALSE)+7,1)</f>
        <v>N</v>
      </c>
      <c r="Y222" s="49" t="str">
        <f>MID(VLOOKUP($A222,Seqs!$A:$B,2,FALSE),VLOOKUP($A222,'SegEnds_NonXtal_Prot#'!A:AL,10,FALSE)+8,1)</f>
        <v>I</v>
      </c>
      <c r="Z222" s="49" t="str">
        <f>MID(VLOOKUP($A222,Seqs!$A:$B,2,FALSE),VLOOKUP($A222,'SegEnds_NonXtal_Prot#'!A:AL,10,FALSE)+9,1)</f>
        <v>L</v>
      </c>
      <c r="AA222" s="49" t="str">
        <f>MID(VLOOKUP($A222,Seqs!$A:$B,2,FALSE),VLOOKUP($A222,'SegEnds_NonXtal_Prot#'!A:AL,10,FALSE)+10,1)</f>
        <v>T</v>
      </c>
      <c r="AB222" s="28" t="str">
        <f>MID(VLOOKUP($A222,Seqs!$A:$B,2,FALSE),VLOOKUP($A222,'SegEnds_NonXtal_Prot#'!$A:$AL,22,FALSE)+6,1)</f>
        <v>F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I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T</v>
      </c>
      <c r="AG222" s="28" t="str">
        <f>MID(VLOOKUP($A222,Seqs!$A:$B,2,FALSE),VLOOKUP($A222,'SegEnds_NonXtal_Prot#'!$A:$AL,28,FALSE)-4,1)</f>
        <v>V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324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M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L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F</v>
      </c>
      <c r="AB223" s="28" t="str">
        <f>MID(VLOOKUP($A223,Seqs!$A:$B,2,FALSE),VLOOKUP($A223,'SegEnds_NonXtal_Prot#'!$A:$AL,22,FALSE)+6,1)</f>
        <v>S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326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L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Q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L</v>
      </c>
      <c r="AB224" s="28" t="str">
        <f>MID(VLOOKUP($A224,Seqs!$A:$B,2,FALSE),VLOOKUP($A224,'SegEnds_NonXtal_Prot#'!$A:$AL,22,FALSE)+6,1)</f>
        <v>L</v>
      </c>
      <c r="AC224" s="49" t="str">
        <f>MID(VLOOKUP($A224,Seqs!$A:$B,2,FALSE),VLOOKUP($A224,'SegEnds_NonXtal_Prot#'!$A:$AL,22,FALSE)+7,1)</f>
        <v>S</v>
      </c>
      <c r="AD224" s="49" t="str">
        <f>MID(VLOOKUP($A224,Seqs!$A:$B,2,FALSE),VLOOKUP($A224,'SegEnds_NonXtal_Prot#'!$A:$AL,22,FALSE)+8,1)</f>
        <v>L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F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327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G225" s="2" t="s">
        <v>5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F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S</v>
      </c>
      <c r="Z225" s="49" t="str">
        <f>MID(VLOOKUP($A225,Seqs!$A:$B,2,FALSE),VLOOKUP($A225,'SegEnds_NonXtal_Prot#'!A:AL,10,FALSE)+9,1)</f>
        <v>P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I</v>
      </c>
      <c r="AC225" s="49" t="str">
        <f>MID(VLOOKUP($A225,Seqs!$A:$B,2,FALSE),VLOOKUP($A225,'SegEnds_NonXtal_Prot#'!$A:$AL,22,FALSE)+7,1)</f>
        <v>C</v>
      </c>
      <c r="AD225" s="49" t="str">
        <f>MID(VLOOKUP($A225,Seqs!$A:$B,2,FALSE),VLOOKUP($A225,'SegEnds_NonXtal_Prot#'!$A:$AL,22,FALSE)+8,1)</f>
        <v>S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L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328</v>
      </c>
      <c r="B226" s="2" t="str">
        <f>LOWER(VLOOKUP(A226,Xtal_Templ!A:B,2,FALSE))</f>
        <v>npy1r_human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M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I</v>
      </c>
      <c r="Z226" s="49" t="str">
        <f>MID(VLOOKUP($A226,Seqs!$A:$B,2,FALSE),VLOOKUP($A226,'SegEnds_NonXtal_Prot#'!A:AL,10,FALSE)+9,1)</f>
        <v>H</v>
      </c>
      <c r="AA226" s="49" t="str">
        <f>MID(VLOOKUP($A226,Seqs!$A:$B,2,FALSE),VLOOKUP($A226,'SegEnds_NonXtal_Prot#'!A:AL,10,FALSE)+10,1)</f>
        <v>F</v>
      </c>
      <c r="AB226" s="28" t="str">
        <f>MID(VLOOKUP($A226,Seqs!$A:$B,2,FALSE),VLOOKUP($A226,'SegEnds_NonXtal_Prot#'!$A:$AL,22,FALSE)+6,1)</f>
        <v>L</v>
      </c>
      <c r="AC226" s="49" t="str">
        <f>MID(VLOOKUP($A226,Seqs!$A:$B,2,FALSE),VLOOKUP($A226,'SegEnds_NonXtal_Prot#'!$A:$AL,22,FALSE)+7,1)</f>
        <v>S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F</v>
      </c>
      <c r="AG226" s="28" t="str">
        <f>MID(VLOOKUP($A226,Seqs!$A:$B,2,FALSE),VLOOKUP($A226,'SegEnds_NonXtal_Prot#'!$A:$AL,28,FALSE)-4,1)</f>
        <v>Q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1169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Xtal</v>
      </c>
      <c r="G227" s="2" t="s">
        <v>5</v>
      </c>
      <c r="H227" s="4"/>
      <c r="N227" s="2" t="s">
        <v>14</v>
      </c>
      <c r="R227" s="2" t="s">
        <v>9</v>
      </c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T</v>
      </c>
      <c r="X227" s="49" t="str">
        <f>MID(VLOOKUP($A227,Seqs!$A:$B,2,FALSE),VLOOKUP($A227,'SegEnds_NonXtal_Prot#'!A:AL,10,FALSE)+7,1)</f>
        <v>C</v>
      </c>
      <c r="Y227" s="49" t="str">
        <f>MID(VLOOKUP($A227,Seqs!$A:$B,2,FALSE),VLOOKUP($A227,'SegEnds_NonXtal_Prot#'!A:AL,10,FALSE)+8,1)</f>
        <v>L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A</v>
      </c>
      <c r="AB227" s="28" t="str">
        <f>MID(VLOOKUP($A227,Seqs!$A:$B,2,FALSE),VLOOKUP($A227,'SegEnds_NonXtal_Prot#'!$A:$AL,22,FALSE)+6,1)</f>
        <v>I</v>
      </c>
      <c r="AC227" s="49" t="str">
        <f>MID(VLOOKUP($A227,Seqs!$A:$B,2,FALSE),VLOOKUP($A227,'SegEnds_NonXtal_Prot#'!$A:$AL,22,FALSE)+7,1)</f>
        <v>M</v>
      </c>
      <c r="AD227" s="49" t="str">
        <f>MID(VLOOKUP($A227,Seqs!$A:$B,2,FALSE),VLOOKUP($A227,'SegEnds_NonXtal_Prot#'!$A:$AL,22,FALSE)+8,1)</f>
        <v>I</v>
      </c>
      <c r="AE227" s="49" t="str">
        <f>MID(VLOOKUP($A227,Seqs!$A:$B,2,FALSE),VLOOKUP($A227,'SegEnds_NonXtal_Prot#'!$A:$AL,22,FALSE)+9,1)</f>
        <v>P</v>
      </c>
      <c r="AF227" s="49" t="str">
        <f>MID(VLOOKUP($A227,Seqs!$A:$B,2,FALSE),VLOOKUP($A227,'SegEnds_NonXtal_Prot#'!$A:$AL,22,FALSE)+10,1)</f>
        <v>Q</v>
      </c>
      <c r="AG227" s="28" t="str">
        <f>MID(VLOOKUP($A227,Seqs!$A:$B,2,FALSE),VLOOKUP($A227,'SegEnds_NonXtal_Prot#'!$A:$AL,28,FALSE)-4,1)</f>
        <v>T</v>
      </c>
      <c r="AH227" s="49" t="str">
        <f>MID(VLOOKUP($A227,Seqs!$A:$B,2,FALSE),VLOOKUP($A227,'SegEnds_NonXtal_Prot#'!$A:$AL,28,FALSE),1)</f>
        <v>P</v>
      </c>
    </row>
    <row r="228" spans="1:34" s="2" customFormat="1" x14ac:dyDescent="0.2">
      <c r="A228" s="2" t="s">
        <v>358</v>
      </c>
      <c r="B228" s="2" t="str">
        <f>LOWER(VLOOKUP(A228,Xtal_Templ!A:B,2,FALSE))</f>
        <v>pe2r4_human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L</v>
      </c>
      <c r="X228" s="49" t="str">
        <f>MID(VLOOKUP($A228,Seqs!$A:$B,2,FALSE),VLOOKUP($A228,'SegEnds_NonXtal_Prot#'!A:AL,10,FALSE)+7,1)</f>
        <v>L</v>
      </c>
      <c r="Y228" s="49" t="str">
        <f>MID(VLOOKUP($A228,Seqs!$A:$B,2,FALSE),VLOOKUP($A228,'SegEnds_NonXtal_Prot#'!A:AL,10,FALSE)+8,1)</f>
        <v>S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V</v>
      </c>
      <c r="AB228" s="28" t="str">
        <f>MID(VLOOKUP($A228,Seqs!$A:$B,2,FALSE),VLOOKUP($A228,'SegEnds_NonXtal_Prot#'!$A:$AL,22,FALSE)+6,1)</f>
        <v>F</v>
      </c>
      <c r="AC228" s="49" t="str">
        <f>MID(VLOOKUP($A228,Seqs!$A:$B,2,FALSE),VLOOKUP($A228,'SegEnds_NonXtal_Prot#'!$A:$AL,22,FALSE)+7,1)</f>
        <v>C</v>
      </c>
      <c r="AD228" s="49" t="str">
        <f>MID(VLOOKUP($A228,Seqs!$A:$B,2,FALSE),VLOOKUP($A228,'SegEnds_NonXtal_Prot#'!$A:$AL,22,FALSE)+8,1)</f>
        <v>A</v>
      </c>
      <c r="AE228" s="49" t="str">
        <f>MID(VLOOKUP($A228,Seqs!$A:$B,2,FALSE),VLOOKUP($A228,'SegEnds_NonXtal_Prot#'!$A:$AL,22,FALSE)+9,1)</f>
        <v>L</v>
      </c>
      <c r="AF228" s="49" t="str">
        <f>MID(VLOOKUP($A228,Seqs!$A:$B,2,FALSE),VLOOKUP($A228,'SegEnds_NonXtal_Prot#'!$A:$AL,22,FALSE)+10,1)</f>
        <v>P</v>
      </c>
      <c r="AG228" s="28" t="str">
        <f>MID(VLOOKUP($A228,Seqs!$A:$B,2,FALSE),VLOOKUP($A228,'SegEnds_NonXtal_Prot#'!$A:$AL,28,FALSE)-4,1)</f>
        <v>A</v>
      </c>
      <c r="AH228" s="49" t="str">
        <f>MID(VLOOKUP($A228,Seqs!$A:$B,2,FALSE),VLOOKUP($A228,'SegEnds_NonXtal_Prot#'!$A:$AL,28,FALSE),1)</f>
        <v>L</v>
      </c>
    </row>
    <row r="229" spans="1:34" s="2" customFormat="1" x14ac:dyDescent="0.2">
      <c r="A229" s="2" t="s">
        <v>366</v>
      </c>
      <c r="B229" s="2" t="str">
        <f>LOWER(VLOOKUP(A229,Xtal_Templ!A:B,2,FALSE))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V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367</v>
      </c>
      <c r="B230" s="2" t="str">
        <f>LOWER(VLOOKUP(A230,Xtal_Templ!A:B,2,FALSE))</f>
        <v>npy1r_human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I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C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F</v>
      </c>
      <c r="AB230" s="28" t="str">
        <f>MID(VLOOKUP($A230,Seqs!$A:$B,2,FALSE),VLOOKUP($A230,'SegEnds_NonXtal_Prot#'!$A:$AL,22,FALSE)+6,1)</f>
        <v>I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I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S</v>
      </c>
      <c r="AG230" s="28" t="str">
        <f>MID(VLOOKUP($A230,Seqs!$A:$B,2,FALSE),VLOOKUP($A230,'SegEnds_NonXtal_Prot#'!$A:$AL,28,FALSE)-4,1)</f>
        <v>E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368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N231" s="2" t="s">
        <v>14</v>
      </c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A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V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L</v>
      </c>
      <c r="AB231" s="28" t="str">
        <f>MID(VLOOKUP($A231,Seqs!$A:$B,2,FALSE),VLOOKUP($A231,'SegEnds_NonXtal_Prot#'!$A:$AL,22,FALSE)+6,1)</f>
        <v>L</v>
      </c>
      <c r="AC231" s="49" t="str">
        <f>MID(VLOOKUP($A231,Seqs!$A:$B,2,FALSE),VLOOKUP($A231,'SegEnds_NonXtal_Prot#'!$A:$AL,22,FALSE)+7,1)</f>
        <v>A</v>
      </c>
      <c r="AD231" s="49" t="str">
        <f>MID(VLOOKUP($A231,Seqs!$A:$B,2,FALSE),VLOOKUP($A231,'SegEnds_NonXtal_Prot#'!$A:$AL,22,FALSE)+8,1)</f>
        <v>L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A</v>
      </c>
      <c r="AG231" s="28" t="str">
        <f>MID(VLOOKUP($A231,Seqs!$A:$B,2,FALSE),VLOOKUP($A231,'SegEnds_NonXtal_Prot#'!$A:$AL,28,FALSE)-4,1)</f>
        <v>T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371</v>
      </c>
      <c r="B232" s="2" t="str">
        <f>LOWER(VLOOKUP(A232,Xtal_Templ!A:B,2,FALSE))</f>
        <v>ox2r_human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2" t="s">
        <v>5</v>
      </c>
      <c r="H232" s="4"/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F</v>
      </c>
      <c r="X232" s="49" t="str">
        <f>MID(VLOOKUP($A232,Seqs!$A:$B,2,FALSE),VLOOKUP($A232,'SegEnds_NonXtal_Prot#'!A:AL,10,FALSE)+7,1)</f>
        <v>C</v>
      </c>
      <c r="Y232" s="49" t="str">
        <f>MID(VLOOKUP($A232,Seqs!$A:$B,2,FALSE),VLOOKUP($A232,'SegEnds_NonXtal_Prot#'!A:AL,10,FALSE)+8,1)</f>
        <v>I</v>
      </c>
      <c r="Z232" s="49" t="str">
        <f>MID(VLOOKUP($A232,Seqs!$A:$B,2,FALSE),VLOOKUP($A232,'SegEnds_NonXtal_Prot#'!A:AL,10,FALSE)+9,1)</f>
        <v>P</v>
      </c>
      <c r="AA232" s="49" t="str">
        <f>MID(VLOOKUP($A232,Seqs!$A:$B,2,FALSE),VLOOKUP($A232,'SegEnds_NonXtal_Prot#'!A:AL,10,FALSE)+10,1)</f>
        <v>V</v>
      </c>
      <c r="AB232" s="28" t="str">
        <f>MID(VLOOKUP($A232,Seqs!$A:$B,2,FALSE),VLOOKUP($A232,'SegEnds_NonXtal_Prot#'!$A:$AL,22,FALSE)+6,1)</f>
        <v>V</v>
      </c>
      <c r="AC232" s="49" t="str">
        <f>MID(VLOOKUP($A232,Seqs!$A:$B,2,FALSE),VLOOKUP($A232,'SegEnds_NonXtal_Prot#'!$A:$AL,22,FALSE)+7,1)</f>
        <v>G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M</v>
      </c>
      <c r="AG232" s="28" t="str">
        <f>MID(VLOOKUP($A232,Seqs!$A:$B,2,FALSE),VLOOKUP($A232,'SegEnds_NonXtal_Prot#'!$A:$AL,28,FALSE)-4,1)</f>
        <v>L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179</v>
      </c>
      <c r="B233" s="2" t="str">
        <f>LOWER(VLOOKUP(A233,Xtal_Templ!A:B,2,FALSE))</f>
        <v>cltr1_human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1316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L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T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S</v>
      </c>
      <c r="AE233" s="49" t="str">
        <f>MID(VLOOKUP($A233,Seqs!$A:$B,2,FALSE),VLOOKUP($A233,'SegEnds_NonXtal_Prot#'!$A:$AL,22,FALSE)+9,1)</f>
        <v>P</v>
      </c>
      <c r="AF233" s="49" t="str">
        <f>MID(VLOOKUP($A233,Seqs!$A:$B,2,FALSE),VLOOKUP($A233,'SegEnds_NonXtal_Prot#'!$A:$AL,22,FALSE)+10,1)</f>
        <v>F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180</v>
      </c>
      <c r="B234" s="2" t="str">
        <f>LOWER(VLOOKUP(A234,Xtal_Templ!A:B,2,FALSE))</f>
        <v>cltr2_human</v>
      </c>
      <c r="C234" s="2" t="str">
        <f>VLOOKUP(A234,Classification!A:D,2,FALSE)</f>
        <v>A</v>
      </c>
      <c r="D234" s="2" t="str">
        <f>IF(ISERROR(MATCH(A234,'SegEnds_Xtal_Prot#'!B:B, 0)), "NoXtal", "Xtal")</f>
        <v>Xtal</v>
      </c>
      <c r="H234" s="4"/>
      <c r="N234" s="2" t="s">
        <v>14</v>
      </c>
      <c r="R234" s="2" t="s">
        <v>9</v>
      </c>
      <c r="S234" s="2" t="s">
        <v>1316</v>
      </c>
      <c r="T234" s="4" t="s">
        <v>12</v>
      </c>
      <c r="V234" s="28" t="str">
        <f>MID(VLOOKUP($A234,Seqs!$A:$B,2,FALSE),VLOOKUP($A234,'SegEnds_NonXtal_Prot#'!A:AL,10,FALSE),1)</f>
        <v>D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F</v>
      </c>
      <c r="AA234" s="49" t="str">
        <f>MID(VLOOKUP($A234,Seqs!$A:$B,2,FALSE),VLOOKUP($A234,'SegEnds_NonXtal_Prot#'!A:AL,10,FALSE)+10,1)</f>
        <v>R</v>
      </c>
      <c r="AB234" s="28" t="str">
        <f>MID(VLOOKUP($A234,Seqs!$A:$B,2,FALSE),VLOOKUP($A234,'SegEnds_NonXtal_Prot#'!$A:$AL,22,FALSE)+6,1)</f>
        <v>S</v>
      </c>
      <c r="AC234" s="49" t="str">
        <f>MID(VLOOKUP($A234,Seqs!$A:$B,2,FALSE),VLOOKUP($A234,'SegEnds_NonXtal_Prot#'!$A:$AL,22,FALSE)+7,1)</f>
        <v>S</v>
      </c>
      <c r="AD234" s="49" t="str">
        <f>MID(VLOOKUP($A234,Seqs!$A:$B,2,FALSE),VLOOKUP($A234,'SegEnds_NonXtal_Prot#'!$A:$AL,22,FALSE)+8,1)</f>
        <v>I</v>
      </c>
      <c r="AE234" s="49" t="str">
        <f>MID(VLOOKUP($A234,Seqs!$A:$B,2,FALSE),VLOOKUP($A234,'SegEnds_NonXtal_Prot#'!$A:$AL,22,FALSE)+9,1)</f>
        <v>M</v>
      </c>
      <c r="AF234" s="49" t="str">
        <f>MID(VLOOKUP($A234,Seqs!$A:$B,2,FALSE),VLOOKUP($A234,'SegEnds_NonXtal_Prot#'!$A:$AL,22,FALSE)+10,1)</f>
        <v>L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213</v>
      </c>
      <c r="B235" s="2" t="str">
        <f>LOWER(VLOOKUP(A235,Xtal_Templ!A:B,2,FALSE))</f>
        <v>par2_human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N235" s="2" t="s">
        <v>14</v>
      </c>
      <c r="R235" s="2" t="s">
        <v>9</v>
      </c>
      <c r="T235" s="4" t="s">
        <v>12</v>
      </c>
      <c r="V235" s="28" t="str">
        <f>MID(VLOOKUP($A235,Seqs!$A:$B,2,FALSE),VLOOKUP($A235,'SegEnds_NonXtal_Prot#'!A:AL,10,FALSE),1)</f>
        <v>E</v>
      </c>
      <c r="W235" s="49" t="str">
        <f>MID(VLOOKUP($A235,Seqs!$A:$B,2,FALSE),VLOOKUP($A235,'SegEnds_NonXtal_Prot#'!A:AL,10,FALSE)+6,1)</f>
        <v>T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W</v>
      </c>
      <c r="AB235" s="28" t="str">
        <f>MID(VLOOKUP($A235,Seqs!$A:$B,2,FALSE),VLOOKUP($A235,'SegEnds_NonXtal_Prot#'!$A:$AL,22,FALSE)+6,1)</f>
        <v>V</v>
      </c>
      <c r="AC235" s="49" t="str">
        <f>MID(VLOOKUP($A235,Seqs!$A:$B,2,FALSE),VLOOKUP($A235,'SegEnds_NonXtal_Prot#'!$A:$AL,22,FALSE)+7,1)</f>
        <v>H</v>
      </c>
      <c r="AD235" s="49" t="str">
        <f>MID(VLOOKUP($A235,Seqs!$A:$B,2,FALSE),VLOOKUP($A235,'SegEnds_NonXtal_Prot#'!$A:$AL,22,FALSE)+8,1)</f>
        <v>Y</v>
      </c>
      <c r="AE235" s="49" t="str">
        <f>MID(VLOOKUP($A235,Seqs!$A:$B,2,FALSE),VLOOKUP($A235,'SegEnds_NonXtal_Prot#'!$A:$AL,22,FALSE)+9,1)</f>
        <v>P</v>
      </c>
      <c r="AF235" s="49" t="str">
        <f>MID(VLOOKUP($A235,Seqs!$A:$B,2,FALSE),VLOOKUP($A235,'SegEnds_NonXtal_Prot#'!$A:$AL,22,FALSE)+10,1)</f>
        <v>V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230</v>
      </c>
      <c r="B236" s="2" t="str">
        <f>LOWER(VLOOKUP(A236,Xtal_Templ!A:B,2,FALSE))</f>
        <v>p2ry1_human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S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L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C</v>
      </c>
      <c r="AD236" s="49" t="str">
        <f>MID(VLOOKUP($A236,Seqs!$A:$B,2,FALSE),VLOOKUP($A236,'SegEnds_NonXtal_Prot#'!$A:$AL,22,FALSE)+8,1)</f>
        <v>V</v>
      </c>
      <c r="AE236" s="49" t="str">
        <f>MID(VLOOKUP($A236,Seqs!$A:$B,2,FALSE),VLOOKUP($A236,'SegEnds_NonXtal_Prot#'!$A:$AL,22,FALSE)+9,1)</f>
        <v>L</v>
      </c>
      <c r="AF236" s="49" t="str">
        <f>MID(VLOOKUP($A236,Seqs!$A:$B,2,FALSE),VLOOKUP($A236,'SegEnds_NonXtal_Prot#'!$A:$AL,22,FALSE)+10,1)</f>
        <v>F</v>
      </c>
      <c r="AG236" s="28" t="str">
        <f>MID(VLOOKUP($A236,Seqs!$A:$B,2,FALSE),VLOOKUP($A236,'SegEnds_NonXtal_Prot#'!$A:$AL,28,FALSE)-4,1)</f>
        <v>G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239</v>
      </c>
      <c r="B237" s="2" t="str">
        <f>LOWER(VLOOKUP(A237,Xtal_Templ!A:B,2,FALSE))</f>
        <v>cltr2_human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R237" s="2" t="s">
        <v>9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V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T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A</v>
      </c>
      <c r="AC237" s="49" t="str">
        <f>MID(VLOOKUP($A237,Seqs!$A:$B,2,FALSE),VLOOKUP($A237,'SegEnds_NonXtal_Prot#'!$A:$AL,22,FALSE)+7,1)</f>
        <v>M</v>
      </c>
      <c r="AD237" s="49" t="str">
        <f>MID(VLOOKUP($A237,Seqs!$A:$B,2,FALSE),VLOOKUP($A237,'SegEnds_NonXtal_Prot#'!$A:$AL,22,FALSE)+8,1)</f>
        <v>A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A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240</v>
      </c>
      <c r="B238" s="2" t="str">
        <f>LOWER(VLOOKUP(A238,Xtal_Templ!A:B,2,FALSE))</f>
        <v>ccr7_human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T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R</v>
      </c>
      <c r="AB238" s="28" t="str">
        <f>MID(VLOOKUP($A238,Seqs!$A:$B,2,FALSE),VLOOKUP($A238,'SegEnds_NonXtal_Prot#'!$A:$AL,22,FALSE)+6,1)</f>
        <v>T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T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L</v>
      </c>
      <c r="AG238" s="28" t="str">
        <f>MID(VLOOKUP($A238,Seqs!$A:$B,2,FALSE),VLOOKUP($A238,'SegEnds_NonXtal_Prot#'!$A:$AL,28,FALSE)-4,1)</f>
        <v>F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249</v>
      </c>
      <c r="B239" s="2" t="str">
        <f>LOWER(VLOOKUP(A239,Xtal_Templ!A:B,2,FALSE))</f>
        <v>mtr1a_human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N239" s="2" t="s">
        <v>14</v>
      </c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C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F</v>
      </c>
      <c r="AA239" s="49" t="str">
        <f>MID(VLOOKUP($A239,Seqs!$A:$B,2,FALSE),VLOOKUP($A239,'SegEnds_NonXtal_Prot#'!A:AL,10,FALSE)+10,1)</f>
        <v>L</v>
      </c>
      <c r="AB239" s="28" t="str">
        <f>MID(VLOOKUP($A239,Seqs!$A:$B,2,FALSE),VLOOKUP($A239,'SegEnds_NonXtal_Prot#'!$A:$AL,22,FALSE)+6,1)</f>
        <v>L</v>
      </c>
      <c r="AC239" s="49" t="str">
        <f>MID(VLOOKUP($A239,Seqs!$A:$B,2,FALSE),VLOOKUP($A239,'SegEnds_NonXtal_Prot#'!$A:$AL,22,FALSE)+7,1)</f>
        <v>T</v>
      </c>
      <c r="AD239" s="49" t="str">
        <f>MID(VLOOKUP($A239,Seqs!$A:$B,2,FALSE),VLOOKUP($A239,'SegEnds_NonXtal_Prot#'!$A:$AL,22,FALSE)+8,1)</f>
        <v>C</v>
      </c>
      <c r="AE239" s="49" t="str">
        <f>MID(VLOOKUP($A239,Seqs!$A:$B,2,FALSE),VLOOKUP($A239,'SegEnds_NonXtal_Prot#'!$A:$AL,22,FALSE)+9,1)</f>
        <v>P</v>
      </c>
      <c r="AF239" s="49" t="str">
        <f>MID(VLOOKUP($A239,Seqs!$A:$B,2,FALSE),VLOOKUP($A239,'SegEnds_NonXtal_Prot#'!$A:$AL,22,FALSE)+10,1)</f>
        <v>G</v>
      </c>
      <c r="AG239" s="28" t="str">
        <f>MID(VLOOKUP($A239,Seqs!$A:$B,2,FALSE),VLOOKUP($A239,'SegEnds_NonXtal_Prot#'!$A:$AL,28,FALSE)-4,1)</f>
        <v>Q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256</v>
      </c>
      <c r="B240" s="2" t="str">
        <f>LOWER(VLOOKUP(A240,Xtal_Templ!A:B,2,FALSE))</f>
        <v>ptafr_human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S240" s="106"/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T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L</v>
      </c>
      <c r="AA240" s="49" t="str">
        <f>MID(VLOOKUP($A240,Seqs!$A:$B,2,FALSE),VLOOKUP($A240,'SegEnds_NonXtal_Prot#'!A:AL,10,FALSE)+10,1)</f>
        <v>W</v>
      </c>
      <c r="AB240" s="28" t="str">
        <f>MID(VLOOKUP($A240,Seqs!$A:$B,2,FALSE),VLOOKUP($A240,'SegEnds_NonXtal_Prot#'!$A:$AL,22,FALSE)+6,1)</f>
        <v>A</v>
      </c>
      <c r="AC240" s="49" t="str">
        <f>MID(VLOOKUP($A240,Seqs!$A:$B,2,FALSE),VLOOKUP($A240,'SegEnds_NonXtal_Prot#'!$A:$AL,22,FALSE)+7,1)</f>
        <v>N</v>
      </c>
      <c r="AD240" s="49" t="str">
        <f>MID(VLOOKUP($A240,Seqs!$A:$B,2,FALSE),VLOOKUP($A240,'SegEnds_NonXtal_Prot#'!$A:$AL,22,FALSE)+8,1)</f>
        <v>S</v>
      </c>
      <c r="AE240" s="49" t="str">
        <f>MID(VLOOKUP($A240,Seqs!$A:$B,2,FALSE),VLOOKUP($A240,'SegEnds_NonXtal_Prot#'!$A:$AL,22,FALSE)+9,1)</f>
        <v>A</v>
      </c>
      <c r="AF240" s="49" t="str">
        <f>MID(VLOOKUP($A240,Seqs!$A:$B,2,FALSE),VLOOKUP($A240,'SegEnds_NonXtal_Prot#'!$A:$AL,22,FALSE)+10,1)</f>
        <v>P</v>
      </c>
      <c r="AG240" s="28" t="str">
        <f>MID(VLOOKUP($A240,Seqs!$A:$B,2,FALSE),VLOOKUP($A240,'SegEnds_NonXtal_Prot#'!$A:$AL,28,FALSE)-4,1)</f>
        <v>G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274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R</v>
      </c>
      <c r="AB241" s="28" t="str">
        <f>MID(VLOOKUP($A241,Seqs!$A:$B,2,FALSE),VLOOKUP($A241,'SegEnds_NonXtal_Prot#'!$A:$AL,22,FALSE)+6,1)</f>
        <v>G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Y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275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L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276</v>
      </c>
      <c r="B243" s="2" t="str">
        <f>LOWER(VLOOKUP(A243,Xtal_Templ!A:B,2,FALSE))</f>
        <v>p2ry1_human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C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V</v>
      </c>
      <c r="AB243" s="28" t="str">
        <f>MID(VLOOKUP($A243,Seqs!$A:$B,2,FALSE),VLOOKUP($A243,'SegEnds_NonXtal_Prot#'!$A:$AL,22,FALSE)+6,1)</f>
        <v>L</v>
      </c>
      <c r="AC243" s="49" t="str">
        <f>MID(VLOOKUP($A243,Seqs!$A:$B,2,FALSE),VLOOKUP($A243,'SegEnds_NonXtal_Prot#'!$A:$AL,22,FALSE)+7,1)</f>
        <v>T</v>
      </c>
      <c r="AD243" s="49" t="str">
        <f>MID(VLOOKUP($A243,Seqs!$A:$B,2,FALSE),VLOOKUP($A243,'SegEnds_NonXtal_Prot#'!$A:$AL,22,FALSE)+8,1)</f>
        <v>V</v>
      </c>
      <c r="AE243" s="49" t="str">
        <f>MID(VLOOKUP($A243,Seqs!$A:$B,2,FALSE),VLOOKUP($A243,'SegEnds_NonXtal_Prot#'!$A:$AL,22,FALSE)+9,1)</f>
        <v>H</v>
      </c>
      <c r="AF243" s="49" t="str">
        <f>MID(VLOOKUP($A243,Seqs!$A:$B,2,FALSE),VLOOKUP($A243,'SegEnds_NonXtal_Prot#'!$A:$AL,22,FALSE)+10,1)</f>
        <v>L</v>
      </c>
      <c r="AG243" s="28" t="str">
        <f>MID(VLOOKUP($A243,Seqs!$A:$B,2,FALSE),VLOOKUP($A243,'SegEnds_NonXtal_Prot#'!$A:$AL,28,FALSE)-4,1)</f>
        <v>E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287</v>
      </c>
      <c r="B244" s="2" t="str">
        <f>LOWER(VLOOKUP(A244,Xtal_Templ!A:B,2,FALSE))</f>
        <v>oprk_human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T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F</v>
      </c>
      <c r="AA244" s="49" t="str">
        <f>MID(VLOOKUP($A244,Seqs!$A:$B,2,FALSE),VLOOKUP($A244,'SegEnds_NonXtal_Prot#'!A:AL,10,FALSE)+10,1)</f>
        <v>K</v>
      </c>
      <c r="AB244" s="28" t="str">
        <f>MID(VLOOKUP($A244,Seqs!$A:$B,2,FALSE),VLOOKUP($A244,'SegEnds_NonXtal_Prot#'!$A:$AL,22,FALSE)+6,1)</f>
        <v>G</v>
      </c>
      <c r="AC244" s="49" t="str">
        <f>MID(VLOOKUP($A244,Seqs!$A:$B,2,FALSE),VLOOKUP($A244,'SegEnds_NonXtal_Prot#'!$A:$AL,22,FALSE)+7,1)</f>
        <v>G</v>
      </c>
      <c r="AD244" s="49" t="str">
        <f>MID(VLOOKUP($A244,Seqs!$A:$B,2,FALSE),VLOOKUP($A244,'SegEnds_NonXtal_Prot#'!$A:$AL,22,FALSE)+8,1)</f>
        <v>I</v>
      </c>
      <c r="AE244" s="49" t="str">
        <f>MID(VLOOKUP($A244,Seqs!$A:$B,2,FALSE),VLOOKUP($A244,'SegEnds_NonXtal_Prot#'!$A:$AL,22,FALSE)+9,1)</f>
        <v>S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288</v>
      </c>
      <c r="B245" s="2" t="str">
        <f>LOWER(VLOOKUP(A245,Xtal_Templ!A:B,2,FALSE))</f>
        <v>cltr2_human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S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V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F</v>
      </c>
      <c r="AC245" s="49" t="str">
        <f>MID(VLOOKUP($A245,Seqs!$A:$B,2,FALSE),VLOOKUP($A245,'SegEnds_NonXtal_Prot#'!$A:$AL,22,FALSE)+7,1)</f>
        <v>A</v>
      </c>
      <c r="AD245" s="49" t="str">
        <f>MID(VLOOKUP($A245,Seqs!$A:$B,2,FALSE),VLOOKUP($A245,'SegEnds_NonXtal_Prot#'!$A:$AL,22,FALSE)+8,1)</f>
        <v>V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289</v>
      </c>
      <c r="B246" s="2" t="str">
        <f>LOWER(VLOOKUP(A246,Xtal_Templ!A:B,2,FALSE))</f>
        <v>cltr1_human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N246" s="2" t="s">
        <v>14</v>
      </c>
      <c r="R246" s="2" t="s">
        <v>9</v>
      </c>
      <c r="S246" s="106"/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T</v>
      </c>
      <c r="X246" s="49" t="str">
        <f>MID(VLOOKUP($A246,Seqs!$A:$B,2,FALSE),VLOOKUP($A246,'SegEnds_NonXtal_Prot#'!A:AL,10,FALSE)+7,1)</f>
        <v>L</v>
      </c>
      <c r="Y246" s="49" t="str">
        <f>MID(VLOOKUP($A246,Seqs!$A:$B,2,FALSE),VLOOKUP($A246,'SegEnds_NonXtal_Prot#'!A:AL,10,FALSE)+8,1)</f>
        <v>P</v>
      </c>
      <c r="Z246" s="49" t="str">
        <f>MID(VLOOKUP($A246,Seqs!$A:$B,2,FALSE),VLOOKUP($A246,'SegEnds_NonXtal_Prot#'!A:AL,10,FALSE)+9,1)</f>
        <v>F</v>
      </c>
      <c r="AA246" s="49" t="str">
        <f>MID(VLOOKUP($A246,Seqs!$A:$B,2,FALSE),VLOOKUP($A246,'SegEnds_NonXtal_Prot#'!A:AL,10,FALSE)+10,1)</f>
        <v>R</v>
      </c>
      <c r="AB246" s="28" t="str">
        <f>MID(VLOOKUP($A246,Seqs!$A:$B,2,FALSE),VLOOKUP($A246,'SegEnds_NonXtal_Prot#'!$A:$AL,22,FALSE)+6,1)</f>
        <v>G</v>
      </c>
      <c r="AC246" s="49" t="str">
        <f>MID(VLOOKUP($A246,Seqs!$A:$B,2,FALSE),VLOOKUP($A246,'SegEnds_NonXtal_Prot#'!$A:$AL,22,FALSE)+7,1)</f>
        <v>S</v>
      </c>
      <c r="AD246" s="49" t="str">
        <f>MID(VLOOKUP($A246,Seqs!$A:$B,2,FALSE),VLOOKUP($A246,'SegEnds_NonXtal_Prot#'!$A:$AL,22,FALSE)+8,1)</f>
        <v>A</v>
      </c>
      <c r="AE246" s="49" t="str">
        <f>MID(VLOOKUP($A246,Seqs!$A:$B,2,FALSE),VLOOKUP($A246,'SegEnds_NonXtal_Prot#'!$A:$AL,22,FALSE)+9,1)</f>
        <v>P</v>
      </c>
      <c r="AF246" s="49" t="str">
        <f>MID(VLOOKUP($A246,Seqs!$A:$B,2,FALSE),VLOOKUP($A246,'SegEnds_NonXtal_Prot#'!$A:$AL,22,FALSE)+10,1)</f>
        <v>A</v>
      </c>
      <c r="AG246" s="28" t="str">
        <f>MID(VLOOKUP($A246,Seqs!$A:$B,2,FALSE),VLOOKUP($A246,'SegEnds_NonXtal_Prot#'!$A:$AL,28,FALSE)-4,1)</f>
        <v>G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R247" s="2" t="s">
        <v>9</v>
      </c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I</v>
      </c>
      <c r="Y247" s="49" t="str">
        <f>MID(VLOOKUP($A247,Seqs!$A:$B,2,FALSE),VLOOKUP($A247,'SegEnds_NonXtal_Prot#'!A:AL,10,FALSE)+8,1)</f>
        <v>F</v>
      </c>
      <c r="Z247" s="49" t="str">
        <f>MID(VLOOKUP($A247,Seqs!$A:$B,2,FALSE),VLOOKUP($A247,'SegEnds_NonXtal_Prot#'!A:AL,10,FALSE)+9,1)</f>
        <v>I</v>
      </c>
      <c r="AA247" s="49" t="str">
        <f>MID(VLOOKUP($A247,Seqs!$A:$B,2,FALSE),VLOOKUP($A247,'SegEnds_NonXtal_Prot#'!A:AL,10,FALSE)+10,1)</f>
        <v>L</v>
      </c>
      <c r="AB247" s="28" t="str">
        <f>MID(VLOOKUP($A247,Seqs!$A:$B,2,FALSE),VLOOKUP($A247,'SegEnds_NonXtal_Prot#'!$A:$AL,22,FALSE)+6,1)</f>
        <v>V</v>
      </c>
      <c r="AC247" s="49" t="str">
        <f>MID(VLOOKUP($A247,Seqs!$A:$B,2,FALSE),VLOOKUP($A247,'SegEnds_NonXtal_Prot#'!$A:$AL,22,FALSE)+7,1)</f>
        <v>T</v>
      </c>
      <c r="AD247" s="49" t="str">
        <f>MID(VLOOKUP($A247,Seqs!$A:$B,2,FALSE),VLOOKUP($A247,'SegEnds_NonXtal_Prot#'!$A:$AL,22,FALSE)+8,1)</f>
        <v>T</v>
      </c>
      <c r="AE247" s="49" t="str">
        <f>MID(VLOOKUP($A247,Seqs!$A:$B,2,FALSE),VLOOKUP($A247,'SegEnds_NonXtal_Prot#'!$A:$AL,22,FALSE)+9,1)</f>
        <v>M</v>
      </c>
      <c r="AF247" s="49" t="str">
        <f>MID(VLOOKUP($A247,Seqs!$A:$B,2,FALSE),VLOOKUP($A247,'SegEnds_NonXtal_Prot#'!$A:$AL,22,FALSE)+10,1)</f>
        <v>E</v>
      </c>
      <c r="AG247" s="28" t="str">
        <f>MID(VLOOKUP($A247,Seqs!$A:$B,2,FALSE),VLOOKUP($A247,'SegEnds_NonXtal_Prot#'!$A:$AL,28,FALSE)-4,1)</f>
        <v>L</v>
      </c>
      <c r="AH247" s="49" t="str">
        <f>MID(VLOOKUP($A247,Seqs!$A:$B,2,FALSE),VLOOKUP($A247,'SegEnds_NonXtal_Prot#'!$A:$AL,28,FALSE),1)</f>
        <v>P</v>
      </c>
    </row>
    <row r="248" spans="1:34" s="2" customFormat="1" x14ac:dyDescent="0.2">
      <c r="A248" s="2" t="s">
        <v>294</v>
      </c>
      <c r="B248" s="2" t="str">
        <f>LOWER(VLOOKUP(A248,Xtal_Templ!A:B,2,FALSE))</f>
        <v>ccr9_human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C</v>
      </c>
      <c r="X248" s="49" t="str">
        <f>MID(VLOOKUP($A248,Seqs!$A:$B,2,FALSE),VLOOKUP($A248,'SegEnds_NonXtal_Prot#'!A:AL,10,FALSE)+7,1)</f>
        <v>S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V</v>
      </c>
      <c r="AA248" s="49" t="str">
        <f>MID(VLOOKUP($A248,Seqs!$A:$B,2,FALSE),VLOOKUP($A248,'SegEnds_NonXtal_Prot#'!A:AL,10,FALSE)+10,1)</f>
        <v>G</v>
      </c>
      <c r="AB248" s="28" t="str">
        <f>MID(VLOOKUP($A248,Seqs!$A:$B,2,FALSE),VLOOKUP($A248,'SegEnds_NonXtal_Prot#'!$A:$AL,22,FALSE)+6,1)</f>
        <v>I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I</v>
      </c>
      <c r="AE248" s="49" t="str">
        <f>MID(VLOOKUP($A248,Seqs!$A:$B,2,FALSE),VLOOKUP($A248,'SegEnds_NonXtal_Prot#'!$A:$AL,22,FALSE)+9,1)</f>
        <v>V</v>
      </c>
      <c r="AF248" s="49" t="str">
        <f>MID(VLOOKUP($A248,Seqs!$A:$B,2,FALSE),VLOOKUP($A248,'SegEnds_NonXtal_Prot#'!$A:$AL,22,FALSE)+10,1)</f>
        <v>K</v>
      </c>
      <c r="AG248" s="28" t="str">
        <f>MID(VLOOKUP($A248,Seqs!$A:$B,2,FALSE),VLOOKUP($A248,'SegEnds_NonXtal_Prot#'!$A:$AL,28,FALSE)-4,1)</f>
        <v>A</v>
      </c>
      <c r="AH248" s="49" t="str">
        <f>MID(VLOOKUP($A248,Seqs!$A:$B,2,FALSE),VLOOKUP($A248,'SegEnds_NonXtal_Prot#'!$A:$AL,28,FALSE),1)</f>
        <v>L</v>
      </c>
    </row>
    <row r="249" spans="1:34" s="2" customFormat="1" x14ac:dyDescent="0.2">
      <c r="A249" s="2" t="s">
        <v>300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M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S</v>
      </c>
      <c r="AA249" s="49" t="str">
        <f>MID(VLOOKUP($A249,Seqs!$A:$B,2,FALSE),VLOOKUP($A249,'SegEnds_NonXtal_Prot#'!A:AL,10,FALSE)+10,1)</f>
        <v>T</v>
      </c>
      <c r="AB249" s="28" t="str">
        <f>MID(VLOOKUP($A249,Seqs!$A:$B,2,FALSE),VLOOKUP($A249,'SegEnds_NonXtal_Prot#'!$A:$AL,22,FALSE)+6,1)</f>
        <v>M</v>
      </c>
      <c r="AC249" s="49" t="str">
        <f>MID(VLOOKUP($A249,Seqs!$A:$B,2,FALSE),VLOOKUP($A249,'SegEnds_NonXtal_Prot#'!$A:$AL,22,FALSE)+7,1)</f>
        <v>N</v>
      </c>
      <c r="AD249" s="49" t="str">
        <f>MID(VLOOKUP($A249,Seqs!$A:$B,2,FALSE),VLOOKUP($A249,'SegEnds_NonXtal_Prot#'!$A:$AL,22,FALSE)+8,1)</f>
        <v>G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T</v>
      </c>
      <c r="AG249" s="28" t="str">
        <f>MID(VLOOKUP($A249,Seqs!$A:$B,2,FALSE),VLOOKUP($A249,'SegEnds_NonXtal_Prot#'!$A:$AL,28,FALSE)-4,1)</f>
        <v>G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302</v>
      </c>
      <c r="B250" s="2" t="str">
        <f>LOWER(VLOOKUP(A250,Xtal_Templ!A:B,2,FALSE))</f>
        <v>ccr6_human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R250" s="2" t="s">
        <v>9</v>
      </c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S</v>
      </c>
      <c r="X250" s="49" t="str">
        <f>MID(VLOOKUP($A250,Seqs!$A:$B,2,FALSE),VLOOKUP($A250,'SegEnds_NonXtal_Prot#'!A:AL,10,FALSE)+7,1)</f>
        <v>K</v>
      </c>
      <c r="Y250" s="49" t="str">
        <f>MID(VLOOKUP($A250,Seqs!$A:$B,2,FALSE),VLOOKUP($A250,'SegEnds_NonXtal_Prot#'!A:AL,10,FALSE)+8,1)</f>
        <v>A</v>
      </c>
      <c r="Z250" s="49" t="str">
        <f>MID(VLOOKUP($A250,Seqs!$A:$B,2,FALSE),VLOOKUP($A250,'SegEnds_NonXtal_Prot#'!A:AL,10,FALSE)+9,1)</f>
        <v>V</v>
      </c>
      <c r="AA250" s="49" t="str">
        <f>MID(VLOOKUP($A250,Seqs!$A:$B,2,FALSE),VLOOKUP($A250,'SegEnds_NonXtal_Prot#'!A:AL,10,FALSE)+10,1)</f>
        <v>F</v>
      </c>
      <c r="AB250" s="28" t="str">
        <f>MID(VLOOKUP($A250,Seqs!$A:$B,2,FALSE),VLOOKUP($A250,'SegEnds_NonXtal_Prot#'!$A:$AL,22,FALSE)+6,1)</f>
        <v>V</v>
      </c>
      <c r="AC250" s="49" t="str">
        <f>MID(VLOOKUP($A250,Seqs!$A:$B,2,FALSE),VLOOKUP($A250,'SegEnds_NonXtal_Prot#'!$A:$AL,22,FALSE)+7,1)</f>
        <v>T</v>
      </c>
      <c r="AD250" s="49" t="str">
        <f>MID(VLOOKUP($A250,Seqs!$A:$B,2,FALSE),VLOOKUP($A250,'SegEnds_NonXtal_Prot#'!$A:$AL,22,FALSE)+8,1)</f>
        <v>C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H</v>
      </c>
      <c r="AG250" s="28" t="str">
        <f>MID(VLOOKUP($A250,Seqs!$A:$B,2,FALSE),VLOOKUP($A250,'SegEnds_NonXtal_Prot#'!$A:$AL,28,FALSE)-4,1)</f>
        <v>L</v>
      </c>
      <c r="AH250" s="49" t="str">
        <f>MID(VLOOKUP($A250,Seqs!$A:$B,2,FALSE),VLOOKUP($A250,'SegEnds_NonXtal_Prot#'!$A:$AL,28,FALSE),1)</f>
        <v>P</v>
      </c>
    </row>
    <row r="251" spans="1:34" s="2" customFormat="1" x14ac:dyDescent="0.2">
      <c r="A251" s="2" t="s">
        <v>304</v>
      </c>
      <c r="B251" s="2" t="str">
        <f>LOWER(VLOOKUP(A251,Xtal_Templ!A:B,2,FALSE))</f>
        <v>agtr1_human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G</v>
      </c>
      <c r="X251" s="49" t="str">
        <f>MID(VLOOKUP($A251,Seqs!$A:$B,2,FALSE),VLOOKUP($A251,'SegEnds_NonXtal_Prot#'!A:AL,10,FALSE)+7,1)</f>
        <v>R</v>
      </c>
      <c r="Y251" s="49" t="str">
        <f>MID(VLOOKUP($A251,Seqs!$A:$B,2,FALSE),VLOOKUP($A251,'SegEnds_NonXtal_Prot#'!A:AL,10,FALSE)+8,1)</f>
        <v>L</v>
      </c>
      <c r="Z251" s="49" t="str">
        <f>MID(VLOOKUP($A251,Seqs!$A:$B,2,FALSE),VLOOKUP($A251,'SegEnds_NonXtal_Prot#'!A:AL,10,FALSE)+9,1)</f>
        <v>I</v>
      </c>
      <c r="AA251" s="49" t="str">
        <f>MID(VLOOKUP($A251,Seqs!$A:$B,2,FALSE),VLOOKUP($A251,'SegEnds_NonXtal_Prot#'!A:AL,10,FALSE)+10,1)</f>
        <v>Y</v>
      </c>
      <c r="AB251" s="28" t="str">
        <f>MID(VLOOKUP($A251,Seqs!$A:$B,2,FALSE),VLOOKUP($A251,'SegEnds_NonXtal_Prot#'!$A:$AL,22,FALSE)+6,1)</f>
        <v>R</v>
      </c>
      <c r="AC251" s="49" t="str">
        <f>MID(VLOOKUP($A251,Seqs!$A:$B,2,FALSE),VLOOKUP($A251,'SegEnds_NonXtal_Prot#'!$A:$AL,22,FALSE)+7,1)</f>
        <v>S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L</v>
      </c>
      <c r="AF251" s="49" t="str">
        <f>MID(VLOOKUP($A251,Seqs!$A:$B,2,FALSE),VLOOKUP($A251,'SegEnds_NonXtal_Prot#'!$A:$AL,22,FALSE)+10,1)</f>
        <v>E</v>
      </c>
      <c r="AG251" s="28" t="str">
        <f>MID(VLOOKUP($A251,Seqs!$A:$B,2,FALSE),VLOOKUP($A251,'SegEnds_NonXtal_Prot#'!$A:$AL,28,FALSE)-4,1)</f>
        <v>I</v>
      </c>
      <c r="AH251" s="49" t="str">
        <f>MID(VLOOKUP($A251,Seqs!$A:$B,2,FALSE),VLOOKUP($A251,'SegEnds_NonXtal_Prot#'!$A:$AL,28,FALSE),1)</f>
        <v>V</v>
      </c>
    </row>
    <row r="252" spans="1:34" s="2" customFormat="1" x14ac:dyDescent="0.2">
      <c r="A252" s="2" t="s">
        <v>342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H252" s="4"/>
      <c r="N252" s="2" t="s">
        <v>14</v>
      </c>
      <c r="R252" s="2" t="s">
        <v>9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S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F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V</v>
      </c>
      <c r="AD252" s="49" t="str">
        <f>MID(VLOOKUP($A252,Seqs!$A:$B,2,FALSE),VLOOKUP($A252,'SegEnds_NonXtal_Prot#'!$A:$AL,22,FALSE)+8,1)</f>
        <v>I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M</v>
      </c>
      <c r="AG252" s="28" t="str">
        <f>MID(VLOOKUP($A252,Seqs!$A:$B,2,FALSE),VLOOKUP($A252,'SegEnds_NonXtal_Prot#'!$A:$AL,28,FALSE)-4,1)</f>
        <v>T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344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Xtal</v>
      </c>
      <c r="H253" s="4"/>
      <c r="R253" s="2" t="s">
        <v>9</v>
      </c>
      <c r="S253" s="2" t="s">
        <v>1316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T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A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A</v>
      </c>
      <c r="AC253" s="49" t="str">
        <f>MID(VLOOKUP($A253,Seqs!$A:$B,2,FALSE),VLOOKUP($A253,'SegEnds_NonXtal_Prot#'!$A:$AL,22,FALSE)+7,1)</f>
        <v>I</v>
      </c>
      <c r="AD253" s="49" t="str">
        <f>MID(VLOOKUP($A253,Seqs!$A:$B,2,FALSE),VLOOKUP($A253,'SegEnds_NonXtal_Prot#'!$A:$AL,22,FALSE)+8,1)</f>
        <v>S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I</v>
      </c>
      <c r="AG253" s="28" t="str">
        <f>MID(VLOOKUP($A253,Seqs!$A:$B,2,FALSE),VLOOKUP($A253,'SegEnds_NonXtal_Prot#'!$A:$AL,28,FALSE)-4,1)</f>
        <v>M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345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1316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L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Q</v>
      </c>
      <c r="AD254" s="49" t="str">
        <f>MID(VLOOKUP($A254,Seqs!$A:$B,2,FALSE),VLOOKUP($A254,'SegEnds_NonXtal_Prot#'!$A:$AL,22,FALSE)+8,1)</f>
        <v>A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V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346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1316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T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C</v>
      </c>
      <c r="AC255" s="49" t="str">
        <f>MID(VLOOKUP($A255,Seqs!$A:$B,2,FALSE),VLOOKUP($A255,'SegEnds_NonXtal_Prot#'!$A:$AL,22,FALSE)+7,1)</f>
        <v>L</v>
      </c>
      <c r="AD255" s="49" t="str">
        <f>MID(VLOOKUP($A255,Seqs!$A:$B,2,FALSE),VLOOKUP($A255,'SegEnds_NonXtal_Prot#'!$A:$AL,22,FALSE)+8,1)</f>
        <v>V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N</v>
      </c>
      <c r="AG255" s="28" t="str">
        <f>MID(VLOOKUP($A255,Seqs!$A:$B,2,FALSE),VLOOKUP($A255,'SegEnds_NonXtal_Prot#'!$A:$AL,28,FALSE)-4,1)</f>
        <v>L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347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1316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L</v>
      </c>
      <c r="AB256" s="28" t="str">
        <f>MID(VLOOKUP($A256,Seqs!$A:$B,2,FALSE),VLOOKUP($A256,'SegEnds_NonXtal_Prot#'!$A:$AL,22,FALSE)+6,1)</f>
        <v>Q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T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349</v>
      </c>
      <c r="B257" s="2" t="str">
        <f>LOWER(VLOOKUP(A257,Xtal_Templ!A:B,2,FALSE))</f>
        <v>ptafr_human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1316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S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L</v>
      </c>
      <c r="AA257" s="49" t="str">
        <f>MID(VLOOKUP($A257,Seqs!$A:$B,2,FALSE),VLOOKUP($A257,'SegEnds_NonXtal_Prot#'!A:AL,10,FALSE)+10,1)</f>
        <v>R</v>
      </c>
      <c r="AB257" s="28" t="str">
        <f>MID(VLOOKUP($A257,Seqs!$A:$B,2,FALSE),VLOOKUP($A257,'SegEnds_NonXtal_Prot#'!$A:$AL,22,FALSE)+6,1)</f>
        <v>A</v>
      </c>
      <c r="AC257" s="49" t="str">
        <f>MID(VLOOKUP($A257,Seqs!$A:$B,2,FALSE),VLOOKUP($A257,'SegEnds_NonXtal_Prot#'!$A:$AL,22,FALSE)+7,1)</f>
        <v>C</v>
      </c>
      <c r="AD257" s="49" t="str">
        <f>MID(VLOOKUP($A257,Seqs!$A:$B,2,FALSE),VLOOKUP($A257,'SegEnds_NonXtal_Prot#'!$A:$AL,22,FALSE)+8,1)</f>
        <v>L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F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350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2" t="s">
        <v>1316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P</v>
      </c>
      <c r="AA258" s="49" t="str">
        <f>MID(VLOOKUP($A258,Seqs!$A:$B,2,FALSE),VLOOKUP($A258,'SegEnds_NonXtal_Prot#'!A:AL,10,FALSE)+10,1)</f>
        <v>L</v>
      </c>
      <c r="AB258" s="28" t="str">
        <f>MID(VLOOKUP($A258,Seqs!$A:$B,2,FALSE),VLOOKUP($A258,'SegEnds_NonXtal_Prot#'!$A:$AL,22,FALSE)+6,1)</f>
        <v>L</v>
      </c>
      <c r="AC258" s="49" t="str">
        <f>MID(VLOOKUP($A258,Seqs!$A:$B,2,FALSE),VLOOKUP($A258,'SegEnds_NonXtal_Prot#'!$A:$AL,22,FALSE)+7,1)</f>
        <v>A</v>
      </c>
      <c r="AD258" s="49" t="str">
        <f>MID(VLOOKUP($A258,Seqs!$A:$B,2,FALSE),VLOOKUP($A258,'SegEnds_NonXtal_Prot#'!$A:$AL,22,FALSE)+8,1)</f>
        <v>M</v>
      </c>
      <c r="AE258" s="49" t="str">
        <f>MID(VLOOKUP($A258,Seqs!$A:$B,2,FALSE),VLOOKUP($A258,'SegEnds_NonXtal_Prot#'!$A:$AL,22,FALSE)+9,1)</f>
        <v>P</v>
      </c>
      <c r="AF258" s="49" t="str">
        <f>MID(VLOOKUP($A258,Seqs!$A:$B,2,FALSE),VLOOKUP($A258,'SegEnds_NonXtal_Prot#'!$A:$AL,22,FALSE)+10,1)</f>
        <v>T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369</v>
      </c>
      <c r="B259" s="2" t="str">
        <f>LOWER(VLOOKUP(A259,Xtal_Templ!A:B,2,FALSE))</f>
        <v>ptafr_human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R259" s="2" t="s">
        <v>9</v>
      </c>
      <c r="S259" s="106"/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L</v>
      </c>
      <c r="AA259" s="49" t="str">
        <f>MID(VLOOKUP($A259,Seqs!$A:$B,2,FALSE),VLOOKUP($A259,'SegEnds_NonXtal_Prot#'!A:AL,10,FALSE)+10,1)</f>
        <v>W</v>
      </c>
      <c r="AB259" s="28" t="str">
        <f>MID(VLOOKUP($A259,Seqs!$A:$B,2,FALSE),VLOOKUP($A259,'SegEnds_NonXtal_Prot#'!$A:$AL,22,FALSE)+6,1)</f>
        <v>F</v>
      </c>
      <c r="AC259" s="49" t="str">
        <f>MID(VLOOKUP($A259,Seqs!$A:$B,2,FALSE),VLOOKUP($A259,'SegEnds_NonXtal_Prot#'!$A:$AL,22,FALSE)+7,1)</f>
        <v>N</v>
      </c>
      <c r="AD259" s="49" t="str">
        <f>MID(VLOOKUP($A259,Seqs!$A:$B,2,FALSE),VLOOKUP($A259,'SegEnds_NonXtal_Prot#'!$A:$AL,22,FALSE)+8,1)</f>
        <v>A</v>
      </c>
      <c r="AE259" s="49" t="str">
        <f>MID(VLOOKUP($A259,Seqs!$A:$B,2,FALSE),VLOOKUP($A259,'SegEnds_NonXtal_Prot#'!$A:$AL,22,FALSE)+9,1)</f>
        <v>V</v>
      </c>
      <c r="AF259" s="49" t="str">
        <f>MID(VLOOKUP($A259,Seqs!$A:$B,2,FALSE),VLOOKUP($A259,'SegEnds_NonXtal_Prot#'!$A:$AL,22,FALSE)+10,1)</f>
        <v>M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385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L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I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1591</v>
      </c>
      <c r="B261" s="2" t="str">
        <f>LOWER(VLOOKUP(A261,Xtal_Templ!A:B,2,FALSE))</f>
        <v>sucr1_rat</v>
      </c>
      <c r="C261" s="2" t="str">
        <f>VLOOKUP(A261,Classification!A:D,2,FALSE)</f>
        <v>A</v>
      </c>
      <c r="D261" s="2" t="str">
        <f>IF(ISERROR(MATCH(A261,'SegEnds_Xtal_Prot#'!B:B, 0)), "NoXtal", "Xtal")</f>
        <v>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T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M</v>
      </c>
      <c r="AA261" s="49" t="str">
        <f>MID(VLOOKUP($A261,Seqs!$A:$B,2,FALSE),VLOOKUP($A261,'SegEnds_NonXtal_Prot#'!A:AL,10,FALSE)+10,1)</f>
        <v>L</v>
      </c>
      <c r="AB261" s="28" t="str">
        <f>MID(VLOOKUP($A261,Seqs!$A:$B,2,FALSE),VLOOKUP($A261,'SegEnds_NonXtal_Prot#'!$A:$AL,22,FALSE)+6,1)</f>
        <v>E</v>
      </c>
      <c r="AC261" s="49" t="str">
        <f>MID(VLOOKUP($A261,Seqs!$A:$B,2,FALSE),VLOOKUP($A261,'SegEnds_NonXtal_Prot#'!$A:$AL,22,FALSE)+7,1)</f>
        <v>V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M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228</v>
      </c>
      <c r="B262" s="2" t="str">
        <f>LOWER(VLOOKUP(A262,Xtal_Templ!A:B,2,FALSE))</f>
        <v>p2y12_human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V</v>
      </c>
      <c r="AA262" s="49" t="str">
        <f>MID(VLOOKUP($A262,Seqs!$A:$B,2,FALSE),VLOOKUP($A262,'SegEnds_NonXtal_Prot#'!A:AL,10,FALSE)+10,1)</f>
        <v>K</v>
      </c>
      <c r="AB262" s="28" t="str">
        <f>MID(VLOOKUP($A262,Seqs!$A:$B,2,FALSE),VLOOKUP($A262,'SegEnds_NonXtal_Prot#'!$A:$AL,22,FALSE)+6,1)</f>
        <v>I</v>
      </c>
      <c r="AC262" s="49" t="str">
        <f>MID(VLOOKUP($A262,Seqs!$A:$B,2,FALSE),VLOOKUP($A262,'SegEnds_NonXtal_Prot#'!$A:$AL,22,FALSE)+7,1)</f>
        <v>M</v>
      </c>
      <c r="AD262" s="49" t="str">
        <f>MID(VLOOKUP($A262,Seqs!$A:$B,2,FALSE),VLOOKUP($A262,'SegEnds_NonXtal_Prot#'!$A:$AL,22,FALSE)+8,1)</f>
        <v>V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N</v>
      </c>
      <c r="AG262" s="28" t="str">
        <f>MID(VLOOKUP($A262,Seqs!$A:$B,2,FALSE),VLOOKUP($A262,'SegEnds_NonXtal_Prot#'!$A:$AL,28,FALSE)-4,1)</f>
        <v>I</v>
      </c>
      <c r="AH262" s="49" t="str">
        <f>MID(VLOOKUP($A262,Seqs!$A:$B,2,FALSE),VLOOKUP($A262,'SegEnds_NonXtal_Prot#'!$A:$AL,28,FALSE),1)</f>
        <v>F</v>
      </c>
    </row>
    <row r="263" spans="1:34" s="2" customFormat="1" x14ac:dyDescent="0.2">
      <c r="A263" s="2" t="s">
        <v>233</v>
      </c>
      <c r="B263" s="2" t="str">
        <f>LOWER(VLOOKUP(A263,Xtal_Templ!A:B,2,FALSE))</f>
        <v>oprk_human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R263" s="2" t="s">
        <v>9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A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T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Q</v>
      </c>
      <c r="AC263" s="49" t="str">
        <f>MID(VLOOKUP($A263,Seqs!$A:$B,2,FALSE),VLOOKUP($A263,'SegEnds_NonXtal_Prot#'!$A:$AL,22,FALSE)+7,1)</f>
        <v>T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L</v>
      </c>
      <c r="AG263" s="28" t="str">
        <f>MID(VLOOKUP($A263,Seqs!$A:$B,2,FALSE),VLOOKUP($A263,'SegEnds_NonXtal_Prot#'!$A:$AL,28,FALSE)-4,1)</f>
        <v>G</v>
      </c>
      <c r="AH263" s="49" t="str">
        <f>MID(VLOOKUP($A263,Seqs!$A:$B,2,FALSE),VLOOKUP($A263,'SegEnds_NonXtal_Prot#'!$A:$AL,28,FALSE),1)</f>
        <v>P</v>
      </c>
    </row>
    <row r="264" spans="1:34" s="2" customFormat="1" x14ac:dyDescent="0.2">
      <c r="A264" s="2" t="s">
        <v>252</v>
      </c>
      <c r="B264" s="2" t="str">
        <f>LOWER(VLOOKUP(A264,Xtal_Templ!A:B,2,FALSE))</f>
        <v>ptafr_human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S264" s="106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C</v>
      </c>
      <c r="X264" s="49" t="str">
        <f>MID(VLOOKUP($A264,Seqs!$A:$B,2,FALSE),VLOOKUP($A264,'SegEnds_NonXtal_Prot#'!A:AL,10,FALSE)+7,1)</f>
        <v>L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G</v>
      </c>
      <c r="AC264" s="49" t="str">
        <f>MID(VLOOKUP($A264,Seqs!$A:$B,2,FALSE),VLOOKUP($A264,'SegEnds_NonXtal_Prot#'!$A:$AL,22,FALSE)+7,1)</f>
        <v>F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T</v>
      </c>
      <c r="AF264" s="49" t="str">
        <f>MID(VLOOKUP($A264,Seqs!$A:$B,2,FALSE),VLOOKUP($A264,'SegEnds_NonXtal_Prot#'!$A:$AL,22,FALSE)+10,1)</f>
        <v>M</v>
      </c>
      <c r="AG264" s="28" t="str">
        <f>MID(VLOOKUP($A264,Seqs!$A:$B,2,FALSE),VLOOKUP($A264,'SegEnds_NonXtal_Prot#'!$A:$AL,28,FALSE)-4,1)</f>
        <v>M</v>
      </c>
      <c r="AH264" s="49" t="str">
        <f>MID(VLOOKUP($A264,Seqs!$A:$B,2,FALSE),VLOOKUP($A264,'SegEnds_NonXtal_Prot#'!$A:$AL,28,FALSE),1)</f>
        <v>I</v>
      </c>
    </row>
    <row r="265" spans="1:34" s="2" customFormat="1" x14ac:dyDescent="0.2">
      <c r="A265" s="2" t="s">
        <v>271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N265" s="2" t="s">
        <v>14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R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L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306</v>
      </c>
      <c r="B266" s="2" t="str">
        <f>LOWER(VLOOKUP(A266,Xtal_Templ!A:B,2,FALSE))</f>
        <v>pd2r2_human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G</v>
      </c>
      <c r="X266" s="49" t="str">
        <f>MID(VLOOKUP($A266,Seqs!$A:$B,2,FALSE),VLOOKUP($A266,'SegEnds_NonXtal_Prot#'!A:AL,10,FALSE)+7,1)</f>
        <v>H</v>
      </c>
      <c r="Y266" s="49" t="str">
        <f>MID(VLOOKUP($A266,Seqs!$A:$B,2,FALSE),VLOOKUP($A266,'SegEnds_NonXtal_Prot#'!A:AL,10,FALSE)+8,1)</f>
        <v>I</v>
      </c>
      <c r="Z266" s="49" t="str">
        <f>MID(VLOOKUP($A266,Seqs!$A:$B,2,FALSE),VLOOKUP($A266,'SegEnds_NonXtal_Prot#'!A:AL,10,FALSE)+9,1)</f>
        <v>I</v>
      </c>
      <c r="AA266" s="49" t="str">
        <f>MID(VLOOKUP($A266,Seqs!$A:$B,2,FALSE),VLOOKUP($A266,'SegEnds_NonXtal_Prot#'!A:AL,10,FALSE)+10,1)</f>
        <v>C</v>
      </c>
      <c r="AB266" s="28" t="str">
        <f>MID(VLOOKUP($A266,Seqs!$A:$B,2,FALSE),VLOOKUP($A266,'SegEnds_NonXtal_Prot#'!$A:$AL,22,FALSE)+6,1)</f>
        <v>R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I</v>
      </c>
      <c r="AE266" s="49" t="str">
        <f>MID(VLOOKUP($A266,Seqs!$A:$B,2,FALSE),VLOOKUP($A266,'SegEnds_NonXtal_Prot#'!$A:$AL,22,FALSE)+9,1)</f>
        <v>L</v>
      </c>
      <c r="AF266" s="49" t="str">
        <f>MID(VLOOKUP($A266,Seqs!$A:$B,2,FALSE),VLOOKUP($A266,'SegEnds_NonXtal_Prot#'!$A:$AL,22,FALSE)+10,1)</f>
        <v>E</v>
      </c>
      <c r="AG266" s="28" t="str">
        <f>MID(VLOOKUP($A266,Seqs!$A:$B,2,FALSE),VLOOKUP($A266,'SegEnds_NonXtal_Prot#'!$A:$AL,28,FALSE)-4,1)</f>
        <v>V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351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Xtal</v>
      </c>
      <c r="H267" s="4"/>
      <c r="S267" s="2" t="s">
        <v>1316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N</v>
      </c>
    </row>
    <row r="268" spans="1:34" s="2" customFormat="1" x14ac:dyDescent="0.2">
      <c r="A268" s="2" t="s">
        <v>352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1316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M</v>
      </c>
      <c r="X268" s="49" t="str">
        <f>MID(VLOOKUP($A268,Seqs!$A:$B,2,FALSE),VLOOKUP($A268,'SegEnds_NonXtal_Prot#'!A:AL,10,FALSE)+7,1)</f>
        <v>L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I</v>
      </c>
      <c r="AC268" s="49" t="str">
        <f>MID(VLOOKUP($A268,Seqs!$A:$B,2,FALSE),VLOOKUP($A268,'SegEnds_NonXtal_Prot#'!$A:$AL,22,FALSE)+7,1)</f>
        <v>S</v>
      </c>
      <c r="AD268" s="49" t="str">
        <f>MID(VLOOKUP($A268,Seqs!$A:$B,2,FALSE),VLOOKUP($A268,'SegEnds_NonXtal_Prot#'!$A:$AL,22,FALSE)+8,1)</f>
        <v>L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353</v>
      </c>
      <c r="B269" s="2" t="str">
        <f>LOWER(VLOOKUP(A269,Xtal_Templ!A:B,2,FALSE))</f>
        <v>p2y12_human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S269" s="2" t="s">
        <v>1316</v>
      </c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T</v>
      </c>
      <c r="X269" s="49" t="str">
        <f>MID(VLOOKUP($A269,Seqs!$A:$B,2,FALSE),VLOOKUP($A269,'SegEnds_NonXtal_Prot#'!A:AL,10,FALSE)+7,1)</f>
        <v>F</v>
      </c>
      <c r="Y269" s="49" t="str">
        <f>MID(VLOOKUP($A269,Seqs!$A:$B,2,FALSE),VLOOKUP($A269,'SegEnds_NonXtal_Prot#'!A:AL,10,FALSE)+8,1)</f>
        <v>P</v>
      </c>
      <c r="Z269" s="49" t="str">
        <f>MID(VLOOKUP($A269,Seqs!$A:$B,2,FALSE),VLOOKUP($A269,'SegEnds_NonXtal_Prot#'!A:AL,10,FALSE)+9,1)</f>
        <v>F</v>
      </c>
      <c r="AA269" s="49" t="str">
        <f>MID(VLOOKUP($A269,Seqs!$A:$B,2,FALSE),VLOOKUP($A269,'SegEnds_NonXtal_Prot#'!A:AL,10,FALSE)+10,1)</f>
        <v>K</v>
      </c>
      <c r="AB269" s="28" t="str">
        <f>MID(VLOOKUP($A269,Seqs!$A:$B,2,FALSE),VLOOKUP($A269,'SegEnds_NonXtal_Prot#'!$A:$AL,22,FALSE)+6,1)</f>
        <v>L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V</v>
      </c>
      <c r="AE269" s="49" t="str">
        <f>MID(VLOOKUP($A269,Seqs!$A:$B,2,FALSE),VLOOKUP($A269,'SegEnds_NonXtal_Prot#'!$A:$AL,22,FALSE)+9,1)</f>
        <v>P</v>
      </c>
      <c r="AF269" s="49" t="str">
        <f>MID(VLOOKUP($A269,Seqs!$A:$B,2,FALSE),VLOOKUP($A269,'SegEnds_NonXtal_Prot#'!$A:$AL,22,FALSE)+10,1)</f>
        <v>N</v>
      </c>
      <c r="AG269" s="28" t="str">
        <f>MID(VLOOKUP($A269,Seqs!$A:$B,2,FALSE),VLOOKUP($A269,'SegEnds_NonXtal_Prot#'!$A:$AL,28,FALSE)-4,1)</f>
        <v>I</v>
      </c>
      <c r="AH269" s="49" t="str">
        <f>MID(VLOOKUP($A269,Seqs!$A:$B,2,FALSE),VLOOKUP($A269,'SegEnds_NonXtal_Prot#'!$A:$AL,28,FALSE),1)</f>
        <v>V</v>
      </c>
    </row>
    <row r="270" spans="1:34" s="2" customFormat="1" x14ac:dyDescent="0.2">
      <c r="A270" s="2" t="s">
        <v>363</v>
      </c>
      <c r="B270" s="2" t="str">
        <f>LOWER(VLOOKUP(A270,Xtal_Templ!A:B,2,FALSE))</f>
        <v>pe2r4_human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G270" s="2" t="s">
        <v>5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L</v>
      </c>
      <c r="X270" s="49" t="str">
        <f>MID(VLOOKUP($A270,Seqs!$A:$B,2,FALSE),VLOOKUP($A270,'SegEnds_NonXtal_Prot#'!A:AL,10,FALSE)+7,1)</f>
        <v>V</v>
      </c>
      <c r="Y270" s="49" t="str">
        <f>MID(VLOOKUP($A270,Seqs!$A:$B,2,FALSE),VLOOKUP($A270,'SegEnds_NonXtal_Prot#'!A:AL,10,FALSE)+8,1)</f>
        <v>S</v>
      </c>
      <c r="Z270" s="49" t="str">
        <f>MID(VLOOKUP($A270,Seqs!$A:$B,2,FALSE),VLOOKUP($A270,'SegEnds_NonXtal_Prot#'!A:AL,10,FALSE)+9,1)</f>
        <v>P</v>
      </c>
      <c r="AA270" s="49" t="str">
        <f>MID(VLOOKUP($A270,Seqs!$A:$B,2,FALSE),VLOOKUP($A270,'SegEnds_NonXtal_Prot#'!A:AL,10,FALSE)+10,1)</f>
        <v>V</v>
      </c>
      <c r="AB270" s="28" t="str">
        <f>MID(VLOOKUP($A270,Seqs!$A:$B,2,FALSE),VLOOKUP($A270,'SegEnds_NonXtal_Prot#'!$A:$AL,22,FALSE)+6,1)</f>
        <v>F</v>
      </c>
      <c r="AC270" s="49" t="str">
        <f>MID(VLOOKUP($A270,Seqs!$A:$B,2,FALSE),VLOOKUP($A270,'SegEnds_NonXtal_Prot#'!$A:$AL,22,FALSE)+7,1)</f>
        <v>C</v>
      </c>
      <c r="AD270" s="49" t="str">
        <f>MID(VLOOKUP($A270,Seqs!$A:$B,2,FALSE),VLOOKUP($A270,'SegEnds_NonXtal_Prot#'!$A:$AL,22,FALSE)+8,1)</f>
        <v>A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F</v>
      </c>
      <c r="AH270" s="49" t="str">
        <f>MID(VLOOKUP($A270,Seqs!$A:$B,2,FALSE),VLOOKUP($A270,'SegEnds_NonXtal_Prot#'!$A:$AL,28,FALSE),1)</f>
        <v>L</v>
      </c>
    </row>
    <row r="271" spans="1:34" s="2" customFormat="1" x14ac:dyDescent="0.2">
      <c r="A271" s="2" t="s">
        <v>364</v>
      </c>
      <c r="B271" s="2" t="str">
        <f>LOWER(VLOOKUP(A271,Xtal_Templ!A:B,2,FALSE))</f>
        <v>ta2r_human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I</v>
      </c>
      <c r="X271" s="49" t="str">
        <f>MID(VLOOKUP($A271,Seqs!$A:$B,2,FALSE),VLOOKUP($A271,'SegEnds_NonXtal_Prot#'!A:AL,10,FALSE)+7,1)</f>
        <v>N</v>
      </c>
      <c r="Y271" s="49" t="str">
        <f>MID(VLOOKUP($A271,Seqs!$A:$B,2,FALSE),VLOOKUP($A271,'SegEnds_NonXtal_Prot#'!A:AL,10,FALSE)+8,1)</f>
        <v>G</v>
      </c>
      <c r="Z271" s="49" t="str">
        <f>MID(VLOOKUP($A271,Seqs!$A:$B,2,FALSE),VLOOKUP($A271,'SegEnds_NonXtal_Prot#'!A:AL,10,FALSE)+9,1)</f>
        <v>A</v>
      </c>
      <c r="AA271" s="49" t="str">
        <f>MID(VLOOKUP($A271,Seqs!$A:$B,2,FALSE),VLOOKUP($A271,'SegEnds_NonXtal_Prot#'!A:AL,10,FALSE)+10,1)</f>
        <v>I</v>
      </c>
      <c r="AB271" s="28" t="str">
        <f>MID(VLOOKUP($A271,Seqs!$A:$B,2,FALSE),VLOOKUP($A271,'SegEnds_NonXtal_Prot#'!$A:$AL,22,FALSE)+6,1)</f>
        <v>I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L</v>
      </c>
      <c r="AE271" s="49" t="str">
        <f>MID(VLOOKUP($A271,Seqs!$A:$B,2,FALSE),VLOOKUP($A271,'SegEnds_NonXtal_Prot#'!$A:$AL,22,FALSE)+9,1)</f>
        <v>L</v>
      </c>
      <c r="AF271" s="49" t="str">
        <f>MID(VLOOKUP($A271,Seqs!$A:$B,2,FALSE),VLOOKUP($A271,'SegEnds_NonXtal_Prot#'!$A:$AL,22,FALSE)+10,1)</f>
        <v>P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G</v>
      </c>
    </row>
    <row r="272" spans="1:34" s="2" customFormat="1" x14ac:dyDescent="0.2">
      <c r="A272" s="2" t="s">
        <v>370</v>
      </c>
      <c r="B272" s="2" t="str">
        <f>LOWER(VLOOKUP(A272,Xtal_Templ!A:B,2,FALSE))</f>
        <v>ptafr_human</v>
      </c>
      <c r="C272" s="2" t="str">
        <f>VLOOKUP(A272,Classification!A:D,2,FALSE)</f>
        <v>A</v>
      </c>
      <c r="D272" s="2" t="str">
        <f>IF(ISERROR(MATCH(A272,'SegEnds_Xtal_Prot#'!B:B, 0)), "NoXtal", "Xtal")</f>
        <v>Xtal</v>
      </c>
      <c r="H272" s="4"/>
      <c r="S272" s="2" t="s">
        <v>1316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T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L</v>
      </c>
      <c r="AA272" s="49" t="str">
        <f>MID(VLOOKUP($A272,Seqs!$A:$B,2,FALSE),VLOOKUP($A272,'SegEnds_NonXtal_Prot#'!A:AL,10,FALSE)+10,1)</f>
        <v>W</v>
      </c>
      <c r="AB272" s="28" t="str">
        <f>MID(VLOOKUP($A272,Seqs!$A:$B,2,FALSE),VLOOKUP($A272,'SegEnds_NonXtal_Prot#'!$A:$AL,22,FALSE)+6,1)</f>
        <v>A</v>
      </c>
      <c r="AC272" s="49" t="str">
        <f>MID(VLOOKUP($A272,Seqs!$A:$B,2,FALSE),VLOOKUP($A272,'SegEnds_NonXtal_Prot#'!$A:$AL,22,FALSE)+7,1)</f>
        <v>A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Y</v>
      </c>
      <c r="AF272" s="49" t="str">
        <f>MID(VLOOKUP($A272,Seqs!$A:$B,2,FALSE),VLOOKUP($A272,'SegEnds_NonXtal_Prot#'!$A:$AL,22,FALSE)+10,1)</f>
        <v>F</v>
      </c>
      <c r="AG272" s="28" t="str">
        <f>MID(VLOOKUP($A272,Seqs!$A:$B,2,FALSE),VLOOKUP($A272,'SegEnds_NonXtal_Prot#'!$A:$AL,28,FALSE)-4,1)</f>
        <v>S</v>
      </c>
      <c r="AH272" s="49" t="str">
        <f>MID(VLOOKUP($A272,Seqs!$A:$B,2,FALSE),VLOOKUP($A272,'SegEnds_NonXtal_Prot#'!$A:$AL,28,FALSE),1)</f>
        <v>V</v>
      </c>
    </row>
    <row r="273" spans="1:34" s="2" customFormat="1" x14ac:dyDescent="0.2">
      <c r="A273" s="2" t="s">
        <v>198</v>
      </c>
      <c r="B273" s="2" t="str">
        <f>LOWER(VLOOKUP(A273,Xtal_Templ!A:B,2,FALSE))</f>
        <v>par1_human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S273" s="2" t="s">
        <v>1316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F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H</v>
      </c>
      <c r="AC273" s="49" t="str">
        <f>MID(VLOOKUP($A273,Seqs!$A:$B,2,FALSE),VLOOKUP($A273,'SegEnds_NonXtal_Prot#'!$A:$AL,22,FALSE)+7,1)</f>
        <v>C</v>
      </c>
      <c r="AD273" s="49" t="str">
        <f>MID(VLOOKUP($A273,Seqs!$A:$B,2,FALSE),VLOOKUP($A273,'SegEnds_NonXtal_Prot#'!$A:$AL,22,FALSE)+8,1)</f>
        <v>S</v>
      </c>
      <c r="AE273" s="49" t="str">
        <f>MID(VLOOKUP($A273,Seqs!$A:$B,2,FALSE),VLOOKUP($A273,'SegEnds_NonXtal_Prot#'!$A:$AL,22,FALSE)+9,1)</f>
        <v>V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L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242</v>
      </c>
      <c r="B274" s="2" t="str">
        <f>LOWER(VLOOKUP(A274,Xtal_Templ!A:B,2,FALSE))</f>
        <v>par2_human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S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T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V</v>
      </c>
      <c r="AC274" s="49" t="str">
        <f>MID(VLOOKUP($A274,Seqs!$A:$B,2,FALSE),VLOOKUP($A274,'SegEnds_NonXtal_Prot#'!$A:$AL,22,FALSE)+7,1)</f>
        <v>T</v>
      </c>
      <c r="AD274" s="49" t="str">
        <f>MID(VLOOKUP($A274,Seqs!$A:$B,2,FALSE),VLOOKUP($A274,'SegEnds_NonXtal_Prot#'!$A:$AL,22,FALSE)+8,1)</f>
        <v>L</v>
      </c>
      <c r="AE274" s="49" t="str">
        <f>MID(VLOOKUP($A274,Seqs!$A:$B,2,FALSE),VLOOKUP($A274,'SegEnds_NonXtal_Prot#'!$A:$AL,22,FALSE)+9,1)</f>
        <v>S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E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253</v>
      </c>
      <c r="B275" s="2" t="str">
        <f>LOWER(VLOOKUP(A275,Xtal_Templ!A:B,2,FALSE))</f>
        <v>ccr6_human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T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V</v>
      </c>
      <c r="AB275" s="28" t="str">
        <f>MID(VLOOKUP($A275,Seqs!$A:$B,2,FALSE),VLOOKUP($A275,'SegEnds_NonXtal_Prot#'!$A:$AL,22,FALSE)+6,1)</f>
        <v>S</v>
      </c>
      <c r="AC275" s="49" t="str">
        <f>MID(VLOOKUP($A275,Seqs!$A:$B,2,FALSE),VLOOKUP($A275,'SegEnds_NonXtal_Prot#'!$A:$AL,22,FALSE)+7,1)</f>
        <v>L</v>
      </c>
      <c r="AD275" s="49" t="str">
        <f>MID(VLOOKUP($A275,Seqs!$A:$B,2,FALSE),VLOOKUP($A275,'SegEnds_NonXtal_Prot#'!$A:$AL,22,FALSE)+8,1)</f>
        <v>V</v>
      </c>
      <c r="AE275" s="49" t="str">
        <f>MID(VLOOKUP($A275,Seqs!$A:$B,2,FALSE),VLOOKUP($A275,'SegEnds_NonXtal_Prot#'!$A:$AL,22,FALSE)+9,1)</f>
        <v>A</v>
      </c>
      <c r="AF275" s="49" t="str">
        <f>MID(VLOOKUP($A275,Seqs!$A:$B,2,FALSE),VLOOKUP($A275,'SegEnds_NonXtal_Prot#'!$A:$AL,22,FALSE)+10,1)</f>
        <v>R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257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R276" s="2" t="s">
        <v>9</v>
      </c>
      <c r="S276" s="2" t="s">
        <v>1316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F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R</v>
      </c>
      <c r="AB276" s="28" t="str">
        <f>MID(VLOOKUP($A276,Seqs!$A:$B,2,FALSE),VLOOKUP($A276,'SegEnds_NonXtal_Prot#'!$A:$AL,22,FALSE)+6,1)</f>
        <v>H</v>
      </c>
      <c r="AC276" s="49" t="str">
        <f>MID(VLOOKUP($A276,Seqs!$A:$B,2,FALSE),VLOOKUP($A276,'SegEnds_NonXtal_Prot#'!$A:$AL,22,FALSE)+7,1)</f>
        <v>C</v>
      </c>
      <c r="AD276" s="49" t="str">
        <f>MID(VLOOKUP($A276,Seqs!$A:$B,2,FALSE),VLOOKUP($A276,'SegEnds_NonXtal_Prot#'!$A:$AL,22,FALSE)+8,1)</f>
        <v>S</v>
      </c>
      <c r="AE276" s="49" t="str">
        <f>MID(VLOOKUP($A276,Seqs!$A:$B,2,FALSE),VLOOKUP($A276,'SegEnds_NonXtal_Prot#'!$A:$AL,22,FALSE)+9,1)</f>
        <v>V</v>
      </c>
      <c r="AF276" s="49" t="str">
        <f>MID(VLOOKUP($A276,Seqs!$A:$B,2,FALSE),VLOOKUP($A276,'SegEnds_NonXtal_Prot#'!$A:$AL,22,FALSE)+10,1)</f>
        <v>V</v>
      </c>
      <c r="AG276" s="28" t="str">
        <f>MID(VLOOKUP($A276,Seqs!$A:$B,2,FALSE),VLOOKUP($A276,'SegEnds_NonXtal_Prot#'!$A:$AL,28,FALSE)-4,1)</f>
        <v>L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260</v>
      </c>
      <c r="B277" s="2" t="str">
        <f>LOWER(VLOOKUP(A277,Xtal_Templ!A:B,2,FALSE))</f>
        <v>oprk_human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N277" s="2" t="s">
        <v>14</v>
      </c>
      <c r="R277" s="2" t="s">
        <v>9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S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K</v>
      </c>
      <c r="AB277" s="28" t="str">
        <f>MID(VLOOKUP($A277,Seqs!$A:$B,2,FALSE),VLOOKUP($A277,'SegEnds_NonXtal_Prot#'!$A:$AL,22,FALSE)+6,1)</f>
        <v>G</v>
      </c>
      <c r="AC277" s="49" t="str">
        <f>MID(VLOOKUP($A277,Seqs!$A:$B,2,FALSE),VLOOKUP($A277,'SegEnds_NonXtal_Prot#'!$A:$AL,22,FALSE)+7,1)</f>
        <v>S</v>
      </c>
      <c r="AD277" s="49" t="str">
        <f>MID(VLOOKUP($A277,Seqs!$A:$B,2,FALSE),VLOOKUP($A277,'SegEnds_NonXtal_Prot#'!$A:$AL,22,FALSE)+8,1)</f>
        <v>I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I</v>
      </c>
      <c r="AG277" s="28" t="str">
        <f>MID(VLOOKUP($A277,Seqs!$A:$B,2,FALSE),VLOOKUP($A277,'SegEnds_NonXtal_Prot#'!$A:$AL,28,FALSE)-4,1)</f>
        <v>G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301</v>
      </c>
      <c r="B278" s="2" t="str">
        <f>LOWER(VLOOKUP(A278,Xtal_Templ!A:B,2,FALSE))</f>
        <v>cxcr4_human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C</v>
      </c>
      <c r="X278" s="49" t="str">
        <f>MID(VLOOKUP($A278,Seqs!$A:$B,2,FALSE),VLOOKUP($A278,'SegEnds_NonXtal_Prot#'!A:AL,10,FALSE)+7,1)</f>
        <v>H</v>
      </c>
      <c r="Y278" s="49" t="str">
        <f>MID(VLOOKUP($A278,Seqs!$A:$B,2,FALSE),VLOOKUP($A278,'SegEnds_NonXtal_Prot#'!A:AL,10,FALSE)+8,1)</f>
        <v>M</v>
      </c>
      <c r="Z278" s="49" t="str">
        <f>MID(VLOOKUP($A278,Seqs!$A:$B,2,FALSE),VLOOKUP($A278,'SegEnds_NonXtal_Prot#'!A:AL,10,FALSE)+9,1)</f>
        <v>V</v>
      </c>
      <c r="AA278" s="49" t="str">
        <f>MID(VLOOKUP($A278,Seqs!$A:$B,2,FALSE),VLOOKUP($A278,'SegEnds_NonXtal_Prot#'!A:AL,10,FALSE)+10,1)</f>
        <v>A</v>
      </c>
      <c r="AB278" s="28" t="str">
        <f>MID(VLOOKUP($A278,Seqs!$A:$B,2,FALSE),VLOOKUP($A278,'SegEnds_NonXtal_Prot#'!$A:$AL,22,FALSE)+6,1)</f>
        <v>L</v>
      </c>
      <c r="AC278" s="49" t="str">
        <f>MID(VLOOKUP($A278,Seqs!$A:$B,2,FALSE),VLOOKUP($A278,'SegEnds_NonXtal_Prot#'!$A:$AL,22,FALSE)+7,1)</f>
        <v>H</v>
      </c>
      <c r="AD278" s="49" t="str">
        <f>MID(VLOOKUP($A278,Seqs!$A:$B,2,FALSE),VLOOKUP($A278,'SegEnds_NonXtal_Prot#'!$A:$AL,22,FALSE)+8,1)</f>
        <v>L</v>
      </c>
      <c r="AE278" s="49" t="str">
        <f>MID(VLOOKUP($A278,Seqs!$A:$B,2,FALSE),VLOOKUP($A278,'SegEnds_NonXtal_Prot#'!$A:$AL,22,FALSE)+9,1)</f>
        <v>L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A</v>
      </c>
      <c r="AH278" s="49" t="str">
        <f>MID(VLOOKUP($A278,Seqs!$A:$B,2,FALSE),VLOOKUP($A278,'SegEnds_NonXtal_Prot#'!$A:$AL,28,FALSE),1)</f>
        <v>C</v>
      </c>
    </row>
    <row r="279" spans="1:34" s="2" customFormat="1" x14ac:dyDescent="0.2">
      <c r="A279" s="2" t="s">
        <v>348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H279" s="4"/>
      <c r="R279" s="2" t="s">
        <v>9</v>
      </c>
      <c r="S279" s="2" t="s">
        <v>1316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Q</v>
      </c>
      <c r="AB279" s="28" t="str">
        <f>MID(VLOOKUP($A279,Seqs!$A:$B,2,FALSE),VLOOKUP($A279,'SegEnds_NonXtal_Prot#'!$A:$AL,22,FALSE)+6,1)</f>
        <v>A</v>
      </c>
      <c r="AC279" s="49" t="str">
        <f>MID(VLOOKUP($A279,Seqs!$A:$B,2,FALSE),VLOOKUP($A279,'SegEnds_NonXtal_Prot#'!$A:$AL,22,FALSE)+7,1)</f>
        <v>L</v>
      </c>
      <c r="AD279" s="49" t="str">
        <f>MID(VLOOKUP($A279,Seqs!$A:$B,2,FALSE),VLOOKUP($A279,'SegEnds_NonXtal_Prot#'!$A:$AL,22,FALSE)+8,1)</f>
        <v>S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L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354</v>
      </c>
      <c r="B280" s="2" t="str">
        <f>LOWER(VLOOKUP(A280,Xtal_Templ!A:B,2,FALSE))</f>
        <v>par1_human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S280" s="2" t="s">
        <v>1316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V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G</v>
      </c>
      <c r="AC280" s="49" t="str">
        <f>MID(VLOOKUP($A280,Seqs!$A:$B,2,FALSE),VLOOKUP($A280,'SegEnds_NonXtal_Prot#'!$A:$AL,22,FALSE)+7,1)</f>
        <v>V</v>
      </c>
      <c r="AD280" s="49" t="str">
        <f>MID(VLOOKUP($A280,Seqs!$A:$B,2,FALSE),VLOOKUP($A280,'SegEnds_NonXtal_Prot#'!$A:$AL,22,FALSE)+8,1)</f>
        <v>V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F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355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Xtal</v>
      </c>
      <c r="H281" s="4"/>
      <c r="N281" s="2" t="s">
        <v>14</v>
      </c>
      <c r="R281" s="2" t="s">
        <v>9</v>
      </c>
      <c r="S281" s="2" t="s">
        <v>1316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W</v>
      </c>
      <c r="X281" s="49" t="str">
        <f>MID(VLOOKUP($A281,Seqs!$A:$B,2,FALSE),VLOOKUP($A281,'SegEnds_NonXtal_Prot#'!A:AL,10,FALSE)+7,1)</f>
        <v>F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L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V</v>
      </c>
      <c r="AC281" s="49" t="str">
        <f>MID(VLOOKUP($A281,Seqs!$A:$B,2,FALSE),VLOOKUP($A281,'SegEnds_NonXtal_Prot#'!$A:$AL,22,FALSE)+7,1)</f>
        <v>T</v>
      </c>
      <c r="AD281" s="49" t="str">
        <f>MID(VLOOKUP($A281,Seqs!$A:$B,2,FALSE),VLOOKUP($A281,'SegEnds_NonXtal_Prot#'!$A:$AL,22,FALSE)+8,1)</f>
        <v>I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V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356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1316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T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F</v>
      </c>
      <c r="AA282" s="49" t="str">
        <f>MID(VLOOKUP($A282,Seqs!$A:$B,2,FALSE),VLOOKUP($A282,'SegEnds_NonXtal_Prot#'!A:AL,10,FALSE)+10,1)</f>
        <v>K</v>
      </c>
      <c r="AB282" s="28" t="str">
        <f>MID(VLOOKUP($A282,Seqs!$A:$B,2,FALSE),VLOOKUP($A282,'SegEnds_NonXtal_Prot#'!$A:$AL,22,FALSE)+6,1)</f>
        <v>Y</v>
      </c>
      <c r="AC282" s="49" t="str">
        <f>MID(VLOOKUP($A282,Seqs!$A:$B,2,FALSE),VLOOKUP($A282,'SegEnds_NonXtal_Prot#'!$A:$AL,22,FALSE)+7,1)</f>
        <v>M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F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357</v>
      </c>
      <c r="B283" s="2" t="str">
        <f>LOWER(VLOOKUP(A283,Xtal_Templ!A:B,2,FALSE))</f>
        <v>par2_human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N283" s="2" t="s">
        <v>14</v>
      </c>
      <c r="R283" s="2" t="s">
        <v>9</v>
      </c>
      <c r="S283" s="2" t="s">
        <v>1316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L</v>
      </c>
      <c r="Y283" s="49" t="str">
        <f>MID(VLOOKUP($A283,Seqs!$A:$B,2,FALSE),VLOOKUP($A283,'SegEnds_NonXtal_Prot#'!A:AL,10,FALSE)+8,1)</f>
        <v>P</v>
      </c>
      <c r="Z283" s="49" t="str">
        <f>MID(VLOOKUP($A283,Seqs!$A:$B,2,FALSE),VLOOKUP($A283,'SegEnds_NonXtal_Prot#'!A:AL,10,FALSE)+9,1)</f>
        <v>P</v>
      </c>
      <c r="AA283" s="49" t="str">
        <f>MID(VLOOKUP($A283,Seqs!$A:$B,2,FALSE),VLOOKUP($A283,'SegEnds_NonXtal_Prot#'!A:AL,10,FALSE)+10,1)</f>
        <v>R</v>
      </c>
      <c r="AB283" s="28" t="str">
        <f>MID(VLOOKUP($A283,Seqs!$A:$B,2,FALSE),VLOOKUP($A283,'SegEnds_NonXtal_Prot#'!$A:$AL,22,FALSE)+6,1)</f>
        <v>L</v>
      </c>
      <c r="AC283" s="49" t="str">
        <f>MID(VLOOKUP($A283,Seqs!$A:$B,2,FALSE),VLOOKUP($A283,'SegEnds_NonXtal_Prot#'!$A:$AL,22,FALSE)+7,1)</f>
        <v>A</v>
      </c>
      <c r="AD283" s="49" t="str">
        <f>MID(VLOOKUP($A283,Seqs!$A:$B,2,FALSE),VLOOKUP($A283,'SegEnds_NonXtal_Prot#'!$A:$AL,22,FALSE)+8,1)</f>
        <v>L</v>
      </c>
      <c r="AE283" s="49" t="str">
        <f>MID(VLOOKUP($A283,Seqs!$A:$B,2,FALSE),VLOOKUP($A283,'SegEnds_NonXtal_Prot#'!$A:$AL,22,FALSE)+9,1)</f>
        <v>P</v>
      </c>
      <c r="AF283" s="49" t="str">
        <f>MID(VLOOKUP($A283,Seqs!$A:$B,2,FALSE),VLOOKUP($A283,'SegEnds_NonXtal_Prot#'!$A:$AL,22,FALSE)+10,1)</f>
        <v>L</v>
      </c>
      <c r="AG283" s="28" t="str">
        <f>MID(VLOOKUP($A283,Seqs!$A:$B,2,FALSE),VLOOKUP($A283,'SegEnds_NonXtal_Prot#'!$A:$AL,28,FALSE)-4,1)</f>
        <v>G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151</v>
      </c>
      <c r="B284" s="2" t="str">
        <f>LOWER(VLOOKUP(A284,Xtal_Templ!A:B,2,FALSE))</f>
        <v>mc4r_human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Y</v>
      </c>
      <c r="X284" s="49" t="str">
        <f>MID(VLOOKUP($A284,Seqs!$A:$B,2,FALSE),VLOOKUP($A284,'SegEnds_NonXtal_Prot#'!A:AL,10,FALSE)+7,1)</f>
        <v>K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L</v>
      </c>
      <c r="AA284" s="49" t="str">
        <f>MID(VLOOKUP($A284,Seqs!$A:$B,2,FALSE),VLOOKUP($A284,'SegEnds_NonXtal_Prot#'!A:AL,10,FALSE)+10,1)</f>
        <v>E</v>
      </c>
      <c r="AB284" s="28" t="str">
        <f>MID(VLOOKUP($A284,Seqs!$A:$B,2,FALSE),VLOOKUP($A284,'SegEnds_NonXtal_Prot#'!$A:$AL,22,FALSE)+6,1)</f>
        <v>T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I</v>
      </c>
      <c r="AE284" s="49" t="str">
        <f>MID(VLOOKUP($A284,Seqs!$A:$B,2,FALSE),VLOOKUP($A284,'SegEnds_NonXtal_Prot#'!$A:$AL,22,FALSE)+9,1)</f>
        <v>T</v>
      </c>
      <c r="AF284" s="49" t="str">
        <f>MID(VLOOKUP($A284,Seqs!$A:$B,2,FALSE),VLOOKUP($A284,'SegEnds_NonXtal_Prot#'!$A:$AL,22,FALSE)+10,1)</f>
        <v>M</v>
      </c>
      <c r="AG284" s="28" t="str">
        <f>MID(VLOOKUP($A284,Seqs!$A:$B,2,FALSE),VLOOKUP($A284,'SegEnds_NonXtal_Prot#'!$A:$AL,28,FALSE)-4,1)</f>
        <v>L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212</v>
      </c>
      <c r="B285" s="2" t="str">
        <f>LOWER(VLOOKUP(A285,Xtal_Templ!A:B,2,FALSE))</f>
        <v>aa1r_human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R285" s="2" t="s">
        <v>9</v>
      </c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A</v>
      </c>
      <c r="X285" s="49" t="str">
        <f>MID(VLOOKUP($A285,Seqs!$A:$B,2,FALSE),VLOOKUP($A285,'SegEnds_NonXtal_Prot#'!A:AL,10,FALSE)+7,1)</f>
        <v>I</v>
      </c>
      <c r="Y285" s="49" t="str">
        <f>MID(VLOOKUP($A285,Seqs!$A:$B,2,FALSE),VLOOKUP($A285,'SegEnds_NonXtal_Prot#'!A:AL,10,FALSE)+8,1)</f>
        <v>S</v>
      </c>
      <c r="Z285" s="49" t="str">
        <f>MID(VLOOKUP($A285,Seqs!$A:$B,2,FALSE),VLOOKUP($A285,'SegEnds_NonXtal_Prot#'!A:AL,10,FALSE)+9,1)</f>
        <v>G</v>
      </c>
      <c r="AA285" s="49" t="str">
        <f>MID(VLOOKUP($A285,Seqs!$A:$B,2,FALSE),VLOOKUP($A285,'SegEnds_NonXtal_Prot#'!A:AL,10,FALSE)+10,1)</f>
        <v>L</v>
      </c>
      <c r="AB285" s="28" t="str">
        <f>MID(VLOOKUP($A285,Seqs!$A:$B,2,FALSE),VLOOKUP($A285,'SegEnds_NonXtal_Prot#'!$A:$AL,22,FALSE)+6,1)</f>
        <v>I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F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V</v>
      </c>
      <c r="AH285" s="49" t="str">
        <f>MID(VLOOKUP($A285,Seqs!$A:$B,2,FALSE),VLOOKUP($A285,'SegEnds_NonXtal_Prot#'!$A:$AL,28,FALSE),1)</f>
        <v>P</v>
      </c>
    </row>
    <row r="286" spans="1:34" s="2" customFormat="1" x14ac:dyDescent="0.2">
      <c r="A286" s="2" t="s">
        <v>237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T</v>
      </c>
      <c r="AA286" s="49" t="str">
        <f>MID(VLOOKUP($A286,Seqs!$A:$B,2,FALSE),VLOOKUP($A286,'SegEnds_NonXtal_Prot#'!A:AL,10,FALSE)+10,1)</f>
        <v>N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S</v>
      </c>
      <c r="AH286" s="49" t="str">
        <f>MID(VLOOKUP($A286,Seqs!$A:$B,2,FALSE),VLOOKUP($A286,'SegEnds_NonXtal_Prot#'!$A:$AL,28,FALSE),1)</f>
        <v>M</v>
      </c>
    </row>
    <row r="287" spans="1:34" s="2" customFormat="1" x14ac:dyDescent="0.2">
      <c r="A287" s="2" t="s">
        <v>261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G</v>
      </c>
      <c r="X287" s="49" t="str">
        <f>MID(VLOOKUP($A287,Seqs!$A:$B,2,FALSE),VLOOKUP($A287,'SegEnds_NonXtal_Prot#'!A:AL,10,FALSE)+7,1)</f>
        <v>L</v>
      </c>
      <c r="Y287" s="49" t="str">
        <f>MID(VLOOKUP($A287,Seqs!$A:$B,2,FALSE),VLOOKUP($A287,'SegEnds_NonXtal_Prot#'!A:AL,10,FALSE)+8,1)</f>
        <v>I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H</v>
      </c>
      <c r="AB287" s="28" t="str">
        <f>MID(VLOOKUP($A287,Seqs!$A:$B,2,FALSE),VLOOKUP($A287,'SegEnds_NonXtal_Prot#'!$A:$AL,22,FALSE)+6,1)</f>
        <v>L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L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P</v>
      </c>
      <c r="AG287" s="28" t="str">
        <f>MID(VLOOKUP($A287,Seqs!$A:$B,2,FALSE),VLOOKUP($A287,'SegEnds_NonXtal_Prot#'!$A:$AL,28,FALSE)-4,1)</f>
        <v>A</v>
      </c>
      <c r="AH287" s="49" t="str">
        <f>MID(VLOOKUP($A287,Seqs!$A:$B,2,FALSE),VLOOKUP($A287,'SegEnds_NonXtal_Prot#'!$A:$AL,28,FALSE),1)</f>
        <v>V</v>
      </c>
    </row>
    <row r="288" spans="1:34" s="2" customFormat="1" x14ac:dyDescent="0.2">
      <c r="A288" s="2" t="s">
        <v>295</v>
      </c>
      <c r="B288" s="2" t="str">
        <f>LOWER(VLOOKUP(A288,Xtal_Templ!A:B,2,FALSE))</f>
        <v>mc4r_human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A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C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V</v>
      </c>
      <c r="AE288" s="49" t="str">
        <f>MID(VLOOKUP($A288,Seqs!$A:$B,2,FALSE),VLOOKUP($A288,'SegEnds_NonXtal_Prot#'!$A:$AL,22,FALSE)+9,1)</f>
        <v>V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M</v>
      </c>
      <c r="AH288" s="49" t="str">
        <f>MID(VLOOKUP($A288,Seqs!$A:$B,2,FALSE),VLOOKUP($A288,'SegEnds_NonXtal_Prot#'!$A:$AL,28,FALSE),1)</f>
        <v>M</v>
      </c>
    </row>
    <row r="289" spans="1:34" s="2" customFormat="1" x14ac:dyDescent="0.2">
      <c r="A289" s="2" t="s">
        <v>296</v>
      </c>
      <c r="B289" s="2" t="str">
        <f>LOWER(VLOOKUP(A289,Xtal_Templ!A:B,2,FALSE))</f>
        <v>mc4r_human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G</v>
      </c>
      <c r="Z289" s="49" t="str">
        <f>MID(VLOOKUP($A289,Seqs!$A:$B,2,FALSE),VLOOKUP($A289,'SegEnds_NonXtal_Prot#'!A:AL,10,FALSE)+9,1)</f>
        <v>S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S</v>
      </c>
      <c r="AC289" s="49" t="str">
        <f>MID(VLOOKUP($A289,Seqs!$A:$B,2,FALSE),VLOOKUP($A289,'SegEnds_NonXtal_Prot#'!$A:$AL,22,FALSE)+7,1)</f>
        <v>G</v>
      </c>
      <c r="AD289" s="49" t="str">
        <f>MID(VLOOKUP($A289,Seqs!$A:$B,2,FALSE),VLOOKUP($A289,'SegEnds_NonXtal_Prot#'!$A:$AL,22,FALSE)+8,1)</f>
        <v>I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M</v>
      </c>
      <c r="AH289" s="49" t="str">
        <f>MID(VLOOKUP($A289,Seqs!$A:$B,2,FALSE),VLOOKUP($A289,'SegEnds_NonXtal_Prot#'!$A:$AL,28,FALSE),1)</f>
        <v>M</v>
      </c>
    </row>
    <row r="290" spans="1:34" s="2" customFormat="1" x14ac:dyDescent="0.2">
      <c r="A290" s="2" t="s">
        <v>308</v>
      </c>
      <c r="B290" s="2" t="str">
        <f>LOWER(VLOOKUP(A290,Xtal_Templ!A:B,2,FALSE))</f>
        <v>mc4r_human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S</v>
      </c>
      <c r="X290" s="49" t="str">
        <f>MID(VLOOKUP($A290,Seqs!$A:$B,2,FALSE),VLOOKUP($A290,'SegEnds_NonXtal_Prot#'!A:AL,10,FALSE)+7,1)</f>
        <v>N</v>
      </c>
      <c r="Y290" s="49" t="str">
        <f>MID(VLOOKUP($A290,Seqs!$A:$B,2,FALSE),VLOOKUP($A290,'SegEnds_NonXtal_Prot#'!A:AL,10,FALSE)+8,1)</f>
        <v>V</v>
      </c>
      <c r="Z290" s="49" t="str">
        <f>MID(VLOOKUP($A290,Seqs!$A:$B,2,FALSE),VLOOKUP($A290,'SegEnds_NonXtal_Prot#'!A:AL,10,FALSE)+9,1)</f>
        <v>L</v>
      </c>
      <c r="AA290" s="49" t="str">
        <f>MID(VLOOKUP($A290,Seqs!$A:$B,2,FALSE),VLOOKUP($A290,'SegEnds_NonXtal_Prot#'!A:AL,10,FALSE)+10,1)</f>
        <v>E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S</v>
      </c>
      <c r="AD290" s="49" t="str">
        <f>MID(VLOOKUP($A290,Seqs!$A:$B,2,FALSE),VLOOKUP($A290,'SegEnds_NonXtal_Prot#'!$A:$AL,22,FALSE)+8,1)</f>
        <v>T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F</v>
      </c>
      <c r="AG290" s="28" t="str">
        <f>MID(VLOOKUP($A290,Seqs!$A:$B,2,FALSE),VLOOKUP($A290,'SegEnds_NonXtal_Prot#'!$A:$AL,28,FALSE)-4,1)</f>
        <v>F</v>
      </c>
      <c r="AH290" s="49" t="str">
        <f>MID(VLOOKUP($A290,Seqs!$A:$B,2,FALSE),VLOOKUP($A290,'SegEnds_NonXtal_Prot#'!$A:$AL,28,FALSE),1)</f>
        <v>M</v>
      </c>
    </row>
    <row r="291" spans="1:34" s="2" customFormat="1" x14ac:dyDescent="0.2">
      <c r="A291" s="2" t="s">
        <v>362</v>
      </c>
      <c r="B291" s="2" t="str">
        <f>LOWER(VLOOKUP(A291,Xtal_Templ!A:B,2,FALSE))</f>
        <v>pe2r3_human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G291" s="2" t="s">
        <v>5</v>
      </c>
      <c r="H291" s="4"/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L</v>
      </c>
      <c r="X291" s="49" t="str">
        <f>MID(VLOOKUP($A291,Seqs!$A:$B,2,FALSE),VLOOKUP($A291,'SegEnds_NonXtal_Prot#'!A:AL,10,FALSE)+7,1)</f>
        <v>T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P</v>
      </c>
      <c r="AA291" s="49" t="str">
        <f>MID(VLOOKUP($A291,Seqs!$A:$B,2,FALSE),VLOOKUP($A291,'SegEnds_NonXtal_Prot#'!A:AL,10,FALSE)+10,1)</f>
        <v>V</v>
      </c>
      <c r="AB291" s="28" t="str">
        <f>MID(VLOOKUP($A291,Seqs!$A:$B,2,FALSE),VLOOKUP($A291,'SegEnds_NonXtal_Prot#'!$A:$AL,22,FALSE)+6,1)</f>
        <v>F</v>
      </c>
      <c r="AC291" s="49" t="str">
        <f>MID(VLOOKUP($A291,Seqs!$A:$B,2,FALSE),VLOOKUP($A291,'SegEnds_NonXtal_Prot#'!$A:$AL,22,FALSE)+7,1)</f>
        <v>A</v>
      </c>
      <c r="AD291" s="49" t="str">
        <f>MID(VLOOKUP($A291,Seqs!$A:$B,2,FALSE),VLOOKUP($A291,'SegEnds_NonXtal_Prot#'!$A:$AL,22,FALSE)+8,1)</f>
        <v>L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L</v>
      </c>
      <c r="AH291" s="49" t="str">
        <f>MID(VLOOKUP($A291,Seqs!$A:$B,2,FALSE),VLOOKUP($A291,'SegEnds_NonXtal_Prot#'!$A:$AL,28,FALSE),1)</f>
        <v>A</v>
      </c>
    </row>
    <row r="292" spans="1:34" s="2" customFormat="1" x14ac:dyDescent="0.2">
      <c r="A292" s="2" t="s">
        <v>104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T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V</v>
      </c>
      <c r="AH292" s="49" t="str">
        <f>MID(VLOOKUP($A292,Seqs!$A:$B,2,FALSE),VLOOKUP($A292,'SegEnds_NonXtal_Prot#'!$A:$AL,28,FALSE),1)</f>
        <v>L</v>
      </c>
    </row>
    <row r="293" spans="1:34" s="2" customFormat="1" x14ac:dyDescent="0.2">
      <c r="A293" s="2" t="s">
        <v>376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F</v>
      </c>
      <c r="Y293" s="49" t="str">
        <f>MID(VLOOKUP($A293,Seqs!$A:$B,2,FALSE),VLOOKUP($A293,'SegEnds_NonXtal_Prot#'!A:AL,10,FALSE)+8,1)</f>
        <v>V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G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377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K</v>
      </c>
      <c r="Z294" s="49" t="str">
        <f>MID(VLOOKUP($A294,Seqs!$A:$B,2,FALSE),VLOOKUP($A294,'SegEnds_NonXtal_Prot#'!A:AL,10,FALSE)+9,1)</f>
        <v>V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A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378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L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M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I</v>
      </c>
      <c r="AH295" s="49" t="str">
        <f>MID(VLOOKUP($A295,Seqs!$A:$B,2,FALSE),VLOOKUP($A295,'SegEnds_NonXtal_Prot#'!$A:$AL,28,FALSE),1)</f>
        <v>V</v>
      </c>
    </row>
    <row r="296" spans="1:34" s="2" customFormat="1" x14ac:dyDescent="0.2">
      <c r="A296" s="2" t="s">
        <v>379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I296" s="2" t="s">
        <v>21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A</v>
      </c>
      <c r="X296" s="49" t="str">
        <f>MID(VLOOKUP($A296,Seqs!$A:$B,2,FALSE),VLOOKUP($A296,'SegEnds_NonXtal_Prot#'!A:AL,10,FALSE)+7,1)</f>
        <v>Y</v>
      </c>
      <c r="Y296" s="49" t="str">
        <f>MID(VLOOKUP($A296,Seqs!$A:$B,2,FALSE),VLOOKUP($A296,'SegEnds_NonXtal_Prot#'!A:AL,10,FALSE)+8,1)</f>
        <v>A</v>
      </c>
      <c r="Z296" s="49" t="str">
        <f>MID(VLOOKUP($A296,Seqs!$A:$B,2,FALSE),VLOOKUP($A296,'SegEnds_NonXtal_Prot#'!A:AL,10,FALSE)+9,1)</f>
        <v>A</v>
      </c>
      <c r="AA296" s="49" t="str">
        <f>MID(VLOOKUP($A296,Seqs!$A:$B,2,FALSE),VLOOKUP($A296,'SegEnds_NonXtal_Prot#'!A:AL,10,FALSE)+10,1)</f>
        <v>N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A</v>
      </c>
      <c r="AH296" s="49" t="str">
        <f>MID(VLOOKUP($A296,Seqs!$A:$B,2,FALSE),VLOOKUP($A296,'SegEnds_NonXtal_Prot#'!$A:$AL,28,FALSE),1)</f>
        <v>I</v>
      </c>
    </row>
    <row r="297" spans="1:34" s="2" customFormat="1" x14ac:dyDescent="0.2">
      <c r="A297" s="2" t="s">
        <v>469</v>
      </c>
      <c r="B297" s="2" t="str">
        <f>LOWER(VLOOKUP(A297,Xtal_Templ!A:B,2,FALSE))</f>
        <v>ta2r_human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G297" s="2" t="s">
        <v>5</v>
      </c>
      <c r="H297" s="4"/>
      <c r="I297" s="2" t="s">
        <v>21</v>
      </c>
      <c r="S297" s="2" t="s">
        <v>1316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V</v>
      </c>
      <c r="X297" s="49" t="str">
        <f>MID(VLOOKUP($A297,Seqs!$A:$B,2,FALSE),VLOOKUP($A297,'SegEnds_NonXtal_Prot#'!A:AL,10,FALSE)+7,1)</f>
        <v>T</v>
      </c>
      <c r="Y297" s="49" t="str">
        <f>MID(VLOOKUP($A297,Seqs!$A:$B,2,FALSE),VLOOKUP($A297,'SegEnds_NonXtal_Prot#'!A:AL,10,FALSE)+8,1)</f>
        <v>G</v>
      </c>
      <c r="Z297" s="49" t="str">
        <f>MID(VLOOKUP($A297,Seqs!$A:$B,2,FALSE),VLOOKUP($A297,'SegEnds_NonXtal_Prot#'!A:AL,10,FALSE)+9,1)</f>
        <v>T</v>
      </c>
      <c r="AA297" s="49" t="str">
        <f>MID(VLOOKUP($A297,Seqs!$A:$B,2,FALSE),VLOOKUP($A297,'SegEnds_NonXtal_Prot#'!A:AL,10,FALSE)+10,1)</f>
        <v>I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G</v>
      </c>
      <c r="AD297" s="49" t="str">
        <f>MID(VLOOKUP($A297,Seqs!$A:$B,2,FALSE),VLOOKUP($A297,'SegEnds_NonXtal_Prot#'!$A:$AL,22,FALSE)+8,1)</f>
        <v>L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L</v>
      </c>
      <c r="AH297" s="49" t="str">
        <f>MID(VLOOKUP($A297,Seqs!$A:$B,2,FALSE),VLOOKUP($A297,'SegEnds_NonXtal_Prot#'!$A:$AL,28,FALSE),1)</f>
        <v>S</v>
      </c>
    </row>
    <row r="298" spans="1:34" s="2" customFormat="1" x14ac:dyDescent="0.2">
      <c r="A298" s="2" t="s">
        <v>220</v>
      </c>
      <c r="B298" s="2" t="str">
        <f>LOWER(VLOOKUP(A298,Xtal_Templ!A:B,2,FALSE))</f>
        <v>s1pr1_human</v>
      </c>
      <c r="C298" s="2" t="str">
        <f>VLOOKUP(A298,Classification!A:D,2,FALSE)</f>
        <v>A</v>
      </c>
      <c r="D298" s="2" t="str">
        <f>IF(ISERROR(MATCH(A298,'SegEnds_Xtal_Prot#'!B:B, 0)), "NoXtal", "Xtal")</f>
        <v>NoXtal</v>
      </c>
      <c r="H298" s="4"/>
      <c r="R298" s="2" t="s">
        <v>9</v>
      </c>
      <c r="T298" s="4" t="s">
        <v>12</v>
      </c>
      <c r="V298" s="28" t="str">
        <f>MID(VLOOKUP($A298,Seqs!$A:$B,2,FALSE),VLOOKUP($A298,'SegEnds_NonXtal_Prot#'!A:AL,10,FALSE),1)</f>
        <v>Q</v>
      </c>
      <c r="W298" s="49" t="str">
        <f>MID(VLOOKUP($A298,Seqs!$A:$B,2,FALSE),VLOOKUP($A298,'SegEnds_NonXtal_Prot#'!A:AL,10,FALSE)+6,1)</f>
        <v>S</v>
      </c>
      <c r="X298" s="49" t="str">
        <f>MID(VLOOKUP($A298,Seqs!$A:$B,2,FALSE),VLOOKUP($A298,'SegEnds_NonXtal_Prot#'!A:AL,10,FALSE)+7,1)</f>
        <v>M</v>
      </c>
      <c r="Y298" s="49" t="str">
        <f>MID(VLOOKUP($A298,Seqs!$A:$B,2,FALSE),VLOOKUP($A298,'SegEnds_NonXtal_Prot#'!A:AL,10,FALSE)+8,1)</f>
        <v>L</v>
      </c>
      <c r="Z298" s="49" t="str">
        <f>MID(VLOOKUP($A298,Seqs!$A:$B,2,FALSE),VLOOKUP($A298,'SegEnds_NonXtal_Prot#'!A:AL,10,FALSE)+9,1)</f>
        <v>V</v>
      </c>
      <c r="AA298" s="49" t="str">
        <f>MID(VLOOKUP($A298,Seqs!$A:$B,2,FALSE),VLOOKUP($A298,'SegEnds_NonXtal_Prot#'!A:AL,10,FALSE)+10,1)</f>
        <v>A</v>
      </c>
      <c r="AB298" s="28" t="str">
        <f>MID(VLOOKUP($A298,Seqs!$A:$B,2,FALSE),VLOOKUP($A298,'SegEnds_NonXtal_Prot#'!$A:$AL,22,FALSE)+6,1)</f>
        <v>L</v>
      </c>
      <c r="AC298" s="49" t="str">
        <f>MID(VLOOKUP($A298,Seqs!$A:$B,2,FALSE),VLOOKUP($A298,'SegEnds_NonXtal_Prot#'!$A:$AL,22,FALSE)+7,1)</f>
        <v>S</v>
      </c>
      <c r="AD298" s="49" t="str">
        <f>MID(VLOOKUP($A298,Seqs!$A:$B,2,FALSE),VLOOKUP($A298,'SegEnds_NonXtal_Prot#'!$A:$AL,22,FALSE)+8,1)</f>
        <v>A</v>
      </c>
      <c r="AE298" s="49" t="str">
        <f>MID(VLOOKUP($A298,Seqs!$A:$B,2,FALSE),VLOOKUP($A298,'SegEnds_NonXtal_Prot#'!$A:$AL,22,FALSE)+9,1)</f>
        <v>L</v>
      </c>
      <c r="AF298" s="49" t="str">
        <f>MID(VLOOKUP($A298,Seqs!$A:$B,2,FALSE),VLOOKUP($A298,'SegEnds_NonXtal_Prot#'!$A:$AL,22,FALSE)+10,1)</f>
        <v>P</v>
      </c>
      <c r="AG298" s="28" t="str">
        <f>MID(VLOOKUP($A298,Seqs!$A:$B,2,FALSE),VLOOKUP($A298,'SegEnds_NonXtal_Prot#'!$A:$AL,28,FALSE)-4,1)</f>
        <v>G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917</v>
      </c>
      <c r="B299" s="2" t="str">
        <f>LOWER(VLOOKUP(A299,Xtal_Templ!A:B,2,FALSE))</f>
        <v>us28_hcmva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1501</v>
      </c>
      <c r="B300" s="2" t="str">
        <f>LOWER(VLOOKUP(A300,Xtal_Templ!A:B,2,FALSE))</f>
        <v>q80km9_hcmv</v>
      </c>
      <c r="C300" s="2" t="str">
        <f>VLOOKUP(A300,Classification!A:D,2,FALSE)</f>
        <v>A</v>
      </c>
      <c r="D300" s="2" t="str">
        <f>IF(ISERROR(MATCH(A300,'SegEnds_Xtal_Prot#'!B:B, 0)), "NoXtal", "Xtal")</f>
        <v>Xtal</v>
      </c>
      <c r="H300" s="4"/>
      <c r="N300" s="2" t="s">
        <v>14</v>
      </c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L</v>
      </c>
      <c r="Y300" s="49" t="str">
        <f>MID(VLOOKUP($A300,Seqs!$A:$B,2,FALSE),VLOOKUP($A300,'SegEnds_NonXtal_Prot#'!A:AL,10,FALSE)+8,1)</f>
        <v>P</v>
      </c>
      <c r="Z300" s="49" t="str">
        <f>MID(VLOOKUP($A300,Seqs!$A:$B,2,FALSE),VLOOKUP($A300,'SegEnds_NonXtal_Prot#'!A:AL,10,FALSE)+9,1)</f>
        <v>L</v>
      </c>
      <c r="AA300" s="49" t="str">
        <f>MID(VLOOKUP($A300,Seqs!$A:$B,2,FALSE),VLOOKUP($A300,'SegEnds_NonXtal_Prot#'!A:AL,10,FALSE)+10,1)</f>
        <v>W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I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A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1631</v>
      </c>
      <c r="B301" s="2" t="str">
        <f>LOWER(VLOOKUP(A301,Xtal_Templ!A:B,2,FALSE))</f>
        <v>ada2b_human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R301" s="2" t="s">
        <v>9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V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I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N</v>
      </c>
      <c r="AC301" s="49" t="str">
        <f>MID(VLOOKUP($A301,Seqs!$A:$B,2,FALSE),VLOOKUP($A301,'SegEnds_NonXtal_Prot#'!$A:$AL,22,FALSE)+7,1)</f>
        <v>A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P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I</v>
      </c>
      <c r="AH301" s="49" t="str">
        <f>MID(VLOOKUP($A301,Seqs!$A:$B,2,FALSE),VLOOKUP($A301,'SegEnds_NonXtal_Prot#'!$A:$AL,28,FALSE),1)</f>
        <v>P</v>
      </c>
    </row>
    <row r="302" spans="1:34" s="2" customFormat="1" x14ac:dyDescent="0.2">
      <c r="A302" s="2" t="s">
        <v>1634</v>
      </c>
      <c r="B302" s="2" t="str">
        <f>LOWER(VLOOKUP(A302,Xtal_Templ!A:B,2,FALSE))</f>
        <v>ccr2_human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S302" s="2" t="s">
        <v>1316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H</v>
      </c>
      <c r="AC302" s="49" t="str">
        <f>MID(VLOOKUP($A302,Seqs!$A:$B,2,FALSE),VLOOKUP($A302,'SegEnds_NonXtal_Prot#'!$A:$AL,22,FALSE)+7,1)</f>
        <v>S</v>
      </c>
      <c r="AD302" s="49" t="str">
        <f>MID(VLOOKUP($A302,Seqs!$A:$B,2,FALSE),VLOOKUP($A302,'SegEnds_NonXtal_Prot#'!$A:$AL,22,FALSE)+8,1)</f>
        <v>L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H</v>
      </c>
      <c r="AG302" s="28" t="str">
        <f>MID(VLOOKUP($A302,Seqs!$A:$B,2,FALSE),VLOOKUP($A302,'SegEnds_NonXtal_Prot#'!$A:$AL,28,FALSE)-4,1)</f>
        <v>T</v>
      </c>
      <c r="AH302" s="49" t="str">
        <f>MID(VLOOKUP($A302,Seqs!$A:$B,2,FALSE),VLOOKUP($A302,'SegEnds_NonXtal_Prot#'!$A:$AL,28,FALSE),1)</f>
        <v>C</v>
      </c>
    </row>
    <row r="303" spans="1:34" s="2" customFormat="1" x14ac:dyDescent="0.2">
      <c r="A303" s="2" t="s">
        <v>1636</v>
      </c>
      <c r="B303" s="2" t="str">
        <f>LOWER(VLOOKUP(A303,Xtal_Templ!A:B,2,FALSE))</f>
        <v>c5ar1_human</v>
      </c>
      <c r="C303" s="2" t="str">
        <f>VLOOKUP(A303,Classification!A:D,2,FALSE)</f>
        <v>A</v>
      </c>
      <c r="D303" s="2" t="str">
        <f>IF(ISERROR(MATCH(A303,'SegEnds_Xtal_Prot#'!B:B, 0)), "NoXtal", "Xtal")</f>
        <v>NoXtal</v>
      </c>
      <c r="G303" s="2" t="s">
        <v>5</v>
      </c>
      <c r="H303" s="4"/>
      <c r="R303" s="2" t="s">
        <v>9</v>
      </c>
      <c r="T303" s="4" t="s">
        <v>12</v>
      </c>
      <c r="V303" s="28" t="str">
        <f>MID(VLOOKUP($A303,Seqs!$A:$B,2,FALSE),VLOOKUP($A303,'SegEnds_NonXtal_Prot#'!A:AL,10,FALSE),1)</f>
        <v>D</v>
      </c>
      <c r="W303" s="49" t="str">
        <f>MID(VLOOKUP($A303,Seqs!$A:$B,2,FALSE),VLOOKUP($A303,'SegEnds_NonXtal_Prot#'!A:AL,10,FALSE)+6,1)</f>
        <v>T</v>
      </c>
      <c r="X303" s="49" t="str">
        <f>MID(VLOOKUP($A303,Seqs!$A:$B,2,FALSE),VLOOKUP($A303,'SegEnds_NonXtal_Prot#'!A:AL,10,FALSE)+7,1)</f>
        <v>T</v>
      </c>
      <c r="Y303" s="49" t="str">
        <f>MID(VLOOKUP($A303,Seqs!$A:$B,2,FALSE),VLOOKUP($A303,'SegEnds_NonXtal_Prot#'!A:AL,10,FALSE)+8,1)</f>
        <v>V</v>
      </c>
      <c r="Z303" s="49" t="str">
        <f>MID(VLOOKUP($A303,Seqs!$A:$B,2,FALSE),VLOOKUP($A303,'SegEnds_NonXtal_Prot#'!A:AL,10,FALSE)+9,1)</f>
        <v>P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D</v>
      </c>
      <c r="AC303" s="49" t="str">
        <f>MID(VLOOKUP($A303,Seqs!$A:$B,2,FALSE),VLOOKUP($A303,'SegEnds_NonXtal_Prot#'!$A:$AL,22,FALSE)+7,1)</f>
        <v>G</v>
      </c>
      <c r="AD303" s="49" t="str">
        <f>MID(VLOOKUP($A303,Seqs!$A:$B,2,FALSE),VLOOKUP($A303,'SegEnds_NonXtal_Prot#'!$A:$AL,22,FALSE)+8,1)</f>
        <v>F</v>
      </c>
      <c r="AE303" s="49" t="str">
        <f>MID(VLOOKUP($A303,Seqs!$A:$B,2,FALSE),VLOOKUP($A303,'SegEnds_NonXtal_Prot#'!$A:$AL,22,FALSE)+9,1)</f>
        <v>L</v>
      </c>
      <c r="AF303" s="49" t="str">
        <f>MID(VLOOKUP($A303,Seqs!$A:$B,2,FALSE),VLOOKUP($A303,'SegEnds_NonXtal_Prot#'!$A:$AL,22,FALSE)+10,1)</f>
        <v>L</v>
      </c>
      <c r="AG303" s="28" t="str">
        <f>MID(VLOOKUP($A303,Seqs!$A:$B,2,FALSE),VLOOKUP($A303,'SegEnds_NonXtal_Prot#'!$A:$AL,28,FALSE)-4,1)</f>
        <v>M</v>
      </c>
      <c r="AH303" s="49" t="str">
        <f>MID(VLOOKUP($A303,Seqs!$A:$B,2,FALSE),VLOOKUP($A303,'SegEnds_NonXtal_Prot#'!$A:$AL,28,FALSE),1)</f>
        <v>P</v>
      </c>
    </row>
    <row r="304" spans="1:34" s="2" customFormat="1" x14ac:dyDescent="0.2">
      <c r="A304" s="2" t="s">
        <v>400</v>
      </c>
      <c r="B304" s="2" t="str">
        <f>LOWER(VLOOKUP(A304,Xtal_Templ!A:B,2,FALSE))</f>
        <v>calcr_human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1317</v>
      </c>
      <c r="T304" s="4" t="s">
        <v>12</v>
      </c>
      <c r="V304" s="28" t="str">
        <f>MID(VLOOKUP($A304,Seqs!$A:$B,2,FALSE),VLOOKUP($A304,'SegEnds_NonXtal_Prot#'!A:AL,10,FALSE),1)</f>
        <v>Y</v>
      </c>
      <c r="W304" s="49" t="str">
        <f>MID(VLOOKUP($A304,Seqs!$A:$B,2,FALSE),VLOOKUP($A304,'SegEnds_NonXtal_Prot#'!A:AL,10,FALSE)+6,1)</f>
        <v>I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T</v>
      </c>
      <c r="AD304" s="49" t="str">
        <f>MID(VLOOKUP($A304,Seqs!$A:$B,2,FALSE),VLOOKUP($A304,'SegEnds_NonXtal_Prot#'!$A:$AL,22,FALSE)+8,1)</f>
        <v>T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401</v>
      </c>
      <c r="B305" s="2" t="str">
        <f>LOWER(VLOOKUP(A305,Xtal_Templ!A:B,2,FALSE))</f>
        <v>calrl_human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1317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V</v>
      </c>
      <c r="X305" s="49" t="str">
        <f>MID(VLOOKUP($A305,Seqs!$A:$B,2,FALSE),VLOOKUP($A305,'SegEnds_NonXtal_Prot#'!A:AL,10,FALSE)+7,1)</f>
        <v>T</v>
      </c>
      <c r="Y305" s="49" t="str">
        <f>MID(VLOOKUP($A305,Seqs!$A:$B,2,FALSE),VLOOKUP($A305,'SegEnds_NonXtal_Prot#'!A:AL,10,FALSE)+8,1)</f>
        <v>I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H</v>
      </c>
      <c r="AB305" s="28" t="str">
        <f>MID(VLOOKUP($A305,Seqs!$A:$B,2,FALSE),VLOOKUP($A305,'SegEnds_NonXtal_Prot#'!$A:$AL,22,FALSE)+6,1)</f>
        <v>P</v>
      </c>
      <c r="AC305" s="49" t="str">
        <f>MID(VLOOKUP($A305,Seqs!$A:$B,2,FALSE),VLOOKUP($A305,'SegEnds_NonXtal_Prot#'!$A:$AL,22,FALSE)+7,1)</f>
        <v>A</v>
      </c>
      <c r="AD305" s="49" t="str">
        <f>MID(VLOOKUP($A305,Seqs!$A:$B,2,FALSE),VLOOKUP($A305,'SegEnds_NonXtal_Prot#'!$A:$AL,22,FALSE)+8,1)</f>
        <v>C</v>
      </c>
      <c r="AE305" s="49" t="str">
        <f>MID(VLOOKUP($A305,Seqs!$A:$B,2,FALSE),VLOOKUP($A305,'SegEnds_NonXtal_Prot#'!$A:$AL,22,FALSE)+9,1)</f>
        <v>I</v>
      </c>
      <c r="AF305" s="49" t="str">
        <f>MID(VLOOKUP($A305,Seqs!$A:$B,2,FALSE),VLOOKUP($A305,'SegEnds_NonXtal_Prot#'!$A:$AL,22,FALSE)+10,1)</f>
        <v>H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38</v>
      </c>
      <c r="B306" s="2" t="str">
        <f>LOWER(VLOOKUP(A306,Xtal_Templ!A:B,2,FALSE))</f>
        <v>crfr1_human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F306" s="49"/>
      <c r="H306" s="4"/>
      <c r="J306" s="52" t="s">
        <v>25</v>
      </c>
      <c r="K306" s="107"/>
      <c r="P306" s="2" t="s">
        <v>1317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T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V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402</v>
      </c>
      <c r="B307" s="2" t="str">
        <f>LOWER(VLOOKUP(A307,Xtal_Templ!A:B,2,FALSE))</f>
        <v>crfr2_human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F307" s="49"/>
      <c r="H307" s="4"/>
      <c r="J307" s="106" t="s">
        <v>25</v>
      </c>
      <c r="P307" s="2" t="s">
        <v>1317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M</v>
      </c>
      <c r="X307" s="49" t="str">
        <f>MID(VLOOKUP($A307,Seqs!$A:$B,2,FALSE),VLOOKUP($A307,'SegEnds_NonXtal_Prot#'!A:AL,10,FALSE)+7,1)</f>
        <v>W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L</v>
      </c>
      <c r="AB307" s="28" t="str">
        <f>MID(VLOOKUP($A307,Seqs!$A:$B,2,FALSE),VLOOKUP($A307,'SegEnds_NonXtal_Prot#'!$A:$AL,22,FALSE)+6,1)</f>
        <v>I</v>
      </c>
      <c r="AC307" s="49" t="str">
        <f>MID(VLOOKUP($A307,Seqs!$A:$B,2,FALSE),VLOOKUP($A307,'SegEnds_NonXtal_Prot#'!$A:$AL,22,FALSE)+7,1)</f>
        <v>I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A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V</v>
      </c>
    </row>
    <row r="308" spans="1:34" s="2" customFormat="1" x14ac:dyDescent="0.2">
      <c r="A308" s="2" t="s">
        <v>403</v>
      </c>
      <c r="B308" s="2" t="str">
        <f>LOWER(VLOOKUP(A308,Xtal_Templ!A:B,2,FALSE))</f>
        <v>pacr_human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1317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L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T</v>
      </c>
      <c r="AD308" s="49" t="str">
        <f>MID(VLOOKUP($A308,Seqs!$A:$B,2,FALSE),VLOOKUP($A308,'SegEnds_NonXtal_Prot#'!$A:$AL,22,FALSE)+8,1)</f>
        <v>G</v>
      </c>
      <c r="AE308" s="49" t="str">
        <f>MID(VLOOKUP($A308,Seqs!$A:$B,2,FALSE),VLOOKUP($A308,'SegEnds_NonXtal_Prot#'!$A:$AL,22,FALSE)+9,1)</f>
        <v>T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404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1317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A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L</v>
      </c>
      <c r="Z309" s="49" t="str">
        <f>MID(VLOOKUP($A309,Seqs!$A:$B,2,FALSE),VLOOKUP($A309,'SegEnds_NonXtal_Prot#'!A:AL,10,FALSE)+9,1)</f>
        <v>S</v>
      </c>
      <c r="AA309" s="49" t="str">
        <f>MID(VLOOKUP($A309,Seqs!$A:$B,2,FALSE),VLOOKUP($A309,'SegEnds_NonXtal_Prot#'!A:AL,10,FALSE)+10,1)</f>
        <v>R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I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T</v>
      </c>
    </row>
    <row r="310" spans="1:34" s="2" customFormat="1" x14ac:dyDescent="0.2">
      <c r="A310" s="2" t="s">
        <v>405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Xtal</v>
      </c>
      <c r="H310" s="4"/>
      <c r="J310" s="106" t="s">
        <v>25</v>
      </c>
      <c r="P310" s="2" t="s">
        <v>1317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406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1317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C</v>
      </c>
    </row>
    <row r="312" spans="1:34" s="2" customFormat="1" x14ac:dyDescent="0.2">
      <c r="A312" s="2" t="s">
        <v>32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1317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I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V</v>
      </c>
      <c r="AE312" s="49" t="str">
        <f>MID(VLOOKUP($A312,Seqs!$A:$B,2,FALSE),VLOOKUP($A312,'SegEnds_NonXtal_Prot#'!$A:$AL,22,FALSE)+9,1)</f>
        <v>P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A</v>
      </c>
    </row>
    <row r="313" spans="1:34" s="2" customFormat="1" x14ac:dyDescent="0.2">
      <c r="A313" s="2" t="s">
        <v>407</v>
      </c>
      <c r="B313" s="2" t="str">
        <f>LOWER(VLOOKUP(A313,Xtal_Templ!A:B,2,FALSE))</f>
        <v>pacr_human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1317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T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408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1317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S</v>
      </c>
    </row>
    <row r="315" spans="1:34" s="2" customFormat="1" x14ac:dyDescent="0.2">
      <c r="A315" s="2" t="s">
        <v>409</v>
      </c>
      <c r="B315" s="2" t="str">
        <f>LOWER(VLOOKUP(A315,Xtal_Templ!A:B,2,FALSE))</f>
        <v>pth1r_human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1317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I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V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A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A</v>
      </c>
    </row>
    <row r="316" spans="1:34" s="2" customFormat="1" x14ac:dyDescent="0.2">
      <c r="A316" s="2" t="s">
        <v>410</v>
      </c>
      <c r="B316" s="2" t="str">
        <f>LOWER(VLOOKUP(A316,Xtal_Templ!A:B,2,FALSE))</f>
        <v>sctr_human</v>
      </c>
      <c r="C316" s="2" t="str">
        <f>VLOOKUP(A316,Classification!A:D,2,FALSE)</f>
        <v>B1</v>
      </c>
      <c r="D316" s="2" t="str">
        <f>IF(ISERROR(MATCH(A316,'SegEnds_Xtal_Prot#'!B:B, 0)), "NoXtal", "Xtal")</f>
        <v>Xtal</v>
      </c>
      <c r="H316" s="4"/>
      <c r="J316" s="106" t="s">
        <v>25</v>
      </c>
      <c r="P316" s="2" t="s">
        <v>1317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N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V</v>
      </c>
      <c r="AD316" s="49" t="str">
        <f>MID(VLOOKUP($A316,Seqs!$A:$B,2,FALSE),VLOOKUP($A316,'SegEnds_NonXtal_Prot#'!$A:$AL,22,FALSE)+8,1)</f>
        <v>A</v>
      </c>
      <c r="AE316" s="49" t="str">
        <f>MID(VLOOKUP($A316,Seqs!$A:$B,2,FALSE),VLOOKUP($A316,'SegEnds_NonXtal_Prot#'!$A:$AL,22,FALSE)+9,1)</f>
        <v>L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411</v>
      </c>
      <c r="B317" s="2" t="str">
        <f>LOWER(VLOOKUP(A317,Xtal_Templ!A:B,2,FALSE))</f>
        <v>sctr_human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1317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A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F</v>
      </c>
      <c r="Z317" s="49" t="str">
        <f>MID(VLOOKUP($A317,Seqs!$A:$B,2,FALSE),VLOOKUP($A317,'SegEnds_NonXtal_Prot#'!A:AL,10,FALSE)+9,1)</f>
        <v>I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F</v>
      </c>
      <c r="AC317" s="49" t="str">
        <f>MID(VLOOKUP($A317,Seqs!$A:$B,2,FALSE),VLOOKUP($A317,'SegEnds_NonXtal_Prot#'!$A:$AL,22,FALSE)+7,1)</f>
        <v>T</v>
      </c>
      <c r="AD317" s="49" t="str">
        <f>MID(VLOOKUP($A317,Seqs!$A:$B,2,FALSE),VLOOKUP($A317,'SegEnds_NonXtal_Prot#'!$A:$AL,22,FALSE)+8,1)</f>
        <v>M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412</v>
      </c>
      <c r="B318" s="2" t="str">
        <f>LOWER(VLOOKUP(A318,Xtal_Templ!A:B,2,FALSE))</f>
        <v>pacr_human</v>
      </c>
      <c r="C318" s="2" t="str">
        <f>VLOOKUP(A318,Classification!A:D,2,FALSE)</f>
        <v>B1</v>
      </c>
      <c r="D318" s="2" t="str">
        <f>IF(ISERROR(MATCH(A318,'SegEnds_Xtal_Prot#'!B:B, 0)), "NoXtal", "Xtal")</f>
        <v>NoXtal</v>
      </c>
      <c r="H318" s="4"/>
      <c r="J318" s="106" t="s">
        <v>25</v>
      </c>
      <c r="P318" s="2" t="s">
        <v>1317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C</v>
      </c>
      <c r="AC318" s="49" t="str">
        <f>MID(VLOOKUP($A318,Seqs!$A:$B,2,FALSE),VLOOKUP($A318,'SegEnds_NonXtal_Prot#'!$A:$AL,22,FALSE)+7,1)</f>
        <v>I</v>
      </c>
      <c r="AD318" s="49" t="str">
        <f>MID(VLOOKUP($A318,Seqs!$A:$B,2,FALSE),VLOOKUP($A318,'SegEnds_NonXtal_Prot#'!$A:$AL,22,FALSE)+8,1)</f>
        <v>G</v>
      </c>
      <c r="AE318" s="49" t="str">
        <f>MID(VLOOKUP($A318,Seqs!$A:$B,2,FALSE),VLOOKUP($A318,'SegEnds_NonXtal_Prot#'!$A:$AL,22,FALSE)+9,1)</f>
        <v>A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S</v>
      </c>
    </row>
    <row r="319" spans="1:34" s="2" customFormat="1" x14ac:dyDescent="0.2">
      <c r="A319" s="2" t="s">
        <v>1414</v>
      </c>
      <c r="B319" s="2" t="str">
        <f>LOWER(VLOOKUP(A319,Xtal_Templ!A:B,2,FALSE))</f>
        <v>g1sgd4_rabit</v>
      </c>
      <c r="C319" s="2" t="str">
        <f>VLOOKUP(A319,Classification!A:D,2,FALSE)</f>
        <v>B1</v>
      </c>
      <c r="D319" s="2" t="str">
        <f>IF(ISERROR(MATCH(A319,'SegEnds_Xtal_Prot#'!B:B, 0)), "NoXtal", "Xtal")</f>
        <v>Xtal</v>
      </c>
      <c r="H319" s="4"/>
      <c r="J319" s="106" t="s">
        <v>25</v>
      </c>
      <c r="P319" s="2" t="s">
        <v>1317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S</v>
      </c>
      <c r="X319" s="49" t="str">
        <f>MID(VLOOKUP($A319,Seqs!$A:$B,2,FALSE),VLOOKUP($A319,'SegEnds_NonXtal_Prot#'!A:AL,10,FALSE)+7,1)</f>
        <v>V</v>
      </c>
      <c r="Y319" s="49" t="str">
        <f>MID(VLOOKUP($A319,Seqs!$A:$B,2,FALSE),VLOOKUP($A319,'SegEnds_NonXtal_Prot#'!A:AL,10,FALSE)+8,1)</f>
        <v>F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K</v>
      </c>
      <c r="AB319" s="28" t="str">
        <f>MID(VLOOKUP($A319,Seqs!$A:$B,2,FALSE),VLOOKUP($A319,'SegEnds_NonXtal_Prot#'!$A:$AL,22,FALSE)+6,1)</f>
        <v>F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P</v>
      </c>
      <c r="AF319" s="49" t="str">
        <f>MID(VLOOKUP($A319,Seqs!$A:$B,2,FALSE),VLOOKUP($A319,'SegEnds_NonXtal_Prot#'!$A:$AL,22,FALSE)+10,1)</f>
        <v>W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A</v>
      </c>
    </row>
    <row r="320" spans="1:34" s="2" customFormat="1" x14ac:dyDescent="0.2">
      <c r="A320" s="2" t="s">
        <v>1170</v>
      </c>
      <c r="B320" s="2" t="str">
        <f>LOWER(VLOOKUP(A320,Xtal_Templ!A:B,2,FALSE))</f>
        <v>pacr_human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T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1171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S</v>
      </c>
      <c r="X321" s="49" t="str">
        <f>MID(VLOOKUP($A321,Seqs!$A:$B,2,FALSE),VLOOKUP($A321,'SegEnds_NonXtal_Prot#'!A:AL,10,FALSE)+7,1)</f>
        <v>A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A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1172</v>
      </c>
      <c r="B322" s="2" t="str">
        <f>LOWER(VLOOKUP(A322,Xtal_Templ!A:B,2,FALSE))</f>
        <v>sctr_human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F</v>
      </c>
      <c r="W322" s="49" t="str">
        <f>MID(VLOOKUP($A322,Seqs!$A:$B,2,FALSE),VLOOKUP($A322,'SegEnds_NonXtal_Prot#'!A:AL,10,FALSE)+6,1)</f>
        <v>C</v>
      </c>
      <c r="X322" s="49" t="str">
        <f>MID(VLOOKUP($A322,Seqs!$A:$B,2,FALSE),VLOOKUP($A322,'SegEnds_NonXtal_Prot#'!A:AL,10,FALSE)+7,1)</f>
        <v>V</v>
      </c>
      <c r="Y322" s="49" t="str">
        <f>MID(VLOOKUP($A322,Seqs!$A:$B,2,FALSE),VLOOKUP($A322,'SegEnds_NonXtal_Prot#'!A:AL,10,FALSE)+8,1)</f>
        <v>V</v>
      </c>
      <c r="Z322" s="49" t="str">
        <f>MID(VLOOKUP($A322,Seqs!$A:$B,2,FALSE),VLOOKUP($A322,'SegEnds_NonXtal_Prot#'!A:AL,10,FALSE)+9,1)</f>
        <v>F</v>
      </c>
      <c r="AA322" s="49" t="str">
        <f>MID(VLOOKUP($A322,Seqs!$A:$B,2,FALSE),VLOOKUP($A322,'SegEnds_NonXtal_Prot#'!A:AL,10,FALSE)+10,1)</f>
        <v>V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C</v>
      </c>
      <c r="AD322" s="49" t="str">
        <f>MID(VLOOKUP($A322,Seqs!$A:$B,2,FALSE),VLOOKUP($A322,'SegEnds_NonXtal_Prot#'!$A:$AL,22,FALSE)+8,1)</f>
        <v>G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T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1173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V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1174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I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I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V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T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1175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V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I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C</v>
      </c>
      <c r="AD325" s="49" t="str">
        <f>MID(VLOOKUP($A325,Seqs!$A:$B,2,FALSE),VLOOKUP($A325,'SegEnds_NonXtal_Prot#'!$A:$AL,22,FALSE)+8,1)</f>
        <v>I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1176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F</v>
      </c>
      <c r="X326" s="49" t="str">
        <f>MID(VLOOKUP($A326,Seqs!$A:$B,2,FALSE),VLOOKUP($A326,'SegEnds_NonXtal_Prot#'!A:AL,10,FALSE)+7,1)</f>
        <v>L</v>
      </c>
      <c r="Y326" s="49" t="str">
        <f>MID(VLOOKUP($A326,Seqs!$A:$B,2,FALSE),VLOOKUP($A326,'SegEnds_NonXtal_Prot#'!A:AL,10,FALSE)+8,1)</f>
        <v>M</v>
      </c>
      <c r="Z326" s="49" t="str">
        <f>MID(VLOOKUP($A326,Seqs!$A:$B,2,FALSE),VLOOKUP($A326,'SegEnds_NonXtal_Prot#'!A:AL,10,FALSE)+9,1)</f>
        <v>T</v>
      </c>
      <c r="AA326" s="49" t="str">
        <f>MID(VLOOKUP($A326,Seqs!$A:$B,2,FALSE),VLOOKUP($A326,'SegEnds_NonXtal_Prot#'!A:AL,10,FALSE)+10,1)</f>
        <v>S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V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1177</v>
      </c>
      <c r="B327" s="2" t="str">
        <f>LOWER(VLOOKUP(A327,Xtal_Templ!A:B,2,FALSE))</f>
        <v>pth1r_human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A</v>
      </c>
      <c r="AA327" s="49" t="str">
        <f>MID(VLOOKUP($A327,Seqs!$A:$B,2,FALSE),VLOOKUP($A327,'SegEnds_NonXtal_Prot#'!A:AL,10,FALSE)+10,1)</f>
        <v>G</v>
      </c>
      <c r="AB327" s="28" t="str">
        <f>MID(VLOOKUP($A327,Seqs!$A:$B,2,FALSE),VLOOKUP($A327,'SegEnds_NonXtal_Prot#'!$A:$AL,22,FALSE)+6,1)</f>
        <v>V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V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V</v>
      </c>
    </row>
    <row r="328" spans="1:34" s="2" customFormat="1" x14ac:dyDescent="0.2">
      <c r="A328" s="2" t="s">
        <v>1178</v>
      </c>
      <c r="B328" s="2" t="str">
        <f>LOWER(VLOOKUP(A328,Xtal_Templ!A:B,2,FALSE))</f>
        <v>glp1r_human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A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1179</v>
      </c>
      <c r="B329" s="2" t="str">
        <f>LOWER(VLOOKUP(A329,Xtal_Templ!A:B,2,FALSE))</f>
        <v>sctr_human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V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T</v>
      </c>
      <c r="AC329" s="49" t="str">
        <f>MID(VLOOKUP($A329,Seqs!$A:$B,2,FALSE),VLOOKUP($A329,'SegEnds_NonXtal_Prot#'!$A:$AL,22,FALSE)+7,1)</f>
        <v>V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1180</v>
      </c>
      <c r="B330" s="2" t="str">
        <f>LOWER(VLOOKUP(A330,Xtal_Templ!A:B,2,FALSE))</f>
        <v>sctr_human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L</v>
      </c>
      <c r="W330" s="49" t="str">
        <f>MID(VLOOKUP($A330,Seqs!$A:$B,2,FALSE),VLOOKUP($A330,'SegEnds_NonXtal_Prot#'!A:AL,10,FALSE)+6,1)</f>
        <v>L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T</v>
      </c>
      <c r="AA330" s="49" t="str">
        <f>MID(VLOOKUP($A330,Seqs!$A:$B,2,FALSE),VLOOKUP($A330,'SegEnds_NonXtal_Prot#'!A:AL,10,FALSE)+10,1)</f>
        <v>G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I</v>
      </c>
      <c r="AD330" s="49" t="str">
        <f>MID(VLOOKUP($A330,Seqs!$A:$B,2,FALSE),VLOOKUP($A330,'SegEnds_NonXtal_Prot#'!$A:$AL,22,FALSE)+8,1)</f>
        <v>A</v>
      </c>
      <c r="AE330" s="49" t="str">
        <f>MID(VLOOKUP($A330,Seqs!$A:$B,2,FALSE),VLOOKUP($A330,'SegEnds_NonXtal_Prot#'!$A:$AL,22,FALSE)+9,1)</f>
        <v>V</v>
      </c>
      <c r="AF330" s="49" t="str">
        <f>MID(VLOOKUP($A330,Seqs!$A:$B,2,FALSE),VLOOKUP($A330,'SegEnds_NonXtal_Prot#'!$A:$AL,22,FALSE)+10,1)</f>
        <v>S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1181</v>
      </c>
      <c r="B331" s="2" t="str">
        <f>LOWER(VLOOKUP(A331,Xtal_Templ!A:B,2,FALSE))</f>
        <v>pth1r_human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S</v>
      </c>
      <c r="AD331" s="49" t="str">
        <f>MID(VLOOKUP($A331,Seqs!$A:$B,2,FALSE),VLOOKUP($A331,'SegEnds_NonXtal_Prot#'!$A:$AL,22,FALSE)+8,1)</f>
        <v>V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1182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A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V</v>
      </c>
      <c r="Z332" s="49" t="str">
        <f>MID(VLOOKUP($A332,Seqs!$A:$B,2,FALSE),VLOOKUP($A332,'SegEnds_NonXtal_Prot#'!A:AL,10,FALSE)+9,1)</f>
        <v>W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I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A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1183</v>
      </c>
      <c r="B333" s="2" t="str">
        <f>LOWER(VLOOKUP(A333,Xtal_Templ!A:B,2,FALSE))</f>
        <v>calrl_human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V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D</v>
      </c>
      <c r="Y333" s="49" t="str">
        <f>MID(VLOOKUP($A333,Seqs!$A:$B,2,FALSE),VLOOKUP($A333,'SegEnds_NonXtal_Prot#'!A:AL,10,FALSE)+8,1)</f>
        <v>T</v>
      </c>
      <c r="Z333" s="49" t="str">
        <f>MID(VLOOKUP($A333,Seqs!$A:$B,2,FALSE),VLOOKUP($A333,'SegEnds_NonXtal_Prot#'!A:AL,10,FALSE)+9,1)</f>
        <v>C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L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G</v>
      </c>
      <c r="AE333" s="49" t="str">
        <f>MID(VLOOKUP($A333,Seqs!$A:$B,2,FALSE),VLOOKUP($A333,'SegEnds_NonXtal_Prot#'!$A:$AL,22,FALSE)+9,1)</f>
        <v>V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1184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V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A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T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1185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A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N</v>
      </c>
      <c r="Y335" s="49" t="str">
        <f>MID(VLOOKUP($A335,Seqs!$A:$B,2,FALSE),VLOOKUP($A335,'SegEnds_NonXtal_Prot#'!A:AL,10,FALSE)+8,1)</f>
        <v>T</v>
      </c>
      <c r="Z335" s="49" t="str">
        <f>MID(VLOOKUP($A335,Seqs!$A:$B,2,FALSE),VLOOKUP($A335,'SegEnds_NonXtal_Prot#'!A:AL,10,FALSE)+9,1)</f>
        <v>W</v>
      </c>
      <c r="AA335" s="49" t="str">
        <f>MID(VLOOKUP($A335,Seqs!$A:$B,2,FALSE),VLOOKUP($A335,'SegEnds_NonXtal_Prot#'!A:AL,10,FALSE)+10,1)</f>
        <v>F</v>
      </c>
      <c r="AB335" s="28" t="str">
        <f>MID(VLOOKUP($A335,Seqs!$A:$B,2,FALSE),VLOOKUP($A335,'SegEnds_NonXtal_Prot#'!$A:$AL,22,FALSE)+6,1)</f>
        <v>I</v>
      </c>
      <c r="AC335" s="49" t="str">
        <f>MID(VLOOKUP($A335,Seqs!$A:$B,2,FALSE),VLOOKUP($A335,'SegEnds_NonXtal_Prot#'!$A:$AL,22,FALSE)+7,1)</f>
        <v>S</v>
      </c>
      <c r="AD335" s="49" t="str">
        <f>MID(VLOOKUP($A335,Seqs!$A:$B,2,FALSE),VLOOKUP($A335,'SegEnds_NonXtal_Prot#'!$A:$AL,22,FALSE)+8,1)</f>
        <v>V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1186</v>
      </c>
      <c r="B336" s="2" t="str">
        <f>LOWER(VLOOKUP(A336,Xtal_Templ!A:B,2,FALSE))</f>
        <v>glr_human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V</v>
      </c>
      <c r="W336" s="49" t="str">
        <f>MID(VLOOKUP($A336,Seqs!$A:$B,2,FALSE),VLOOKUP($A336,'SegEnds_NonXtal_Prot#'!A:AL,10,FALSE)+6,1)</f>
        <v>S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S</v>
      </c>
      <c r="AB336" s="28" t="str">
        <f>MID(VLOOKUP($A336,Seqs!$A:$B,2,FALSE),VLOOKUP($A336,'SegEnds_NonXtal_Prot#'!$A:$AL,22,FALSE)+6,1)</f>
        <v>L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L</v>
      </c>
      <c r="AF336" s="49" t="str">
        <f>MID(VLOOKUP($A336,Seqs!$A:$B,2,FALSE),VLOOKUP($A336,'SegEnds_NonXtal_Prot#'!$A:$AL,22,FALSE)+10,1)</f>
        <v>V</v>
      </c>
      <c r="AG336" s="28" t="str">
        <f>MID(VLOOKUP($A336,Seqs!$A:$B,2,FALSE),VLOOKUP($A336,'SegEnds_NonXtal_Prot#'!$A:$AL,28,FALSE)-4,1)</f>
        <v>L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1187</v>
      </c>
      <c r="B337" s="2" t="str">
        <f>LOWER(VLOOKUP(A337,Xtal_Templ!A:B,2,FALSE))</f>
        <v>pacr_human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V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L</v>
      </c>
      <c r="AA337" s="49" t="str">
        <f>MID(VLOOKUP($A337,Seqs!$A:$B,2,FALSE),VLOOKUP($A337,'SegEnds_NonXtal_Prot#'!A:AL,10,FALSE)+10,1)</f>
        <v>D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T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I</v>
      </c>
      <c r="AG337" s="28" t="str">
        <f>MID(VLOOKUP($A337,Seqs!$A:$B,2,FALSE),VLOOKUP($A337,'SegEnds_NonXtal_Prot#'!$A:$AL,28,FALSE)-4,1)</f>
        <v>Y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1188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A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V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I</v>
      </c>
      <c r="AE338" s="49" t="str">
        <f>MID(VLOOKUP($A338,Seqs!$A:$B,2,FALSE),VLOOKUP($A338,'SegEnds_NonXtal_Prot#'!$A:$AL,22,FALSE)+9,1)</f>
        <v>G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T</v>
      </c>
      <c r="AH338" s="49" t="str">
        <f>MID(VLOOKUP($A338,Seqs!$A:$B,2,FALSE),VLOOKUP($A338,'SegEnds_NonXtal_Prot#'!$A:$AL,28,FALSE),1)</f>
        <v>Y</v>
      </c>
    </row>
    <row r="339" spans="1:34" s="2" customFormat="1" x14ac:dyDescent="0.2">
      <c r="A339" s="2" t="s">
        <v>1189</v>
      </c>
      <c r="B339" s="2" t="str">
        <f>LOWER(VLOOKUP(A339,Xtal_Templ!A:B,2,FALSE))</f>
        <v>pth1r_human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N</v>
      </c>
      <c r="AB339" s="28" t="str">
        <f>MID(VLOOKUP($A339,Seqs!$A:$B,2,FALSE),VLOOKUP($A339,'SegEnds_NonXtal_Prot#'!$A:$AL,22,FALSE)+6,1)</f>
        <v>M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I</v>
      </c>
      <c r="AF339" s="49" t="str">
        <f>MID(VLOOKUP($A339,Seqs!$A:$B,2,FALSE),VLOOKUP($A339,'SegEnds_NonXtal_Prot#'!$A:$AL,22,FALSE)+10,1)</f>
        <v>T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1190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V</v>
      </c>
      <c r="W340" s="49" t="str">
        <f>MID(VLOOKUP($A340,Seqs!$A:$B,2,FALSE),VLOOKUP($A340,'SegEnds_NonXtal_Prot#'!A:AL,10,FALSE)+6,1)</f>
        <v>A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L</v>
      </c>
      <c r="AA340" s="49" t="str">
        <f>MID(VLOOKUP($A340,Seqs!$A:$B,2,FALSE),VLOOKUP($A340,'SegEnds_NonXtal_Prot#'!A:AL,10,FALSE)+10,1)</f>
        <v>S</v>
      </c>
      <c r="AB340" s="28" t="str">
        <f>MID(VLOOKUP($A340,Seqs!$A:$B,2,FALSE),VLOOKUP($A340,'SegEnds_NonXtal_Prot#'!$A:$AL,22,FALSE)+6,1)</f>
        <v>L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L</v>
      </c>
      <c r="AE340" s="49" t="str">
        <f>MID(VLOOKUP($A340,Seqs!$A:$B,2,FALSE),VLOOKUP($A340,'SegEnds_NonXtal_Prot#'!$A:$AL,22,FALSE)+9,1)</f>
        <v>L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Y</v>
      </c>
      <c r="AH340" s="49" t="str">
        <f>MID(VLOOKUP($A340,Seqs!$A:$B,2,FALSE),VLOOKUP($A340,'SegEnds_NonXtal_Prot#'!$A:$AL,28,FALSE),1)</f>
        <v>T</v>
      </c>
    </row>
    <row r="341" spans="1:34" s="2" customFormat="1" x14ac:dyDescent="0.2">
      <c r="A341" s="2" t="s">
        <v>1191</v>
      </c>
      <c r="B341" s="2" t="str">
        <f>LOWER(VLOOKUP(A341,Xtal_Templ!A:B,2,FALSE))</f>
        <v>pth1r_human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M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F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T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I</v>
      </c>
    </row>
    <row r="342" spans="1:34" s="2" customFormat="1" x14ac:dyDescent="0.2">
      <c r="A342" s="2" t="s">
        <v>1192</v>
      </c>
      <c r="B342" s="2" t="str">
        <f>LOWER(VLOOKUP(A342,Xtal_Templ!A:B,2,FALSE))</f>
        <v>sctr_human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L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V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I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1193</v>
      </c>
      <c r="B343" s="2" t="str">
        <f>LOWER(VLOOKUP(A343,Xtal_Templ!A:B,2,FALSE))</f>
        <v>sctr_human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I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1194</v>
      </c>
      <c r="B344" s="2" t="str">
        <f>LOWER(VLOOKUP(A344,Xtal_Templ!A:B,2,FALSE))</f>
        <v>crfr2_human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I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I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A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1195</v>
      </c>
      <c r="B345" s="2" t="str">
        <f>LOWER(VLOOKUP(A345,Xtal_Templ!A:B,2,FALSE))</f>
        <v>sctr_human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V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V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F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1691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I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I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A</v>
      </c>
      <c r="AE346" s="49" t="str">
        <f>MID(VLOOKUP($A346,Seqs!$A:$B,2,FALSE),VLOOKUP($A346,'SegEnds_NonXtal_Prot#'!$A:$AL,22,FALSE)+9,1)</f>
        <v>I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415</v>
      </c>
      <c r="B347" s="2" t="str">
        <f>LOWER(VLOOKUP(A347,Xtal_Templ!A:B,2,FALSE))</f>
        <v>sctr_human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V</v>
      </c>
      <c r="Z347" s="49" t="str">
        <f>MID(VLOOKUP($A347,Seqs!$A:$B,2,FALSE),VLOOKUP($A347,'SegEnds_NonXtal_Prot#'!A:AL,10,FALSE)+9,1)</f>
        <v>I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V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416</v>
      </c>
      <c r="B348" s="2" t="str">
        <f>LOWER(VLOOKUP(A348,Xtal_Templ!A:B,2,FALSE))</f>
        <v>calrl_human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V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G</v>
      </c>
      <c r="AB348" s="28" t="str">
        <f>MID(VLOOKUP($A348,Seqs!$A:$B,2,FALSE),VLOOKUP($A348,'SegEnds_NonXtal_Prot#'!$A:$AL,22,FALSE)+6,1)</f>
        <v>I</v>
      </c>
      <c r="AC348" s="49" t="str">
        <f>MID(VLOOKUP($A348,Seqs!$A:$B,2,FALSE),VLOOKUP($A348,'SegEnds_NonXtal_Prot#'!$A:$AL,22,FALSE)+7,1)</f>
        <v>T</v>
      </c>
      <c r="AD348" s="49" t="str">
        <f>MID(VLOOKUP($A348,Seqs!$A:$B,2,FALSE),VLOOKUP($A348,'SegEnds_NonXtal_Prot#'!$A:$AL,22,FALSE)+8,1)</f>
        <v>G</v>
      </c>
      <c r="AE348" s="49" t="str">
        <f>MID(VLOOKUP($A348,Seqs!$A:$B,2,FALSE),VLOOKUP($A348,'SegEnds_NonXtal_Prot#'!$A:$AL,22,FALSE)+9,1)</f>
        <v>L</v>
      </c>
      <c r="AF348" s="49" t="str">
        <f>MID(VLOOKUP($A348,Seqs!$A:$B,2,FALSE),VLOOKUP($A348,'SegEnds_NonXtal_Prot#'!$A:$AL,22,FALSE)+10,1)</f>
        <v>A</v>
      </c>
      <c r="AG348" s="28" t="str">
        <f>MID(VLOOKUP($A348,Seqs!$A:$B,2,FALSE),VLOOKUP($A348,'SegEnds_NonXtal_Prot#'!$A:$AL,28,FALSE)-4,1)</f>
        <v>P</v>
      </c>
      <c r="AH348" s="49" t="str">
        <f>MID(VLOOKUP($A348,Seqs!$A:$B,2,FALSE),VLOOKUP($A348,'SegEnds_NonXtal_Prot#'!$A:$AL,28,FALSE),1)</f>
        <v>A</v>
      </c>
    </row>
    <row r="349" spans="1:34" s="2" customFormat="1" x14ac:dyDescent="0.2">
      <c r="A349" s="2" t="s">
        <v>1407</v>
      </c>
      <c r="B349" s="2" t="str">
        <f>LOWER(VLOOKUP(A349,Xtal_Templ!A:B,2,FALSE))</f>
        <v>crfr2_human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L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D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S</v>
      </c>
      <c r="AE349" s="49" t="str">
        <f>MID(VLOOKUP($A349,Seqs!$A:$B,2,FALSE),VLOOKUP($A349,'SegEnds_NonXtal_Prot#'!$A:$AL,22,FALSE)+9,1)</f>
        <v>V</v>
      </c>
      <c r="AF349" s="49" t="str">
        <f>MID(VLOOKUP($A349,Seqs!$A:$B,2,FALSE),VLOOKUP($A349,'SegEnds_NonXtal_Prot#'!$A:$AL,22,FALSE)+10,1)</f>
        <v>V</v>
      </c>
      <c r="AG349" s="28" t="str">
        <f>MID(VLOOKUP($A349,Seqs!$A:$B,2,FALSE),VLOOKUP($A349,'SegEnds_NonXtal_Prot#'!$A:$AL,28,FALSE)-4,1)</f>
        <v>Y</v>
      </c>
      <c r="AH349" s="49" t="str">
        <f>MID(VLOOKUP($A349,Seqs!$A:$B,2,FALSE),VLOOKUP($A349,'SegEnds_NonXtal_Prot#'!$A:$AL,28,FALSE),1)</f>
        <v>M</v>
      </c>
    </row>
    <row r="350" spans="1:34" s="2" customFormat="1" x14ac:dyDescent="0.2">
      <c r="A350" s="2" t="s">
        <v>1693</v>
      </c>
      <c r="B350" s="2" t="str">
        <f>LOWER(VLOOKUP(A350,Xtal_Templ!A:B,2,FALSE))</f>
        <v>crfr1_human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L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S</v>
      </c>
      <c r="AB350" s="28" t="str">
        <f>MID(VLOOKUP($A350,Seqs!$A:$B,2,FALSE),VLOOKUP($A350,'SegEnds_NonXtal_Prot#'!$A:$AL,22,FALSE)+6,1)</f>
        <v>V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I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1692</v>
      </c>
      <c r="B351" s="2" t="str">
        <f>LOWER(VLOOKUP(A351,Xtal_Templ!A:B,2,FALSE))</f>
        <v>glp1r_human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I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V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V</v>
      </c>
      <c r="AF351" s="49" t="str">
        <f>MID(VLOOKUP($A351,Seqs!$A:$B,2,FALSE),VLOOKUP($A351,'SegEnds_NonXtal_Prot#'!$A:$AL,22,FALSE)+10,1)</f>
        <v>S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I</v>
      </c>
    </row>
    <row r="352" spans="1:34" s="2" customFormat="1" x14ac:dyDescent="0.2">
      <c r="A352" s="2" t="s">
        <v>417</v>
      </c>
      <c r="B352" s="2" t="str">
        <f>LOWER(VLOOKUP(A352,Xtal_Templ!A:B,2,FALSE))</f>
        <v>crfr2_human</v>
      </c>
      <c r="C352" s="2" t="str">
        <f>VLOOKUP(A352,Classification!A:D,2,FALSE)</f>
        <v>B2</v>
      </c>
      <c r="D352" s="2" t="str">
        <f>IF(ISERROR(MATCH(A352,'SegEnds_Xtal_Prot#'!B:B, 0)), "NoXtal", "Xtal")</f>
        <v>NoXtal</v>
      </c>
      <c r="H352" s="4"/>
      <c r="J352" s="106" t="s">
        <v>25</v>
      </c>
      <c r="T352" s="4" t="s">
        <v>12</v>
      </c>
      <c r="V352" s="28" t="str">
        <f>MID(VLOOKUP($A352,Seqs!$A:$B,2,FALSE),VLOOKUP($A352,'SegEnds_NonXtal_Prot#'!A:AL,10,FALSE),1)</f>
        <v>L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F</v>
      </c>
      <c r="Y352" s="49" t="str">
        <f>MID(VLOOKUP($A352,Seqs!$A:$B,2,FALSE),VLOOKUP($A352,'SegEnds_NonXtal_Prot#'!A:AL,10,FALSE)+8,1)</f>
        <v>L</v>
      </c>
      <c r="Z352" s="49" t="str">
        <f>MID(VLOOKUP($A352,Seqs!$A:$B,2,FALSE),VLOOKUP($A352,'SegEnds_NonXtal_Prot#'!A:AL,10,FALSE)+9,1)</f>
        <v>L</v>
      </c>
      <c r="AA352" s="49" t="str">
        <f>MID(VLOOKUP($A352,Seqs!$A:$B,2,FALSE),VLOOKUP($A352,'SegEnds_NonXtal_Prot#'!A:AL,10,FALSE)+10,1)</f>
        <v>G</v>
      </c>
      <c r="AB352" s="28" t="str">
        <f>MID(VLOOKUP($A352,Seqs!$A:$B,2,FALSE),VLOOKUP($A352,'SegEnds_NonXtal_Prot#'!$A:$AL,22,FALSE)+6,1)</f>
        <v>L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G</v>
      </c>
      <c r="AE352" s="49" t="str">
        <f>MID(VLOOKUP($A352,Seqs!$A:$B,2,FALSE),VLOOKUP($A352,'SegEnds_NonXtal_Prot#'!$A:$AL,22,FALSE)+9,1)</f>
        <v>L</v>
      </c>
      <c r="AF352" s="49" t="str">
        <f>MID(VLOOKUP($A352,Seqs!$A:$B,2,FALSE),VLOOKUP($A352,'SegEnds_NonXtal_Prot#'!$A:$AL,22,FALSE)+10,1)</f>
        <v>A</v>
      </c>
      <c r="AG352" s="28" t="str">
        <f>MID(VLOOKUP($A352,Seqs!$A:$B,2,FALSE),VLOOKUP($A352,'SegEnds_NonXtal_Prot#'!$A:$AL,28,FALSE)-4,1)</f>
        <v>P</v>
      </c>
      <c r="AH352" s="49" t="str">
        <f>MID(VLOOKUP($A352,Seqs!$A:$B,2,FALSE),VLOOKUP($A352,'SegEnds_NonXtal_Prot#'!$A:$AL,28,FALSE),1)</f>
        <v>V</v>
      </c>
    </row>
    <row r="353" spans="1:34" s="2" customFormat="1" x14ac:dyDescent="0.2">
      <c r="A353" s="2" t="s">
        <v>106</v>
      </c>
      <c r="B353" s="2" t="str">
        <f>LOWER(VLOOKUP(A353,Xtal_Templ!A:B,2,FALSE))</f>
        <v>gabr1_human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H353" s="4"/>
      <c r="U353" s="2" t="s">
        <v>1318</v>
      </c>
      <c r="V353" s="28" t="str">
        <f>MID(VLOOKUP($A353,Seqs!$A:$B,2,FALSE),VLOOKUP($A353,'SegEnds_NonXtal_Prot#'!A:AL,10,FALSE),1)</f>
        <v>C</v>
      </c>
      <c r="W353" s="49" t="str">
        <f>MID(VLOOKUP($A353,Seqs!$A:$B,2,FALSE),VLOOKUP($A353,'SegEnds_NonXtal_Prot#'!A:AL,10,FALSE)+6,1)</f>
        <v>A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P</v>
      </c>
      <c r="AA353" s="49" t="str">
        <f>MID(VLOOKUP($A353,Seqs!$A:$B,2,FALSE),VLOOKUP($A353,'SegEnds_NonXtal_Prot#'!A:AL,10,FALSE)+10,1)</f>
        <v>L</v>
      </c>
      <c r="AB353" s="28" t="str">
        <f>MID(VLOOKUP($A353,Seqs!$A:$B,2,FALSE),VLOOKUP($A353,'SegEnds_NonXtal_Prot#'!$A:$AL,22,FALSE)+6,1)</f>
        <v>T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A</v>
      </c>
      <c r="AE353" s="49" t="str">
        <f>MID(VLOOKUP($A353,Seqs!$A:$B,2,FALSE),VLOOKUP($A353,'SegEnds_NonXtal_Prot#'!$A:$AL,22,FALSE)+9,1)</f>
        <v>I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108</v>
      </c>
      <c r="B354" s="2" t="str">
        <f>LOWER(VLOOKUP(A354,Xtal_Templ!A:B,2,FALSE))</f>
        <v>gabr2_human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1318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Y</v>
      </c>
      <c r="Z354" s="49" t="str">
        <f>MID(VLOOKUP($A354,Seqs!$A:$B,2,FALSE),VLOOKUP($A354,'SegEnds_NonXtal_Prot#'!A:AL,10,FALSE)+9,1)</f>
        <v>L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L</v>
      </c>
      <c r="AD354" s="49" t="str">
        <f>MID(VLOOKUP($A354,Seqs!$A:$B,2,FALSE),VLOOKUP($A354,'SegEnds_NonXtal_Prot#'!$A:$AL,22,FALSE)+8,1)</f>
        <v>M</v>
      </c>
      <c r="AE354" s="49" t="str">
        <f>MID(VLOOKUP($A354,Seqs!$A:$B,2,FALSE),VLOOKUP($A354,'SegEnds_NonXtal_Prot#'!$A:$AL,22,FALSE)+9,1)</f>
        <v>T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C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109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1318</v>
      </c>
      <c r="V355" s="28" t="str">
        <f>MID(VLOOKUP($A355,Seqs!$A:$B,2,FALSE),VLOOKUP($A355,'SegEnds_NonXtal_Prot#'!A:AL,10,FALSE),1)</f>
        <v>S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V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A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I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F</v>
      </c>
    </row>
    <row r="356" spans="1:34" s="2" customFormat="1" x14ac:dyDescent="0.2">
      <c r="A356" s="2" t="s">
        <v>110</v>
      </c>
      <c r="B356" s="2" t="str">
        <f>LOWER(VLOOKUP(A356,Xtal_Templ!A:B,2,FALSE))</f>
        <v>gabr2_human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1318</v>
      </c>
      <c r="V356" s="28" t="str">
        <f>MID(VLOOKUP($A356,Seqs!$A:$B,2,FALSE),VLOOKUP($A356,'SegEnds_NonXtal_Prot#'!A:AL,10,FALSE),1)</f>
        <v>F</v>
      </c>
      <c r="W356" s="49" t="str">
        <f>MID(VLOOKUP($A356,Seqs!$A:$B,2,FALSE),VLOOKUP($A356,'SegEnds_NonXtal_Prot#'!A:AL,10,FALSE)+6,1)</f>
        <v>P</v>
      </c>
      <c r="X356" s="49" t="str">
        <f>MID(VLOOKUP($A356,Seqs!$A:$B,2,FALSE),VLOOKUP($A356,'SegEnds_NonXtal_Prot#'!A:AL,10,FALSE)+7,1)</f>
        <v>V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I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G</v>
      </c>
      <c r="AD356" s="49" t="str">
        <f>MID(VLOOKUP($A356,Seqs!$A:$B,2,FALSE),VLOOKUP($A356,'SegEnds_NonXtal_Prot#'!$A:$AL,22,FALSE)+8,1)</f>
        <v>L</v>
      </c>
      <c r="AE356" s="49" t="str">
        <f>MID(VLOOKUP($A356,Seqs!$A:$B,2,FALSE),VLOOKUP($A356,'SegEnds_NonXtal_Prot#'!$A:$AL,22,FALSE)+9,1)</f>
        <v>L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A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1318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V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1318</v>
      </c>
      <c r="V358" s="28" t="str">
        <f>MID(VLOOKUP($A358,Seqs!$A:$B,2,FALSE),VLOOKUP($A358,'SegEnds_NonXtal_Prot#'!A:AL,10,FALSE),1)</f>
        <v>T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C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N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1318</v>
      </c>
      <c r="V359" s="28" t="str">
        <f>MID(VLOOKUP($A359,Seqs!$A:$B,2,FALSE),VLOOKUP($A359,'SegEnds_NonXtal_Prot#'!A:AL,10,FALSE),1)</f>
        <v>V</v>
      </c>
      <c r="W359" s="49" t="str">
        <f>MID(VLOOKUP($A359,Seqs!$A:$B,2,FALSE),VLOOKUP($A359,'SegEnds_NonXtal_Prot#'!A:AL,10,FALSE)+6,1)</f>
        <v>L</v>
      </c>
      <c r="X359" s="49" t="str">
        <f>MID(VLOOKUP($A359,Seqs!$A:$B,2,FALSE),VLOOKUP($A359,'SegEnds_NonXtal_Prot#'!A:AL,10,FALSE)+7,1)</f>
        <v>A</v>
      </c>
      <c r="Y359" s="49" t="str">
        <f>MID(VLOOKUP($A359,Seqs!$A:$B,2,FALSE),VLOOKUP($A359,'SegEnds_NonXtal_Prot#'!A:AL,10,FALSE)+8,1)</f>
        <v>F</v>
      </c>
      <c r="Z359" s="49" t="str">
        <f>MID(VLOOKUP($A359,Seqs!$A:$B,2,FALSE),VLOOKUP($A359,'SegEnds_NonXtal_Prot#'!A:AL,10,FALSE)+9,1)</f>
        <v>A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A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E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114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1318</v>
      </c>
      <c r="V360" s="28" t="str">
        <f>MID(VLOOKUP($A360,Seqs!$A:$B,2,FALSE),VLOOKUP($A360,'SegEnds_NonXtal_Prot#'!A:AL,10,FALSE),1)</f>
        <v>H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T</v>
      </c>
      <c r="Y360" s="49" t="str">
        <f>MID(VLOOKUP($A360,Seqs!$A:$B,2,FALSE),VLOOKUP($A360,'SegEnds_NonXtal_Prot#'!A:AL,10,FALSE)+8,1)</f>
        <v>S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L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40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Xtal</v>
      </c>
      <c r="H361" s="4"/>
      <c r="U361" s="2" t="s">
        <v>1318</v>
      </c>
      <c r="V361" s="28" t="str">
        <f>MID(VLOOKUP($A361,Seqs!$A:$B,2,FALSE),VLOOKUP($A361,'SegEnds_NonXtal_Prot#'!A:AL,10,FALSE),1)</f>
        <v>I</v>
      </c>
      <c r="W361" s="49" t="str">
        <f>MID(VLOOKUP($A361,Seqs!$A:$B,2,FALSE),VLOOKUP($A361,'SegEnds_NonXtal_Prot#'!A:AL,10,FALSE)+6,1)</f>
        <v>C</v>
      </c>
      <c r="X361" s="49" t="str">
        <f>MID(VLOOKUP($A361,Seqs!$A:$B,2,FALSE),VLOOKUP($A361,'SegEnds_NonXtal_Prot#'!A:AL,10,FALSE)+7,1)</f>
        <v>P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T</v>
      </c>
      <c r="AA361" s="49" t="str">
        <f>MID(VLOOKUP($A361,Seqs!$A:$B,2,FALSE),VLOOKUP($A361,'SegEnds_NonXtal_Prot#'!A:AL,10,FALSE)+10,1)</f>
        <v>L</v>
      </c>
      <c r="AB361" s="28" t="str">
        <f>MID(VLOOKUP($A361,Seqs!$A:$B,2,FALSE),VLOOKUP($A361,'SegEnds_NonXtal_Prot#'!$A:$AL,22,FALSE)+6,1)</f>
        <v>L</v>
      </c>
      <c r="AC361" s="49" t="str">
        <f>MID(VLOOKUP($A361,Seqs!$A:$B,2,FALSE),VLOOKUP($A361,'SegEnds_NonXtal_Prot#'!$A:$AL,22,FALSE)+7,1)</f>
        <v>V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T</v>
      </c>
      <c r="AF361" s="49" t="str">
        <f>MID(VLOOKUP($A361,Seqs!$A:$B,2,FALSE),VLOOKUP($A361,'SegEnds_NonXtal_Prot#'!$A:$AL,22,FALSE)+10,1)</f>
        <v>L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121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1318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L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A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A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E</v>
      </c>
      <c r="AF362" s="49" t="str">
        <f>MID(VLOOKUP($A362,Seqs!$A:$B,2,FALSE),VLOOKUP($A362,'SegEnds_NonXtal_Prot#'!$A:$AL,22,FALSE)+10,1)</f>
        <v>Y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122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1318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S</v>
      </c>
      <c r="X363" s="49" t="str">
        <f>MID(VLOOKUP($A363,Seqs!$A:$B,2,FALSE),VLOOKUP($A363,'SegEnds_NonXtal_Prot#'!A:AL,10,FALSE)+7,1)</f>
        <v>L</v>
      </c>
      <c r="Y363" s="49" t="str">
        <f>MID(VLOOKUP($A363,Seqs!$A:$B,2,FALSE),VLOOKUP($A363,'SegEnds_NonXtal_Prot#'!A:AL,10,FALSE)+8,1)</f>
        <v>Y</v>
      </c>
      <c r="Z363" s="49" t="str">
        <f>MID(VLOOKUP($A363,Seqs!$A:$B,2,FALSE),VLOOKUP($A363,'SegEnds_NonXtal_Prot#'!A:AL,10,FALSE)+9,1)</f>
        <v>G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C</v>
      </c>
      <c r="AD363" s="49" t="str">
        <f>MID(VLOOKUP($A363,Seqs!$A:$B,2,FALSE),VLOOKUP($A363,'SegEnds_NonXtal_Prot#'!$A:$AL,22,FALSE)+8,1)</f>
        <v>L</v>
      </c>
      <c r="AE363" s="49" t="str">
        <f>MID(VLOOKUP($A363,Seqs!$A:$B,2,FALSE),VLOOKUP($A363,'SegEnds_NonXtal_Prot#'!$A:$AL,22,FALSE)+9,1)</f>
        <v>T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123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1318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V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P</v>
      </c>
      <c r="Z364" s="49" t="str">
        <f>MID(VLOOKUP($A364,Seqs!$A:$B,2,FALSE),VLOOKUP($A364,'SegEnds_NonXtal_Prot#'!A:AL,10,FALSE)+9,1)</f>
        <v>V</v>
      </c>
      <c r="AA364" s="49" t="str">
        <f>MID(VLOOKUP($A364,Seqs!$A:$B,2,FALSE),VLOOKUP($A364,'SegEnds_NonXtal_Prot#'!A:AL,10,FALSE)+10,1)</f>
        <v>Y</v>
      </c>
      <c r="AB364" s="28" t="str">
        <f>MID(VLOOKUP($A364,Seqs!$A:$B,2,FALSE),VLOOKUP($A364,'SegEnds_NonXtal_Prot#'!$A:$AL,22,FALSE)+6,1)</f>
        <v>I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V</v>
      </c>
      <c r="AE364" s="49" t="str">
        <f>MID(VLOOKUP($A364,Seqs!$A:$B,2,FALSE),VLOOKUP($A364,'SegEnds_NonXtal_Prot#'!$A:$AL,22,FALSE)+9,1)</f>
        <v>I</v>
      </c>
      <c r="AF364" s="49" t="str">
        <f>MID(VLOOKUP($A364,Seqs!$A:$B,2,FALSE),VLOOKUP($A364,'SegEnds_NonXtal_Prot#'!$A:$AL,22,FALSE)+10,1)</f>
        <v>G</v>
      </c>
      <c r="AG364" s="28" t="str">
        <f>MID(VLOOKUP($A364,Seqs!$A:$B,2,FALSE),VLOOKUP($A364,'SegEnds_NonXtal_Prot#'!$A:$AL,28,FALSE)-4,1)</f>
        <v>L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124</v>
      </c>
      <c r="B365" s="2" t="str">
        <f>LOWER(VLOOKUP(A365,Xtal_Templ!A:B,2,FALSE))</f>
        <v>grm1_human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1318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V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L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T</v>
      </c>
      <c r="AE365" s="49" t="str">
        <f>MID(VLOOKUP($A365,Seqs!$A:$B,2,FALSE),VLOOKUP($A365,'SegEnds_NonXtal_Prot#'!$A:$AL,22,FALSE)+9,1)</f>
        <v>W</v>
      </c>
      <c r="AF365" s="49" t="str">
        <f>MID(VLOOKUP($A365,Seqs!$A:$B,2,FALSE),VLOOKUP($A365,'SegEnds_NonXtal_Prot#'!$A:$AL,22,FALSE)+10,1)</f>
        <v>Y</v>
      </c>
      <c r="AG365" s="28" t="str">
        <f>MID(VLOOKUP($A365,Seqs!$A:$B,2,FALSE),VLOOKUP($A365,'SegEnds_NonXtal_Prot#'!$A:$AL,28,FALSE)-4,1)</f>
        <v>T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105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1318</v>
      </c>
      <c r="V366" s="28" t="str">
        <f>MID(VLOOKUP($A366,Seqs!$A:$B,2,FALSE),VLOOKUP($A366,'SegEnds_NonXtal_Prot#'!A:AL,10,FALSE),1)</f>
        <v>L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S</v>
      </c>
      <c r="Y366" s="49" t="str">
        <f>MID(VLOOKUP($A366,Seqs!$A:$B,2,FALSE),VLOOKUP($A366,'SegEnds_NonXtal_Prot#'!A:AL,10,FALSE)+8,1)</f>
        <v>L</v>
      </c>
      <c r="Z366" s="49" t="str">
        <f>MID(VLOOKUP($A366,Seqs!$A:$B,2,FALSE),VLOOKUP($A366,'SegEnds_NonXtal_Prot#'!A:AL,10,FALSE)+9,1)</f>
        <v>F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C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I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107</v>
      </c>
      <c r="B367" s="2" t="str">
        <f>LOWER(VLOOKUP(A367,Xtal_Templ!A:B,2,FALSE))</f>
        <v>gabr2_human</v>
      </c>
      <c r="C367" s="2" t="str">
        <f>VLOOKUP(A367,Classification!A:D,2,FALSE)</f>
        <v>C</v>
      </c>
      <c r="D367" s="2" t="str">
        <f>IF(ISERROR(MATCH(A367,'SegEnds_Xtal_Prot#'!B:B, 0)), "NoXtal", "Xtal")</f>
        <v>Xtal</v>
      </c>
      <c r="H367" s="4"/>
      <c r="U367" s="2" t="s">
        <v>1318</v>
      </c>
      <c r="V367" s="28" t="str">
        <f>MID(VLOOKUP($A367,Seqs!$A:$B,2,FALSE),VLOOKUP($A367,'SegEnds_NonXtal_Prot#'!A:AL,10,FALSE),1)</f>
        <v>G</v>
      </c>
      <c r="W367" s="49" t="str">
        <f>MID(VLOOKUP($A367,Seqs!$A:$B,2,FALSE),VLOOKUP($A367,'SegEnds_NonXtal_Prot#'!A:AL,10,FALSE)+6,1)</f>
        <v>S</v>
      </c>
      <c r="X367" s="49" t="str">
        <f>MID(VLOOKUP($A367,Seqs!$A:$B,2,FALSE),VLOOKUP($A367,'SegEnds_NonXtal_Prot#'!A:AL,10,FALSE)+7,1)</f>
        <v>I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L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C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115</v>
      </c>
      <c r="B368" s="2" t="str">
        <f>LOWER(VLOOKUP(A368,Xtal_Templ!A:B,2,FALSE))</f>
        <v>grm1_human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1318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I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I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V</v>
      </c>
      <c r="AE368" s="49" t="str">
        <f>MID(VLOOKUP($A368,Seqs!$A:$B,2,FALSE),VLOOKUP($A368,'SegEnds_NonXtal_Prot#'!$A:$AL,22,FALSE)+9,1)</f>
        <v>A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116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1318</v>
      </c>
      <c r="V369" s="28" t="str">
        <f>MID(VLOOKUP($A369,Seqs!$A:$B,2,FALSE),VLOOKUP($A369,'SegEnds_NonXtal_Prot#'!A:AL,10,FALSE),1)</f>
        <v>V</v>
      </c>
      <c r="W369" s="49" t="str">
        <f>MID(VLOOKUP($A369,Seqs!$A:$B,2,FALSE),VLOOKUP($A369,'SegEnds_NonXtal_Prot#'!A:AL,10,FALSE)+6,1)</f>
        <v>M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F</v>
      </c>
      <c r="AA369" s="49" t="str">
        <f>MID(VLOOKUP($A369,Seqs!$A:$B,2,FALSE),VLOOKUP($A369,'SegEnds_NonXtal_Prot#'!A:AL,10,FALSE)+10,1)</f>
        <v>F</v>
      </c>
      <c r="AB369" s="28" t="str">
        <f>MID(VLOOKUP($A369,Seqs!$A:$B,2,FALSE),VLOOKUP($A369,'SegEnds_NonXtal_Prot#'!$A:$AL,22,FALSE)+6,1)</f>
        <v>M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S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117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NoXtal</v>
      </c>
      <c r="H370" s="4"/>
      <c r="U370" s="2" t="s">
        <v>1318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T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L</v>
      </c>
      <c r="AA370" s="49" t="str">
        <f>MID(VLOOKUP($A370,Seqs!$A:$B,2,FALSE),VLOOKUP($A370,'SegEnds_NonXtal_Prot#'!A:AL,10,FALSE)+10,1)</f>
        <v>M</v>
      </c>
      <c r="AB370" s="28" t="str">
        <f>MID(VLOOKUP($A370,Seqs!$A:$B,2,FALSE),VLOOKUP($A370,'SegEnds_NonXtal_Prot#'!$A:$AL,22,FALSE)+6,1)</f>
        <v>G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C</v>
      </c>
      <c r="AE370" s="49" t="str">
        <f>MID(VLOOKUP($A370,Seqs!$A:$B,2,FALSE),VLOOKUP($A370,'SegEnds_NonXtal_Prot#'!$A:$AL,22,FALSE)+9,1)</f>
        <v>V</v>
      </c>
      <c r="AF370" s="49" t="str">
        <f>MID(VLOOKUP($A370,Seqs!$A:$B,2,FALSE),VLOOKUP($A370,'SegEnds_NonXtal_Prot#'!$A:$AL,22,FALSE)+10,1)</f>
        <v>W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41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Xtal</v>
      </c>
      <c r="H371" s="4"/>
      <c r="U371" s="2" t="s">
        <v>1318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C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C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I</v>
      </c>
      <c r="AC371" s="49" t="str">
        <f>MID(VLOOKUP($A371,Seqs!$A:$B,2,FALSE),VLOOKUP($A371,'SegEnds_NonXtal_Prot#'!$A:$AL,22,FALSE)+7,1)</f>
        <v>I</v>
      </c>
      <c r="AD371" s="49" t="str">
        <f>MID(VLOOKUP($A371,Seqs!$A:$B,2,FALSE),VLOOKUP($A371,'SegEnds_NonXtal_Prot#'!$A:$AL,22,FALSE)+8,1)</f>
        <v>V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L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x14ac:dyDescent="0.2">
      <c r="A372" s="2" t="s">
        <v>118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1318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M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A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ht="17" customHeight="1" x14ac:dyDescent="0.2">
      <c r="A373" s="2" t="s">
        <v>119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1318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120</v>
      </c>
      <c r="B374" s="2" t="str">
        <f>LOWER(VLOOKUP(A374,Xtal_Templ!A:B,2,FALSE))</f>
        <v>grm5_human</v>
      </c>
      <c r="C374" s="2" t="str">
        <f>VLOOKUP(A374,Classification!A:D,2,FALSE)</f>
        <v>C</v>
      </c>
      <c r="D374" s="2" t="str">
        <f>IF(ISERROR(MATCH(A374,'SegEnds_Xtal_Prot#'!B:B, 0)), "NoXtal", "Xtal")</f>
        <v>NoXtal</v>
      </c>
      <c r="H374" s="4"/>
      <c r="U374" s="2" t="s">
        <v>1318</v>
      </c>
      <c r="V374" s="28" t="str">
        <f>MID(VLOOKUP($A374,Seqs!$A:$B,2,FALSE),VLOOKUP($A374,'SegEnds_NonXtal_Prot#'!A:AL,10,FALSE),1)</f>
        <v>I</v>
      </c>
      <c r="W374" s="49" t="str">
        <f>MID(VLOOKUP($A374,Seqs!$A:$B,2,FALSE),VLOOKUP($A374,'SegEnds_NonXtal_Prot#'!A:AL,10,FALSE)+6,1)</f>
        <v>I</v>
      </c>
      <c r="X374" s="49" t="str">
        <f>MID(VLOOKUP($A374,Seqs!$A:$B,2,FALSE),VLOOKUP($A374,'SegEnds_NonXtal_Prot#'!A:AL,10,FALSE)+7,1)</f>
        <v>T</v>
      </c>
      <c r="Y374" s="49" t="str">
        <f>MID(VLOOKUP($A374,Seqs!$A:$B,2,FALSE),VLOOKUP($A374,'SegEnds_NonXtal_Prot#'!A:AL,10,FALSE)+8,1)</f>
        <v>F</v>
      </c>
      <c r="Z374" s="49" t="str">
        <f>MID(VLOOKUP($A374,Seqs!$A:$B,2,FALSE),VLOOKUP($A374,'SegEnds_NonXtal_Prot#'!A:AL,10,FALSE)+9,1)</f>
        <v>L</v>
      </c>
      <c r="AA374" s="49" t="str">
        <f>MID(VLOOKUP($A374,Seqs!$A:$B,2,FALSE),VLOOKUP($A374,'SegEnds_NonXtal_Prot#'!A:AL,10,FALSE)+10,1)</f>
        <v>M</v>
      </c>
      <c r="AB374" s="28" t="str">
        <f>MID(VLOOKUP($A374,Seqs!$A:$B,2,FALSE),VLOOKUP($A374,'SegEnds_NonXtal_Prot#'!$A:$AL,22,FALSE)+6,1)</f>
        <v>G</v>
      </c>
      <c r="AC374" s="49" t="str">
        <f>MID(VLOOKUP($A374,Seqs!$A:$B,2,FALSE),VLOOKUP($A374,'SegEnds_NonXtal_Prot#'!$A:$AL,22,FALSE)+7,1)</f>
        <v>V</v>
      </c>
      <c r="AD374" s="49" t="str">
        <f>MID(VLOOKUP($A374,Seqs!$A:$B,2,FALSE),VLOOKUP($A374,'SegEnds_NonXtal_Prot#'!$A:$AL,22,FALSE)+8,1)</f>
        <v>F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W</v>
      </c>
      <c r="AG374" s="28" t="str">
        <f>MID(VLOOKUP($A374,Seqs!$A:$B,2,FALSE),VLOOKUP($A374,'SegEnds_NonXtal_Prot#'!$A:$AL,28,FALSE)-4,1)</f>
        <v>Y</v>
      </c>
      <c r="AH374" s="49" t="str">
        <f>MID(VLOOKUP($A374,Seqs!$A:$B,2,FALSE),VLOOKUP($A374,'SegEnds_NonXtal_Prot#'!$A:$AL,28,FALSE),1)</f>
        <v>L</v>
      </c>
    </row>
    <row r="375" spans="1:34" s="2" customFormat="1" x14ac:dyDescent="0.2">
      <c r="A375" s="2" t="s">
        <v>442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1317</v>
      </c>
      <c r="V375" s="28" t="str">
        <f>MID(VLOOKUP($A375,Seqs!$A:$B,2,FALSE),VLOOKUP($A375,'SegEnds_NonXtal_Prot#'!A:AL,10,FALSE),1)</f>
        <v>Y</v>
      </c>
      <c r="W375" s="49" t="str">
        <f>MID(VLOOKUP($A375,Seqs!$A:$B,2,FALSE),VLOOKUP($A375,'SegEnds_NonXtal_Prot#'!A:AL,10,FALSE)+6,1)</f>
        <v>A</v>
      </c>
      <c r="X375" s="49" t="str">
        <f>MID(VLOOKUP($A375,Seqs!$A:$B,2,FALSE),VLOOKUP($A375,'SegEnds_NonXtal_Prot#'!A:AL,10,FALSE)+7,1)</f>
        <v>Y</v>
      </c>
      <c r="Y375" s="49" t="str">
        <f>MID(VLOOKUP($A375,Seqs!$A:$B,2,FALSE),VLOOKUP($A375,'SegEnds_NonXtal_Prot#'!A:AL,10,FALSE)+8,1)</f>
        <v>I</v>
      </c>
      <c r="Z375" s="49" t="str">
        <f>MID(VLOOKUP($A375,Seqs!$A:$B,2,FALSE),VLOOKUP($A375,'SegEnds_NonXtal_Prot#'!A:AL,10,FALSE)+9,1)</f>
        <v>A</v>
      </c>
      <c r="AA375" s="49" t="str">
        <f>MID(VLOOKUP($A375,Seqs!$A:$B,2,FALSE),VLOOKUP($A375,'SegEnds_NonXtal_Prot#'!A:AL,10,FALSE)+10,1)</f>
        <v>G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443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1317</v>
      </c>
      <c r="V376" s="28" t="str">
        <f>MID(VLOOKUP($A376,Seqs!$A:$B,2,FALSE),VLOOKUP($A376,'SegEnds_NonXtal_Prot#'!A:AL,10,FALSE),1)</f>
        <v>Y</v>
      </c>
      <c r="W376" s="49" t="str">
        <f>MID(VLOOKUP($A376,Seqs!$A:$B,2,FALSE),VLOOKUP($A376,'SegEnds_NonXtal_Prot#'!A:AL,10,FALSE)+6,1)</f>
        <v>G</v>
      </c>
      <c r="X376" s="49" t="str">
        <f>MID(VLOOKUP($A376,Seqs!$A:$B,2,FALSE),VLOOKUP($A376,'SegEnds_NonXtal_Prot#'!A:AL,10,FALSE)+7,1)</f>
        <v>Y</v>
      </c>
      <c r="Y376" s="49" t="str">
        <f>MID(VLOOKUP($A376,Seqs!$A:$B,2,FALSE),VLOOKUP($A376,'SegEnds_NonXtal_Prot#'!A:AL,10,FALSE)+8,1)</f>
        <v>L</v>
      </c>
      <c r="Z376" s="49" t="str">
        <f>MID(VLOOKUP($A376,Seqs!$A:$B,2,FALSE),VLOOKUP($A376,'SegEnds_NonXtal_Prot#'!A:AL,10,FALSE)+9,1)</f>
        <v>I</v>
      </c>
      <c r="AA376" s="49" t="str">
        <f>MID(VLOOKUP($A376,Seqs!$A:$B,2,FALSE),VLOOKUP($A376,'SegEnds_NonXtal_Prot#'!A:AL,10,FALSE)+10,1)</f>
        <v>R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L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444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1317</v>
      </c>
      <c r="V377" s="28" t="str">
        <f>MID(VLOOKUP($A377,Seqs!$A:$B,2,FALSE),VLOOKUP($A377,'SegEnds_NonXtal_Prot#'!A:AL,10,FALSE),1)</f>
        <v>Y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Y</v>
      </c>
      <c r="Y377" s="49" t="str">
        <f>MID(VLOOKUP($A377,Seqs!$A:$B,2,FALSE),VLOOKUP($A377,'SegEnds_NonXtal_Prot#'!A:AL,10,FALSE)+8,1)</f>
        <v>I</v>
      </c>
      <c r="Z377" s="49" t="str">
        <f>MID(VLOOKUP($A377,Seqs!$A:$B,2,FALSE),VLOOKUP($A377,'SegEnds_NonXtal_Prot#'!A:AL,10,FALSE)+9,1)</f>
        <v>A</v>
      </c>
      <c r="AA377" s="49" t="str">
        <f>MID(VLOOKUP($A377,Seqs!$A:$B,2,FALSE),VLOOKUP($A377,'SegEnds_NonXtal_Prot#'!A:AL,10,FALSE)+10,1)</f>
        <v>G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445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1317</v>
      </c>
      <c r="V378" s="28" t="str">
        <f>MID(VLOOKUP($A378,Seqs!$A:$B,2,FALSE),VLOOKUP($A378,'SegEnds_NonXtal_Prot#'!A:AL,10,FALSE),1)</f>
        <v>Y</v>
      </c>
      <c r="W378" s="49" t="str">
        <f>MID(VLOOKUP($A378,Seqs!$A:$B,2,FALSE),VLOOKUP($A378,'SegEnds_NonXtal_Prot#'!A:AL,10,FALSE)+6,1)</f>
        <v>I</v>
      </c>
      <c r="X378" s="49" t="str">
        <f>MID(VLOOKUP($A378,Seqs!$A:$B,2,FALSE),VLOOKUP($A378,'SegEnds_NonXtal_Prot#'!A:AL,10,FALSE)+7,1)</f>
        <v>F</v>
      </c>
      <c r="Y378" s="49" t="str">
        <f>MID(VLOOKUP($A378,Seqs!$A:$B,2,FALSE),VLOOKUP($A378,'SegEnds_NonXtal_Prot#'!A:AL,10,FALSE)+8,1)</f>
        <v>F</v>
      </c>
      <c r="Z378" s="49" t="str">
        <f>MID(VLOOKUP($A378,Seqs!$A:$B,2,FALSE),VLOOKUP($A378,'SegEnds_NonXtal_Prot#'!A:AL,10,FALSE)+9,1)</f>
        <v>I</v>
      </c>
      <c r="AA378" s="49" t="str">
        <f>MID(VLOOKUP($A378,Seqs!$A:$B,2,FALSE),VLOOKUP($A378,'SegEnds_NonXtal_Prot#'!A:AL,10,FALSE)+10,1)</f>
        <v>G</v>
      </c>
      <c r="AB378" s="28" t="str">
        <f>MID(VLOOKUP($A378,Seqs!$A:$B,2,FALSE),VLOOKUP($A378,'SegEnds_NonXtal_Prot#'!$A:$AL,22,FALSE)+6,1)</f>
        <v>L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I</v>
      </c>
      <c r="AF378" s="49" t="str">
        <f>MID(VLOOKUP($A378,Seqs!$A:$B,2,FALSE),VLOOKUP($A378,'SegEnds_NonXtal_Prot#'!$A:$AL,22,FALSE)+10,1)</f>
        <v>L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446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1317</v>
      </c>
      <c r="V379" s="28" t="str">
        <f>MID(VLOOKUP($A379,Seqs!$A:$B,2,FALSE),VLOOKUP($A379,'SegEnds_NonXtal_Prot#'!A:AL,10,FALSE),1)</f>
        <v>Y</v>
      </c>
      <c r="W379" s="49" t="str">
        <f>MID(VLOOKUP($A379,Seqs!$A:$B,2,FALSE),VLOOKUP($A379,'SegEnds_NonXtal_Prot#'!A:AL,10,FALSE)+6,1)</f>
        <v>A</v>
      </c>
      <c r="X379" s="49" t="str">
        <f>MID(VLOOKUP($A379,Seqs!$A:$B,2,FALSE),VLOOKUP($A379,'SegEnds_NonXtal_Prot#'!A:AL,10,FALSE)+7,1)</f>
        <v>Y</v>
      </c>
      <c r="Y379" s="49" t="str">
        <f>MID(VLOOKUP($A379,Seqs!$A:$B,2,FALSE),VLOOKUP($A379,'SegEnds_NonXtal_Prot#'!A:AL,10,FALSE)+8,1)</f>
        <v>I</v>
      </c>
      <c r="Z379" s="49" t="str">
        <f>MID(VLOOKUP($A379,Seqs!$A:$B,2,FALSE),VLOOKUP($A379,'SegEnds_NonXtal_Prot#'!A:AL,10,FALSE)+9,1)</f>
        <v>V</v>
      </c>
      <c r="AA379" s="49" t="str">
        <f>MID(VLOOKUP($A379,Seqs!$A:$B,2,FALSE),VLOOKUP($A379,'SegEnds_NonXtal_Prot#'!A:AL,10,FALSE)+10,1)</f>
        <v>R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447</v>
      </c>
      <c r="B380" s="2" t="str">
        <f>LOWER(VLOOKUP(A380,Xtal_Templ!A:B,2,FALSE))</f>
        <v>fzd5_human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1317</v>
      </c>
      <c r="V380" s="28" t="str">
        <f>MID(VLOOKUP($A380,Seqs!$A:$B,2,FALSE),VLOOKUP($A380,'SegEnds_NonXtal_Prot#'!A:AL,10,FALSE),1)</f>
        <v>Y</v>
      </c>
      <c r="W380" s="49" t="str">
        <f>MID(VLOOKUP($A380,Seqs!$A:$B,2,FALSE),VLOOKUP($A380,'SegEnds_NonXtal_Prot#'!A:AL,10,FALSE)+6,1)</f>
        <v>G</v>
      </c>
      <c r="X380" s="49" t="str">
        <f>MID(VLOOKUP($A380,Seqs!$A:$B,2,FALSE),VLOOKUP($A380,'SegEnds_NonXtal_Prot#'!A:AL,10,FALSE)+7,1)</f>
        <v>F</v>
      </c>
      <c r="Y380" s="49" t="str">
        <f>MID(VLOOKUP($A380,Seqs!$A:$B,2,FALSE),VLOOKUP($A380,'SegEnds_NonXtal_Prot#'!A:AL,10,FALSE)+8,1)</f>
        <v>L</v>
      </c>
      <c r="Z380" s="49" t="str">
        <f>MID(VLOOKUP($A380,Seqs!$A:$B,2,FALSE),VLOOKUP($A380,'SegEnds_NonXtal_Prot#'!A:AL,10,FALSE)+9,1)</f>
        <v>V</v>
      </c>
      <c r="AA380" s="49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K</v>
      </c>
      <c r="AC380" s="49" t="str">
        <f>MID(VLOOKUP($A380,Seqs!$A:$B,2,FALSE),VLOOKUP($A380,'SegEnds_NonXtal_Prot#'!$A:$AL,22,FALSE)+7,1)</f>
        <v>S</v>
      </c>
      <c r="AD380" s="49" t="str">
        <f>MID(VLOOKUP($A380,Seqs!$A:$B,2,FALSE),VLOOKUP($A380,'SegEnds_NonXtal_Prot#'!$A:$AL,22,FALSE)+8,1)</f>
        <v>I</v>
      </c>
      <c r="AE380" s="49" t="str">
        <f>MID(VLOOKUP($A380,Seqs!$A:$B,2,FALSE),VLOOKUP($A380,'SegEnds_NonXtal_Prot#'!$A:$AL,22,FALSE)+9,1)</f>
        <v>T</v>
      </c>
      <c r="AF380" s="49" t="str">
        <f>MID(VLOOKUP($A380,Seqs!$A:$B,2,FALSE),VLOOKUP($A380,'SegEnds_NonXtal_Prot#'!$A:$AL,22,FALSE)+10,1)</f>
        <v>A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Y</v>
      </c>
    </row>
    <row r="381" spans="1:34" s="2" customFormat="1" x14ac:dyDescent="0.2">
      <c r="A381" s="2" t="s">
        <v>448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1317</v>
      </c>
      <c r="V381" s="28" t="str">
        <f>MID(VLOOKUP($A381,Seqs!$A:$B,2,FALSE),VLOOKUP($A381,'SegEnds_NonXtal_Prot#'!A:AL,10,FALSE),1)</f>
        <v>Y</v>
      </c>
      <c r="W381" s="49" t="str">
        <f>MID(VLOOKUP($A381,Seqs!$A:$B,2,FALSE),VLOOKUP($A381,'SegEnds_NonXtal_Prot#'!A:AL,10,FALSE)+6,1)</f>
        <v>M</v>
      </c>
      <c r="X381" s="49" t="str">
        <f>MID(VLOOKUP($A381,Seqs!$A:$B,2,FALSE),VLOOKUP($A381,'SegEnds_NonXtal_Prot#'!A:AL,10,FALSE)+7,1)</f>
        <v>Y</v>
      </c>
      <c r="Y381" s="49" t="str">
        <f>MID(VLOOKUP($A381,Seqs!$A:$B,2,FALSE),VLOOKUP($A381,'SegEnds_NonXtal_Prot#'!A:AL,10,FALSE)+8,1)</f>
        <v>F</v>
      </c>
      <c r="Z381" s="49" t="str">
        <f>MID(VLOOKUP($A381,Seqs!$A:$B,2,FALSE),VLOOKUP($A381,'SegEnds_NonXtal_Prot#'!A:AL,10,FALSE)+9,1)</f>
        <v>I</v>
      </c>
      <c r="AA381" s="49" t="str">
        <f>MID(VLOOKUP($A381,Seqs!$A:$B,2,FALSE),VLOOKUP($A381,'SegEnds_NonXtal_Prot#'!A:AL,10,FALSE)+10,1)</f>
        <v>G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M</v>
      </c>
      <c r="AF381" s="49" t="str">
        <f>MID(VLOOKUP($A381,Seqs!$A:$B,2,FALSE),VLOOKUP($A381,'SegEnds_NonXtal_Prot#'!$A:$AL,22,FALSE)+10,1)</f>
        <v>L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C</v>
      </c>
    </row>
    <row r="382" spans="1:34" s="2" customFormat="1" x14ac:dyDescent="0.2">
      <c r="A382" s="2" t="s">
        <v>449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1317</v>
      </c>
      <c r="V382" s="28" t="str">
        <f>MID(VLOOKUP($A382,Seqs!$A:$B,2,FALSE),VLOOKUP($A382,'SegEnds_NonXtal_Prot#'!A:AL,10,FALSE),1)</f>
        <v>Y</v>
      </c>
      <c r="W382" s="49" t="str">
        <f>MID(VLOOKUP($A382,Seqs!$A:$B,2,FALSE),VLOOKUP($A382,'SegEnds_NonXtal_Prot#'!A:AL,10,FALSE)+6,1)</f>
        <v>A</v>
      </c>
      <c r="X382" s="49" t="str">
        <f>MID(VLOOKUP($A382,Seqs!$A:$B,2,FALSE),VLOOKUP($A382,'SegEnds_NonXtal_Prot#'!A:AL,10,FALSE)+7,1)</f>
        <v>H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A</v>
      </c>
      <c r="AA382" s="49" t="str">
        <f>MID(VLOOKUP($A382,Seqs!$A:$B,2,FALSE),VLOOKUP($A382,'SegEnds_NonXtal_Prot#'!A:AL,10,FALSE)+10,1)</f>
        <v>G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T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T</v>
      </c>
      <c r="AF382" s="49" t="str">
        <f>MID(VLOOKUP($A382,Seqs!$A:$B,2,FALSE),VLOOKUP($A382,'SegEnds_NonXtal_Prot#'!$A:$AL,22,FALSE)+10,1)</f>
        <v>I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450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1317</v>
      </c>
      <c r="V383" s="28" t="str">
        <f>MID(VLOOKUP($A383,Seqs!$A:$B,2,FALSE),VLOOKUP($A383,'SegEnds_NonXtal_Prot#'!A:AL,10,FALSE),1)</f>
        <v>Y</v>
      </c>
      <c r="W383" s="49" t="str">
        <f>MID(VLOOKUP($A383,Seqs!$A:$B,2,FALSE),VLOOKUP($A383,'SegEnds_NonXtal_Prot#'!A:AL,10,FALSE)+6,1)</f>
        <v>G</v>
      </c>
      <c r="X383" s="49" t="str">
        <f>MID(VLOOKUP($A383,Seqs!$A:$B,2,FALSE),VLOOKUP($A383,'SegEnds_NonXtal_Prot#'!A:AL,10,FALSE)+7,1)</f>
        <v>Y</v>
      </c>
      <c r="Y383" s="49" t="str">
        <f>MID(VLOOKUP($A383,Seqs!$A:$B,2,FALSE),VLOOKUP($A383,'SegEnds_NonXtal_Prot#'!A:AL,10,FALSE)+8,1)</f>
        <v>L</v>
      </c>
      <c r="Z383" s="49" t="str">
        <f>MID(VLOOKUP($A383,Seqs!$A:$B,2,FALSE),VLOOKUP($A383,'SegEnds_NonXtal_Prot#'!A:AL,10,FALSE)+9,1)</f>
        <v>V</v>
      </c>
      <c r="AA383" s="49" t="str">
        <f>MID(VLOOKUP($A383,Seqs!$A:$B,2,FALSE),VLOOKUP($A383,'SegEnds_NonXtal_Prot#'!A:AL,10,FALSE)+10,1)</f>
        <v>R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S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A</v>
      </c>
      <c r="AF383" s="49" t="str">
        <f>MID(VLOOKUP($A383,Seqs!$A:$B,2,FALSE),VLOOKUP($A383,'SegEnds_NonXtal_Prot#'!$A:$AL,22,FALSE)+10,1)</f>
        <v>V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451</v>
      </c>
      <c r="B384" s="2" t="str">
        <f>LOWER(VLOOKUP(A384,Xtal_Templ!A:B,2,FALSE))</f>
        <v>fzd4_human</v>
      </c>
      <c r="C384" s="2" t="str">
        <f>VLOOKUP(A384,Classification!A:D,2,FALSE)</f>
        <v>F</v>
      </c>
      <c r="D384" s="2" t="str">
        <f>IF(ISERROR(MATCH(A384,'SegEnds_Xtal_Prot#'!B:B, 0)), "NoXtal", "Xtal")</f>
        <v>NoXtal</v>
      </c>
      <c r="H384" s="4"/>
      <c r="P384" s="2" t="s">
        <v>1317</v>
      </c>
      <c r="V384" s="28" t="str">
        <f>MID(VLOOKUP($A384,Seqs!$A:$B,2,FALSE),VLOOKUP($A384,'SegEnds_NonXtal_Prot#'!A:AL,10,FALSE),1)</f>
        <v>Y</v>
      </c>
      <c r="W384" s="49" t="str">
        <f>MID(VLOOKUP($A384,Seqs!$A:$B,2,FALSE),VLOOKUP($A384,'SegEnds_NonXtal_Prot#'!A:AL,10,FALSE)+6,1)</f>
        <v>A</v>
      </c>
      <c r="X384" s="49" t="str">
        <f>MID(VLOOKUP($A384,Seqs!$A:$B,2,FALSE),VLOOKUP($A384,'SegEnds_NonXtal_Prot#'!A:AL,10,FALSE)+7,1)</f>
        <v>F</v>
      </c>
      <c r="Y384" s="49" t="str">
        <f>MID(VLOOKUP($A384,Seqs!$A:$B,2,FALSE),VLOOKUP($A384,'SegEnds_NonXtal_Prot#'!A:AL,10,FALSE)+8,1)</f>
        <v>L</v>
      </c>
      <c r="Z384" s="49" t="str">
        <f>MID(VLOOKUP($A384,Seqs!$A:$B,2,FALSE),VLOOKUP($A384,'SegEnds_NonXtal_Prot#'!A:AL,10,FALSE)+9,1)</f>
        <v>I</v>
      </c>
      <c r="AA384" s="49" t="str">
        <f>MID(VLOOKUP($A384,Seqs!$A:$B,2,FALSE),VLOOKUP($A384,'SegEnds_NonXtal_Prot#'!A:AL,10,FALSE)+10,1)</f>
        <v>R</v>
      </c>
      <c r="AB384" s="28" t="str">
        <f>MID(VLOOKUP($A384,Seqs!$A:$B,2,FALSE),VLOOKUP($A384,'SegEnds_NonXtal_Prot#'!$A:$AL,22,FALSE)+6,1)</f>
        <v>K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I</v>
      </c>
      <c r="AE384" s="49" t="str">
        <f>MID(VLOOKUP($A384,Seqs!$A:$B,2,FALSE),VLOOKUP($A384,'SegEnds_NonXtal_Prot#'!$A:$AL,22,FALSE)+9,1)</f>
        <v>V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Y</v>
      </c>
    </row>
    <row r="385" spans="1:34" s="2" customFormat="1" x14ac:dyDescent="0.2">
      <c r="A385" s="2" t="s">
        <v>33</v>
      </c>
      <c r="B385" s="2" t="str">
        <f>LOWER(VLOOKUP(A385,Xtal_Templ!A:B,2,FALSE))</f>
        <v>smo_human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1317</v>
      </c>
      <c r="V385" s="28" t="str">
        <f>MID(VLOOKUP($A385,Seqs!$A:$B,2,FALSE),VLOOKUP($A385,'SegEnds_NonXtal_Prot#'!A:AL,10,FALSE),1)</f>
        <v>F</v>
      </c>
      <c r="W385" s="49" t="str">
        <f>MID(VLOOKUP($A385,Seqs!$A:$B,2,FALSE),VLOOKUP($A385,'SegEnds_NonXtal_Prot#'!A:AL,10,FALSE)+6,1)</f>
        <v>G</v>
      </c>
      <c r="X385" s="49" t="str">
        <f>MID(VLOOKUP($A385,Seqs!$A:$B,2,FALSE),VLOOKUP($A385,'SegEnds_NonXtal_Prot#'!A:AL,10,FALSE)+7,1)</f>
        <v>W</v>
      </c>
      <c r="Y385" s="49" t="str">
        <f>MID(VLOOKUP($A385,Seqs!$A:$B,2,FALSE),VLOOKUP($A385,'SegEnds_NonXtal_Prot#'!A:AL,10,FALSE)+8,1)</f>
        <v>L</v>
      </c>
      <c r="Z385" s="49" t="str">
        <f>MID(VLOOKUP($A385,Seqs!$A:$B,2,FALSE),VLOOKUP($A385,'SegEnds_NonXtal_Prot#'!A:AL,10,FALSE)+9,1)</f>
        <v>A</v>
      </c>
      <c r="AA385" s="49" t="str">
        <f>MID(VLOOKUP($A385,Seqs!$A:$B,2,FALSE),VLOOKUP($A385,'SegEnds_NonXtal_Prot#'!A:AL,10,FALSE)+10,1)</f>
        <v>Q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1588</v>
      </c>
      <c r="B386" s="2" t="str">
        <f>LOWER(VLOOKUP(A386,Xtal_Templ!A:B,2,FALSE))</f>
        <v>smo_mouse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1317</v>
      </c>
      <c r="V386" s="28" t="str">
        <f>MID(VLOOKUP($A386,Seqs!$A:$B,2,FALSE),VLOOKUP($A386,'SegEnds_NonXtal_Prot#'!A:AL,10,FALSE),1)</f>
        <v>F</v>
      </c>
      <c r="W386" s="49" t="str">
        <f>MID(VLOOKUP($A386,Seqs!$A:$B,2,FALSE),VLOOKUP($A386,'SegEnds_NonXtal_Prot#'!A:AL,10,FALSE)+6,1)</f>
        <v>G</v>
      </c>
      <c r="X386" s="49" t="str">
        <f>MID(VLOOKUP($A386,Seqs!$A:$B,2,FALSE),VLOOKUP($A386,'SegEnds_NonXtal_Prot#'!A:AL,10,FALSE)+7,1)</f>
        <v>W</v>
      </c>
      <c r="Y386" s="49" t="str">
        <f>MID(VLOOKUP($A386,Seqs!$A:$B,2,FALSE),VLOOKUP($A386,'SegEnds_NonXtal_Prot#'!A:AL,10,FALSE)+8,1)</f>
        <v>L</v>
      </c>
      <c r="Z386" s="49" t="str">
        <f>MID(VLOOKUP($A386,Seqs!$A:$B,2,FALSE),VLOOKUP($A386,'SegEnds_NonXtal_Prot#'!A:AL,10,FALSE)+9,1)</f>
        <v>A</v>
      </c>
      <c r="AA386" s="49" t="str">
        <f>MID(VLOOKUP($A386,Seqs!$A:$B,2,FALSE),VLOOKUP($A386,'SegEnds_NonXtal_Prot#'!A:AL,10,FALSE)+10,1)</f>
        <v>Q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1489</v>
      </c>
      <c r="B387" s="2" t="str">
        <f>LOWER(VLOOKUP(A387,Xtal_Templ!A:B,2,FALSE))</f>
        <v>q98sw5_xenla</v>
      </c>
      <c r="C387" s="2" t="str">
        <f>VLOOKUP(A387,Classification!A:D,2,FALSE)</f>
        <v>F</v>
      </c>
      <c r="D387" s="2" t="str">
        <f>IF(ISERROR(MATCH(A387,'SegEnds_Xtal_Prot#'!B:B, 0)), "NoXtal", "Xtal")</f>
        <v>Xtal</v>
      </c>
      <c r="H387" s="4"/>
      <c r="P387" s="2" t="s">
        <v>1317</v>
      </c>
      <c r="V387" s="28" t="str">
        <f>MID(VLOOKUP($A387,Seqs!$A:$B,2,FALSE),VLOOKUP($A387,'SegEnds_NonXtal_Prot#'!A:AL,10,FALSE),1)</f>
        <v>F</v>
      </c>
      <c r="W387" s="49" t="str">
        <f>MID(VLOOKUP($A387,Seqs!$A:$B,2,FALSE),VLOOKUP($A387,'SegEnds_NonXtal_Prot#'!A:AL,10,FALSE)+6,1)</f>
        <v>G</v>
      </c>
      <c r="X387" s="49" t="str">
        <f>MID(VLOOKUP($A387,Seqs!$A:$B,2,FALSE),VLOOKUP($A387,'SegEnds_NonXtal_Prot#'!A:AL,10,FALSE)+7,1)</f>
        <v>W</v>
      </c>
      <c r="Y387" s="49" t="str">
        <f>MID(VLOOKUP($A387,Seqs!$A:$B,2,FALSE),VLOOKUP($A387,'SegEnds_NonXtal_Prot#'!A:AL,10,FALSE)+8,1)</f>
        <v>L</v>
      </c>
      <c r="Z387" s="49" t="str">
        <f>MID(VLOOKUP($A387,Seqs!$A:$B,2,FALSE),VLOOKUP($A387,'SegEnds_NonXtal_Prot#'!A:AL,10,FALSE)+9,1)</f>
        <v>A</v>
      </c>
      <c r="AA387" s="49" t="str">
        <f>MID(VLOOKUP($A387,Seqs!$A:$B,2,FALSE),VLOOKUP($A387,'SegEnds_NonXtal_Prot#'!A:AL,10,FALSE)+10,1)</f>
        <v>Q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T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A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P</v>
      </c>
      <c r="AH387" s="49" t="str">
        <f>MID(VLOOKUP($A387,Seqs!$A:$B,2,FALSE),VLOOKUP($A387,'SegEnds_NonXtal_Prot#'!$A:$AL,28,FALSE),1)</f>
        <v>V</v>
      </c>
    </row>
    <row r="388" spans="1:34" s="2" customFormat="1" x14ac:dyDescent="0.2">
      <c r="A388" s="2" t="s">
        <v>481</v>
      </c>
      <c r="B388" s="2" t="str">
        <f>LOWER(VLOOKUP(A388,Xtal_Templ!A:B,2,FALSE))</f>
        <v>aa2ar_human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D</v>
      </c>
      <c r="W388" s="49" t="str">
        <f>MID(VLOOKUP($A388,Seqs!$A:$B,2,FALSE),VLOOKUP($A388,'SegEnds_NonXtal_Prot#'!A:AL,10,FALSE)+6,1)</f>
        <v>G</v>
      </c>
      <c r="X388" s="49" t="str">
        <f>MID(VLOOKUP($A388,Seqs!$A:$B,2,FALSE),VLOOKUP($A388,'SegEnds_NonXtal_Prot#'!A:AL,10,FALSE)+7,1)</f>
        <v>M</v>
      </c>
      <c r="Y388" s="49" t="str">
        <f>MID(VLOOKUP($A388,Seqs!$A:$B,2,FALSE),VLOOKUP($A388,'SegEnds_NonXtal_Prot#'!A:AL,10,FALSE)+8,1)</f>
        <v>V</v>
      </c>
      <c r="Z388" s="49" t="str">
        <f>MID(VLOOKUP($A388,Seqs!$A:$B,2,FALSE),VLOOKUP($A388,'SegEnds_NonXtal_Prot#'!A:AL,10,FALSE)+9,1)</f>
        <v>I</v>
      </c>
      <c r="AA388" s="49" t="str">
        <f>MID(VLOOKUP($A388,Seqs!$A:$B,2,FALSE),VLOOKUP($A388,'SegEnds_NonXtal_Prot#'!A:AL,10,FALSE)+10,1)</f>
        <v>R</v>
      </c>
      <c r="AB388" s="28" t="str">
        <f>MID(VLOOKUP($A388,Seqs!$A:$B,2,FALSE),VLOOKUP($A388,'SegEnds_NonXtal_Prot#'!$A:$AL,22,FALSE)+6,1)</f>
        <v>L</v>
      </c>
      <c r="AC388" s="49" t="str">
        <f>MID(VLOOKUP($A388,Seqs!$A:$B,2,FALSE),VLOOKUP($A388,'SegEnds_NonXtal_Prot#'!$A:$AL,22,FALSE)+7,1)</f>
        <v>C</v>
      </c>
      <c r="AD388" s="49" t="str">
        <f>MID(VLOOKUP($A388,Seqs!$A:$B,2,FALSE),VLOOKUP($A388,'SegEnds_NonXtal_Prot#'!$A:$AL,22,FALSE)+8,1)</f>
        <v>V</v>
      </c>
      <c r="AE388" s="49" t="str">
        <f>MID(VLOOKUP($A388,Seqs!$A:$B,2,FALSE),VLOOKUP($A388,'SegEnds_NonXtal_Prot#'!$A:$AL,22,FALSE)+9,1)</f>
        <v>E</v>
      </c>
      <c r="AF388" s="49" t="str">
        <f>MID(VLOOKUP($A388,Seqs!$A:$B,2,FALSE),VLOOKUP($A388,'SegEnds_NonXtal_Prot#'!$A:$AL,22,FALSE)+10,1)</f>
        <v>G</v>
      </c>
      <c r="AG388" s="28" t="str">
        <f>MID(VLOOKUP($A388,Seqs!$A:$B,2,FALSE),VLOOKUP($A388,'SegEnds_NonXtal_Prot#'!$A:$AL,28,FALSE)-4,1)</f>
        <v>T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477</v>
      </c>
      <c r="B389" s="2" t="str">
        <f>LOWER(VLOOKUP(A389,Xtal_Templ!A:B,2,FALSE))</f>
        <v>fpr2_human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A</v>
      </c>
      <c r="W389" s="49" t="str">
        <f>MID(VLOOKUP($A389,Seqs!$A:$B,2,FALSE),VLOOKUP($A389,'SegEnds_NonXtal_Prot#'!A:AL,10,FALSE)+6,1)</f>
        <v>F</v>
      </c>
      <c r="X389" s="49" t="str">
        <f>MID(VLOOKUP($A389,Seqs!$A:$B,2,FALSE),VLOOKUP($A389,'SegEnds_NonXtal_Prot#'!A:AL,10,FALSE)+7,1)</f>
        <v>S</v>
      </c>
      <c r="Y389" s="49" t="str">
        <f>MID(VLOOKUP($A389,Seqs!$A:$B,2,FALSE),VLOOKUP($A389,'SegEnds_NonXtal_Prot#'!A:AL,10,FALSE)+8,1)</f>
        <v>F</v>
      </c>
      <c r="Z389" s="49" t="str">
        <f>MID(VLOOKUP($A389,Seqs!$A:$B,2,FALSE),VLOOKUP($A389,'SegEnds_NonXtal_Prot#'!A:AL,10,FALSE)+9,1)</f>
        <v>Y</v>
      </c>
      <c r="AA389" s="49" t="str">
        <f>MID(VLOOKUP($A389,Seqs!$A:$B,2,FALSE),VLOOKUP($A389,'SegEnds_NonXtal_Prot#'!A:AL,10,FALSE)+10,1)</f>
        <v>F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A</v>
      </c>
      <c r="AD389" s="49" t="str">
        <f>MID(VLOOKUP($A389,Seqs!$A:$B,2,FALSE),VLOOKUP($A389,'SegEnds_NonXtal_Prot#'!$A:$AL,22,FALSE)+8,1)</f>
        <v>C</v>
      </c>
      <c r="AE389" s="49" t="str">
        <f>MID(VLOOKUP($A389,Seqs!$A:$B,2,FALSE),VLOOKUP($A389,'SegEnds_NonXtal_Prot#'!$A:$AL,22,FALSE)+9,1)</f>
        <v>L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L</v>
      </c>
      <c r="AH389" s="49" t="str">
        <f>MID(VLOOKUP($A389,Seqs!$A:$B,2,FALSE),VLOOKUP($A389,'SegEnds_NonXtal_Prot#'!$A:$AL,28,FALSE),1)</f>
        <v>L</v>
      </c>
    </row>
    <row r="390" spans="1:34" s="2" customFormat="1" x14ac:dyDescent="0.2">
      <c r="A390" s="2" t="s">
        <v>480</v>
      </c>
      <c r="B390" s="2" t="str">
        <f>LOWER(VLOOKUP(A390,Xtal_Templ!A:B,2,FALSE))</f>
        <v>pe2r4_human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A</v>
      </c>
      <c r="W390" s="49" t="str">
        <f>MID(VLOOKUP($A390,Seqs!$A:$B,2,FALSE),VLOOKUP($A390,'SegEnds_NonXtal_Prot#'!A:AL,10,FALSE)+6,1)</f>
        <v>M</v>
      </c>
      <c r="X390" s="49" t="str">
        <f>MID(VLOOKUP($A390,Seqs!$A:$B,2,FALSE),VLOOKUP($A390,'SegEnds_NonXtal_Prot#'!A:AL,10,FALSE)+7,1)</f>
        <v>T</v>
      </c>
      <c r="Y390" s="49" t="str">
        <f>MID(VLOOKUP($A390,Seqs!$A:$B,2,FALSE),VLOOKUP($A390,'SegEnds_NonXtal_Prot#'!A:AL,10,FALSE)+8,1)</f>
        <v>V</v>
      </c>
      <c r="Z390" s="49" t="str">
        <f>MID(VLOOKUP($A390,Seqs!$A:$B,2,FALSE),VLOOKUP($A390,'SegEnds_NonXtal_Prot#'!A:AL,10,FALSE)+9,1)</f>
        <v>S</v>
      </c>
      <c r="AA390" s="49" t="str">
        <f>MID(VLOOKUP($A390,Seqs!$A:$B,2,FALSE),VLOOKUP($A390,'SegEnds_NonXtal_Prot#'!A:AL,10,FALSE)+10,1)</f>
        <v>T</v>
      </c>
      <c r="AB390" s="28" t="str">
        <f>MID(VLOOKUP($A390,Seqs!$A:$B,2,FALSE),VLOOKUP($A390,'SegEnds_NonXtal_Prot#'!$A:$AL,22,FALSE)+6,1)</f>
        <v>L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A</v>
      </c>
      <c r="AE390" s="49" t="str">
        <f>MID(VLOOKUP($A390,Seqs!$A:$B,2,FALSE),VLOOKUP($A390,'SegEnds_NonXtal_Prot#'!$A:$AL,22,FALSE)+9,1)</f>
        <v>E</v>
      </c>
      <c r="AF390" s="49" t="str">
        <f>MID(VLOOKUP($A390,Seqs!$A:$B,2,FALSE),VLOOKUP($A390,'SegEnds_NonXtal_Prot#'!$A:$AL,22,FALSE)+10,1)</f>
        <v>D</v>
      </c>
      <c r="AG390" s="28" t="str">
        <f>MID(VLOOKUP($A390,Seqs!$A:$B,2,FALSE),VLOOKUP($A390,'SegEnds_NonXtal_Prot#'!$A:$AL,28,FALSE)-4,1)</f>
        <v>F</v>
      </c>
      <c r="AH390" s="49" t="str">
        <f>MID(VLOOKUP($A390,Seqs!$A:$B,2,FALSE),VLOOKUP($A390,'SegEnds_NonXtal_Prot#'!$A:$AL,28,FALSE),1)</f>
        <v>S</v>
      </c>
    </row>
    <row r="391" spans="1:34" s="2" customFormat="1" x14ac:dyDescent="0.2">
      <c r="A391" s="2" t="s">
        <v>482</v>
      </c>
      <c r="B391" s="2" t="str">
        <f>LOWER(VLOOKUP(A391,Xtal_Templ!A:B,2,FALSE))</f>
        <v>5ht2c_human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D</v>
      </c>
      <c r="W391" s="49" t="str">
        <f>MID(VLOOKUP($A391,Seqs!$A:$B,2,FALSE),VLOOKUP($A391,'SegEnds_NonXtal_Prot#'!A:AL,10,FALSE)+6,1)</f>
        <v>S</v>
      </c>
      <c r="X391" s="49" t="str">
        <f>MID(VLOOKUP($A391,Seqs!$A:$B,2,FALSE),VLOOKUP($A391,'SegEnds_NonXtal_Prot#'!A:AL,10,FALSE)+7,1)</f>
        <v>Y</v>
      </c>
      <c r="Y391" s="49" t="str">
        <f>MID(VLOOKUP($A391,Seqs!$A:$B,2,FALSE),VLOOKUP($A391,'SegEnds_NonXtal_Prot#'!A:AL,10,FALSE)+8,1)</f>
        <v>F</v>
      </c>
      <c r="Z391" s="49" t="str">
        <f>MID(VLOOKUP($A391,Seqs!$A:$B,2,FALSE),VLOOKUP($A391,'SegEnds_NonXtal_Prot#'!A:AL,10,FALSE)+9,1)</f>
        <v>Y</v>
      </c>
      <c r="AA391" s="49" t="str">
        <f>MID(VLOOKUP($A391,Seqs!$A:$B,2,FALSE),VLOOKUP($A391,'SegEnds_NonXtal_Prot#'!A:AL,10,FALSE)+10,1)</f>
        <v>G</v>
      </c>
      <c r="AB391" s="28" t="str">
        <f>MID(VLOOKUP($A391,Seqs!$A:$B,2,FALSE),VLOOKUP($A391,'SegEnds_NonXtal_Prot#'!$A:$AL,22,FALSE)+6,1)</f>
        <v>A</v>
      </c>
      <c r="AC391" s="49" t="str">
        <f>MID(VLOOKUP($A391,Seqs!$A:$B,2,FALSE),VLOOKUP($A391,'SegEnds_NonXtal_Prot#'!$A:$AL,22,FALSE)+7,1)</f>
        <v>L</v>
      </c>
      <c r="AD391" s="49" t="str">
        <f>MID(VLOOKUP($A391,Seqs!$A:$B,2,FALSE),VLOOKUP($A391,'SegEnds_NonXtal_Prot#'!$A:$AL,22,FALSE)+8,1)</f>
        <v>K</v>
      </c>
      <c r="AE391" s="49" t="str">
        <f>MID(VLOOKUP($A391,Seqs!$A:$B,2,FALSE),VLOOKUP($A391,'SegEnds_NonXtal_Prot#'!$A:$AL,22,FALSE)+9,1)</f>
        <v>K</v>
      </c>
      <c r="AF391" s="49" t="str">
        <f>MID(VLOOKUP($A391,Seqs!$A:$B,2,FALSE),VLOOKUP($A391,'SegEnds_NonXtal_Prot#'!$A:$AL,22,FALSE)+10,1)</f>
        <v>I</v>
      </c>
      <c r="AG391" s="28" t="str">
        <f>MID(VLOOKUP($A391,Seqs!$A:$B,2,FALSE),VLOOKUP($A391,'SegEnds_NonXtal_Prot#'!$A:$AL,28,FALSE)-4,1)</f>
        <v>D</v>
      </c>
      <c r="AH391" s="49" t="str">
        <f>MID(VLOOKUP($A391,Seqs!$A:$B,2,FALSE),VLOOKUP($A391,'SegEnds_NonXtal_Prot#'!$A:$AL,28,FALSE),1)</f>
        <v>K</v>
      </c>
    </row>
    <row r="392" spans="1:34" s="2" customFormat="1" x14ac:dyDescent="0.2">
      <c r="A392" s="2" t="s">
        <v>478</v>
      </c>
      <c r="B392" s="2" t="str">
        <f>LOWER(VLOOKUP(A392,Xtal_Templ!A:B,2,FALSE))</f>
        <v>ccr9_human</v>
      </c>
      <c r="C392" s="2" t="str">
        <f>VLOOKUP(A392,Classification!A:D,2,FALSE)</f>
        <v>O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W</v>
      </c>
      <c r="W392" s="49" t="str">
        <f>MID(VLOOKUP($A392,Seqs!$A:$B,2,FALSE),VLOOKUP($A392,'SegEnds_NonXtal_Prot#'!A:AL,10,FALSE)+6,1)</f>
        <v>K</v>
      </c>
      <c r="X392" s="49" t="str">
        <f>MID(VLOOKUP($A392,Seqs!$A:$B,2,FALSE),VLOOKUP($A392,'SegEnds_NonXtal_Prot#'!A:AL,10,FALSE)+7,1)</f>
        <v>R</v>
      </c>
      <c r="Y392" s="49" t="str">
        <f>MID(VLOOKUP($A392,Seqs!$A:$B,2,FALSE),VLOOKUP($A392,'SegEnds_NonXtal_Prot#'!A:AL,10,FALSE)+8,1)</f>
        <v>R</v>
      </c>
      <c r="Z392" s="49" t="str">
        <f>MID(VLOOKUP($A392,Seqs!$A:$B,2,FALSE),VLOOKUP($A392,'SegEnds_NonXtal_Prot#'!A:AL,10,FALSE)+9,1)</f>
        <v>N</v>
      </c>
      <c r="AA392" s="49" t="str">
        <f>MID(VLOOKUP($A392,Seqs!$A:$B,2,FALSE),VLOOKUP($A392,'SegEnds_NonXtal_Prot#'!A:AL,10,FALSE)+10,1)</f>
        <v>D</v>
      </c>
      <c r="AB392" s="28" t="str">
        <f>MID(VLOOKUP($A392,Seqs!$A:$B,2,FALSE),VLOOKUP($A392,'SegEnds_NonXtal_Prot#'!$A:$AL,22,FALSE)+6,1)</f>
        <v>Y</v>
      </c>
      <c r="AC392" s="49" t="str">
        <f>MID(VLOOKUP($A392,Seqs!$A:$B,2,FALSE),VLOOKUP($A392,'SegEnds_NonXtal_Prot#'!$A:$AL,22,FALSE)+7,1)</f>
        <v>G</v>
      </c>
      <c r="AD392" s="49" t="str">
        <f>MID(VLOOKUP($A392,Seqs!$A:$B,2,FALSE),VLOOKUP($A392,'SegEnds_NonXtal_Prot#'!$A:$AL,22,FALSE)+8,1)</f>
        <v>L</v>
      </c>
      <c r="AE392" s="49" t="str">
        <f>MID(VLOOKUP($A392,Seqs!$A:$B,2,FALSE),VLOOKUP($A392,'SegEnds_NonXtal_Prot#'!$A:$AL,22,FALSE)+9,1)</f>
        <v>W</v>
      </c>
      <c r="AF392" s="49" t="str">
        <f>MID(VLOOKUP($A392,Seqs!$A:$B,2,FALSE),VLOOKUP($A392,'SegEnds_NonXtal_Prot#'!$A:$AL,22,FALSE)+10,1)</f>
        <v>K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468</v>
      </c>
      <c r="B393" s="2" t="str">
        <f>LOWER(VLOOKUP(A393,Xtal_Templ!A:B,2,FALSE))</f>
        <v>oprk_human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V</v>
      </c>
      <c r="Y393" s="49" t="str">
        <f>MID(VLOOKUP($A393,Seqs!$A:$B,2,FALSE),VLOOKUP($A393,'SegEnds_NonXtal_Prot#'!A:AL,10,FALSE)+8,1)</f>
        <v>M</v>
      </c>
      <c r="Z393" s="49" t="str">
        <f>MID(VLOOKUP($A393,Seqs!$A:$B,2,FALSE),VLOOKUP($A393,'SegEnds_NonXtal_Prot#'!A:AL,10,FALSE)+9,1)</f>
        <v>G</v>
      </c>
      <c r="AA393" s="49" t="str">
        <f>MID(VLOOKUP($A393,Seqs!$A:$B,2,FALSE),VLOOKUP($A393,'SegEnds_NonXtal_Prot#'!A:AL,10,FALSE)+10,1)</f>
        <v>K</v>
      </c>
      <c r="AB393" s="28" t="str">
        <f>MID(VLOOKUP($A393,Seqs!$A:$B,2,FALSE),VLOOKUP($A393,'SegEnds_NonXtal_Prot#'!$A:$AL,22,FALSE)+6,1)</f>
        <v>S</v>
      </c>
      <c r="AC393" s="49" t="str">
        <f>MID(VLOOKUP($A393,Seqs!$A:$B,2,FALSE),VLOOKUP($A393,'SegEnds_NonXtal_Prot#'!$A:$AL,22,FALSE)+7,1)</f>
        <v>F</v>
      </c>
      <c r="AD393" s="49" t="str">
        <f>MID(VLOOKUP($A393,Seqs!$A:$B,2,FALSE),VLOOKUP($A393,'SegEnds_NonXtal_Prot#'!$A:$AL,22,FALSE)+8,1)</f>
        <v>T</v>
      </c>
      <c r="AE393" s="49" t="str">
        <f>MID(VLOOKUP($A393,Seqs!$A:$B,2,FALSE),VLOOKUP($A393,'SegEnds_NonXtal_Prot#'!$A:$AL,22,FALSE)+9,1)</f>
        <v>T</v>
      </c>
      <c r="AF393" s="49" t="str">
        <f>MID(VLOOKUP($A393,Seqs!$A:$B,2,FALSE),VLOOKUP($A393,'SegEnds_NonXtal_Prot#'!$A:$AL,22,FALSE)+10,1)</f>
        <v>I</v>
      </c>
      <c r="AG393" s="28" t="str">
        <f>MID(VLOOKUP($A393,Seqs!$A:$B,2,FALSE),VLOOKUP($A393,'SegEnds_NonXtal_Prot#'!$A:$AL,28,FALSE)-4,1)</f>
        <v>T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453</v>
      </c>
      <c r="B394" s="2" t="str">
        <f>LOWER(VLOOKUP(A394,Xtal_Templ!A:B,2,FALSE))</f>
        <v>5ht2a_human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E</v>
      </c>
      <c r="X394" s="49" t="str">
        <f>MID(VLOOKUP($A394,Seqs!$A:$B,2,FALSE),VLOOKUP($A394,'SegEnds_NonXtal_Prot#'!A:AL,10,FALSE)+7,1)</f>
        <v>I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S</v>
      </c>
      <c r="AB394" s="28" t="str">
        <f>MID(VLOOKUP($A394,Seqs!$A:$B,2,FALSE),VLOOKUP($A394,'SegEnds_NonXtal_Prot#'!$A:$AL,22,FALSE)+6,1)</f>
        <v>F</v>
      </c>
      <c r="AC394" s="49" t="str">
        <f>MID(VLOOKUP($A394,Seqs!$A:$B,2,FALSE),VLOOKUP($A394,'SegEnds_NonXtal_Prot#'!$A:$AL,22,FALSE)+7,1)</f>
        <v>L</v>
      </c>
      <c r="AD394" s="49" t="str">
        <f>MID(VLOOKUP($A394,Seqs!$A:$B,2,FALSE),VLOOKUP($A394,'SegEnds_NonXtal_Prot#'!$A:$AL,22,FALSE)+8,1)</f>
        <v>N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I</v>
      </c>
      <c r="AG394" s="28" t="str">
        <f>MID(VLOOKUP($A394,Seqs!$A:$B,2,FALSE),VLOOKUP($A394,'SegEnds_NonXtal_Prot#'!$A:$AL,28,FALSE)-4,1)</f>
        <v>F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472</v>
      </c>
      <c r="B395" s="2" t="str">
        <f>LOWER(VLOOKUP(A395,Xtal_Templ!A:B,2,FALSE))</f>
        <v>5ht1b_human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F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V</v>
      </c>
      <c r="AA395" s="49" t="str">
        <f>MID(VLOOKUP($A395,Seqs!$A:$B,2,FALSE),VLOOKUP($A395,'SegEnds_NonXtal_Prot#'!A:AL,10,FALSE)+10,1)</f>
        <v>N</v>
      </c>
      <c r="AB395" s="28" t="str">
        <f>MID(VLOOKUP($A395,Seqs!$A:$B,2,FALSE),VLOOKUP($A395,'SegEnds_NonXtal_Prot#'!$A:$AL,22,FALSE)+6,1)</f>
        <v>A</v>
      </c>
      <c r="AC395" s="49" t="str">
        <f>MID(VLOOKUP($A395,Seqs!$A:$B,2,FALSE),VLOOKUP($A395,'SegEnds_NonXtal_Prot#'!$A:$AL,22,FALSE)+7,1)</f>
        <v>F</v>
      </c>
      <c r="AD395" s="49" t="str">
        <f>MID(VLOOKUP($A395,Seqs!$A:$B,2,FALSE),VLOOKUP($A395,'SegEnds_NonXtal_Prot#'!$A:$AL,22,FALSE)+8,1)</f>
        <v>T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C</v>
      </c>
      <c r="AG395" s="28" t="str">
        <f>MID(VLOOKUP($A395,Seqs!$A:$B,2,FALSE),VLOOKUP($A395,'SegEnds_NonXtal_Prot#'!$A:$AL,28,FALSE)-4,1)</f>
        <v>S</v>
      </c>
      <c r="AH395" s="49" t="str">
        <f>MID(VLOOKUP($A395,Seqs!$A:$B,2,FALSE),VLOOKUP($A395,'SegEnds_NonXtal_Prot#'!$A:$AL,28,FALSE),1)</f>
        <v>Q</v>
      </c>
    </row>
    <row r="396" spans="1:34" s="2" customFormat="1" x14ac:dyDescent="0.2">
      <c r="A396" s="2" t="s">
        <v>461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L</v>
      </c>
      <c r="X396" s="49" t="str">
        <f>MID(VLOOKUP($A396,Seqs!$A:$B,2,FALSE),VLOOKUP($A396,'SegEnds_NonXtal_Prot#'!A:AL,10,FALSE)+7,1)</f>
        <v>M</v>
      </c>
      <c r="Y396" s="49" t="str">
        <f>MID(VLOOKUP($A396,Seqs!$A:$B,2,FALSE),VLOOKUP($A396,'SegEnds_NonXtal_Prot#'!A:AL,10,FALSE)+8,1)</f>
        <v>M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E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S</v>
      </c>
      <c r="AD396" s="49" t="str">
        <f>MID(VLOOKUP($A396,Seqs!$A:$B,2,FALSE),VLOOKUP($A396,'SegEnds_NonXtal_Prot#'!$A:$AL,22,FALSE)+8,1)</f>
        <v>H</v>
      </c>
      <c r="AE396" s="49" t="str">
        <f>MID(VLOOKUP($A396,Seqs!$A:$B,2,FALSE),VLOOKUP($A396,'SegEnds_NonXtal_Prot#'!$A:$AL,22,FALSE)+9,1)</f>
        <v>S</v>
      </c>
      <c r="AF396" s="49" t="str">
        <f>MID(VLOOKUP($A396,Seqs!$A:$B,2,FALSE),VLOOKUP($A396,'SegEnds_NonXtal_Prot#'!$A:$AL,22,FALSE)+10,1)</f>
        <v>M</v>
      </c>
      <c r="AG396" s="28" t="str">
        <f>MID(VLOOKUP($A396,Seqs!$A:$B,2,FALSE),VLOOKUP($A396,'SegEnds_NonXtal_Prot#'!$A:$AL,28,FALSE)-4,1)</f>
        <v>G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456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M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L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N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A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457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I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V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458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H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459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A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Q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G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460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L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F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S</v>
      </c>
      <c r="AB401" s="28" t="str">
        <f>MID(VLOOKUP($A401,Seqs!$A:$B,2,FALSE),VLOOKUP($A401,'SegEnds_NonXtal_Prot#'!$A:$AL,22,FALSE)+6,1)</f>
        <v>C</v>
      </c>
      <c r="AC401" s="49" t="str">
        <f>MID(VLOOKUP($A401,Seqs!$A:$B,2,FALSE),VLOOKUP($A401,'SegEnds_NonXtal_Prot#'!$A:$AL,22,FALSE)+7,1)</f>
        <v>I</v>
      </c>
      <c r="AD401" s="49" t="str">
        <f>MID(VLOOKUP($A401,Seqs!$A:$B,2,FALSE),VLOOKUP($A401,'SegEnds_NonXtal_Prot#'!$A:$AL,22,FALSE)+8,1)</f>
        <v>C</v>
      </c>
      <c r="AE401" s="49" t="str">
        <f>MID(VLOOKUP($A401,Seqs!$A:$B,2,FALSE),VLOOKUP($A401,'SegEnds_NonXtal_Prot#'!$A:$AL,22,FALSE)+9,1)</f>
        <v>T</v>
      </c>
      <c r="AF401" s="49" t="str">
        <f>MID(VLOOKUP($A401,Seqs!$A:$B,2,FALSE),VLOOKUP($A401,'SegEnds_NonXtal_Prot#'!$A:$AL,22,FALSE)+10,1)</f>
        <v>V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463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G</v>
      </c>
      <c r="Y402" s="49" t="str">
        <f>MID(VLOOKUP($A402,Seqs!$A:$B,2,FALSE),VLOOKUP($A402,'SegEnds_NonXtal_Prot#'!A:AL,10,FALSE)+8,1)</f>
        <v>T</v>
      </c>
      <c r="Z402" s="49" t="str">
        <f>MID(VLOOKUP($A402,Seqs!$A:$B,2,FALSE),VLOOKUP($A402,'SegEnds_NonXtal_Prot#'!A:AL,10,FALSE)+9,1)</f>
        <v>V</v>
      </c>
      <c r="AA402" s="49" t="str">
        <f>MID(VLOOKUP($A402,Seqs!$A:$B,2,FALSE),VLOOKUP($A402,'SegEnds_NonXtal_Prot#'!A:AL,10,FALSE)+10,1)</f>
        <v>H</v>
      </c>
      <c r="AB402" s="28" t="str">
        <f>MID(VLOOKUP($A402,Seqs!$A:$B,2,FALSE),VLOOKUP($A402,'SegEnds_NonXtal_Prot#'!$A:$AL,22,FALSE)+6,1)</f>
        <v>F</v>
      </c>
      <c r="AC402" s="49" t="str">
        <f>MID(VLOOKUP($A402,Seqs!$A:$B,2,FALSE),VLOOKUP($A402,'SegEnds_NonXtal_Prot#'!$A:$AL,22,FALSE)+7,1)</f>
        <v>I</v>
      </c>
      <c r="AD402" s="49" t="str">
        <f>MID(VLOOKUP($A402,Seqs!$A:$B,2,FALSE),VLOOKUP($A402,'SegEnds_NonXtal_Prot#'!$A:$AL,22,FALSE)+8,1)</f>
        <v>I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I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464</v>
      </c>
      <c r="B403" s="2" t="str">
        <f>LOWER(VLOOKUP(A403,Xtal_Templ!A:B,2,FALSE))</f>
        <v>hrh1_human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T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F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I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D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T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465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L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A</v>
      </c>
      <c r="AC404" s="49" t="str">
        <f>MID(VLOOKUP($A404,Seqs!$A:$B,2,FALSE),VLOOKUP($A404,'SegEnds_NonXtal_Prot#'!$A:$AL,22,FALSE)+7,1)</f>
        <v>C</v>
      </c>
      <c r="AD404" s="49" t="str">
        <f>MID(VLOOKUP($A404,Seqs!$A:$B,2,FALSE),VLOOKUP($A404,'SegEnds_NonXtal_Prot#'!$A:$AL,22,FALSE)+8,1)</f>
        <v>H</v>
      </c>
      <c r="AE404" s="49" t="str">
        <f>MID(VLOOKUP($A404,Seqs!$A:$B,2,FALSE),VLOOKUP($A404,'SegEnds_NonXtal_Prot#'!$A:$AL,22,FALSE)+9,1)</f>
        <v>L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A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923</v>
      </c>
      <c r="B405" s="2" t="str">
        <f>LOWER(VLOOKUP(A405,Xtal_Templ!A:B,2,FALSE))</f>
        <v>5ht2c_human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L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A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5ht2c_human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V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V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V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467</v>
      </c>
      <c r="B407" s="2" t="str">
        <f>LOWER(VLOOKUP(A407,Xtal_Templ!A:B,2,FALSE))</f>
        <v>drd2_human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A</v>
      </c>
      <c r="X407" s="49" t="str">
        <f>MID(VLOOKUP($A407,Seqs!$A:$B,2,FALSE),VLOOKUP($A407,'SegEnds_NonXtal_Prot#'!A:AL,10,FALSE)+7,1)</f>
        <v>L</v>
      </c>
      <c r="Y407" s="49" t="str">
        <f>MID(VLOOKUP($A407,Seqs!$A:$B,2,FALSE),VLOOKUP($A407,'SegEnds_NonXtal_Prot#'!A:AL,10,FALSE)+8,1)</f>
        <v>L</v>
      </c>
      <c r="Z407" s="49" t="str">
        <f>MID(VLOOKUP($A407,Seqs!$A:$B,2,FALSE),VLOOKUP($A407,'SegEnds_NonXtal_Prot#'!A:AL,10,FALSE)+9,1)</f>
        <v>L</v>
      </c>
      <c r="AA407" s="49" t="str">
        <f>MID(VLOOKUP($A407,Seqs!$A:$B,2,FALSE),VLOOKUP($A407,'SegEnds_NonXtal_Prot#'!A:AL,10,FALSE)+10,1)</f>
        <v>N</v>
      </c>
      <c r="AB407" s="28" t="str">
        <f>MID(VLOOKUP($A407,Seqs!$A:$B,2,FALSE),VLOOKUP($A407,'SegEnds_NonXtal_Prot#'!$A:$AL,22,FALSE)+6,1)</f>
        <v>V</v>
      </c>
      <c r="AC407" s="49" t="str">
        <f>MID(VLOOKUP($A407,Seqs!$A:$B,2,FALSE),VLOOKUP($A407,'SegEnds_NonXtal_Prot#'!$A:$AL,22,FALSE)+7,1)</f>
        <v>C</v>
      </c>
      <c r="AD407" s="49" t="str">
        <f>MID(VLOOKUP($A407,Seqs!$A:$B,2,FALSE),VLOOKUP($A407,'SegEnds_NonXtal_Prot#'!$A:$AL,22,FALSE)+8,1)</f>
        <v>H</v>
      </c>
      <c r="AE407" s="49" t="str">
        <f>MID(VLOOKUP($A407,Seqs!$A:$B,2,FALSE),VLOOKUP($A407,'SegEnds_NonXtal_Prot#'!$A:$AL,22,FALSE)+9,1)</f>
        <v>L</v>
      </c>
      <c r="AF407" s="49" t="str">
        <f>MID(VLOOKUP($A407,Seqs!$A:$B,2,FALSE),VLOOKUP($A407,'SegEnds_NonXtal_Prot#'!$A:$AL,22,FALSE)+10,1)</f>
        <v>L</v>
      </c>
      <c r="AG407" s="28" t="str">
        <f>MID(VLOOKUP($A407,Seqs!$A:$B,2,FALSE),VLOOKUP($A407,'SegEnds_NonXtal_Prot#'!$A:$AL,28,FALSE)-4,1)</f>
        <v>W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471</v>
      </c>
      <c r="B408" s="2" t="str">
        <f>LOWER(VLOOKUP(A408,Xtal_Templ!A:B,2,FALSE))</f>
        <v>cxcr4_human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I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T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G</v>
      </c>
      <c r="AD408" s="49" t="str">
        <f>MID(VLOOKUP($A408,Seqs!$A:$B,2,FALSE),VLOOKUP($A408,'SegEnds_NonXtal_Prot#'!$A:$AL,22,FALSE)+8,1)</f>
        <v>S</v>
      </c>
      <c r="AE408" s="49" t="str">
        <f>MID(VLOOKUP($A408,Seqs!$A:$B,2,FALSE),VLOOKUP($A408,'SegEnds_NonXtal_Prot#'!$A:$AL,22,FALSE)+9,1)</f>
        <v>T</v>
      </c>
      <c r="AF408" s="49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W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474</v>
      </c>
      <c r="B409" s="2" t="str">
        <f>LOWER(VLOOKUP(A409,Xtal_Templ!A:B,2,FALSE))</f>
        <v>drd2_human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V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L</v>
      </c>
      <c r="Z409" s="49" t="str">
        <f>MID(VLOOKUP($A409,Seqs!$A:$B,2,FALSE),VLOOKUP($A409,'SegEnds_NonXtal_Prot#'!A:AL,10,FALSE)+9,1)</f>
        <v>L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V</v>
      </c>
      <c r="AC409" s="49" t="str">
        <f>MID(VLOOKUP($A409,Seqs!$A:$B,2,FALSE),VLOOKUP($A409,'SegEnds_NonXtal_Prot#'!$A:$AL,22,FALSE)+7,1)</f>
        <v>F</v>
      </c>
      <c r="AD409" s="49" t="str">
        <f>MID(VLOOKUP($A409,Seqs!$A:$B,2,FALSE),VLOOKUP($A409,'SegEnds_NonXtal_Prot#'!$A:$AL,22,FALSE)+8,1)</f>
        <v>I</v>
      </c>
      <c r="AE409" s="49" t="str">
        <f>MID(VLOOKUP($A409,Seqs!$A:$B,2,FALSE),VLOOKUP($A409,'SegEnds_NonXtal_Prot#'!$A:$AL,22,FALSE)+9,1)</f>
        <v>S</v>
      </c>
      <c r="AF409" s="49" t="str">
        <f>MID(VLOOKUP($A409,Seqs!$A:$B,2,FALSE),VLOOKUP($A409,'SegEnds_NonXtal_Prot#'!$A:$AL,22,FALSE)+10,1)</f>
        <v>L</v>
      </c>
      <c r="AG409" s="28" t="str">
        <f>MID(VLOOKUP($A409,Seqs!$A:$B,2,FALSE),VLOOKUP($A409,'SegEnds_NonXtal_Prot#'!$A:$AL,28,FALSE)-4,1)</f>
        <v>A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475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M</v>
      </c>
      <c r="Y410" s="49" t="str">
        <f>MID(VLOOKUP($A410,Seqs!$A:$B,2,FALSE),VLOOKUP($A410,'SegEnds_NonXtal_Prot#'!A:AL,10,FALSE)+8,1)</f>
        <v>V</v>
      </c>
      <c r="Z410" s="49" t="str">
        <f>MID(VLOOKUP($A410,Seqs!$A:$B,2,FALSE),VLOOKUP($A410,'SegEnds_NonXtal_Prot#'!A:AL,10,FALSE)+9,1)</f>
        <v>V</v>
      </c>
      <c r="AA410" s="49" t="str">
        <f>MID(VLOOKUP($A410,Seqs!$A:$B,2,FALSE),VLOOKUP($A410,'SegEnds_NonXtal_Prot#'!A:AL,10,FALSE)+10,1)</f>
        <v>N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V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L</v>
      </c>
      <c r="AG410" s="28" t="str">
        <f>MID(VLOOKUP($A410,Seqs!$A:$B,2,FALSE),VLOOKUP($A410,'SegEnds_NonXtal_Prot#'!$A:$AL,28,FALSE)-4,1)</f>
        <v>F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476</v>
      </c>
      <c r="B411" s="2" t="str">
        <f>LOWER(VLOOKUP(A411,Xtal_Templ!A:B,2,FALSE))</f>
        <v>agtr1_human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V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S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I</v>
      </c>
      <c r="AD411" s="49" t="str">
        <f>MID(VLOOKUP($A411,Seqs!$A:$B,2,FALSE),VLOOKUP($A411,'SegEnds_NonXtal_Prot#'!$A:$AL,22,FALSE)+8,1)</f>
        <v>I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462</v>
      </c>
      <c r="B412" s="2" t="str">
        <f>LOWER(VLOOKUP(A412,Xtal_Templ!A:B,2,FALSE))</f>
        <v>5ht2a_human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W</v>
      </c>
      <c r="X412" s="49" t="str">
        <f>MID(VLOOKUP($A412,Seqs!$A:$B,2,FALSE),VLOOKUP($A412,'SegEnds_NonXtal_Prot#'!A:AL,10,FALSE)+7,1)</f>
        <v>M</v>
      </c>
      <c r="Y412" s="49" t="str">
        <f>MID(VLOOKUP($A412,Seqs!$A:$B,2,FALSE),VLOOKUP($A412,'SegEnds_NonXtal_Prot#'!A:AL,10,FALSE)+8,1)</f>
        <v>M</v>
      </c>
      <c r="Z412" s="49" t="str">
        <f>MID(VLOOKUP($A412,Seqs!$A:$B,2,FALSE),VLOOKUP($A412,'SegEnds_NonXtal_Prot#'!A:AL,10,FALSE)+9,1)</f>
        <v>L</v>
      </c>
      <c r="AA412" s="49" t="str">
        <f>MID(VLOOKUP($A412,Seqs!$A:$B,2,FALSE),VLOOKUP($A412,'SegEnds_NonXtal_Prot#'!A:AL,10,FALSE)+10,1)</f>
        <v>E</v>
      </c>
      <c r="AB412" s="28" t="str">
        <f>MID(VLOOKUP($A412,Seqs!$A:$B,2,FALSE),VLOOKUP($A412,'SegEnds_NonXtal_Prot#'!$A:$AL,22,FALSE)+6,1)</f>
        <v>L</v>
      </c>
      <c r="AC412" s="49" t="str">
        <f>MID(VLOOKUP($A412,Seqs!$A:$B,2,FALSE),VLOOKUP($A412,'SegEnds_NonXtal_Prot#'!$A:$AL,22,FALSE)+7,1)</f>
        <v>S</v>
      </c>
      <c r="AD412" s="49" t="str">
        <f>MID(VLOOKUP($A412,Seqs!$A:$B,2,FALSE),VLOOKUP($A412,'SegEnds_NonXtal_Prot#'!$A:$AL,22,FALSE)+8,1)</f>
        <v>F</v>
      </c>
      <c r="AE412" s="49" t="str">
        <f>MID(VLOOKUP($A412,Seqs!$A:$B,2,FALSE),VLOOKUP($A412,'SegEnds_NonXtal_Prot#'!$A:$AL,22,FALSE)+9,1)</f>
        <v>S</v>
      </c>
      <c r="AF412" s="49" t="str">
        <f>MID(VLOOKUP($A412,Seqs!$A:$B,2,FALSE),VLOOKUP($A412,'SegEnds_NonXtal_Prot#'!$A:$AL,22,FALSE)+10,1)</f>
        <v>F</v>
      </c>
      <c r="AG412" s="28" t="str">
        <f>MID(VLOOKUP($A412,Seqs!$A:$B,2,FALSE),VLOOKUP($A412,'SegEnds_NonXtal_Prot#'!$A:$AL,28,FALSE)-4,1)</f>
        <v>G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470</v>
      </c>
      <c r="B413" s="2" t="str">
        <f>LOWER(VLOOKUP(A413,Xtal_Templ!A:B,2,FALSE))</f>
        <v>cxcr4_human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F</v>
      </c>
      <c r="X413" s="49" t="str">
        <f>MID(VLOOKUP($A413,Seqs!$A:$B,2,FALSE),VLOOKUP($A413,'SegEnds_NonXtal_Prot#'!A:AL,10,FALSE)+7,1)</f>
        <v>I</v>
      </c>
      <c r="Y413" s="49" t="str">
        <f>MID(VLOOKUP($A413,Seqs!$A:$B,2,FALSE),VLOOKUP($A413,'SegEnds_NonXtal_Prot#'!A:AL,10,FALSE)+8,1)</f>
        <v>F</v>
      </c>
      <c r="Z413" s="49" t="str">
        <f>MID(VLOOKUP($A413,Seqs!$A:$B,2,FALSE),VLOOKUP($A413,'SegEnds_NonXtal_Prot#'!A:AL,10,FALSE)+9,1)</f>
        <v>Y</v>
      </c>
      <c r="AA413" s="49" t="str">
        <f>MID(VLOOKUP($A413,Seqs!$A:$B,2,FALSE),VLOOKUP($A413,'SegEnds_NonXtal_Prot#'!A:AL,10,FALSE)+10,1)</f>
        <v>V</v>
      </c>
      <c r="AB413" s="28" t="str">
        <f>MID(VLOOKUP($A413,Seqs!$A:$B,2,FALSE),VLOOKUP($A413,'SegEnds_NonXtal_Prot#'!$A:$AL,22,FALSE)+6,1)</f>
        <v>S</v>
      </c>
      <c r="AC413" s="49" t="str">
        <f>MID(VLOOKUP($A413,Seqs!$A:$B,2,FALSE),VLOOKUP($A413,'SegEnds_NonXtal_Prot#'!$A:$AL,22,FALSE)+7,1)</f>
        <v>M</v>
      </c>
      <c r="AD413" s="49" t="str">
        <f>MID(VLOOKUP($A413,Seqs!$A:$B,2,FALSE),VLOOKUP($A413,'SegEnds_NonXtal_Prot#'!$A:$AL,22,FALSE)+8,1)</f>
        <v>I</v>
      </c>
      <c r="AE413" s="49" t="str">
        <f>MID(VLOOKUP($A413,Seqs!$A:$B,2,FALSE),VLOOKUP($A413,'SegEnds_NonXtal_Prot#'!$A:$AL,22,FALSE)+9,1)</f>
        <v>C</v>
      </c>
      <c r="AF413" s="49" t="str">
        <f>MID(VLOOKUP($A413,Seqs!$A:$B,2,FALSE),VLOOKUP($A413,'SegEnds_NonXtal_Prot#'!$A:$AL,22,FALSE)+10,1)</f>
        <v>V</v>
      </c>
      <c r="AG413" s="28" t="str">
        <f>MID(VLOOKUP($A413,Seqs!$A:$B,2,FALSE),VLOOKUP($A413,'SegEnds_NonXtal_Prot#'!$A:$AL,28,FALSE)-4,1)</f>
        <v>E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455</v>
      </c>
      <c r="B414" s="2" t="str">
        <f>LOWER(VLOOKUP(A414,Xtal_Templ!A:B,2,FALSE))</f>
        <v>pd2r2_human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A</v>
      </c>
      <c r="X414" s="49" t="str">
        <f>MID(VLOOKUP($A414,Seqs!$A:$B,2,FALSE),VLOOKUP($A414,'SegEnds_NonXtal_Prot#'!A:AL,10,FALSE)+7,1)</f>
        <v>S</v>
      </c>
      <c r="Y414" s="49" t="str">
        <f>MID(VLOOKUP($A414,Seqs!$A:$B,2,FALSE),VLOOKUP($A414,'SegEnds_NonXtal_Prot#'!A:AL,10,FALSE)+8,1)</f>
        <v>M</v>
      </c>
      <c r="Z414" s="49" t="str">
        <f>MID(VLOOKUP($A414,Seqs!$A:$B,2,FALSE),VLOOKUP($A414,'SegEnds_NonXtal_Prot#'!A:AL,10,FALSE)+9,1)</f>
        <v>L</v>
      </c>
      <c r="AA414" s="49" t="str">
        <f>MID(VLOOKUP($A414,Seqs!$A:$B,2,FALSE),VLOOKUP($A414,'SegEnds_NonXtal_Prot#'!A:AL,10,FALSE)+10,1)</f>
        <v>N</v>
      </c>
      <c r="AB414" s="28" t="str">
        <f>MID(VLOOKUP($A414,Seqs!$A:$B,2,FALSE),VLOOKUP($A414,'SegEnds_NonXtal_Prot#'!$A:$AL,22,FALSE)+6,1)</f>
        <v>C</v>
      </c>
      <c r="AC414" s="49" t="str">
        <f>MID(VLOOKUP($A414,Seqs!$A:$B,2,FALSE),VLOOKUP($A414,'SegEnds_NonXtal_Prot#'!$A:$AL,22,FALSE)+7,1)</f>
        <v>V</v>
      </c>
      <c r="AD414" s="49" t="str">
        <f>MID(VLOOKUP($A414,Seqs!$A:$B,2,FALSE),VLOOKUP($A414,'SegEnds_NonXtal_Prot#'!$A:$AL,22,FALSE)+8,1)</f>
        <v>T</v>
      </c>
      <c r="AE414" s="49" t="str">
        <f>MID(VLOOKUP($A414,Seqs!$A:$B,2,FALSE),VLOOKUP($A414,'SegEnds_NonXtal_Prot#'!$A:$AL,22,FALSE)+9,1)</f>
        <v>I</v>
      </c>
      <c r="AF414" s="49" t="str">
        <f>MID(VLOOKUP($A414,Seqs!$A:$B,2,FALSE),VLOOKUP($A414,'SegEnds_NonXtal_Prot#'!$A:$AL,22,FALSE)+10,1)</f>
        <v>I</v>
      </c>
      <c r="AG414" s="28" t="str">
        <f>MID(VLOOKUP($A414,Seqs!$A:$B,2,FALSE),VLOOKUP($A414,'SegEnds_NonXtal_Prot#'!$A:$AL,28,FALSE)-4,1)</f>
        <v>A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454</v>
      </c>
      <c r="B415" s="2" t="str">
        <f>LOWER(VLOOKUP(A415,Xtal_Templ!A:B,2,FALSE))</f>
        <v>5ht2c_human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L</v>
      </c>
      <c r="X415" s="49" t="str">
        <f>MID(VLOOKUP($A415,Seqs!$A:$B,2,FALSE),VLOOKUP($A415,'SegEnds_NonXtal_Prot#'!A:AL,10,FALSE)+7,1)</f>
        <v>I</v>
      </c>
      <c r="Y415" s="49" t="str">
        <f>MID(VLOOKUP($A415,Seqs!$A:$B,2,FALSE),VLOOKUP($A415,'SegEnds_NonXtal_Prot#'!A:AL,10,FALSE)+8,1)</f>
        <v>F</v>
      </c>
      <c r="Z415" s="49" t="str">
        <f>MID(VLOOKUP($A415,Seqs!$A:$B,2,FALSE),VLOOKUP($A415,'SegEnds_NonXtal_Prot#'!A:AL,10,FALSE)+9,1)</f>
        <v>G</v>
      </c>
      <c r="AA415" s="49" t="str">
        <f>MID(VLOOKUP($A415,Seqs!$A:$B,2,FALSE),VLOOKUP($A415,'SegEnds_NonXtal_Prot#'!A:AL,10,FALSE)+10,1)</f>
        <v>S</v>
      </c>
      <c r="AB415" s="28" t="str">
        <f>MID(VLOOKUP($A415,Seqs!$A:$B,2,FALSE),VLOOKUP($A415,'SegEnds_NonXtal_Prot#'!$A:$AL,22,FALSE)+6,1)</f>
        <v>F</v>
      </c>
      <c r="AC415" s="49" t="str">
        <f>MID(VLOOKUP($A415,Seqs!$A:$B,2,FALSE),VLOOKUP($A415,'SegEnds_NonXtal_Prot#'!$A:$AL,22,FALSE)+7,1)</f>
        <v>L</v>
      </c>
      <c r="AD415" s="49" t="str">
        <f>MID(VLOOKUP($A415,Seqs!$A:$B,2,FALSE),VLOOKUP($A415,'SegEnds_NonXtal_Prot#'!$A:$AL,22,FALSE)+8,1)</f>
        <v>N</v>
      </c>
      <c r="AE415" s="49" t="str">
        <f>MID(VLOOKUP($A415,Seqs!$A:$B,2,FALSE),VLOOKUP($A415,'SegEnds_NonXtal_Prot#'!$A:$AL,22,FALSE)+9,1)</f>
        <v>I</v>
      </c>
      <c r="AF415" s="49" t="str">
        <f>MID(VLOOKUP($A415,Seqs!$A:$B,2,FALSE),VLOOKUP($A415,'SegEnds_NonXtal_Prot#'!$A:$AL,22,FALSE)+10,1)</f>
        <v>A</v>
      </c>
      <c r="AG415" s="28" t="str">
        <f>MID(VLOOKUP($A415,Seqs!$A:$B,2,FALSE),VLOOKUP($A415,'SegEnds_NonXtal_Prot#'!$A:$AL,28,FALSE)-4,1)</f>
        <v>F</v>
      </c>
      <c r="AH415" s="49" t="str">
        <f>MID(VLOOKUP($A415,Seqs!$A:$B,2,FALSE),VLOOKUP($A415,'SegEnds_NonXtal_Prot#'!$A:$AL,28,FALSE),1)</f>
        <v>P</v>
      </c>
    </row>
    <row r="416" spans="1:34" s="2" customFormat="1" x14ac:dyDescent="0.2">
      <c r="A416" s="2" t="s">
        <v>452</v>
      </c>
      <c r="B416" s="2" t="str">
        <f>LOWER(VLOOKUP(A416,Xtal_Templ!A:B,2,FALSE))</f>
        <v>drd2_human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I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I</v>
      </c>
      <c r="Z416" s="49" t="str">
        <f>MID(VLOOKUP($A416,Seqs!$A:$B,2,FALSE),VLOOKUP($A416,'SegEnds_NonXtal_Prot#'!A:AL,10,FALSE)+9,1)</f>
        <v>T</v>
      </c>
      <c r="AA416" s="49" t="str">
        <f>MID(VLOOKUP($A416,Seqs!$A:$B,2,FALSE),VLOOKUP($A416,'SegEnds_NonXtal_Prot#'!A:AL,10,FALSE)+10,1)</f>
        <v>D</v>
      </c>
      <c r="AB416" s="28" t="str">
        <f>MID(VLOOKUP($A416,Seqs!$A:$B,2,FALSE),VLOOKUP($A416,'SegEnds_NonXtal_Prot#'!$A:$AL,22,FALSE)+6,1)</f>
        <v>L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N</v>
      </c>
      <c r="AE416" s="49" t="str">
        <f>MID(VLOOKUP($A416,Seqs!$A:$B,2,FALSE),VLOOKUP($A416,'SegEnds_NonXtal_Prot#'!$A:$AL,22,FALSE)+9,1)</f>
        <v>F</v>
      </c>
      <c r="AF416" s="49" t="str">
        <f>MID(VLOOKUP($A416,Seqs!$A:$B,2,FALSE),VLOOKUP($A416,'SegEnds_NonXtal_Prot#'!$A:$AL,22,FALSE)+10,1)</f>
        <v>A</v>
      </c>
      <c r="AG416" s="28" t="str">
        <f>MID(VLOOKUP($A416,Seqs!$A:$B,2,FALSE),VLOOKUP($A416,'SegEnds_NonXtal_Prot#'!$A:$AL,28,FALSE)-4,1)</f>
        <v>G</v>
      </c>
      <c r="AH416" s="49" t="str">
        <f>MID(VLOOKUP($A416,Seqs!$A:$B,2,FALSE),VLOOKUP($A416,'SegEnds_NonXtal_Prot#'!$A:$AL,28,FALSE),1)</f>
        <v>F</v>
      </c>
    </row>
    <row r="417" spans="1:34" s="2" customFormat="1" x14ac:dyDescent="0.2">
      <c r="A417" s="2" t="s">
        <v>473</v>
      </c>
      <c r="B417" s="2" t="str">
        <f>LOWER(VLOOKUP(A417,Xtal_Templ!A:B,2,FALSE))</f>
        <v>hrh1_human</v>
      </c>
      <c r="C417" s="2" t="str">
        <f>VLOOKUP(A417,Classification!A:D,2,FALSE)</f>
        <v>T</v>
      </c>
      <c r="D417" s="2" t="str">
        <f>IF(ISERROR(MATCH(A417,'SegEnds_Xtal_Prot#'!B:B, 0)), "NoXtal", "Xtal")</f>
        <v>NoXtal</v>
      </c>
      <c r="H417" s="4"/>
      <c r="V417" s="28" t="str">
        <f>MID(VLOOKUP($A417,Seqs!$A:$B,2,FALSE),VLOOKUP($A417,'SegEnds_NonXtal_Prot#'!A:AL,10,FALSE),1)</f>
        <v>R</v>
      </c>
      <c r="W417" s="49" t="str">
        <f>MID(VLOOKUP($A417,Seqs!$A:$B,2,FALSE),VLOOKUP($A417,'SegEnds_NonXtal_Prot#'!A:AL,10,FALSE)+6,1)</f>
        <v>L</v>
      </c>
      <c r="X417" s="49" t="str">
        <f>MID(VLOOKUP($A417,Seqs!$A:$B,2,FALSE),VLOOKUP($A417,'SegEnds_NonXtal_Prot#'!A:AL,10,FALSE)+7,1)</f>
        <v>I</v>
      </c>
      <c r="Y417" s="49" t="str">
        <f>MID(VLOOKUP($A417,Seqs!$A:$B,2,FALSE),VLOOKUP($A417,'SegEnds_NonXtal_Prot#'!A:AL,10,FALSE)+8,1)</f>
        <v>I</v>
      </c>
      <c r="Z417" s="49" t="str">
        <f>MID(VLOOKUP($A417,Seqs!$A:$B,2,FALSE),VLOOKUP($A417,'SegEnds_NonXtal_Prot#'!A:AL,10,FALSE)+9,1)</f>
        <v>L</v>
      </c>
      <c r="AA417" s="49" t="str">
        <f>MID(VLOOKUP($A417,Seqs!$A:$B,2,FALSE),VLOOKUP($A417,'SegEnds_NonXtal_Prot#'!A:AL,10,FALSE)+10,1)</f>
        <v>D</v>
      </c>
      <c r="AB417" s="28" t="str">
        <f>MID(VLOOKUP($A417,Seqs!$A:$B,2,FALSE),VLOOKUP($A417,'SegEnds_NonXtal_Prot#'!$A:$AL,22,FALSE)+6,1)</f>
        <v>L</v>
      </c>
      <c r="AC417" s="49" t="str">
        <f>MID(VLOOKUP($A417,Seqs!$A:$B,2,FALSE),VLOOKUP($A417,'SegEnds_NonXtal_Prot#'!$A:$AL,22,FALSE)+7,1)</f>
        <v>L</v>
      </c>
      <c r="AD417" s="49" t="str">
        <f>MID(VLOOKUP($A417,Seqs!$A:$B,2,FALSE),VLOOKUP($A417,'SegEnds_NonXtal_Prot#'!$A:$AL,22,FALSE)+8,1)</f>
        <v>L</v>
      </c>
      <c r="AE417" s="49" t="str">
        <f>MID(VLOOKUP($A417,Seqs!$A:$B,2,FALSE),VLOOKUP($A417,'SegEnds_NonXtal_Prot#'!$A:$AL,22,FALSE)+9,1)</f>
        <v>T</v>
      </c>
      <c r="AF417" s="49" t="str">
        <f>MID(VLOOKUP($A417,Seqs!$A:$B,2,FALSE),VLOOKUP($A417,'SegEnds_NonXtal_Prot#'!$A:$AL,22,FALSE)+10,1)</f>
        <v>V</v>
      </c>
      <c r="AG417" s="28" t="str">
        <f>MID(VLOOKUP($A417,Seqs!$A:$B,2,FALSE),VLOOKUP($A417,'SegEnds_NonXtal_Prot#'!$A:$AL,28,FALSE)-4,1)</f>
        <v>G</v>
      </c>
      <c r="AH417" s="49" t="str">
        <f>MID(VLOOKUP($A417,Seqs!$A:$B,2,FALSE),VLOOKUP($A417,'SegEnds_NonXtal_Prot#'!$A:$AL,28,FALSE),1)</f>
        <v>P</v>
      </c>
    </row>
    <row r="418" spans="1:34" s="2" customFormat="1" x14ac:dyDescent="0.2">
      <c r="H418" s="4"/>
      <c r="V418" s="28"/>
      <c r="W418" s="49"/>
      <c r="X418" s="49"/>
      <c r="Y418" s="49"/>
      <c r="Z418" s="49"/>
      <c r="AA418" s="49"/>
      <c r="AB418" s="28"/>
      <c r="AC418" s="49"/>
      <c r="AD418" s="49"/>
      <c r="AE418" s="49"/>
      <c r="AG418" s="16"/>
    </row>
    <row r="419" spans="1:34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  <row r="420" spans="1:34" s="2" customFormat="1" x14ac:dyDescent="0.2">
      <c r="H420" s="4"/>
      <c r="V420" s="28"/>
      <c r="W420" s="49"/>
      <c r="X420" s="49"/>
      <c r="Y420" s="49"/>
      <c r="Z420" s="49"/>
      <c r="AA420" s="49"/>
      <c r="AB420" s="28"/>
      <c r="AC420" s="49"/>
      <c r="AD420" s="49"/>
      <c r="AE420" s="49"/>
      <c r="AG42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7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9"/>
  <sheetViews>
    <sheetView workbookViewId="0">
      <pane ySplit="1" topLeftCell="A144" activePane="bottomLeft" state="frozenSplit"/>
      <selection pane="bottomLeft" activeCell="B168" sqref="B168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1150</v>
      </c>
      <c r="C1" s="21" t="s">
        <v>1220</v>
      </c>
      <c r="D1" s="21" t="s">
        <v>1198</v>
      </c>
      <c r="E1" s="21" t="s">
        <v>925</v>
      </c>
    </row>
    <row r="2" spans="1:5" x14ac:dyDescent="0.2">
      <c r="A2" t="s">
        <v>464</v>
      </c>
      <c r="B2" t="s">
        <v>557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465</v>
      </c>
      <c r="B3" t="s">
        <v>588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923</v>
      </c>
      <c r="B4" t="s">
        <v>605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463</v>
      </c>
      <c r="B5" t="s">
        <v>638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470</v>
      </c>
      <c r="B6" t="s">
        <v>691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471</v>
      </c>
      <c r="B7" t="s">
        <v>692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472</v>
      </c>
      <c r="B8" t="s">
        <v>693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473</v>
      </c>
      <c r="B9" t="s">
        <v>694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474</v>
      </c>
      <c r="B10" t="s">
        <v>695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475</v>
      </c>
      <c r="B11" t="s">
        <v>696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476</v>
      </c>
      <c r="B12" t="s">
        <v>697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452</v>
      </c>
      <c r="B13" t="s">
        <v>698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453</v>
      </c>
      <c r="B14" t="s">
        <v>699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454</v>
      </c>
      <c r="B15" t="s">
        <v>700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455</v>
      </c>
      <c r="B16" t="s">
        <v>701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456</v>
      </c>
      <c r="B17" t="s">
        <v>702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457</v>
      </c>
      <c r="B18" t="s">
        <v>703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458</v>
      </c>
      <c r="B19" t="s">
        <v>704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459</v>
      </c>
      <c r="B20" t="s">
        <v>705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460</v>
      </c>
      <c r="B21" t="s">
        <v>706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461</v>
      </c>
      <c r="B22" t="s">
        <v>707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462</v>
      </c>
      <c r="B23" t="s">
        <v>708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466</v>
      </c>
      <c r="B24" t="s">
        <v>709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467</v>
      </c>
      <c r="B25" t="s">
        <v>710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468</v>
      </c>
      <c r="B26" t="s">
        <v>711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478</v>
      </c>
      <c r="B27" t="s">
        <v>871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477</v>
      </c>
      <c r="B28" t="s">
        <v>872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479</v>
      </c>
      <c r="B29" t="s">
        <v>873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480</v>
      </c>
      <c r="B30" t="s">
        <v>874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481</v>
      </c>
      <c r="B31" t="s">
        <v>875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482</v>
      </c>
      <c r="B32" t="s">
        <v>876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870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442</v>
      </c>
      <c r="B34" t="s">
        <v>860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444</v>
      </c>
      <c r="B35" t="s">
        <v>861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445</v>
      </c>
      <c r="B36" t="s">
        <v>862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446</v>
      </c>
      <c r="B37" t="s">
        <v>863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447</v>
      </c>
      <c r="B38" t="s">
        <v>864</v>
      </c>
      <c r="C38" t="str">
        <f>IF(ISERROR(MATCH(A38,'SegEnds_Xtal_Prot#'!B:B, 0)), "NoXtal", "Xtal")</f>
        <v>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448</v>
      </c>
      <c r="B39" t="s">
        <v>865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449</v>
      </c>
      <c r="B40" t="s">
        <v>866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450</v>
      </c>
      <c r="B41" t="s">
        <v>867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451</v>
      </c>
      <c r="B42" t="s">
        <v>868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443</v>
      </c>
      <c r="B43" t="s">
        <v>869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1489</v>
      </c>
      <c r="B44" s="120" t="s">
        <v>1490</v>
      </c>
      <c r="C44" t="s">
        <v>1487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843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847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838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839</v>
      </c>
      <c r="C48" t="str">
        <f>IF(ISERROR(MATCH(A48,'SegEnds_Xtal_Prot#'!B:B, 0)), "NoXtal", "Xtal")</f>
        <v>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840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841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842</v>
      </c>
      <c r="C51" t="str">
        <f>IF(ISERROR(MATCH(A51,'SegEnds_Xtal_Prot#'!B:B, 0)), "NoXtal", "Xtal")</f>
        <v>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844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845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846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848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849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850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851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852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853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854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855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856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857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858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859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1170</v>
      </c>
      <c r="B67" t="s">
        <v>805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1171</v>
      </c>
      <c r="B68" t="s">
        <v>806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1172</v>
      </c>
      <c r="B69" t="s">
        <v>807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1691</v>
      </c>
      <c r="B70" t="s">
        <v>808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1173</v>
      </c>
      <c r="B71" t="s">
        <v>809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1174</v>
      </c>
      <c r="B72" t="s">
        <v>810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415</v>
      </c>
      <c r="B73" t="s">
        <v>811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416</v>
      </c>
      <c r="B74" t="s">
        <v>812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417</v>
      </c>
      <c r="B75" t="s">
        <v>813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1175</v>
      </c>
      <c r="B76" t="s">
        <v>814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1176</v>
      </c>
      <c r="B77" t="s">
        <v>815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1177</v>
      </c>
      <c r="B78" t="s">
        <v>816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1178</v>
      </c>
      <c r="B79" t="s">
        <v>817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1179</v>
      </c>
      <c r="B80" t="s">
        <v>818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1180</v>
      </c>
      <c r="B81" t="s">
        <v>819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1692</v>
      </c>
      <c r="B82" t="s">
        <v>820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1181</v>
      </c>
      <c r="B83" t="s">
        <v>821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1182</v>
      </c>
      <c r="B84" t="s">
        <v>822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1183</v>
      </c>
      <c r="B85" t="s">
        <v>823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1184</v>
      </c>
      <c r="B86" t="s">
        <v>824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1185</v>
      </c>
      <c r="B87" t="s">
        <v>825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1186</v>
      </c>
      <c r="B88" t="s">
        <v>826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1187</v>
      </c>
      <c r="B89" t="s">
        <v>827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1188</v>
      </c>
      <c r="B90" t="s">
        <v>828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1189</v>
      </c>
      <c r="B91" t="s">
        <v>829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1190</v>
      </c>
      <c r="B92" t="s">
        <v>830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1407</v>
      </c>
      <c r="B93" t="s">
        <v>831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1191</v>
      </c>
      <c r="B94" t="s">
        <v>832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1192</v>
      </c>
      <c r="B95" t="s">
        <v>833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1193</v>
      </c>
      <c r="B96" t="s">
        <v>834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1194</v>
      </c>
      <c r="B97" t="s">
        <v>835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1195</v>
      </c>
      <c r="B98" t="s">
        <v>836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1693</v>
      </c>
      <c r="B99" t="s">
        <v>837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1320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799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400</v>
      </c>
      <c r="B102" t="s">
        <v>1396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401</v>
      </c>
      <c r="B103" t="s">
        <v>793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402</v>
      </c>
      <c r="B104" t="s">
        <v>794</v>
      </c>
      <c r="C104" t="str">
        <f>IF(ISERROR(MATCH(A104,'SegEnds_Xtal_Prot#'!B:B, 0)), "NoXtal", "Xtal")</f>
        <v>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403</v>
      </c>
      <c r="B105" t="s">
        <v>795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404</v>
      </c>
      <c r="B106" t="s">
        <v>796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405</v>
      </c>
      <c r="B107" t="s">
        <v>797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406</v>
      </c>
      <c r="B108" t="s">
        <v>798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410</v>
      </c>
      <c r="B109" t="s">
        <v>800</v>
      </c>
      <c r="C109" t="str">
        <f>IF(ISERROR(MATCH(A109,'SegEnds_Xtal_Prot#'!B:B, 0)), "NoXtal", "Xtal")</f>
        <v>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408</v>
      </c>
      <c r="B110" t="s">
        <v>801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409</v>
      </c>
      <c r="B111" t="s">
        <v>802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407</v>
      </c>
      <c r="B112" t="s">
        <v>1584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411</v>
      </c>
      <c r="B113" t="s">
        <v>803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412</v>
      </c>
      <c r="B114" t="s">
        <v>804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1414</v>
      </c>
      <c r="B115" t="s">
        <v>1413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905</v>
      </c>
      <c r="B116" t="s">
        <v>906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909</v>
      </c>
      <c r="B117" t="s">
        <v>910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911</v>
      </c>
      <c r="B118" t="s">
        <v>912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903</v>
      </c>
      <c r="B119" t="s">
        <v>904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907</v>
      </c>
      <c r="B120" t="s">
        <v>908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915</v>
      </c>
      <c r="B121" t="s">
        <v>916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913</v>
      </c>
      <c r="B122" t="s">
        <v>914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1434</v>
      </c>
      <c r="B123" t="s">
        <v>1435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1501</v>
      </c>
      <c r="B124" t="s">
        <v>1502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1445</v>
      </c>
      <c r="B125" t="s">
        <v>1447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917</v>
      </c>
      <c r="B126" t="s">
        <v>918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484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489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496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499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506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509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277</v>
      </c>
      <c r="B134" t="s">
        <v>512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517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334</v>
      </c>
      <c r="B136" t="s">
        <v>565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335</v>
      </c>
      <c r="B137" t="s">
        <v>566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1167</v>
      </c>
      <c r="B138" t="s">
        <v>568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1168</v>
      </c>
      <c r="B139" t="s">
        <v>569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1169</v>
      </c>
      <c r="B140" t="s">
        <v>570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354</v>
      </c>
      <c r="B141" t="s">
        <v>573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601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1165</v>
      </c>
      <c r="B143" t="s">
        <v>611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1166</v>
      </c>
      <c r="B144" t="s">
        <v>627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637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643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666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344</v>
      </c>
      <c r="B148" t="s">
        <v>669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351</v>
      </c>
      <c r="B149" t="s">
        <v>674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338</v>
      </c>
      <c r="B150" t="s">
        <v>684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483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485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486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487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488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490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491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492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493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494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497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498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500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503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1721</v>
      </c>
      <c r="C167" t="str">
        <f>IF(ISERROR(MATCH(A167,'SegEnds_Xtal_Prot#'!B:B, 0)), "NoXtal", "Xtal")</f>
        <v>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1720</v>
      </c>
      <c r="C168" t="str">
        <f>IF(ISERROR(MATCH(A168,'SegEnds_Xtal_Prot#'!B:B, 0)), "NoXtal", "Xtal")</f>
        <v>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504</v>
      </c>
      <c r="C169" t="str">
        <f>IF(ISERROR(MATCH(A169,'SegEnds_Xtal_Prot#'!B:B, 0)), "NoXtal", "Xtal")</f>
        <v>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505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507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508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510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511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278</v>
      </c>
      <c r="B175" t="s">
        <v>513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279</v>
      </c>
      <c r="B176" t="s">
        <v>514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280</v>
      </c>
      <c r="B177" t="s">
        <v>515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386</v>
      </c>
      <c r="B178" t="s">
        <v>516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518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519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316</v>
      </c>
      <c r="B181" t="s">
        <v>520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273</v>
      </c>
      <c r="B182" t="s">
        <v>521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522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523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524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525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207</v>
      </c>
      <c r="B187" t="s">
        <v>526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527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528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529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530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531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200</v>
      </c>
      <c r="B193" t="s">
        <v>532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201</v>
      </c>
      <c r="B194" t="s">
        <v>533</v>
      </c>
      <c r="C194" t="str">
        <f>IF(ISERROR(MATCH(A194,'SegEnds_Xtal_Prot#'!B:B, 0)), "NoXtal", "Xtal")</f>
        <v>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202</v>
      </c>
      <c r="B195" t="s">
        <v>534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204</v>
      </c>
      <c r="B196" t="s">
        <v>535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205</v>
      </c>
      <c r="B197" t="s">
        <v>536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206</v>
      </c>
      <c r="B198" t="s">
        <v>537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208</v>
      </c>
      <c r="B199" t="s">
        <v>538</v>
      </c>
      <c r="C199" t="str">
        <f>IF(ISERROR(MATCH(A199,'SegEnds_Xtal_Prot#'!B:B, 0)), "NoXtal", "Xtal")</f>
        <v>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209</v>
      </c>
      <c r="B200" t="s">
        <v>539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210</v>
      </c>
      <c r="B201" t="s">
        <v>540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281</v>
      </c>
      <c r="B202" t="s">
        <v>541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298</v>
      </c>
      <c r="B203" t="s">
        <v>542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299</v>
      </c>
      <c r="B204" t="s">
        <v>543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308</v>
      </c>
      <c r="B205" t="s">
        <v>544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545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295</v>
      </c>
      <c r="B207" t="s">
        <v>546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296</v>
      </c>
      <c r="B208" t="s">
        <v>547</v>
      </c>
      <c r="C208" t="str">
        <f>IF(ISERROR(MATCH(A208,'SegEnds_Xtal_Prot#'!B:B, 0)), "NoXtal", "Xtal")</f>
        <v>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297</v>
      </c>
      <c r="B209" t="s">
        <v>548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309</v>
      </c>
      <c r="B210" t="s">
        <v>549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317</v>
      </c>
      <c r="B211" t="s">
        <v>550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318</v>
      </c>
      <c r="B212" t="s">
        <v>551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552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322</v>
      </c>
      <c r="B214" t="s">
        <v>553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323</v>
      </c>
      <c r="B215" t="s">
        <v>554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319</v>
      </c>
      <c r="B216" t="s">
        <v>555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320</v>
      </c>
      <c r="B217" t="s">
        <v>556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324</v>
      </c>
      <c r="B218" t="s">
        <v>558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325</v>
      </c>
      <c r="B219" t="s">
        <v>559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326</v>
      </c>
      <c r="B220" t="s">
        <v>560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327</v>
      </c>
      <c r="B221" t="s">
        <v>561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328</v>
      </c>
      <c r="B222" t="s">
        <v>562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563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329</v>
      </c>
      <c r="B224" t="s">
        <v>564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336</v>
      </c>
      <c r="B225" t="s">
        <v>567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371</v>
      </c>
      <c r="B226" t="s">
        <v>571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368</v>
      </c>
      <c r="B227" t="s">
        <v>572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355</v>
      </c>
      <c r="B228" t="s">
        <v>574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356</v>
      </c>
      <c r="B229" t="s">
        <v>575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357</v>
      </c>
      <c r="B230" t="s">
        <v>576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577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375</v>
      </c>
      <c r="B232" t="s">
        <v>578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372</v>
      </c>
      <c r="B233" t="s">
        <v>579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373</v>
      </c>
      <c r="B234" t="s">
        <v>580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380</v>
      </c>
      <c r="B235" t="s">
        <v>581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381</v>
      </c>
      <c r="B236" t="s">
        <v>582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382</v>
      </c>
      <c r="B237" t="s">
        <v>583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383</v>
      </c>
      <c r="B238" t="s">
        <v>584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384</v>
      </c>
      <c r="B239" t="s">
        <v>585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313</v>
      </c>
      <c r="B240" t="s">
        <v>586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314</v>
      </c>
      <c r="B241" t="s">
        <v>587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315</v>
      </c>
      <c r="B242" t="s">
        <v>589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393</v>
      </c>
      <c r="B243" t="s">
        <v>590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395</v>
      </c>
      <c r="B244" t="s">
        <v>591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396</v>
      </c>
      <c r="B245" t="s">
        <v>592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397</v>
      </c>
      <c r="B246" t="s">
        <v>593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398</v>
      </c>
      <c r="B247" t="s">
        <v>594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343</v>
      </c>
      <c r="B248" t="s">
        <v>595</v>
      </c>
      <c r="C248" t="str">
        <f>IF(ISERROR(MATCH(A248,'SegEnds_Xtal_Prot#'!B:B, 0)), "NoXtal", "Xtal")</f>
        <v>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596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597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598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599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600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602</v>
      </c>
      <c r="C254" t="str">
        <f>IF(ISERROR(MATCH(A254,'SegEnds_Xtal_Prot#'!B:B, 0)), "NoXtal", "Xtal")</f>
        <v>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603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604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606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607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608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609</v>
      </c>
      <c r="C260" t="str">
        <f>IF(ISERROR(MATCH(A260,'SegEnds_Xtal_Prot#'!B:B, 0)), "NoXtal", "Xtal")</f>
        <v>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610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612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613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614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399</v>
      </c>
      <c r="B265" t="s">
        <v>615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616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617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618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619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620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203</v>
      </c>
      <c r="B271" t="s">
        <v>621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285</v>
      </c>
      <c r="B272" t="s">
        <v>622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290</v>
      </c>
      <c r="B273" t="s">
        <v>623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624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366</v>
      </c>
      <c r="B275" t="s">
        <v>625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367</v>
      </c>
      <c r="B276" t="s">
        <v>626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197</v>
      </c>
      <c r="B277" t="s">
        <v>628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198</v>
      </c>
      <c r="B278" t="s">
        <v>629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199</v>
      </c>
      <c r="B279" t="s">
        <v>630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257</v>
      </c>
      <c r="B280" t="s">
        <v>631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291</v>
      </c>
      <c r="B281" t="s">
        <v>632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292</v>
      </c>
      <c r="B282" t="s">
        <v>633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634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635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341</v>
      </c>
      <c r="B285" t="s">
        <v>636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286</v>
      </c>
      <c r="B286" t="s">
        <v>639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287</v>
      </c>
      <c r="B287" t="s">
        <v>640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288</v>
      </c>
      <c r="B288" t="s">
        <v>641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289</v>
      </c>
      <c r="B289" t="s">
        <v>642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644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377</v>
      </c>
      <c r="B291" t="s">
        <v>645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378</v>
      </c>
      <c r="B292" t="s">
        <v>646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379</v>
      </c>
      <c r="B293" t="s">
        <v>647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648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649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240</v>
      </c>
      <c r="B296" t="s">
        <v>650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260</v>
      </c>
      <c r="B297" t="s">
        <v>651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212</v>
      </c>
      <c r="B298" t="s">
        <v>652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370</v>
      </c>
      <c r="B299" t="s">
        <v>653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358</v>
      </c>
      <c r="B300" t="s">
        <v>654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359</v>
      </c>
      <c r="B301" t="s">
        <v>655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360</v>
      </c>
      <c r="B302" t="s">
        <v>656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361</v>
      </c>
      <c r="B303" t="s">
        <v>657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362</v>
      </c>
      <c r="B304" t="s">
        <v>658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363</v>
      </c>
      <c r="B305" t="s">
        <v>659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364</v>
      </c>
      <c r="B306" t="s">
        <v>660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365</v>
      </c>
      <c r="B307" t="s">
        <v>661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469</v>
      </c>
      <c r="B308" t="s">
        <v>662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310</v>
      </c>
      <c r="B309" t="s">
        <v>663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311</v>
      </c>
      <c r="B310" t="s">
        <v>664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665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667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668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345</v>
      </c>
      <c r="B314" t="s">
        <v>670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346</v>
      </c>
      <c r="B315" t="s">
        <v>671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347</v>
      </c>
      <c r="B316" t="s">
        <v>672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350</v>
      </c>
      <c r="B317" t="s">
        <v>673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352</v>
      </c>
      <c r="B318" t="s">
        <v>675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353</v>
      </c>
      <c r="B319" t="s">
        <v>676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234</v>
      </c>
      <c r="B320" t="s">
        <v>677</v>
      </c>
      <c r="C320" t="str">
        <f>IF(ISERROR(MATCH(A320,'SegEnds_Xtal_Prot#'!B:B, 0)), "NoXtal", "Xtal")</f>
        <v>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235</v>
      </c>
      <c r="B321" t="s">
        <v>678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274</v>
      </c>
      <c r="B322" t="s">
        <v>679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275</v>
      </c>
      <c r="B323" t="s">
        <v>680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276</v>
      </c>
      <c r="B324" t="s">
        <v>681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342</v>
      </c>
      <c r="B325" t="s">
        <v>682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385</v>
      </c>
      <c r="B326" t="s">
        <v>683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332</v>
      </c>
      <c r="B327" t="s">
        <v>685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331</v>
      </c>
      <c r="B328" t="s">
        <v>686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333</v>
      </c>
      <c r="B329" t="s">
        <v>687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337</v>
      </c>
      <c r="B330" t="s">
        <v>688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339</v>
      </c>
      <c r="B331" t="s">
        <v>689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340</v>
      </c>
      <c r="B332" t="s">
        <v>690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236</v>
      </c>
      <c r="B333" t="s">
        <v>712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248</v>
      </c>
      <c r="B334" t="s">
        <v>713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256</v>
      </c>
      <c r="B335" t="s">
        <v>714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261</v>
      </c>
      <c r="B336" t="s">
        <v>715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237</v>
      </c>
      <c r="B337" t="s">
        <v>716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238</v>
      </c>
      <c r="B338" t="s">
        <v>717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239</v>
      </c>
      <c r="B339" t="s">
        <v>718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241</v>
      </c>
      <c r="B340" t="s">
        <v>719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242</v>
      </c>
      <c r="B341" t="s">
        <v>720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243</v>
      </c>
      <c r="B342" t="s">
        <v>721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244</v>
      </c>
      <c r="B343" t="s">
        <v>722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245</v>
      </c>
      <c r="B344" t="s">
        <v>723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246</v>
      </c>
      <c r="B345" t="s">
        <v>724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247</v>
      </c>
      <c r="B346" t="s">
        <v>725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249</v>
      </c>
      <c r="B347" t="s">
        <v>726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250</v>
      </c>
      <c r="B348" t="s">
        <v>727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251</v>
      </c>
      <c r="B349" t="s">
        <v>728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252</v>
      </c>
      <c r="B350" t="s">
        <v>729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253</v>
      </c>
      <c r="B351" t="s">
        <v>730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254</v>
      </c>
      <c r="B352" t="s">
        <v>731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1690</v>
      </c>
      <c r="B353" t="s">
        <v>732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255</v>
      </c>
      <c r="B354" t="s">
        <v>733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258</v>
      </c>
      <c r="B355" t="s">
        <v>734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312</v>
      </c>
      <c r="B356" t="s">
        <v>735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259</v>
      </c>
      <c r="B357" t="s">
        <v>736</v>
      </c>
      <c r="C357" t="str">
        <f>IF(ISERROR(MATCH(A357,'SegEnds_Xtal_Prot#'!B:B, 0)), "NoXtal", "Xtal")</f>
        <v>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262</v>
      </c>
      <c r="B358" t="s">
        <v>737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263</v>
      </c>
      <c r="B359" t="s">
        <v>738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264</v>
      </c>
      <c r="B360" t="s">
        <v>739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369</v>
      </c>
      <c r="B361" t="s">
        <v>740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330</v>
      </c>
      <c r="B362" t="s">
        <v>741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265</v>
      </c>
      <c r="B363" t="s">
        <v>742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266</v>
      </c>
      <c r="B364" t="s">
        <v>743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267</v>
      </c>
      <c r="B365" t="s">
        <v>744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268</v>
      </c>
      <c r="B366" t="s">
        <v>745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269</v>
      </c>
      <c r="B367" t="s">
        <v>746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270</v>
      </c>
      <c r="B368" t="s">
        <v>747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271</v>
      </c>
      <c r="B369" t="s">
        <v>748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272</v>
      </c>
      <c r="B370" t="s">
        <v>749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211</v>
      </c>
      <c r="B371" t="s">
        <v>750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213</v>
      </c>
      <c r="B372" t="s">
        <v>751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214</v>
      </c>
      <c r="B373" t="s">
        <v>752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215</v>
      </c>
      <c r="B374" t="s">
        <v>753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216</v>
      </c>
      <c r="B375" t="s">
        <v>754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217</v>
      </c>
      <c r="B376" t="s">
        <v>755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218</v>
      </c>
      <c r="B377" t="s">
        <v>756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219</v>
      </c>
      <c r="B378" t="s">
        <v>757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220</v>
      </c>
      <c r="B379" t="s">
        <v>758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221</v>
      </c>
      <c r="B380" t="s">
        <v>759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222</v>
      </c>
      <c r="B381" t="s">
        <v>760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223</v>
      </c>
      <c r="B382" t="s">
        <v>761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224</v>
      </c>
      <c r="B383" t="s">
        <v>762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225</v>
      </c>
      <c r="B384" t="s">
        <v>763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226</v>
      </c>
      <c r="B385" t="s">
        <v>764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227</v>
      </c>
      <c r="B386" t="s">
        <v>765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228</v>
      </c>
      <c r="B387" t="s">
        <v>766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229</v>
      </c>
      <c r="B388" t="s">
        <v>767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230</v>
      </c>
      <c r="B389" t="s">
        <v>768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231</v>
      </c>
      <c r="B390" t="s">
        <v>769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232</v>
      </c>
      <c r="B391" t="s">
        <v>770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233</v>
      </c>
      <c r="B392" t="s">
        <v>771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282</v>
      </c>
      <c r="B393" t="s">
        <v>772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283</v>
      </c>
      <c r="B394" t="s">
        <v>773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284</v>
      </c>
      <c r="B395" t="s">
        <v>774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293</v>
      </c>
      <c r="B396" t="s">
        <v>775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294</v>
      </c>
      <c r="B397" t="s">
        <v>776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300</v>
      </c>
      <c r="B398" t="s">
        <v>777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301</v>
      </c>
      <c r="B399" t="s">
        <v>778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302</v>
      </c>
      <c r="B400" t="s">
        <v>779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303</v>
      </c>
      <c r="B401" t="s">
        <v>780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304</v>
      </c>
      <c r="B402" t="s">
        <v>781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305</v>
      </c>
      <c r="B403" t="s">
        <v>782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306</v>
      </c>
      <c r="B404" t="s">
        <v>783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307</v>
      </c>
      <c r="B405" t="s">
        <v>784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348</v>
      </c>
      <c r="B406" t="s">
        <v>785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349</v>
      </c>
      <c r="B407" t="s">
        <v>786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387</v>
      </c>
      <c r="B408" t="s">
        <v>787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388</v>
      </c>
      <c r="B409" t="s">
        <v>788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389</v>
      </c>
      <c r="B410" t="s">
        <v>789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390</v>
      </c>
      <c r="B411" t="s">
        <v>790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391</v>
      </c>
      <c r="B412" t="s">
        <v>791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392</v>
      </c>
      <c r="B413" t="s">
        <v>792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1588</v>
      </c>
      <c r="B414" t="s">
        <v>1590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1591</v>
      </c>
      <c r="B415" t="s">
        <v>1593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1631</v>
      </c>
      <c r="B416" t="s">
        <v>1632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1634</v>
      </c>
      <c r="B417" t="s">
        <v>1635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1636</v>
      </c>
      <c r="B418" t="s">
        <v>1637</v>
      </c>
      <c r="C418" t="str">
        <f>IF(ISERROR(MATCH(A418,'SegEnds_Xtal_Prot#'!B:B, 0)), "NoXtal", "Xtal")</f>
        <v>NoXtal</v>
      </c>
      <c r="D418" t="str">
        <f t="shared" ref="D418:D419" si="10">MID(A418,FIND("_",A418)+1,LEN(A418)-FIND("_",A418))</f>
        <v>human</v>
      </c>
      <c r="E418" t="str">
        <f>VLOOKUP(A418,Classification!A:B,2,FALSE)</f>
        <v>A</v>
      </c>
    </row>
    <row r="419" spans="1:5" x14ac:dyDescent="0.2">
      <c r="A419" t="s">
        <v>1688</v>
      </c>
      <c r="B419" t="s">
        <v>1689</v>
      </c>
      <c r="C419" t="str">
        <f>IF(ISERROR(MATCH(A419,'SegEnds_Xtal_Prot#'!B:B, 0)), "NoXtal", "Xtal")</f>
        <v>Xtal</v>
      </c>
      <c r="D419" t="str">
        <f t="shared" si="10"/>
        <v>mouse</v>
      </c>
      <c r="E419" t="str">
        <f>VLOOKUP(A419,Classification!A:B,2,FALSE)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sqref="A1:A1048576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1219</v>
      </c>
      <c r="C1" s="31" t="s">
        <v>1220</v>
      </c>
      <c r="D1" s="30" t="s">
        <v>99</v>
      </c>
      <c r="E1" s="26" t="s">
        <v>1218</v>
      </c>
      <c r="F1" s="26" t="s">
        <v>3</v>
      </c>
      <c r="G1" s="30" t="s">
        <v>1202</v>
      </c>
      <c r="H1" s="30" t="s">
        <v>4</v>
      </c>
      <c r="I1" s="30" t="s">
        <v>1204</v>
      </c>
      <c r="J1" s="30" t="s">
        <v>6</v>
      </c>
      <c r="K1" s="30" t="s">
        <v>1203</v>
      </c>
      <c r="L1" s="30" t="s">
        <v>7</v>
      </c>
      <c r="M1" s="30" t="s">
        <v>1205</v>
      </c>
      <c r="N1" s="30" t="s">
        <v>8</v>
      </c>
      <c r="O1" s="30" t="s">
        <v>10</v>
      </c>
      <c r="P1" s="30" t="s">
        <v>11</v>
      </c>
      <c r="Q1" s="30" t="s">
        <v>1201</v>
      </c>
      <c r="R1" s="26" t="s">
        <v>1054</v>
      </c>
      <c r="S1" s="8" t="s">
        <v>1071</v>
      </c>
      <c r="T1" s="8" t="s">
        <v>1056</v>
      </c>
      <c r="U1" s="8" t="s">
        <v>1073</v>
      </c>
      <c r="V1" s="8" t="s">
        <v>1058</v>
      </c>
      <c r="W1" s="8" t="s">
        <v>1086</v>
      </c>
      <c r="X1" s="8" t="s">
        <v>1060</v>
      </c>
      <c r="Y1" s="8" t="s">
        <v>1089</v>
      </c>
      <c r="Z1" s="8" t="s">
        <v>1062</v>
      </c>
      <c r="AA1" s="8" t="s">
        <v>1064</v>
      </c>
      <c r="AB1" s="8" t="s">
        <v>1066</v>
      </c>
      <c r="AC1" s="8" t="s">
        <v>1068</v>
      </c>
      <c r="AD1" s="26" t="s">
        <v>1055</v>
      </c>
      <c r="AE1" s="8" t="s">
        <v>1072</v>
      </c>
      <c r="AF1" s="8" t="s">
        <v>1057</v>
      </c>
      <c r="AG1" s="8" t="s">
        <v>1074</v>
      </c>
      <c r="AH1" s="8" t="s">
        <v>1059</v>
      </c>
      <c r="AI1" s="8" t="s">
        <v>1087</v>
      </c>
      <c r="AJ1" s="8" t="s">
        <v>1061</v>
      </c>
      <c r="AK1" s="8" t="s">
        <v>1090</v>
      </c>
      <c r="AL1" s="8" t="s">
        <v>1063</v>
      </c>
      <c r="AM1" s="8" t="s">
        <v>1065</v>
      </c>
      <c r="AN1" s="8" t="s">
        <v>1067</v>
      </c>
      <c r="AO1" s="8" t="s">
        <v>1069</v>
      </c>
      <c r="AP1" s="26" t="s">
        <v>1206</v>
      </c>
      <c r="AQ1" s="30" t="s">
        <v>1207</v>
      </c>
      <c r="AR1" s="30" t="s">
        <v>1208</v>
      </c>
      <c r="AS1" s="30" t="s">
        <v>1209</v>
      </c>
      <c r="AT1" s="30" t="s">
        <v>1210</v>
      </c>
      <c r="AU1" s="30" t="s">
        <v>1211</v>
      </c>
      <c r="AV1" s="30" t="s">
        <v>1212</v>
      </c>
      <c r="AW1" s="30" t="s">
        <v>1213</v>
      </c>
      <c r="AX1" s="30" t="s">
        <v>1214</v>
      </c>
      <c r="AY1" s="30" t="s">
        <v>1215</v>
      </c>
      <c r="AZ1" s="30" t="s">
        <v>1216</v>
      </c>
      <c r="BA1" s="30" t="s">
        <v>1217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YYSFKTEQLITLWVLFVFTIVGNSVVLFSTWRRSRMTFFVTQLAITDSFTGLVNILTDINWRFTPDLVCRVVRYLQVVLLYASTYVLVSLSIDRYHAIVYGEKQARVLIVIAWSLSFLFSIPTLIIFSYWTPYMTIVAFLVYFIPLTIISIMYGIVIRTIWIKSKTYETVISNCSDRGLISKAKIKAIKYSIIIILAFICCWSPYFLFDILDNFNERFYASVIIQNLPALNSAINPLIYCVFSSSISFPCREQRSQDSR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YYSFKTEQLITLWVLFVFTIVGNSVVLFSTWRR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</v>
      </c>
      <c r="M2" s="4" t="str">
        <f t="shared" ref="M2:M65" si="8">IFERROR(MID($E2,Y2,(AW2+1)),"")</f>
        <v>CWA</v>
      </c>
      <c r="N2" s="4" t="str">
        <f t="shared" ref="N2:N65" si="9">IFERROR(MID($E2,Z2,(AX2+1)),"")</f>
        <v>SYWTPYMTIVAFLVYFIPLTIISIMYGIVIRTIWIKSKTYETVISNCSD</v>
      </c>
      <c r="O2" s="4" t="str">
        <f t="shared" ref="O2:O65" si="10">IFERROR(MID($E2,AA2,(AY2+1)),"")</f>
        <v>RGLISKAKIKAIKYSIIIILAFICCWSPYFLFDILDNFN</v>
      </c>
      <c r="P2" s="4" t="str">
        <f t="shared" ref="P2:P65" si="11">IFERROR(MID($E2,AB2,(AZ2+1)),"")</f>
        <v>ERFYASVIIQNLPALNSAINPLIYCVF</v>
      </c>
      <c r="Q2" s="4" t="str">
        <f t="shared" ref="Q2:Q65" si="12">IFERROR(MID($E2,AC2,(BA2+1)),"")</f>
        <v>SSSISFPCREQRSQDSR</v>
      </c>
      <c r="R2" s="5">
        <f>VLOOKUP($A2,'SegEnds_NonXtal_Prot#'!$A:$AL,3,FALSE)</f>
        <v>45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205</v>
      </c>
      <c r="AA2" s="5">
        <f>VLOOKUP($A2,'SegEnds_NonXtal_Prot#'!$A:$AL,30,FALSE)</f>
        <v>262</v>
      </c>
      <c r="AB2" s="5">
        <f>VLOOKUP($A2,'SegEnds_NonXtal_Prot#'!$A:$AL,33,FALSE)</f>
        <v>307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111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185</v>
      </c>
      <c r="AK2" s="5">
        <f>VLOOKUP($A2,'SegEnds_NonXtal_Prot#'!$A:$AL,26,FALSE)</f>
        <v>199</v>
      </c>
      <c r="AL2" s="5">
        <f>VLOOKUP($A2,'SegEnds_NonXtal_Prot#'!$A:$AL,29,FALSE)</f>
        <v>253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350</v>
      </c>
      <c r="AP2" s="5">
        <f t="shared" ref="AP2:AP65" si="13">IFERROR(AD2-R2,"-")</f>
        <v>32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26</v>
      </c>
      <c r="AW2" s="4">
        <f t="shared" ref="AW2:AW65" si="20">IFERROR(AK2-Y2,"-")</f>
        <v>2</v>
      </c>
      <c r="AX2" s="4">
        <f t="shared" ref="AX2:AX65" si="21">IFERROR(AL2-Z2,"-")</f>
        <v>48</v>
      </c>
      <c r="AY2" s="4">
        <f t="shared" ref="AY2:AY65" si="22">IFERROR(AM2-AA2,"-")</f>
        <v>38</v>
      </c>
      <c r="AZ2" s="4">
        <f t="shared" ref="AZ2:AZ65" si="23">IFERROR(AN2-AB2,"-")</f>
        <v>26</v>
      </c>
      <c r="BA2" s="4">
        <f t="shared" ref="BA2:BA65" si="24">IFERROR(AO2-AC2,"-")</f>
        <v>16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'SegEnds_NonXtal_Prot#'!A114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'SegEnds_NonXtal_Prot#'!A124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'SegEnds_NonXtal_Prot#'!A125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PPSASAYVKLVLLGLIMCVSLAGNAILSLLVLKEKAPYYFLLDLCLADGIRSAVCFPFVLASVRHGSALSCKIVAFMAVLFCFHAAFMLFCISVTRYMAIAHTLWTCAAVICMAWTLSVAMAFPPVFDVGTYVQMVPAISQNWTFHGPGATGQAAANWIAGFGRGPMPPTLLGIRQNGHGMDEVKGEKQLGRMFYAITLLFLLLWSPYIVACYWRVFVPHRYLATAVWMSFAQAAVNPIVCFLLNKDLKKCLRTHAPC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VQMVPAISQNWTFHGPGATGQAAANWIAGFGRGPMPPTLLGIRQNGH</v>
      </c>
      <c r="O10" s="4" t="str">
        <f t="shared" si="10"/>
        <v>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274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266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46</v>
      </c>
      <c r="AY10" s="4">
        <f t="shared" si="22"/>
        <v>38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'SegEnds_NonXtal_Prot#'!A126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'SegEnds_NonXtal_Prot#'!A149</f>
        <v>gpr55_human</v>
      </c>
      <c r="B12" s="1" t="str">
        <f t="shared" si="0"/>
        <v>LMKTLQFAVHIPTFVLGLLLNLLAIHGFSTFAATSIYMINLAVFDLLLVLSLPFKMVLLCTLVECLYFVSMYGSVFTICFISMDRFLAIRYSPRKIFGICCTIWVLVWTGSIPIYSFHSDDTWSAKVFFPLEVFGFLLPMGIMGFCCSRSIHILLGRTQDWVQQKACIYSIAASLAVFVVSFLPVHLGFFLQFLVRNSECRAKQSISFFLQLSMCFSNVNCCLDVFCYYFVIKEFRMNIRAHRP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83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26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'SegEnds_NonXtal_Prot#'!A160</f>
        <v>hcar2_human</v>
      </c>
      <c r="B13" s="1" t="str">
        <f t="shared" si="0"/>
        <v>FIVKVLPPVLGLEFIFGLLGNGLALWIFCFHKSSRIFLFNLAVADFLLIICLPFLMDNYVRGDIPCRLMLFMLAMNRQGSIIFLTVVAVDRYFRVVHSNRTAAIISCLLWGITIGLTVHLLKKKICHTFQWHEAMFLLEFFLPLGIILFCSARIIWSLRQRHAKIKRAITFIMVVAIVFVICFLPSVVVRIRIFWLLHTNCEVYRSVDLAFFITLSFTYMNSMLDPVVYYFSSPSFPNFFSTLIN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89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'SegEnds_NonXtal_Prot#'!A173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'SegEnds_NonXtal_Prot#'!A181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'SegEnds_NonXtal_Prot#'!A184</f>
        <v>mrgrg_human</v>
      </c>
      <c r="B16" s="1" t="str">
        <f t="shared" si="0"/>
        <v>WRTFDSVVFYLTLIVGLGGPVGNGLVLWNLGFRGPFSIYLLHLAAADFLFLSCRVGFSVAQDTLYFVLTFLWFAVGLWLLAAFSVERCLSDLFPRHASAVLCALVWTPTLPAVPLPANACCPRYHVASVTWFLVLARVAWTAGVVLFVWVTCCSRPRLYGIVLGALLLLFFCGLPSVFYWSLQPLLPVFSPLATLLACVNSSSKPLIYSGLGRQPGKREPLRSVLR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WRTFDSVVFYLTLIVGLGGPVGNGLVLWNLGFR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8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32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'SegEnds_NonXtal_Prot#'!A191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'SegEnds_NonXtal_Prot#'!A201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PDHAHYTLGTVILLVGLTGMLGNLTVIYTFCRSTPANMFIINLAVSDFLMSFTQAPVFFTSSLYKGETGCEFYAFCGALFGISSMITLTAIALDRYLVITRSKRRAAFVLLGVWLYALAWSLPPFFAVRAYTMLLCCFVFFLPLLIIIYCYIFIFRAIRETGRALQTFGACKGNQRQRLQSECKMAKIMLLVILLFVLSWAPYSAVALVAFAGTPYMSSVPAVIAKASAIHNPIIYAITHPKYRVAIAQHLP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AVRAYTMLLCCFVFFLPLLIIIYCYIFIFRAIRETGRALQTFGACKGN</v>
      </c>
      <c r="O18" s="4" t="str">
        <f t="shared" si="10"/>
        <v>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284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278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47</v>
      </c>
      <c r="AY18" s="4">
        <f t="shared" si="22"/>
        <v>38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'SegEnds_NonXtal_Prot#'!A204</f>
        <v>oprk_human</v>
      </c>
      <c r="B19" s="1" t="str">
        <f t="shared" si="0"/>
        <v>AIPVIITAVYSVVFVVGLVGNSLVMFVIIRYTATNIYIFNLALADALVTTTMPFQSTVYLMNGDVLCKIVISIDYYNMFTSIFTLTMMSVDRYIAVCHTPLKAKIINICIWLLSSSVGISAIVLGDYSWWDLFMKICVFIFAFVIPVLIIIVCYTLMILRLKSVSREKDRNLRRITRLVLVVVAVFVVCWTPIHIFILVEALGSTAALSSYYFCIALGYTNSSLNPILYAFLDENFKRCFRDFCF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TATNIYIFNLALADALVTTTMPFQSTVYLMN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122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30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'SegEnds_NonXtal_Prot#'!A205</f>
        <v>oprm_human</v>
      </c>
      <c r="B20" s="1" t="str">
        <f t="shared" si="0"/>
        <v>MITAITIMALYSIVCVVGLFGNFLVMYVIVRYTATNIYIFNLALADALATSTLPFQSVNYLMGGTILCKIVISIDYYNMFTSIFTLCTMSVDRYIAVCHTPRNAKIINVCNWILSSAIGLPVMFMAPTWYWENLLKICVFIFAFIMPVLIITVCYGLMILRLKSVSKEKDRNLRRITRMVLVVVAVFIVCWTPIHIYVIIKALVTTFQTVSWHFCIALGYTNSCLNPVLYAFLDENFKRCFREFCI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TATNIYIFNLALADALATSTLPFQSVNYLMG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PTWYWENLLKICVFIFAFIMPVLIITVCYGLMILRLKSV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226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133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30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38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'SegEnds_NonXtal_Prot#'!A206</f>
        <v>oprm_mouse</v>
      </c>
      <c r="B21" s="1" t="str">
        <f t="shared" si="0"/>
        <v>MVTAITIMALYSIVCVVGLFGNFLVMYVIVRYTATNIYIFNLALADALATSTLPFQSVNYLMGGNILCKIVISIDYYNMFTSIFTLCTMSVDRYIAVCHTPRNAKIVNVCNWILSSAIGLPVMFMAPTWYWENLLKICVFIFAFIMPVLIITVCYGLMILRLKSVSKEKDRNLRRITRMVLVVVAVFIVCWTPIHIYVIIKALITTFQTVSWHFCIALGYTNSCLNPVLYAFLDENFKRCFREFCI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TATNIYIFNLALADALATSTLPFQSVNYLMG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PTWYWENLLKICVFIFAFIMPVLIITVCYGLMILRLKSV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224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131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30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38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'SegEnds_NonXtal_Prot#'!A215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'SegEnds_NonXtal_Prot#'!A216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'SegEnds_NonXtal_Prot#'!A229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'SegEnds_NonXtal_Prot#'!A249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SPGPRSILYAVLGFGAVLAAFGNLLVMIAILHFTPTNFLIASLACADFLVGVTVMPFSTVRSVESGDSYCKFHTCFDTSFCFASLFHLCCISVDRYIAVTDTVSVSGICIVLSWFFSVTYSFSIFYTLNQNWVLLCFLLFFIPNVAMVFIYSKIFLVAKHQARKIESTASQAQSKERVAKRERKAAKTLGIAMAAFLVSWLPYLVDAVIDAYMPPYVYEILVWCVYYNSAMNPLIYAFFYQWFGKAIKLIV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LNQNWVLLCFLLFFIPNVAMVFIYSKIFLVAKHQARKIESTASQAQS</v>
      </c>
      <c r="O25" s="4" t="str">
        <f t="shared" si="10"/>
        <v>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246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240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46</v>
      </c>
      <c r="AY25" s="4">
        <f t="shared" si="22"/>
        <v>38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'SegEnds_NonXtal_Prot#'!A255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'SegEnds_NonXtal_Prot#'!A266</f>
        <v>ackr3_human</v>
      </c>
      <c r="B27" s="1" t="str">
        <f t="shared" si="0"/>
        <v>SVLLYTLSFIYIFIFVIGMIANSVVVWVNIQAYDTHCYILNLAIADLWVVLTIPVWVVSLVQGELTCKVTHLIFSINLFGSIFFLTCMSVDRYLSITYKKMVRRVVCILVWLLAFCVSLPDTYYLEWLIGMELVSVVLGFAVPFSIIAVFYFLLARAISASQEKHSSRKIIFSYVVVFLVCWLPYHVAVLLDIFSILHTCRLEHALFTALHVTQCLSLVHCCVNPVLYSFINRNYRYELMKAFI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QEKHSSRKIIFSYVVVFLVCWLPYHVAVLLDIFSILH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245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36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'SegEnds_NonXtal_Prot#'!A280</f>
        <v>gpr75_human</v>
      </c>
      <c r="B28" s="1" t="str">
        <f t="shared" si="0"/>
        <v>IHTATLVTCTFLLAVIFCLGSYGNFIVFLSFFDPTNFDFMILNLSFCDLFICGVTAPMFTFVLFFSSIPDAFCFTFHLTSSGFIIMSLKTVAVIALHRLRMVLGRTASFPCTVLLTLLLWATSFTLATLATLKTAGKGKAILSLYVVDFTFCVAVVSVSYIMIAQTLRKNAQVRKCPPNLSTAKDSKAVVTCVIIVLSVLVCCLPLGISLVQVVLSLYQFELFGFTLIFFKSGLNPFIYSRNSAGLRRKVLWCLQYIGLGFFC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RTASFPCTVLLTLLLWATSFTLATLATLKT</v>
      </c>
      <c r="M28" s="4" t="str">
        <f t="shared" si="8"/>
        <v>CLP</v>
      </c>
      <c r="N28" s="4" t="str">
        <f t="shared" si="9"/>
        <v>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SAGLRRKVLWCLQYIGLGFFC</v>
      </c>
      <c r="R28" s="5">
        <f>VLOOKUP($A28,'SegEnds_NonXtal_Prot#'!$A:$AL,3,FALSE)</f>
        <v>37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154</v>
      </c>
      <c r="Y28" s="5">
        <f>VLOOKUP($A28,'SegEnds_NonXtal_Prot#'!$A:$AL,24,FALSE)</f>
        <v>189</v>
      </c>
      <c r="Z28" s="5">
        <f>VLOOKUP($A28,'SegEnds_NonXtal_Prot#'!$A:$AL,27,FALSE)</f>
        <v>197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400</v>
      </c>
      <c r="AP28" s="5">
        <f t="shared" si="13"/>
        <v>33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29</v>
      </c>
      <c r="AW28" s="4">
        <f t="shared" si="20"/>
        <v>2</v>
      </c>
      <c r="AX28" s="4">
        <f t="shared" si="21"/>
        <v>43</v>
      </c>
      <c r="AY28" s="4">
        <f t="shared" si="22"/>
        <v>37</v>
      </c>
      <c r="AZ28" s="4">
        <f t="shared" si="23"/>
        <v>25</v>
      </c>
      <c r="BA28" s="4">
        <f t="shared" si="24"/>
        <v>20</v>
      </c>
    </row>
    <row r="29" spans="1:53" x14ac:dyDescent="0.2">
      <c r="A29" s="1" t="str">
        <f>'SegEnds_NonXtal_Prot#'!A297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'SegEnds_NonXtal_Prot#'!A326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'SegEnds_NonXtal_Prot#'!A332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'SegEnds_NonXtal_Prot#'!A352</f>
        <v>agrv1_human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'SegEnds_NonXtal_Prot#'!A363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'SegEnds_NonXtal_Prot#'!A371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'SegEnds_NonXtal_Prot#'!A375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'SegEnds_NonXtal_Prot#'!A393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'SegEnds_NonXtal_Prot#'!A402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'SegEnds_NonXtal_Prot#'!A408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LTLSGKIRVTVTFFLFLLSATFNASFLLKLQKWRMKLLLKHLTLANLLETLIVMPLDGMWNIGELLCKVLSYLKLFSMYAPAFMMVVISLDRSLAITRNSKVGQSMVGLAWILSSVFAGPQLYIFWHQAFYNFFTFSCLFIIPLFIMLICNAKIIFTLTRVLHQDPHQSKNNIPRARLKTLKMTVAFATSFTVCWTPYYVLGIWYWFDEMLNRLSDPVNHFFFLFAFLNPCFDPLIYGYF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LTLSGKIRVTVTFFLFLLSATFNASFLLKLQKW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31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206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32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41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LETETLNKYVVIIAYALVFLLSLLGNSLVMLVILYSSVTDVYLLNLALADLLFALTLPIWAASKVNGTFLCKVVSLLKEVNFYSGILLLACISVDRYLAIVHLVKFVCLGCWGLSMNLSLPFFLFRTAKWRMVLRILPHTFGFIVPLFVMLFCYGFTLRTLFKAQKHRAMRVIFAVVLIFLLCWLPYNLVLLADTLMRTQSCERRNNIGRALDATEILGFLHSCLNPIIYAFIGQNFRHGFLKILAMHG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LETETLNKYVVIIAYALVFLLSLLGNSLVMLVILYS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ATRTLTQKRH</v>
      </c>
      <c r="L46" s="4" t="str">
        <f t="shared" si="7"/>
        <v>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QKHRAMRVIFAVVLIFLLCWLPYNLVLLADTLMRTQ</v>
      </c>
      <c r="P46" s="4" t="str">
        <f t="shared" si="11"/>
        <v>SCERRNNIGRALDATEILGFLHSCLNPIIYAFI</v>
      </c>
      <c r="Q46" s="4" t="str">
        <f t="shared" si="12"/>
        <v>GQNFRHGFLKILAMHG</v>
      </c>
      <c r="R46" s="5">
        <f>VLOOKUP($A46,'SegEnds_NonXtal_Prot#'!$A:$AL,3,FALSE)</f>
        <v>32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152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236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151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324</v>
      </c>
      <c r="AP46" s="5">
        <f t="shared" si="13"/>
        <v>35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9</v>
      </c>
      <c r="AV46" s="4">
        <f t="shared" si="19"/>
        <v>23</v>
      </c>
      <c r="AW46" s="4">
        <f t="shared" si="20"/>
        <v>2</v>
      </c>
      <c r="AX46" s="4">
        <f t="shared" si="21"/>
        <v>37</v>
      </c>
      <c r="AY46" s="4">
        <f t="shared" si="22"/>
        <v>35</v>
      </c>
      <c r="AZ46" s="4">
        <f t="shared" si="23"/>
        <v>32</v>
      </c>
      <c r="BA46" s="4">
        <f t="shared" si="24"/>
        <v>15</v>
      </c>
    </row>
    <row r="47" spans="1:53" x14ac:dyDescent="0.2">
      <c r="A47" s="1" t="str">
        <f>'SegEnds_NonXtal_Prot#'!A11</f>
        <v>cxcr2_human</v>
      </c>
      <c r="B47" s="1" t="str">
        <f t="shared" si="0"/>
        <v>EINKYFVVIIYALVFLLSLLGNSLVMLVILYSSVTDVYLLNLALADLLFALTLPIWAASKVNGTFLCKVVSLLKEVNFYSGILLLACISVDRYLAIVHLVKFICLSIWGLSLLLALPVLLFRNTANWRMLLRILPQSFGFIVPLLIMLFCYGFTLRTLFKAQKHRAMRVIFAVVLIFLLCWLPYNLVLLADTLMRTQTCERRNHIDRALDATEILGILHSCLNPLIYAFIGQKFRHGLLKILAIH</v>
      </c>
      <c r="C47" s="29" t="str">
        <f>IF(ISERROR(MATCH(A47,'SegEnds_Xtal_Prot#'!B:B, 0)), "NoXtal", "Xtal")</f>
        <v>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ATRTLTQKRY</v>
      </c>
      <c r="L47" s="4" t="str">
        <f t="shared" si="7"/>
        <v>LVKFICLSIWGLSLLLALPVLLFR</v>
      </c>
      <c r="M47" s="4" t="str">
        <f t="shared" si="8"/>
        <v>CYE</v>
      </c>
      <c r="N47" s="4" t="str">
        <f t="shared" si="9"/>
        <v>NTANWRMLLRILPQSFGFIVPLLIMLFCYGFTLRTLFKA</v>
      </c>
      <c r="O47" s="4" t="str">
        <f t="shared" si="10"/>
        <v>QKHRAMRVIFAVVLIFLLCWLPYNLVLLADTLMRTQ</v>
      </c>
      <c r="P47" s="4" t="str">
        <f t="shared" si="11"/>
        <v>TCERRNHIDRALDATEILGILHSCLNPLIYAFI</v>
      </c>
      <c r="Q47" s="4" t="str">
        <f t="shared" si="12"/>
        <v>GQKFRHGLLKILAIH</v>
      </c>
      <c r="R47" s="5">
        <f>VLOOKUP($A47,'SegEnds_NonXtal_Prot#'!$A:$AL,3,FALSE)</f>
        <v>45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161</v>
      </c>
      <c r="Y47" s="5">
        <f>VLOOKUP($A47,'SegEnds_NonXtal_Prot#'!$A:$AL,24,FALSE)</f>
        <v>196</v>
      </c>
      <c r="Z47" s="5">
        <f>VLOOKUP($A47,'SegEnds_NonXtal_Prot#'!$A:$AL,27,FALSE)</f>
        <v>203</v>
      </c>
      <c r="AA47" s="5">
        <f>VLOOKUP($A47,'SegEnds_NonXtal_Prot#'!$A:$AL,30,FALSE)</f>
        <v>245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160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332</v>
      </c>
      <c r="AP47" s="5">
        <f t="shared" si="13"/>
        <v>31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9</v>
      </c>
      <c r="AV47" s="4">
        <f t="shared" si="19"/>
        <v>23</v>
      </c>
      <c r="AW47" s="4">
        <f t="shared" si="20"/>
        <v>2</v>
      </c>
      <c r="AX47" s="4">
        <f t="shared" si="21"/>
        <v>38</v>
      </c>
      <c r="AY47" s="4">
        <f t="shared" si="22"/>
        <v>35</v>
      </c>
      <c r="AZ47" s="4">
        <f t="shared" si="23"/>
        <v>32</v>
      </c>
      <c r="BA47" s="4">
        <f t="shared" si="24"/>
        <v>14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TPLNYILLNLAVADLFMVFGGFTTTLYTSLHG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101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31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GAGLRADAVVCLAVCAFIVLENLAVLLVLGRHAPMFLLLGSLTLSDLLAGAAYAANILLSPALWFAREGGVFVALTASVLSLLAIALERSLTMARSRGRTLAMAAAAWGVSLLLGLLPALGAKAYVLFCVLAFVGILAAICALYARIYCQVRANARRLPARPGTAGTRARRKPRSLALLRTLSVVLLAFVACWGPLFLLLLLDVACPVLLQADPFLGLAMANSLLNPIIYTLTNRDLRHALLRLVC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AKAYVLFCVLAFVGILAAICALYARIYCQVRANARRLPARPGTAGT</v>
      </c>
      <c r="O65" s="4" t="str">
        <f t="shared" si="10"/>
        <v>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239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235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45</v>
      </c>
      <c r="AY65" s="4">
        <f t="shared" si="22"/>
        <v>38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SSLEDLVATGTIGTLLSAMGVVGVVGNAYTLVVTCRSASMYVYVVNLALADLLYLLSIPFIVATYVTGDVGCRVLFGLDFLTMHASIFTLTVMSSERYAAVLRPKGYRKLLALGTWLLALLLTLPVMLAMWGPRAHRAYLTLLFATSIAGPGLLIGLLYARLARAYRRSQRASPGARALRLVLGIVLLFWACFLPFWLWQLLAQYHAPLAPRTARIVNYLTTCLTYGNSCANPFLYTLLTRNYRDHLRGRVR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APLAPRTARIVNYLTTCLTYGNSCANPFLYTLL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286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32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NEELAKLEIAVLAVTFAVAVLGNSSVLLALHRTSRMHLFIRHLSLADLAVAFFQVLPQMCWDIRGPDWLCRVVKHLQVFGMFASAYMLVVMTADRYIAVCHPARRSRLMIAAAWVLSFVLSTPQYFVFWGSRAYVTWMTGGIFVAPVVILGTCYGFICYNIWCNVRGKTASRKSISRAKIRTVKMTFVIVTAYIVCWAPFFIIQMWSVWDSENPTITITALLGSLNSCCNPWIYMFFSGHLLQDCVQSFPCCQN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NEELAKLEIAVLAVTFAVAVLGNSSVLLALHRT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SENPTITITALLGSLNSCCNPWIYMFF</v>
      </c>
      <c r="Q67" s="4" t="str">
        <f t="shared" si="37"/>
        <v>SGHLLQDCVQSFPCCQN</v>
      </c>
      <c r="R67" s="5">
        <f>VLOOKUP($A67,'SegEnds_NonXtal_Prot#'!$A:$AL,3,FALSE)</f>
        <v>47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325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32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26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DEELAKVEIGVLATVLVLATGGNLAVLLTLGQLSRMHLFVLHLALTDLAVALFQVLPQLLWDIQGPDLLCRAVKYLQVLSMFASTYMLLAMTLDRYLAVCHPGQSTYLLIAAPWLLAAIFSLPQVFIFWGPRAYLTWTTLAIFVLPVTMLTACYSLICHEICKNLKVKTQAWNTISRAKIRTVKMTFVIVLAYIACWAPFFSVQMWSVWDSTNVAFTISMLLGNLNSCCNPWIYMGFNSHLLPRPLRHLACCGG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WGPRAYLTWTTLAIFVLPVTMLTACYSLICHEICKNLKVKTQAW</v>
      </c>
      <c r="O68" s="4" t="str">
        <f t="shared" si="35"/>
        <v>NTISRAKIRTVKMTFVIVLAYIACWAPFFSVQMWSVWD</v>
      </c>
      <c r="P68" s="4" t="str">
        <f t="shared" si="36"/>
        <v>STNVAFTISMLLGNLNSCCNPWIYMGF</v>
      </c>
      <c r="Q68" s="4" t="str">
        <f t="shared" si="37"/>
        <v>NSHLLPRPLRHLACCGG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194</v>
      </c>
      <c r="AA68" s="5">
        <f>VLOOKUP($A68,'SegEnds_NonXtal_Prot#'!$A:$AL,30,FALSE)</f>
        <v>270</v>
      </c>
      <c r="AB68" s="5">
        <f>VLOOKUP($A68,'SegEnds_NonXtal_Prot#'!$A:$AL,33,FALSE)</f>
        <v>315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358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43</v>
      </c>
      <c r="AY68" s="4">
        <f t="shared" si="47"/>
        <v>37</v>
      </c>
      <c r="AZ68" s="4">
        <f t="shared" si="48"/>
        <v>26</v>
      </c>
      <c r="BA68" s="4">
        <f t="shared" si="49"/>
        <v>16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VVSFGKVFLPVFYSLIFVLGLSGNLLLLMVLLRYRMVEIYLLNLAISNLLFLVTLPFWGISVAWGSFLCKMVSTLYTINFYSGIFFISCMSLDKYLEIVHTRAKSLLLATIVWAVSLAVSIPDMVFVGTIWKLFLRFQQNLLGFLLPLLAMIFFYSRIGCVLVRLAGQGRALKIAAALVVAFFVLWFPYNLTLFLHTLLDLQNCEVSQHLDYALQVTESIAFLHCCFSPILYAFSSHRFRQYLKAFL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AGQGRALKIAAALVVAFFVLWFPYNLTLFLHTLLDLQ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243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36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PWQVAFIGITTGLLSLATVTGNLLVLISFKVNTVNNYFLLSLACADLIIGTFSMNLYTTYLLMGGTLACDLWLALDYVASNASVMNLLLISFDRYFSVTRTPRRAALMIGLAWLVSFVLWAPAILFWQYLVGQPIITFGTAMAAFYLPVTVMCTLYWRIYRETENRARELAALTFSLVKEKKAARTLSAILLAFILTWTPYNIMVLVSTFCPETLWELGYWLCYVNSTINPMCYALCNKAFRDTFRLLLLC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NKAFRDTFRLLLLC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435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13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RYETVEMVFIATVTGSLSLVTVVGNILVMLSIKVNTVNNYFLFSLACADLIIGAFSMNLYTVYIIKGGAVVCDLWLALDYVVSNASVMNLLIISFDRYFCVTKTTKMAGLMIAAAWVLSFVLWAPAILFWQFVVGNPAVTFGTAIAAFYLPVVIMTVLYIHISLASRSRVHKHRPERQMAARERKVTRTIFAILLAFILTWTPYNVMVLVNTFCPDTVWSIGYWLCYVNSTINPACYALCNATFKKTFRHLLLCQ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TVNNYFLFSLACADLIIGAFSMNLYTVYIIKG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NATFKKTFRHLLLCQ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96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471</v>
      </c>
      <c r="AP88" s="5">
        <f t="shared" si="38"/>
        <v>34</v>
      </c>
      <c r="AQ88" s="4">
        <f t="shared" si="39"/>
        <v>3</v>
      </c>
      <c r="AR88" s="4">
        <f t="shared" si="40"/>
        <v>31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14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PEEIFFTISIVGVLENLIVLLAVFKNAPMYFFICSLAISDMLGSLYKILENILIILRGSFETTADDIIDSLFVLSLLGSIFSLSVIAADRYITIFHTMRRTVVVLTVIWTFCTGTGITMVIFSHVPTVITFTSLFPLMLVFILCLYVHMFLLARSHSTLPRANMKGAITLTILLGVFIFCWAPFVLHVLLMTFCLFQVNGMLIMCNAVIDPFIYAFRSPELRDAFKKMIFCS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TMRRTVVVLTVIWTFCTGTGITMVIFS</v>
      </c>
      <c r="M90" s="4" t="str">
        <f t="shared" si="33"/>
        <v/>
      </c>
      <c r="N90" s="4" t="str">
        <f t="shared" si="34"/>
        <v>HVPTVITFTSLFPLMLVFILCLYVHMFLLARSH</v>
      </c>
      <c r="O90" s="4" t="str">
        <f t="shared" si="35"/>
        <v>STLPRANMKGAITLTILLGVFIFCWAPFVLHVLLMTFC</v>
      </c>
      <c r="P90" s="4" t="str">
        <f t="shared" si="36"/>
        <v>LFQVNGMLIMCNAVIDPFIYAFR</v>
      </c>
      <c r="Q90" s="4" t="str">
        <f t="shared" si="37"/>
        <v>SPELRDAFKKMIFCS</v>
      </c>
      <c r="R90" s="5">
        <f>VLOOKUP($A90,'SegEnds_NonXtal_Prot#'!$A:$AL,3,FALSE)</f>
        <v>27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171</v>
      </c>
      <c r="AA90" s="5">
        <f>VLOOKUP($A90,'SegEnds_NonXtal_Prot#'!$A:$AL,30,FALSE)</f>
        <v>208</v>
      </c>
      <c r="AB90" s="5">
        <f>VLOOKUP($A90,'SegEnds_NonXtal_Prot#'!$A:$AL,33,FALSE)</f>
        <v>257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169</v>
      </c>
      <c r="AK90" s="5" t="str">
        <f>VLOOKUP($A90,'SegEnds_NonXtal_Prot#'!$A:$AL,26,FALSE)</f>
        <v>-</v>
      </c>
      <c r="AL90" s="5">
        <f>VLOOKUP($A90,'SegEnds_NonXtal_Prot#'!$A:$AL,29,FALSE)</f>
        <v>203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294</v>
      </c>
      <c r="AP90" s="5">
        <f t="shared" si="38"/>
        <v>25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26</v>
      </c>
      <c r="AW90" s="4" t="str">
        <f t="shared" si="45"/>
        <v>-</v>
      </c>
      <c r="AX90" s="4">
        <f t="shared" si="46"/>
        <v>32</v>
      </c>
      <c r="AY90" s="4">
        <f t="shared" si="47"/>
        <v>37</v>
      </c>
      <c r="AZ90" s="4">
        <f t="shared" si="48"/>
        <v>22</v>
      </c>
      <c r="BA90" s="4">
        <f t="shared" si="49"/>
        <v>14</v>
      </c>
    </row>
    <row r="91" spans="1:53" x14ac:dyDescent="0.2">
      <c r="A91" s="1" t="str">
        <f>'SegEnds_NonXtal_Prot#'!A62</f>
        <v>ada1a_human</v>
      </c>
      <c r="B91" s="1" t="str">
        <f t="shared" si="25"/>
        <v>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25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29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44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29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95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29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TLTLVCLAGLLMLLTVFGNVLVIIAVFTSAPQNLFLVSLASADILVATLVIPFSLANEVMGGKAWCEIYLALDVLFCTSSIVHLCAISLDRYWSITQTPRRIKAIIITVWVISAVISFPPLIQKWYVISSCIGSFFAPCLIMILVYVRIYQIAKRRTRVPPSRRGRQNREKRFTFVLAVVIGVFVVCWFPFFFTYTLTAVGPRTLFKFFFWFGYCNSSLNPVIYTIFNHDFRRAFKKILCR</v>
      </c>
      <c r="C94" s="29" t="str">
        <f>IF(ISERROR(MATCH(A94,'SegEnds_Xtal_Prot#'!B:B, 0)), "NoXtal", "Xtal")</f>
        <v>Xtal</v>
      </c>
      <c r="D94" s="4" t="str">
        <f>VLOOKUP(A94,Classification!A:D,2,FALSE)</f>
        <v>A</v>
      </c>
      <c r="E94" s="5" t="str">
        <f>VLOOKUP(A94,Seqs!A:B,2,FALSE)</f>
        <v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PRTLFKFFFWFGYCNSSLNPVIYTIF</v>
      </c>
      <c r="Q94" s="4" t="str">
        <f t="shared" si="37"/>
        <v>NHDFRRAFKKILCR</v>
      </c>
      <c r="R94" s="5">
        <f>VLOOKUP($A94,'SegEnds_NonXtal_Prot#'!$A:$AL,3,FALSE)</f>
        <v>48</v>
      </c>
      <c r="S94" s="5">
        <f>VLOOKUP($A94,'SegEnds_NonXtal_Prot#'!$A:$AL,6,FALSE)</f>
        <v>77</v>
      </c>
      <c r="T94" s="5">
        <f>VLOOKUP($A94,'SegEnds_NonXtal_Prot#'!$A:$AL,9,FALSE)</f>
        <v>81</v>
      </c>
      <c r="U94" s="5">
        <f>VLOOKUP($A94,'SegEnds_NonXtal_Prot#'!$A:$AL,12,FALSE)</f>
        <v>113</v>
      </c>
      <c r="V94" s="5">
        <f>VLOOKUP($A94,'SegEnds_NonXtal_Prot#'!$A:$AL,15,FALSE)</f>
        <v>117</v>
      </c>
      <c r="W94" s="5">
        <f>VLOOKUP($A94,'SegEnds_NonXtal_Prot#'!$A:$AL,18,FALSE)</f>
        <v>153</v>
      </c>
      <c r="X94" s="5">
        <f>VLOOKUP($A94,'SegEnds_NonXtal_Prot#'!$A:$AL,21,FALSE)</f>
        <v>161</v>
      </c>
      <c r="Y94" s="5">
        <f>VLOOKUP($A94,'SegEnds_NonXtal_Prot#'!$A:$AL,24,FALSE)</f>
        <v>203</v>
      </c>
      <c r="Z94" s="5">
        <f>VLOOKUP($A94,'SegEnds_NonXtal_Prot#'!$A:$AL,27,FALSE)</f>
        <v>208</v>
      </c>
      <c r="AA94" s="5">
        <f>VLOOKUP($A94,'SegEnds_NonXtal_Prot#'!$A:$AL,30,FALSE)</f>
        <v>378</v>
      </c>
      <c r="AB94" s="5">
        <f>VLOOKUP($A94,'SegEnds_NonXtal_Prot#'!$A:$AL,33,FALSE)</f>
        <v>419</v>
      </c>
      <c r="AC94" s="5">
        <f>VLOOKUP($A94,'SegEnds_NonXtal_Prot#'!$A:$AL,36,FALSE)</f>
        <v>445</v>
      </c>
      <c r="AD94" s="5">
        <f>VLOOKUP($A94,'SegEnds_NonXtal_Prot#'!$A:$AL,5,FALSE)</f>
        <v>76</v>
      </c>
      <c r="AE94" s="5">
        <f>VLOOKUP($A94,'SegEnds_NonXtal_Prot#'!$A:$AL,8,FALSE)</f>
        <v>80</v>
      </c>
      <c r="AF94" s="5">
        <f>VLOOKUP($A94,'SegEnds_NonXtal_Prot#'!$A:$AL,11,FALSE)</f>
        <v>112</v>
      </c>
      <c r="AG94" s="5">
        <f>VLOOKUP($A94,'SegEnds_NonXtal_Prot#'!$A:$AL,14,FALSE)</f>
        <v>116</v>
      </c>
      <c r="AH94" s="5">
        <f>VLOOKUP($A94,'SegEnds_NonXtal_Prot#'!$A:$AL,17,FALSE)</f>
        <v>152</v>
      </c>
      <c r="AI94" s="5">
        <f>VLOOKUP($A94,'SegEnds_NonXtal_Prot#'!$A:$AL,20,FALSE)</f>
        <v>160</v>
      </c>
      <c r="AJ94" s="5">
        <f>VLOOKUP($A94,'SegEnds_NonXtal_Prot#'!$A:$AL,23,FALSE)</f>
        <v>185</v>
      </c>
      <c r="AK94" s="5">
        <f>VLOOKUP($A94,'SegEnds_NonXtal_Prot#'!$A:$AL,26,FALSE)</f>
        <v>205</v>
      </c>
      <c r="AL94" s="5">
        <f>VLOOKUP($A94,'SegEnds_NonXtal_Prot#'!$A:$AL,29,FALSE)</f>
        <v>248</v>
      </c>
      <c r="AM94" s="5">
        <f>VLOOKUP($A94,'SegEnds_NonXtal_Prot#'!$A:$AL,32,FALSE)</f>
        <v>415</v>
      </c>
      <c r="AN94" s="5">
        <f>VLOOKUP($A94,'SegEnds_NonXtal_Prot#'!$A:$AL,35,FALSE)</f>
        <v>444</v>
      </c>
      <c r="AO94" s="5">
        <f>VLOOKUP($A94,'SegEnds_NonXtal_Prot#'!$A:$AL,38,FALSE)</f>
        <v>458</v>
      </c>
      <c r="AP94" s="5">
        <f t="shared" si="38"/>
        <v>28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25</v>
      </c>
      <c r="BA94" s="4">
        <f t="shared" si="49"/>
        <v>13</v>
      </c>
    </row>
    <row r="95" spans="1:53" x14ac:dyDescent="0.2">
      <c r="A95" s="1" t="str">
        <f>'SegEnds_NonXtal_Prot#'!A66</f>
        <v>ada2b_human</v>
      </c>
      <c r="B95" s="1" t="str">
        <f t="shared" si="25"/>
        <v>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v>
      </c>
      <c r="F95" s="5" t="str">
        <f t="shared" si="26"/>
        <v>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11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360</v>
      </c>
      <c r="AB95" s="5">
        <f>VLOOKUP($A95,'SegEnds_NonXtal_Prot#'!$A:$AL,33,FALSE)</f>
        <v>404</v>
      </c>
      <c r="AC95" s="5">
        <f>VLOOKUP($A95,'SegEnds_NonXtal_Prot#'!$A:$AL,36,FALSE)</f>
        <v>430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397</v>
      </c>
      <c r="AN95" s="5">
        <f>VLOOKUP($A95,'SegEnds_NonXtal_Prot#'!$A:$AL,35,FALSE)</f>
        <v>429</v>
      </c>
      <c r="AO95" s="5">
        <f>VLOOKUP($A95,'SegEnds_NonXtal_Prot#'!$A:$AL,38,FALSE)</f>
        <v>442</v>
      </c>
      <c r="AP95" s="5">
        <f t="shared" si="38"/>
        <v>29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SAGAVAGLAAVVGFLIVFTVVGNVLVVIAVLTSAPQNLFLVSLASADILVATLVMPFSLANELMAGQVWCGVYLALDVLFCTSSIVHLCAISLDRYWSVTQTPRRVKATIVAVWLISAVISFPPLVETWYILSSCIGSFFAPCLIMGLVYARIYRVAKLRTRTLSEKKVAQAREKRFTFVLAVVMGVFVLCWFPFFFSYSLYGICRPGPLFKFFFWIGYCNSSLNPVIYTVFNQDFRRSFKHILF</v>
      </c>
      <c r="C96" s="29" t="str">
        <f>IF(ISERROR(MATCH(A96,'SegEnds_Xtal_Prot#'!B:B, 0)), "NoXtal", "Xtal")</f>
        <v>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SAGAVAGLAAVVGFLIVFTVVGNVLVVIAVLTS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KVAQAREKRFTFVLAVVMGVFVLCWFPFFFSYSLYGICR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47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409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32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38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TLTNLFIMSLASADLVMGLLVVPFGATIVVWG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122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31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TLTNLFITSLACADLVMGLLVVPFGATLVVRG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105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31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QERDEVWVVGMGIVMSLIVLAIVFGNVLVITAIAKFTVTNYFITSLACADLVMGLAVVPFGAAHILMKGNFWCEFWTSIDVLCVTASIETLCVIAVDRYFAITSTKNKARVIILMVWIVSGLTSFLPIQMHNQAYAIASSIVSFYVPLVIMVFVYSRVFQEAKRQLQKIDKSESKFCLKEHKALKTLGIIMGTFTLCWLPFFIVNIVHVIQRKEVYILLNWIGYVNSGFNPLIYCRSPDFRIAFQELLC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TVTNYFITSLACADLVMGLAVVPFGAAHILMK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97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31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TMTNVFVTSLAAADLVMGLLVVPPAATLALTG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101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31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HNYIFVMIPTLYSIIFVVGIFGNSLVVIVIYFYTVASVFLLNLALADLCFLLTLPLWAVYTAMEGNYLCKIASASVSFNLYASVFLLTCLSIDRYLAIVHTMLVAKVTCIIIWLLAGLASLPAIIHRLPIGLGLTKNILGFLFPFLIILTSYTLIWKALKKAQKNKPRNDDIFKIIMAIVLFFFFSWIPHQIFTFLDVLIQLGDCRIADIVDTAMPITICIAYFNNCLNPLFYGFLGKKFKRYFLQLLKYI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TVASVFLLNLALADLCFLLTLPLWAVYTAME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91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WDLLHRVLPTFIISICFFGLLGNLFVLLVFLLPNVAEIYLANLAASDLVFVLGLPFWAENIWNQGALLCRVINGVIKANLFISIFLVVAISQDRYRVLVHRRRQARVTCVLIWVVGGLLSIPTFLLRWHFARIVELNILGFLLPLAAIVFFNYHILASLRTRTRCGGRKDSKTTALILTLVVAFLVCWAPYHFFAFLEFLFQVQGCFWEDFIDLGLQLANFFAFTNSSLNPVIYVFVGRLFRTKVWELYKQC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NVAEIYLANLAASDLVFVLGLPFWAENIWNQ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100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KVNERAFGAQLLPPLYSLVFVIGLVGNILVVLVLVQYNMTSIYLLNLAISDLLFLFTLPFWIDYKLKDGDAMCKILSGFYYTGLYSEIFFIILLTIDRYLAIVHTVTFGVITSIIIWALAILASMPGLYFSSLREWKLFQALKLNLFGLVLPLLVMIICYTGIIKILLRREKKSKAVRLIFVIMIIFFLFWTPYNLTILISVFQDFLFECEQSRHLDLAVQVTEVIAYTHCCVNPVIYAFVGERFRKYLRQLFH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NMTSIYLLNLAISDLLFLFTLPFWIDYKLKD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EKKSKAVRLIFVIMIIFFLFWTPYNLTILISVFQDFLF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232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97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30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37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KADTRALMAQFVPPLYSLVFTVGLLGNVVVVMILIKYIMTNIYLLNLAISDLLFLVTLPFWIHYVRGHGHGMCKLLSGFYHTGLYSEIFFIILLTIDRYLAIVHTVTFGVITSIVTWGLAVLAALPEFIFYTVYSWRHFHTLRMTIFCLVLPLLVMAICYTGIIKTLLRCKKKYKAIRLIFVIMAVFFIFWTPYNVAILLSSYQSILFDCERSKHLDLVMLVTEVIAYSHCCMNPVIYAFVGERFRKYLRHFFH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IMTNIYLLNLAISDLLFLVTLPFWIHYVRGH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KKKYKAIRLIFVIMAVFFIFWTPYNVAILLSSYQSILF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232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97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30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37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KEGIKAFGELFLPPLYSLVFVFGLLGNSVVVLVLFKYSMTDVYLLNLAISDLLFVFSLPFWGYYAADGLGLCKMISWMYLVGFYSGIFFVMLMSIDRYLAIVHTLTYGVITSLATWSVAVFASLPGFLFSNSTTWKVLSSLEINILGLVIPLGIMLFCYSMIIRTLQHCEKKNKAVKMIFAVVVLFLGFWTPYNIVLFLETLVELEVDCTFERYLDYAIQATETLAFVHCCLNPIIYFFLGEKFRKYILQLFK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EKKNKAVKMIFAVVVLFLGFWTPYNIVLFLETLVELEV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235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37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AELIQTNGKLLLAVFYCLLFVFSLLGNSLVILVLVVCSITDVYLLNLALSDLLFVFSFPFQTYYLLDGTVMCKVVSGFYYIGFYSSMFFITLMSVDRYLAVVHTIRMGTTLCLAVWLTAIMATIPLLVFYQTLKWKIFTNFKMNILGLLIPFTIFMFCYIKILHQLKRCHNKTKAIRLVLIVVIASLLFWVPFNVVLFLTSLHSMHIGCSISQQLTYATHVTEIISFTHCCVNPVIYAFVGEKFKKHLSEIFQ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HNKTKAIRLVLIVVIASLLFWVPFNVVLFLTSLHSMHI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231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37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PLEARVTRIFLVVVYSIVCFLGILGNGLVIIIATFKMTVNMVWFLNLAVADFLFNVFLPIHITYAAMDGTAMCKISNFLLIHNMFTSVFLLTIISSDRCISVLLSVRLAYMACMVIWVLAFFLSSPSLVFRTHSQMDPVGYSRHMVVTVTRFLCGFLVPVLIITACYLTIVCKLQRNTKKPFKIIVTIIITFFLCWCPYHTLNLLELHHAMPGSVFSLGLPLATALAIANSCMNPILYVFMGQDFKKFKVALF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PLEARVTRIFLVVVYSIVCFLGILGNGLVIIIATFKM</v>
      </c>
      <c r="G118" s="4" t="str">
        <f t="shared" si="27"/>
        <v/>
      </c>
      <c r="H118" s="4" t="str">
        <f t="shared" si="28"/>
        <v>TVNMVWFLNLAVADFLFNVFLPIHITYAAMD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THSQMDPVGYSRHMVVTVTRFLCGFLVPVLIITACYLTIVCKLQRN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</v>
      </c>
      <c r="R118" s="5">
        <f>VLOOKUP($A118,'SegEnds_NonXtal_Prot#'!$A:$AL,3,FALSE)</f>
        <v>33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205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69</v>
      </c>
      <c r="AE118" s="5" t="str">
        <f>VLOOKUP($A118,'SegEnds_NonXtal_Prot#'!$A:$AL,8,FALSE)</f>
        <v>-</v>
      </c>
      <c r="AF118" s="5">
        <f>VLOOKUP($A118,'SegEnds_NonXtal_Prot#'!$A:$AL,11,FALSE)</f>
        <v>102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331</v>
      </c>
      <c r="AP118" s="5">
        <f t="shared" si="38"/>
        <v>36</v>
      </c>
      <c r="AQ118" s="4" t="str">
        <f t="shared" si="39"/>
        <v>-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45</v>
      </c>
      <c r="AY118" s="4">
        <f t="shared" si="47"/>
        <v>31</v>
      </c>
      <c r="AZ118" s="4">
        <f t="shared" si="48"/>
        <v>31</v>
      </c>
      <c r="BA118" s="4">
        <f t="shared" si="49"/>
        <v>11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238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33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IVVFGTVFLSIFYSVIFAIGLVGNLLVVFALTNSSVTDIYLLNLALSDLLFVATLPFWTHYLINMCKFTTAFFFIGFFGSIFFITVISIDRYLAIVLTVQHGVTISLGVWAAAILVAAPQFMFTQEIWPVLRNVETNFLGFLLPLLIMSYCYFRIIQTLFSCHKKAKAIKLILLVVIVFFLFWTPYNVMIFLETLKLYDSCDMRKDLRLALSVTETVAFSHCCLNPLIYAFAGEKFRRYLYHLY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HKKAKAIKLILLVVIVFFLFWTPYNVMIFLETLKLYD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224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36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249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35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REENANFNKIFLPTIYSIIFLTGIVGNGLVILVMGYQSMTDKYRLHLSVADLLFVITLPFWAVDAVAGNFLCKAVHVIYTVNLYSSVLILAFISLDRYLAIVHKLLAEKVVYVGVWIPALLLTIPDFIFADLWVVVFQFQHIMVGLILPGIVILSCYCIIISKLSHSQKRKALKTTVILILAFFACWLPYYIGISIDSFILLEGCEFENTVHKWISITEALAFFHCCLNPILYAFLGAKFKTSAQHALT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QKRKALKTTVILILAFFACWLPYYIGISIDSFILLE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233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35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AGQGAAALVGGVLLIGAVLAGNSLVCVSVATETPTNSFIVSLAAADLLLALLVLPLFVYSEVQGSPRLCDALMAMDVMLCTASIFNLCAISVDRFVAVAVGSRRQLLLIGATWLLSAAVAAPVLCGDRDYVVYSSVCSFFLPCPLMLLLYWATFRGLQRWEVARRAKAKITGRERKAMRVLPVVVGAFLLCWTPFFVVHITQALCPPRLVSAVTWLGYVNSALNPVIYTVFNAEFRNVFRKALR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TPTNSFIVSLAAADLLLALLVLPLFVYSEVQG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98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31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'SegEnds_NonXtal_Prot#'!A99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'SegEnds_NonXtal_Prot#'!A100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'SegEnds_NonXtal_Prot#'!A101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'SegEnds_NonXtal_Prot#'!A102</f>
        <v>g37l1_human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'SegEnds_NonXtal_Prot#'!A103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'SegEnds_NonXtal_Prot#'!A104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'SegEnds_NonXtal_Prot#'!A105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'SegEnds_NonXtal_Prot#'!A106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'SegEnds_NonXtal_Prot#'!A107</f>
        <v>fpr1_human</v>
      </c>
      <c r="B135" s="1" t="str">
        <f t="shared" si="50"/>
        <v>SAGYLFLDIITYLVFAVTFVLGVLGNGLVIWVAGFRMTVTTISYLNLAVADFCFTSTLPFFMVRKAMGGWFLCKFVFTIVDINLFGSVFLIALIALDRCVCVLHTVSLAKKVIIGPWVMALLLTLPVIIRVDPKERINVAVAMLTVRGIIRFIIGFSAPMSIVAVSYGLIATKIHKQSSRPLRVLSFVAAAFFLCWSPYQVVALIATVRYKEIGIAVDVTSALAFFNSCLNPMLYVFMGQDFRERLIHAL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SAGYLFLDIITYLVFAVTFVLGVLGNGLVIWVAGFRM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DPKERINVAVAMLTVRGIIRFIIGFSAPMSIVAVSYGLIATKIHKQ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</v>
      </c>
      <c r="R135" s="5">
        <f>VLOOKUP($A135,'SegEnds_NonXtal_Prot#'!$A:$AL,3,FALSE)</f>
        <v>19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186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55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316</v>
      </c>
      <c r="AP135" s="5">
        <f t="shared" si="63"/>
        <v>36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45</v>
      </c>
      <c r="AY135" s="4">
        <f t="shared" si="72"/>
        <v>31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'SegEnds_NonXtal_Prot#'!A108</f>
        <v>fpr2_human</v>
      </c>
      <c r="B136" s="1" t="str">
        <f t="shared" si="50"/>
        <v>SAGYTVLRILPLVVLGVTFVLGVLGNGLVIWVAGFRMTVTTICYLNLALADFSFTATLPFLIVSMAMGGWFLCKLIHIVVDINLFGSVFLIGFIALDRCICVLHTVSLAMKVIVGPWILALVLTLPVFLFLTPEERLKVAITMLTARGIIRFVIGFSLPMSIVAICYGLIAAKIHKKGSRPLRVLTAVVASFFICWFPFQLVALLGTVWYKIIDILVNPTSSLAFFNSCLNPMLYVFVGQDFRERLIHSL</v>
      </c>
      <c r="C136" s="29" t="str">
        <f>IF(ISERROR(MATCH(A136,'SegEnds_Xtal_Prot#'!B:B, 0)), "NoXtal", "Xtal")</f>
        <v>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SAGYTVLRILPLVVLGVTFVLGVLGNGLVIWVAGFRM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TPEERLKVAITMLTARGIIRFVIGFSLPMSIVAICYGLIAAKIHKKG</v>
      </c>
      <c r="O136" s="4" t="str">
        <f t="shared" si="60"/>
        <v>SRPLRVLTAVVASFFICWFPFQLVALLGTVW</v>
      </c>
      <c r="P136" s="4" t="str">
        <f t="shared" si="61"/>
        <v>YKIIDILVNPTSSLAFFNSCLNPMLYVFV</v>
      </c>
      <c r="Q136" s="4" t="str">
        <f t="shared" si="62"/>
        <v>GQDFRERLIHSL</v>
      </c>
      <c r="R136" s="5">
        <f>VLOOKUP($A136,'SegEnds_NonXtal_Prot#'!$A:$AL,3,FALSE)</f>
        <v>19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186</v>
      </c>
      <c r="AA136" s="5">
        <f>VLOOKUP($A136,'SegEnds_NonXtal_Prot#'!$A:$AL,30,FALSE)</f>
        <v>237</v>
      </c>
      <c r="AB136" s="5">
        <f>VLOOKUP($A136,'SegEnds_NonXtal_Prot#'!$A:$AL,33,FALSE)</f>
        <v>277</v>
      </c>
      <c r="AC136" s="5">
        <f>VLOOKUP($A136,'SegEnds_NonXtal_Prot#'!$A:$AL,36,FALSE)</f>
        <v>306</v>
      </c>
      <c r="AD136" s="5">
        <f>VLOOKUP($A136,'SegEnds_NonXtal_Prot#'!$A:$AL,5,FALSE)</f>
        <v>55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232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317</v>
      </c>
      <c r="AP136" s="5">
        <f t="shared" si="63"/>
        <v>36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46</v>
      </c>
      <c r="AY136" s="4">
        <f t="shared" si="72"/>
        <v>30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'SegEnds_NonXtal_Prot#'!A109</f>
        <v>fpr3_human</v>
      </c>
      <c r="B137" s="1" t="str">
        <f t="shared" si="50"/>
        <v>PAGHTVLWIFSLLVHGVTFVFGVLGNGLVIWVAGFRMTVNTICYLNLALADFSFSAILPFRMVSVAMRGSFLCKLVHVMIDINLFVSVYLITIIALDRCICVLHTMSLAKRVMTGLWIFTIVLTLPNFIFWTAVERLNVFITMAKVFLILHFIIGFSVPMSIITVCYGIIAAKIHRNSSRPLRVFAAVVASFFICWFPYELIGILMAVWLNGKYKIILVLINPTSSLAFFNSCLNPILYVFMGRNFQERLIRSL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PAGHTVLWIFSLLVHGVTFVFGVLGNGLVIWVAGFRM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TAVERLNVFITMAKVFLILHFIIGFSVPMSIITVCYGIIAAKIHRN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</v>
      </c>
      <c r="R137" s="5">
        <f>VLOOKUP($A137,'SegEnds_NonXtal_Prot#'!$A:$AL,3,FALSE)</f>
        <v>19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186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55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45</v>
      </c>
      <c r="AY137" s="4">
        <f t="shared" si="72"/>
        <v>31</v>
      </c>
      <c r="AZ137" s="4">
        <f t="shared" si="73"/>
        <v>32</v>
      </c>
      <c r="BA137" s="4">
        <f t="shared" si="74"/>
        <v>11</v>
      </c>
    </row>
    <row r="138" spans="1:53" x14ac:dyDescent="0.2">
      <c r="A138" s="1" t="str">
        <f>'SegEnds_NonXtal_Prot#'!A110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'SegEnds_NonXtal_Prot#'!A111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'SegEnds_NonXtal_Prot#'!A112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'SegEnds_NonXtal_Prot#'!A113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'SegEnds_NonXtal_Prot#'!A115</f>
        <v>ghsr_human</v>
      </c>
      <c r="B142" s="1" t="str">
        <f t="shared" si="50"/>
        <v>PAPLLAGVTATCVALFVVGIAGNLLTMLVVSRFTTTNLYLSSMAFSDLLIFLCMPLDLVRLWQYGDLLCKLFQFVSESCTYATVLTITALSVERYFAICFTKGRVKLVIFVIWAVAFCSAGPIFVLVGLLTVMVWVSSIFFFLPVFCLTVLYSLIGRKLWRRRRGDSLRDQNHKQTVKMLAVVVFAFILCWLPFHVGRYLFSKSAQISQYCNLVSFVLFYLSAAINPILYNIMSKKYRVAVFRLLGFEP</v>
      </c>
      <c r="C142" s="29" t="str">
        <f>IF(ISERROR(MATCH(A142,'SegEnds_Xtal_Prot#'!B:B, 0)), "NoXtal", "Xtal")</f>
        <v>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208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38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'SegEnds_NonXtal_Prot#'!A116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'SegEnds_NonXtal_Prot#'!A117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MESSFSFGVILAVLASLIIATNTLVAVAVLLLGVSLCFTLNLAVADTLIGVAISGLLTDQLSRPTQKTLCSLRMAFVTSSAAASVLTVMLITFDRYLAIKQSGFVAGACIAGLWLVSYLIGFLPLGIFHPHFVLTLSCVGFFPAMLLFVFFYCDMLKIASMHSQQIRKMEHAGARSPRTPSDFKALRTVSVLIGSFALSWTPFLITGIVQVACYLVLERYLWLLGVGNSLLNPLIYAYWQKEVRLQLYHMALGVKKVLTSFL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FHPHFVLTLSCVGFFPAMLLFVFFYCDMLKIASMHSQQIRKMEHAGA</v>
      </c>
      <c r="O144" s="4" t="str">
        <f t="shared" si="60"/>
        <v>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213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207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46</v>
      </c>
      <c r="AY144" s="4">
        <f t="shared" si="72"/>
        <v>38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'SegEnds_NonXtal_Prot#'!A118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'SegEnds_NonXtal_Prot#'!A119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PSSMLYWLFLPSSLLAAATLAVSPLLLVTILRNQEPHYLLPANILLSDLAYILLHMLISSSSLGGRMACGILTDAVFAACTSTILSFTAIVLHTYLAVIHSHGAAWKAVALIWLVACCFPTFLIWLEQGASYILPPSMGTQPGCGLLVIVTYTSILCVLFLCTALIANCFWRIWGQGYSRARGTLLIHSVLITLYVSTGVVFSLDMVLTGTHTWLLAANSEVLMMLPRAMLTYLYLLRYRQLL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EQGASYILPPSMGTQPGCGLLVIVTYTSILCVLFLCTALIANCFWRI</v>
      </c>
      <c r="O146" s="4" t="str">
        <f t="shared" si="60"/>
        <v>WGQGYSRARGTLLIHSVLITLYVSTGVVFSLDMVLT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252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242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46</v>
      </c>
      <c r="AY146" s="4">
        <f t="shared" si="72"/>
        <v>35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'SegEnds_NonXtal_Prot#'!A120</f>
        <v>gp152_human</v>
      </c>
      <c r="B147" s="1" t="str">
        <f t="shared" si="50"/>
        <v>DEDSYPQGGWDTVFLVALLLLGLPANGLMAWLAGSQATRLALLLLSLALSDFLFLAAAAFQILEIRHGGTAACRFYYFLWGVSYSSGLFLLAALSLDRCLLALCPVRLPLWVCAGVWVLATLFSVPWLVFPEELSLRMLEVLGGFLPFLLLLVCHVLTQATACRTQQQPAACRGFARVARTILSAYVVLRLPYQLAQLLYLAFGYLLWEALVYSDYLILLNSCLSPFLCLMASADLRTLLRSVL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DEDSYPQGGWDTVFLVALLLLGLPANGLMAWLAGSQA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22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58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36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'SegEnds_NonXtal_Prot#'!A121</f>
        <v>gp153_human</v>
      </c>
      <c r="B148" s="1" t="str">
        <f t="shared" si="50"/>
        <v>SDERRLPGSAVGWLVCGGLSLLANAWGILSVGAKKPLEFLLCTLAATHMLNVAVPIATYSVVQLRNEGLCKVFVSTFYTLTLATCFSVTSLSYHRMWMVCWAKKQAVHTVMGIWMVSFILSALPAVGGLGFGVCFLLLVGGSVAMGVICTAIALFQTLAVQVGRQADRREPAKTSLQTTGLVTTIVFIYDCLMGFPVLVVSFSSLRAPWMALCVLWCSVAQALLLPVFLWACDRYRADLKAVREK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SDERRLPGSAVGWLVCGGLSLLANAWGILSVGAK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</v>
      </c>
      <c r="R148" s="5">
        <f>VLOOKUP($A148,'SegEnds_NonXtal_Prot#'!$A:$AL,3,FALSE)</f>
        <v>2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313</v>
      </c>
      <c r="AP148" s="5">
        <f t="shared" si="63"/>
        <v>33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13</v>
      </c>
    </row>
    <row r="149" spans="1:53" x14ac:dyDescent="0.2">
      <c r="A149" s="1" t="str">
        <f>'SegEnds_NonXtal_Prot#'!A122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'SegEnds_NonXtal_Prot#'!A123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'SegEnds_NonXtal_Prot#'!A127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'SegEnds_NonXtal_Prot#'!A128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'SegEnds_NonXtal_Prot#'!A129</f>
        <v>gpr1_human</v>
      </c>
      <c r="B153" s="1" t="str">
        <f t="shared" si="50"/>
        <v>KVQLGVVHWVSLVLYCLAFVLGIPGNAIVIWFTGFKWTVTTLWFLNLAIADFIFLLFLPLYISYVAMNGIWLCKANSFTAQLNMFASVFFLTVISLDHYIHLIHTLKNSLIVIIFIWLLASLIGGPALYFRFQKHDPDLTLIRHHVLTWVKFIIGYLFPLLTMSICYLCLIFKVKKRSSRHFWTILVVVVAFVVCWTPYHLFSIWELTIHHVMQAGIPLSTGLAFLNSCLNPILYVLISKKFQARFRSSV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KVQLGVVHWVSLVLYCLAFVLGIPGNAIVIWFTGFKW</v>
      </c>
      <c r="G153" s="4" t="str">
        <f t="shared" si="52"/>
        <v/>
      </c>
      <c r="H153" s="4" t="str">
        <f t="shared" si="53"/>
        <v>TVTTLWFLNLAIADFIFLLFLPLYISYVAMN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FQKHDPDLTLIRHHVLTWVKFIIGYLFPLLTMSICYLCLIFKVKKR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</v>
      </c>
      <c r="R153" s="5">
        <f>VLOOKUP($A153,'SegEnds_NonXtal_Prot#'!$A:$AL,3,FALSE)</f>
        <v>31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191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67</v>
      </c>
      <c r="AE153" s="5" t="str">
        <f>VLOOKUP($A153,'SegEnds_NonXtal_Prot#'!$A:$AL,8,FALSE)</f>
        <v>-</v>
      </c>
      <c r="AF153" s="5">
        <f>VLOOKUP($A153,'SegEnds_NonXtal_Prot#'!$A:$AL,11,FALSE)</f>
        <v>100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319</v>
      </c>
      <c r="AP153" s="5">
        <f t="shared" si="63"/>
        <v>36</v>
      </c>
      <c r="AQ153" s="4" t="str">
        <f t="shared" si="64"/>
        <v>-</v>
      </c>
      <c r="AR153" s="4">
        <f t="shared" si="65"/>
        <v>30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45</v>
      </c>
      <c r="AY153" s="4">
        <f t="shared" si="72"/>
        <v>31</v>
      </c>
      <c r="AZ153" s="4">
        <f t="shared" si="73"/>
        <v>28</v>
      </c>
      <c r="BA153" s="4">
        <f t="shared" si="74"/>
        <v>11</v>
      </c>
    </row>
    <row r="154" spans="1:53" x14ac:dyDescent="0.2">
      <c r="A154" s="1" t="str">
        <f>'SegEnds_NonXtal_Prot#'!A130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'SegEnds_NonXtal_Prot#'!A131</f>
        <v>gpr15_human</v>
      </c>
      <c r="B155" s="1" t="str">
        <f t="shared" si="50"/>
        <v>HSHVPYTSVFLPVFYTAVFLTGVLGNLVLMGALHFKRLIDIFIINLAASDFIFLVTLPLWVDKEASLGSFLCKGSSYMISVNMHCSVLLLTCMSVDRYLAIVWRTDCAYVVCASIWFISCLLGLPTLLSRATPIKLIWSLVALIFTFFVPLLSIVTCYCCIARKLCAHGKHNKKLKKSIKIIFIVVAAFLVSWLPFNTFKFLAIVSHYLPSAILQLGMEVSGPLAFANSCVNPFIYYIFDSYIRRAIVHCLCPCL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HSHVPYTSVFLPVFYTAVFLTGVLGNLVLMGALHFK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DSYIRRAIVHCLCPCL</v>
      </c>
      <c r="R155" s="5">
        <f>VLOOKUP($A155,'SegEnds_NonXtal_Prot#'!$A:$AL,3,FALSE)</f>
        <v>26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188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144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321</v>
      </c>
      <c r="AP155" s="5">
        <f t="shared" si="63"/>
        <v>35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6</v>
      </c>
      <c r="AV155" s="4">
        <f t="shared" si="69"/>
        <v>26</v>
      </c>
      <c r="AW155" s="4">
        <f t="shared" si="70"/>
        <v>2</v>
      </c>
      <c r="AX155" s="4">
        <f t="shared" si="71"/>
        <v>37</v>
      </c>
      <c r="AY155" s="4">
        <f t="shared" si="72"/>
        <v>37</v>
      </c>
      <c r="AZ155" s="4">
        <f t="shared" si="73"/>
        <v>32</v>
      </c>
      <c r="BA155" s="4">
        <f t="shared" si="74"/>
        <v>15</v>
      </c>
    </row>
    <row r="156" spans="1:53" x14ac:dyDescent="0.2">
      <c r="A156" s="1" t="str">
        <f>'SegEnds_NonXtal_Prot#'!A132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'SegEnds_NonXtal_Prot#'!A133</f>
        <v>gpr18_human</v>
      </c>
      <c r="B157" s="1" t="str">
        <f t="shared" si="50"/>
        <v>DEYKIAALVFYSCIFIIGLFVNITALWVFSCTTTVTIYMMNVALVDLIFIMTLPFRMFYYAKGEYFCQILGALTVFYPSIALWLLAFISADRYMAIVQNTCKAVLACVGVWIMTLTTTTPLLLLYKAVNVLNLTRLTFFFLIPLFIMIGCYLVIIHNLLHGKLKPKVKEKSIRIIITLLVQVLVCFMPFHICFAFLMLGYNPWGAFTTFLMNLSTCLDVILYYIVSKQFQARVISVML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19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182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31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35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'SegEnds_NonXtal_Prot#'!A134</f>
        <v>gpr20_human</v>
      </c>
      <c r="B158" s="1" t="str">
        <f t="shared" si="50"/>
        <v>FPGLWLALMAVHGAIFLAGLVLNGLALYVFCCRTPSVIYTINLVVTDLLVGLSLPTRFAVCAFPHVLGYFLNMHCSILFLTCICVDRYLAIVRQPACARAVCAFVWLAAGAVTLSVLGRVFALTVLEFLLPLLVISVFTGRIMCALSRPHQGRQRRVRAMQLLLTVLIIFLVCFTPFHARQVAVALWSLVVYHVAVTLSSLNSCMDPIVYCFVTSGFQATVRGLFGQH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275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112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26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25</v>
      </c>
      <c r="BA158" s="4">
        <f t="shared" si="74"/>
        <v>14</v>
      </c>
    </row>
    <row r="159" spans="1:53" x14ac:dyDescent="0.2">
      <c r="A159" s="1" t="str">
        <f>'SegEnds_NonXtal_Prot#'!A135</f>
        <v>gpr21_human</v>
      </c>
      <c r="B159" s="1" t="str">
        <f t="shared" si="50"/>
        <v>CLLEVLIIVFLTVLIISGNIIVIFVFHCAHHTTSYFIQTMAYADLFVGVSCVVPSLSLLHPVEESLTCQIFGFVVSVLKSVSMASLACISIDRYIAITKTPWRLRLCIFLIWLYSTLVFLPSFFTDSYFTLFIVMMLYAPAALIVCFTYFNIFRICQQHTKDISERQARFSGEVQACPDKRYAMVLFRITSVFYILWLPYIIYFLLESSTRFASFLTTWLAISNSFCNCVIYSLSNSVFQRGLKRLSGAMCTSCAS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</v>
      </c>
      <c r="M159" s="4" t="str">
        <f t="shared" si="58"/>
        <v>CAE</v>
      </c>
      <c r="N159" s="4" t="str">
        <f t="shared" si="59"/>
        <v>TDSYFTLFIVMMLYAPAALIVCFTYFNIFRICQQHTKDISERQARFS</v>
      </c>
      <c r="O159" s="4" t="str">
        <f t="shared" si="60"/>
        <v>GEVQACPDKRYAMVLFRITSVFYILWLPYIIYFLLESST</v>
      </c>
      <c r="P159" s="4" t="str">
        <f t="shared" si="61"/>
        <v>RFASFLTTWLAISNSFCNCVIYSLS</v>
      </c>
      <c r="Q159" s="4" t="str">
        <f t="shared" si="62"/>
        <v>NSVFQRGLKRLSGAMCTSCAS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240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166</v>
      </c>
      <c r="AK159" s="5">
        <f>VLOOKUP($A159,'SegEnds_NonXtal_Prot#'!$A:$AL,26,FALSE)</f>
        <v>183</v>
      </c>
      <c r="AL159" s="5">
        <f>VLOOKUP($A159,'SegEnds_NonXtal_Prot#'!$A:$AL,29,FALSE)</f>
        <v>233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328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24</v>
      </c>
      <c r="AW159" s="4">
        <f t="shared" si="70"/>
        <v>2</v>
      </c>
      <c r="AX159" s="4">
        <f t="shared" si="71"/>
        <v>46</v>
      </c>
      <c r="AY159" s="4">
        <f t="shared" si="72"/>
        <v>38</v>
      </c>
      <c r="AZ159" s="4">
        <f t="shared" si="73"/>
        <v>24</v>
      </c>
      <c r="BA159" s="4">
        <f t="shared" si="74"/>
        <v>20</v>
      </c>
    </row>
    <row r="160" spans="1:53" x14ac:dyDescent="0.2">
      <c r="A160" s="1" t="str">
        <f>'SegEnds_NonXtal_Prot#'!A136</f>
        <v>gpr25_human</v>
      </c>
      <c r="B160" s="1" t="str">
        <f t="shared" si="50"/>
        <v>LPYGYVYIPALYLAAFAVGLLGNAFVVWLLAGRRLVDTFVLHLAAADLGFVLTLPLWAAAAALGGDGLCKLSSFALAGTRCAGALLLAGMSVDRYLAVVKTPRCALASCCGVWAVALLAGLPSLVYRAFQGLSLLLLLLTFVLPLVVTLFCYCRISRRLRRRARRNSLRIIFAIESTFVGSWLPFSALRAVFHLARLGPCPLLLALRWGLTIATCLAFVNSCANPLIYLLLDRSFRARALDGACGR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RLVDTFVLHLAAADLGFVLTLPLWAAAAALG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102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30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'SegEnds_NonXtal_Prot#'!A137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'SegEnds_NonXtal_Prot#'!A138</f>
        <v>gpr3_human</v>
      </c>
      <c r="B162" s="1" t="str">
        <f t="shared" si="50"/>
        <v>WDVVLCISGTLVSCENALVVAIIVGTAPMFLLVGSLAVADLLAGLGLVLHFAGSAEMSLVLVGVLAMAFTASIGSLLAITVDRYLSLYNTVTRTYVMLALVWGGALGLGLLPVLAWSKNHLVVLAIAFFMVFGIMLQLYAQICRIVCRHAQQIALPASHYVATRKGIATLAVVLGAFAACWLPFTVYCLLGDAHYTYLTLLPATYNSMINPIIYAFRNQDVQKVLWAVCCCC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TVTRTYVMLALVWGGALGLGLLPVLAW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NQDVQKVLWAVCCCC</v>
      </c>
      <c r="R162" s="5">
        <f>VLOOKUP($A162,'SegEnds_NonXtal_Prot#'!$A:$AL,3,FALSE)</f>
        <v>43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175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315</v>
      </c>
      <c r="AP162" s="5">
        <f t="shared" si="63"/>
        <v>25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26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14</v>
      </c>
    </row>
    <row r="163" spans="1:53" x14ac:dyDescent="0.2">
      <c r="A163" s="1" t="str">
        <f>'SegEnds_NonXtal_Prot#'!A139</f>
        <v>gpr31_human</v>
      </c>
      <c r="B163" s="1" t="str">
        <f t="shared" si="50"/>
        <v>STVVATAVGVLLGLECGLGLLGNAVALWTFLFRKPYAVYLLNLALADLLLAACLPFLAAFYLSLQGRVGCWALHFLLDLSRSVGMAFLAAVALDRYLRVVHSPQAALGVSGLVWLLMVALTCPGLLISSIIWQEALSCLQFVLPFGLIVFCNAGIIRALQKRPEKQPKLQRAQALVTLVVVLFALCFLPCFLARVLMHIFLCAVAHTSDVTGSLTYLHSVLNPVVYCFSSPTFRSSYRRVFHTLRG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STVVATAVGVLLGLECGLGLLGNAVALWTFLFR</v>
      </c>
      <c r="G163" s="4" t="str">
        <f t="shared" si="52"/>
        <v>VRVW</v>
      </c>
      <c r="H163" s="4" t="str">
        <f t="shared" si="53"/>
        <v>KPYAVYLLNLALADLLLAACLPFLAAFYLSLQ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SPTFRSSYRRVFHTLRG</v>
      </c>
      <c r="R163" s="5">
        <f>VLOOKUP($A163,'SegEnds_NonXtal_Prot#'!$A:$AL,3,FALSE)</f>
        <v>10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174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78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302</v>
      </c>
      <c r="AP163" s="5">
        <f t="shared" si="63"/>
        <v>32</v>
      </c>
      <c r="AQ163" s="4">
        <f t="shared" si="64"/>
        <v>3</v>
      </c>
      <c r="AR163" s="4">
        <f t="shared" si="65"/>
        <v>31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33</v>
      </c>
      <c r="AY163" s="4">
        <f t="shared" si="72"/>
        <v>37</v>
      </c>
      <c r="AZ163" s="4">
        <f t="shared" si="73"/>
        <v>28</v>
      </c>
      <c r="BA163" s="4">
        <f t="shared" si="74"/>
        <v>16</v>
      </c>
    </row>
    <row r="164" spans="1:53" x14ac:dyDescent="0.2">
      <c r="A164" s="1" t="str">
        <f>'SegEnds_NonXtal_Prot#'!A140</f>
        <v>gpr32_human</v>
      </c>
      <c r="B164" s="1" t="str">
        <f t="shared" si="50"/>
        <v>SEEVGSLRPLTVVILSASIVVGVLGNGLVLWMTVFRMTVSTVCFFHLALADFMLSLSLPIAMYYIVSGEWACKLYITFVFLSYFASNCLLVFISVDRCISVLYTVQRASWLAFGVWLLAAALCSAHLKFRTAQIWIEGVVEGHIIGTIGHFLLGFLGPLAIIGTCAHLIRAKLLREANRPKRLLLVLVSAFFIFWSPFNVVLLVHLWRHPRMLLILQASFALGCVNSSLNPFLYVFVGRDFQEKFFQSL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SEEVGSLRPLTVVILSASIVVGVLGNGLVLWMTVFRM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TAQIWIEGVVEGHIIGTIGHFLLGFLGPLAIIGTCAHLIRAKLLRE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</v>
      </c>
      <c r="R164" s="5">
        <f>VLOOKUP($A164,'SegEnds_NonXtal_Prot#'!$A:$AL,3,FALSE)</f>
        <v>36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201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72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331</v>
      </c>
      <c r="AP164" s="5">
        <f t="shared" si="63"/>
        <v>36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45</v>
      </c>
      <c r="AY164" s="4">
        <f t="shared" si="72"/>
        <v>31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'SegEnds_NonXtal_Prot#'!A141</f>
        <v>gpr33_human</v>
      </c>
      <c r="B165" s="1" t="str">
        <f t="shared" si="50"/>
        <v>QFLAPASKMIIALSLYISSIIGTITNGLYLWVLRFKMTVNTLLFFHLILSYFISTMILPFMATSQLQDGTALCKVFNGTLSLGMFTSVFFLSAIGLDRYLLTLHTPRWASSIVLGVWISAAALSIPYLIFRESKEMQASRQWIHVACFISRFLLGFLLPFFIIIFCYERVASKVKERSSKPFKVMMTAIISFFVCWMPYHIHQGLLLTTLELTLILTVLTTSFNTIFSPTLYLFVGENFKKVFKKSI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QFLAPASKMIIALSLYISSIIGTITNGLYLWVLRFKM</v>
      </c>
      <c r="G165" s="4" t="str">
        <f t="shared" si="52"/>
        <v/>
      </c>
      <c r="H165" s="4" t="str">
        <f t="shared" si="53"/>
        <v>TVNTLLFFHLILSYFISTMILPFMATSQLQD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ESKEMQASRQWIHVACFISRFLLGFLLPFFIIIFCYERVASKVKER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</v>
      </c>
      <c r="R165" s="5">
        <f>VLOOKUP($A165,'SegEnds_NonXtal_Prot#'!$A:$AL,3,FALSE)</f>
        <v>22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190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58</v>
      </c>
      <c r="AE165" s="5" t="str">
        <f>VLOOKUP($A165,'SegEnds_NonXtal_Prot#'!$A:$AL,8,FALSE)</f>
        <v>-</v>
      </c>
      <c r="AF165" s="5">
        <f>VLOOKUP($A165,'SegEnds_NonXtal_Prot#'!$A:$AL,11,FALSE)</f>
        <v>91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314</v>
      </c>
      <c r="AP165" s="5">
        <f t="shared" si="63"/>
        <v>36</v>
      </c>
      <c r="AQ165" s="4" t="str">
        <f t="shared" si="64"/>
        <v>-</v>
      </c>
      <c r="AR165" s="4">
        <f t="shared" si="65"/>
        <v>30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45</v>
      </c>
      <c r="AY165" s="4">
        <f t="shared" si="72"/>
        <v>31</v>
      </c>
      <c r="AZ165" s="4">
        <f t="shared" si="73"/>
        <v>25</v>
      </c>
      <c r="BA165" s="4">
        <f t="shared" si="74"/>
        <v>11</v>
      </c>
    </row>
    <row r="166" spans="1:53" x14ac:dyDescent="0.2">
      <c r="A166" s="1" t="str">
        <f>'SegEnds_NonXtal_Prot#'!A142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'SegEnds_NonXtal_Prot#'!A143</f>
        <v>gpr35_human</v>
      </c>
      <c r="B167" s="1" t="str">
        <f t="shared" si="50"/>
        <v>LTWPPAIKLGFYAYLGVLLVLGLLLNSLALWVFCCRTETRIYMTNLAVADLCLLCTLPFVLHSLRDLCQLSQGIYLTNRYMSISLVTAIAVDRYVAVRHSPRQAAAVCAVLWVLVIGSLVARWLLGHNFNSMAFPLLGFYLPLAVVVFCSLKVVTALAQRVGQAEATRKAARMVWANLLVFVVCFLPLHVGLTVRLAVLETIRRALYITSKLSDANCCLDAICYYYMAKEFQEASALAVAPSA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LTWPPAIKLGFYAYLGVLLVLGLLLNSLALWVFCCR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AKEFQEASALAVAPSA</v>
      </c>
      <c r="R167" s="5">
        <f>VLOOKUP($A167,'SegEnds_NonXtal_Prot#'!$A:$AL,3,FALSE)</f>
        <v>13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295</v>
      </c>
      <c r="AP167" s="5">
        <f t="shared" si="63"/>
        <v>35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15</v>
      </c>
    </row>
    <row r="168" spans="1:53" x14ac:dyDescent="0.2">
      <c r="A168" s="1" t="str">
        <f>'SegEnds_NonXtal_Prot#'!A144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'SegEnds_NonXtal_Prot#'!A145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TWIKITLILVYLIIFVMGLLGNSATIRVTQVLKEVTDHMVSLACSDILVFLIGMPMEFYSIIWNTSSYTLSCKLHTFLFEACSYATLLHVLTLSFERYIAICHGPCQVKLLIGFVWVTSALVALPLLFAMRWTVFQSSIFGAFVVYLVVLLSVAFMCWNMMQVLMKSQKGSLAGGTRSEESRTARRQTIIFLRLIVVTLAVCWMPNQIRRIMAAAKTRSYFRAYMILLPFSETFFYLSSVINPLLYTVSSQQFRRVFVQVLCCRL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RWTVFQSSIFGAFVVYLVVLLSVAFMCWNMMQVLMKSQKGSLAGGTR</v>
      </c>
      <c r="O169" s="4" t="str">
        <f t="shared" si="60"/>
        <v>SEESRTARRQTIIFLRLIVVTLAVCWMPNQIRRIMAAAK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271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262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46</v>
      </c>
      <c r="AY169" s="4">
        <f t="shared" si="72"/>
        <v>38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'SegEnds_NonXtal_Prot#'!A146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'SegEnds_NonXtal_Prot#'!A147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'SegEnds_NonXtal_Prot#'!A148</f>
        <v>gpr52_human</v>
      </c>
      <c r="B172" s="1" t="str">
        <f t="shared" si="50"/>
        <v>CIFETVVIVLLTFLIIAGNLTVIFVFHCAHYTTSYFIQTMAYADLFVGVSCLVPTLSLLHYESLTCQVFGYIISVLKSVSMACLACISVDRYLAITKTPCRLRICIILIWIYSCLIFLPSFFSAYFTGFIVCLLYAPAAFVVCFTYFHIFKICRQHTKEINDRRARFPRETGHSPDRRYAMVLFRITSVFYMLWLPYIIYFLLESSRNPTLSFLTTWLAISNSFCNCVIYSLSNSVFRLGLRRLSETMCTSCMC</v>
      </c>
      <c r="C172" s="29" t="str">
        <f>IF(ISERROR(MATCH(A172,'SegEnds_Xtal_Prot#'!B:B, 0)), "NoXtal", "Xtal")</f>
        <v>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HYTTSYFIQTMAYADLFVGVSCLVPTLSLLHY</v>
      </c>
      <c r="I172" s="4" t="str">
        <f t="shared" si="54"/>
        <v/>
      </c>
      <c r="J172" s="4" t="str">
        <f t="shared" si="55"/>
        <v>ESLTCQVFGYIISVLKSVSMACLACISVDRYLAITK</v>
      </c>
      <c r="K172" s="4" t="str">
        <f t="shared" si="56"/>
        <v>PLSYNQLV</v>
      </c>
      <c r="L172" s="4" t="str">
        <f t="shared" si="57"/>
        <v>TPCRLRICIILIWIYSCLIFLPSFF</v>
      </c>
      <c r="M172" s="4" t="str">
        <f t="shared" si="58"/>
        <v>CAT</v>
      </c>
      <c r="N172" s="4" t="str">
        <f t="shared" si="59"/>
        <v>SAYFTGFIVCLLYAPAAFVVCFTYFHIFKICRQHTKEINDRRARFP</v>
      </c>
      <c r="O172" s="4" t="str">
        <f t="shared" si="60"/>
        <v>RETGHSPDRRYAMVLFRITSVFYMLWLPYIIYFLLESSR</v>
      </c>
      <c r="P172" s="4" t="str">
        <f t="shared" si="61"/>
        <v>NPTLSFLTTWLAISNSFCNCVIYSLS</v>
      </c>
      <c r="Q172" s="4" t="str">
        <f t="shared" si="62"/>
        <v>NSVFRLGLRRLSETMCTSCMC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110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200</v>
      </c>
      <c r="AA172" s="5">
        <f>VLOOKUP($A172,'SegEnds_NonXtal_Prot#'!$A:$AL,30,FALSE)</f>
        <v>253</v>
      </c>
      <c r="AB172" s="5">
        <f>VLOOKUP($A172,'SegEnds_NonXtal_Prot#'!$A:$AL,33,FALSE)</f>
        <v>295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104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178</v>
      </c>
      <c r="AK172" s="5">
        <f>VLOOKUP($A172,'SegEnds_NonXtal_Prot#'!$A:$AL,26,FALSE)</f>
        <v>195</v>
      </c>
      <c r="AL172" s="5">
        <f>VLOOKUP($A172,'SegEnds_NonXtal_Prot#'!$A:$AL,29,FALSE)</f>
        <v>245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341</v>
      </c>
      <c r="AP172" s="5">
        <f t="shared" si="63"/>
        <v>28</v>
      </c>
      <c r="AQ172" s="4">
        <f t="shared" si="64"/>
        <v>3</v>
      </c>
      <c r="AR172" s="4">
        <f t="shared" si="65"/>
        <v>31</v>
      </c>
      <c r="AS172" s="4" t="str">
        <f t="shared" si="66"/>
        <v>-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45</v>
      </c>
      <c r="AY172" s="4">
        <f t="shared" si="72"/>
        <v>38</v>
      </c>
      <c r="AZ172" s="4">
        <f t="shared" si="73"/>
        <v>25</v>
      </c>
      <c r="BA172" s="4">
        <f t="shared" si="74"/>
        <v>20</v>
      </c>
    </row>
    <row r="173" spans="1:53" x14ac:dyDescent="0.2">
      <c r="A173" s="1" t="str">
        <f>'SegEnds_NonXtal_Prot#'!A150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'SegEnds_NonXtal_Prot#'!A151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SESVALFFMLLLDLTAVAGNAAVMAVIAKTLRKFVFVFHLCLVDLLAALTLMPLAMLSSSALFGEVACRLYLFLSVCFVSLAILSVSAINVERYYYVVHTLGLVASVLVGVWVKALAMASVPVLGRCQLFVVVFAVLYFLLPLLLILVVYCSMFRVARVAAMQHGPLPPHRTFGGGKAAVVLLAVGGQFLLCWLPYFSFHLYVALSTGQVESVVTWIGYFCFTSNPFFYGCLNRQIRGELSKQFVCFFK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NRQIRGELSKQFVCFFK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361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'SegEnds_NonXtal_Prot#'!A152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'SegEnds_NonXtal_Prot#'!A153</f>
        <v>gpr82_human</v>
      </c>
      <c r="B176" s="1" t="str">
        <f t="shared" si="50"/>
        <v>TTCIQPSMISSMALPIIYILLCIVGVFGNTLSQWIFLTKTSTHIYLSHLVTANLLVCSAMPFMSIYFLKGQSAQCRVVNFLGTLSMHASMFVSLLILSWIAISRYATLMQQPNFARKLCIYIWGVVLGIIIPVTVYYELGAMISQIAGLIGTTFIGFSFLVVLTSYYSFVSHLRKIIMEKDLTYSSVKRHLLVIQILLIVCFLPYSIFKPIFYVLLNYLIETKNILTCLASARSSTDPIIFLLLDKTFKKTLYNLFTK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ELGAMISQIAGLIGTTFIGFSFLVVLTSYYSFVSHLRKI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193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38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'SegEnds_NonXtal_Prot#'!A154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'SegEnds_NonXtal_Prot#'!A155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FLKLTSLGFIIGVSVVGNLLISILLVKDRAPYYFLLDLCCSDILRSAICFPFVFNSVKNGGTLTCKVIAFLGVLSCFHTAFMLFCISVTRYLAIAHTFWTCLAVICMVWTLSVAMAFPPVLDVGTYVQFVAAVSQNWTFHGPGASGQAAANWLAGFGRGPTPPTLLGIRQNANVLDEFKMEKRISRMFYIMTFLFLTLWGPYLVACYWRVFAPGGFLTAAVWMSFAQAGINPFVCIFSNRELRRCFSTTLLY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VQFVAAVSQNWTFHGPGASGQAAANWLAGFGRGPTPPTLLGIRQNAN</v>
      </c>
      <c r="O178" s="4" t="str">
        <f t="shared" si="60"/>
        <v>VLDEFKMEKRISRMFYIMTFLFLTLWGPYLVACYWRVFA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273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264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46</v>
      </c>
      <c r="AY178" s="4">
        <f t="shared" si="72"/>
        <v>38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'SegEnds_NonXtal_Prot#'!A156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'SegEnds_NonXtal_Prot#'!A157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'SegEnds_NonXtal_Prot#'!A158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'SegEnds_NonXtal_Prot#'!A159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'SegEnds_NonXtal_Prot#'!A161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'SegEnds_NonXtal_Prot#'!A162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'SegEnds_NonXtal_Prot#'!A163</f>
        <v>hrh2_human</v>
      </c>
      <c r="B185" s="1" t="str">
        <f t="shared" si="50"/>
        <v>STACKITITVVLAVLILITVAGNVVVCLAVGLNNLTNCFIVSLAITDLLLGLLVLPFSAIYQLSCGKVFCNIYTSLDVMLCTASILNLFMISLDRYCAVMDTPVRVAISLVLIWVISITLSFLSIHNEVYGLVDGLVTFYLPLLIMCITYYRIFKVARDQAKRINSWKAATIREHKATVTLAAVMGAFIICWFPYFTAFVYRGLRNEVLEAIVLWLGYANSALNPILYAALNRDFRTGYQQLFC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STACKITITVVLAVLILITVAGNVVVCLAVGLN</v>
      </c>
      <c r="G185" s="4" t="str">
        <f t="shared" si="52"/>
        <v>RRLR</v>
      </c>
      <c r="H185" s="4" t="str">
        <f t="shared" si="53"/>
        <v>NLTNCFIVSLAITDLLLGLLVLPFSAIYQLSC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14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82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155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32</v>
      </c>
      <c r="AQ185" s="4">
        <f t="shared" si="64"/>
        <v>3</v>
      </c>
      <c r="AR185" s="4">
        <f t="shared" si="65"/>
        <v>31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24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'SegEnds_NonXtal_Prot#'!A164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VDAWLVPLFFAALMLLGLVGNSLVIYVICRHTVTNFYIANLAATDVTFLLCCVPFTALLYPLGDFMCKFVNYIQQVSVQATCATLTAMSVDRWYVTVFTPRLALAVSLSIWVGSAAVSAPVLALHPSRALERAFALYNLLALYLLPLLATCACYAAMLRHLGRVAVRPAPADSALQGAERAGAVRAKVSRLVAAVVLLFAACWGPIQLFLVLQALGSYAAYALKTWAHCMSYSNSALNPLLYAFLGSHFRQAFRRVCP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PSRALERAFALYNLLALYLLPLLATCACYAAMLRHLGRVAVRPAPADSALQG</v>
      </c>
      <c r="O186" s="4" t="str">
        <f t="shared" si="60"/>
        <v>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251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247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51</v>
      </c>
      <c r="AY186" s="4">
        <f t="shared" si="72"/>
        <v>38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'SegEnds_NonXtal_Prot#'!A165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'SegEnds_NonXtal_Prot#'!A166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'SegEnds_NonXtal_Prot#'!A167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'SegEnds_NonXtal_Prot#'!A168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'SegEnds_NonXtal_Prot#'!A169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'SegEnds_NonXtal_Prot#'!A170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'SegEnds_NonXtal_Prot#'!A171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'SegEnds_NonXtal_Prot#'!A172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'SegEnds_NonXtal_Prot#'!A174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'SegEnds_NonXtal_Prot#'!A175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'SegEnds_NonXtal_Prot#'!A176</f>
        <v>mc3r_human</v>
      </c>
      <c r="B197" s="1" t="str">
        <f t="shared" si="75"/>
        <v>KPEVFLSLGIVSLLENILVILAVVRNSPMYFFLCSLAVADMLVSVSNALETIMIAIVDQFIQHMDNIFDSMICISLVASICNLLAIAVDRYVTIFYTVRKALTLIVAIWVCCGVCGVVFIVYSSKMVIVCLITMFFAMMLLMGTLYVHMFLFARLHVKRIAQHSCMKGAVTITILLGVFIFCWAPFFLHLVLIITCHFNTYLVLIMCNSVIDPLIYAFRSLELRNTFREILCGC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TVRKALTLIVAIWVCCGVCGVVFIVYS</v>
      </c>
      <c r="M197" s="4" t="str">
        <f t="shared" si="83"/>
        <v/>
      </c>
      <c r="N197" s="4" t="str">
        <f t="shared" si="84"/>
        <v>SKMVIVCLITMFFAMMLLMGTLYVHMFLFARLHVKRIA</v>
      </c>
      <c r="O197" s="4" t="str">
        <f t="shared" si="85"/>
        <v>QHSCMKGAVTITILLGVFIFCWAPFFLHLVLIITC</v>
      </c>
      <c r="P197" s="4" t="str">
        <f t="shared" si="86"/>
        <v>HFNTYLVLIMCNSVIDPLIYAFR</v>
      </c>
      <c r="Q197" s="4" t="str">
        <f t="shared" si="87"/>
        <v>SLELRNTFREILCGC</v>
      </c>
      <c r="R197" s="5">
        <f>VLOOKUP($A197,'SegEnds_NonXtal_Prot#'!$A:$AL,3,FALSE)</f>
        <v>41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234</v>
      </c>
      <c r="AB197" s="5">
        <f>VLOOKUP($A197,'SegEnds_NonXtal_Prot#'!$A:$AL,33,FALSE)</f>
        <v>280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183</v>
      </c>
      <c r="AK197" s="5" t="str">
        <f>VLOOKUP($A197,'SegEnds_NonXtal_Prot#'!$A:$AL,26,FALSE)</f>
        <v>-</v>
      </c>
      <c r="AL197" s="5">
        <f>VLOOKUP($A197,'SegEnds_NonXtal_Prot#'!$A:$AL,29,FALSE)</f>
        <v>222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317</v>
      </c>
      <c r="AP197" s="5">
        <f t="shared" si="88"/>
        <v>25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37</v>
      </c>
      <c r="AY197" s="4">
        <f t="shared" si="97"/>
        <v>34</v>
      </c>
      <c r="AZ197" s="4">
        <f t="shared" si="98"/>
        <v>22</v>
      </c>
      <c r="BA197" s="4">
        <f t="shared" si="99"/>
        <v>14</v>
      </c>
    </row>
    <row r="198" spans="1:53" x14ac:dyDescent="0.2">
      <c r="A198" s="1" t="str">
        <f>'SegEnds_NonXtal_Prot#'!A177</f>
        <v>mc4r_human</v>
      </c>
      <c r="B198" s="1" t="str">
        <f t="shared" si="75"/>
        <v>SPEVFVTLGVISLLENILVIVAIAKNSPMYFFICSLAVADMLVSVSNGSETIVITLLQSFTVNIDNVIDSVICSSLLASICSLLSIAVDRYFTIFYTVKRVGIIISCIWAACTVSGILFIIYSSSAVIICLITMFFTMLALMASLYVHMFLMARLHIKRIAQGANMKGAITLTILIGVFVVCWAPFFLHLIFYISCHFNLYLILIMCNSIIDPLIYALRSQELRKTFKEIICCY</v>
      </c>
      <c r="C198" s="29" t="str">
        <f>IF(ISERROR(MATCH(A198,'SegEnds_Xtal_Prot#'!B:B, 0)), "NoXtal", "Xtal")</f>
        <v>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TVKRVGIIISCIWAACTVSGILFIIYS</v>
      </c>
      <c r="M198" s="4" t="str">
        <f t="shared" si="83"/>
        <v/>
      </c>
      <c r="N198" s="4" t="str">
        <f t="shared" si="84"/>
        <v>SSAVIICLITMFFTMLALMASLYVHMFLMARLHIKRIA</v>
      </c>
      <c r="O198" s="4" t="str">
        <f t="shared" si="85"/>
        <v>QGANMKGAITLTILIGVFVVCWAPFFLHLIFYISC</v>
      </c>
      <c r="P198" s="4" t="str">
        <f t="shared" si="86"/>
        <v>HFNLYLILIMCNSIIDPLIYALR</v>
      </c>
      <c r="Q198" s="4" t="str">
        <f t="shared" si="87"/>
        <v>SQELRKTFKEIICCY</v>
      </c>
      <c r="R198" s="5">
        <f>VLOOKUP($A198,'SegEnds_NonXtal_Prot#'!$A:$AL,3,FALSE)</f>
        <v>47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190</v>
      </c>
      <c r="AA198" s="5">
        <f>VLOOKUP($A198,'SegEnds_NonXtal_Prot#'!$A:$AL,30,FALSE)</f>
        <v>237</v>
      </c>
      <c r="AB198" s="5">
        <f>VLOOKUP($A198,'SegEnds_NonXtal_Prot#'!$A:$AL,33,FALSE)</f>
        <v>283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188</v>
      </c>
      <c r="AK198" s="5" t="str">
        <f>VLOOKUP($A198,'SegEnds_NonXtal_Prot#'!$A:$AL,26,FALSE)</f>
        <v>-</v>
      </c>
      <c r="AL198" s="5">
        <f>VLOOKUP($A198,'SegEnds_NonXtal_Prot#'!$A:$AL,29,FALSE)</f>
        <v>227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320</v>
      </c>
      <c r="AP198" s="5">
        <f t="shared" si="88"/>
        <v>25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37</v>
      </c>
      <c r="AY198" s="4">
        <f t="shared" si="97"/>
        <v>34</v>
      </c>
      <c r="AZ198" s="4">
        <f t="shared" si="98"/>
        <v>22</v>
      </c>
      <c r="BA198" s="4">
        <f t="shared" si="99"/>
        <v>14</v>
      </c>
    </row>
    <row r="199" spans="1:53" x14ac:dyDescent="0.2">
      <c r="A199" s="1" t="str">
        <f>'SegEnds_NonXtal_Prot#'!A178</f>
        <v>mc5r_human</v>
      </c>
      <c r="B199" s="1" t="str">
        <f t="shared" si="75"/>
        <v>AVEVFLTLGVISLLENILVIGAIVKNSPMYFFVCSLAVADMLVSMSSAWETITIYLLDAFVRHIDNVFDSMICISVVASMCSLLAIAVDRYVTIFYTARRSGAIIAGIWAFCTGCGIVFILYSSTYVILCLISMFFAMLFLLVSLYIHMFLLARTHVKRIAQRTSMQGAVTVTMLLGVFTVCWAPFFLHLTLMLSCHFNMYLILIMCNSVMDPLIYAFRSQEMRKTFKEIICCR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AVEVFLTLGVISLLENILVIGAIVKN</v>
      </c>
      <c r="G199" s="4" t="str">
        <f t="shared" si="77"/>
        <v>KNLH</v>
      </c>
      <c r="H199" s="4" t="str">
        <f t="shared" si="78"/>
        <v>SPMYFFVCSLAVADMLVSMSSAWETITIYLL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TARRSGAIIAGIWAFCTGCGIVFILYS</v>
      </c>
      <c r="M199" s="4" t="str">
        <f t="shared" si="83"/>
        <v/>
      </c>
      <c r="N199" s="4" t="str">
        <f t="shared" si="84"/>
        <v>STYVILCLISMFFAMLFLLVSLYIHMFLLARTHVKRIA</v>
      </c>
      <c r="O199" s="4" t="str">
        <f t="shared" si="85"/>
        <v>QRTSMQGAVTVTMLLGVFTVCWAPFFLHLTLMLSC</v>
      </c>
      <c r="P199" s="4" t="str">
        <f t="shared" si="86"/>
        <v>HFNMYLILIMCNSVMDPLIYAFR</v>
      </c>
      <c r="Q199" s="4" t="str">
        <f t="shared" si="87"/>
        <v>SQEMRKTFKEIICCR</v>
      </c>
      <c r="R199" s="5">
        <f>VLOOKUP($A199,'SegEnds_NonXtal_Prot#'!$A:$AL,3,FALSE)</f>
        <v>39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183</v>
      </c>
      <c r="AA199" s="5">
        <f>VLOOKUP($A199,'SegEnds_NonXtal_Prot#'!$A:$AL,30,FALSE)</f>
        <v>230</v>
      </c>
      <c r="AB199" s="5">
        <f>VLOOKUP($A199,'SegEnds_NonXtal_Prot#'!$A:$AL,33,FALSE)</f>
        <v>276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99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181</v>
      </c>
      <c r="AK199" s="5" t="str">
        <f>VLOOKUP($A199,'SegEnds_NonXtal_Prot#'!$A:$AL,26,FALSE)</f>
        <v>-</v>
      </c>
      <c r="AL199" s="5">
        <f>VLOOKUP($A199,'SegEnds_NonXtal_Prot#'!$A:$AL,29,FALSE)</f>
        <v>220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313</v>
      </c>
      <c r="AP199" s="5">
        <f t="shared" si="88"/>
        <v>25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26</v>
      </c>
      <c r="AW199" s="4" t="str">
        <f t="shared" si="95"/>
        <v>-</v>
      </c>
      <c r="AX199" s="4">
        <f t="shared" si="96"/>
        <v>37</v>
      </c>
      <c r="AY199" s="4">
        <f t="shared" si="97"/>
        <v>34</v>
      </c>
      <c r="AZ199" s="4">
        <f t="shared" si="98"/>
        <v>22</v>
      </c>
      <c r="BA199" s="4">
        <f t="shared" si="99"/>
        <v>14</v>
      </c>
    </row>
    <row r="200" spans="1:53" x14ac:dyDescent="0.2">
      <c r="A200" s="1" t="str">
        <f>'SegEnds_NonXtal_Prot#'!A179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'SegEnds_NonXtal_Prot#'!A180</f>
        <v>mchr2_human</v>
      </c>
      <c r="B201" s="1" t="str">
        <f t="shared" si="75"/>
        <v>FAYQTASVVDTVILPSMIGIICSTGLVGNILIVFTIIRSTVPDIYICNLAVADLVHIVGMPFLIHQWARGGGPLCTIITSLDTCNQFACSAIMTVMSVDRYFALVQTRYKTIRINLGLWAASFILALPVWVYSTSPDDVLWYTLYLTITTFFFPLPLILVCYILILCYTWEMYQQNKNPSVPKQRVMKLTKMVLVLVVVFILSAAPYHVIQLVNLQMFYVGYYLSICLSYASSSINPFLYILLSGNFQKRLPQIQRR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TVPDIYICNLAVADLVHIVGMPFLIHQWARG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TSPDDVLWYTLYLTITTFFFPLPLILVCYILILCYTWEMYQQNK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189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96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30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43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'SegEnds_NonXtal_Prot#'!A182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'SegEnds_NonXtal_Prot#'!A183</f>
        <v>mrgrf_human</v>
      </c>
      <c r="B203" s="1" t="str">
        <f t="shared" si="75"/>
        <v>QIAMLPPPAVMNYIFLLLCLCGLVGNGLVLWFFGFSNPFSIYFLHLASADVGYLFSKAVFSILNTGGADYIRSVCRVLGLCMFLTGVSLLPAVSAERCASVIFPKRLSAVVCALLWVLSLLVTCLHNYFCAACRHMDIFLGILLFLLCCPLMVLPCLALILHVECRARSAKLNHVILAMVSVFLVSSIYLGIDWFLFWVFPFPEYVTDLCICINSSAKPIVYFLAGRDKSQRLWEPLRVVF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QIAMLPPPAVMNYIFLLLCLCGLVGNGLVLWFFGFS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GRDKSQRLWEPLRVVF</v>
      </c>
      <c r="R203" s="5">
        <f>VLOOKUP($A203,'SegEnds_NonXtal_Prot#'!$A:$AL,3,FALSE)</f>
        <v>37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310</v>
      </c>
      <c r="AP203" s="5">
        <f t="shared" si="88"/>
        <v>35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15</v>
      </c>
    </row>
    <row r="204" spans="1:53" x14ac:dyDescent="0.2">
      <c r="A204" s="1" t="str">
        <f>'SegEnds_NonXtal_Prot#'!A185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'SegEnds_NonXtal_Prot#'!A186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'SegEnds_NonXtal_Prot#'!A187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'SegEnds_NonXtal_Prot#'!A188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250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25</v>
      </c>
      <c r="BA207" s="4">
        <f t="shared" si="99"/>
        <v>14</v>
      </c>
    </row>
    <row r="208" spans="1:53" x14ac:dyDescent="0.2">
      <c r="A208" s="1" t="str">
        <f>'SegEnds_NonXtal_Prot#'!A189</f>
        <v>mshr_human</v>
      </c>
      <c r="B208" s="1" t="str">
        <f t="shared" si="75"/>
        <v>SDGLFLSLGLVSLVENALVVATIAKNSPMYCFICCLALSDLLVSGSNVLETAVILLLAAVLQQLDNVIDVITCSSMLSSLCFLGAIAVDRYISIFYTLPRARRAVAAIWVASVVFSTLFIAYYHVAVLLCLVVFFLAMLVLMAVLYVHMLARACQHAQGIAQGFGLKGAVTLTILLGIFFLCWGPFFLHLTLIVLCNFNLFLALIICNAIIDPLIYAFHSQELRRTLKEVLTCS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TLPRARRAVAAIWVASVVFSTLFIAYY</v>
      </c>
      <c r="M208" s="4" t="str">
        <f t="shared" si="83"/>
        <v/>
      </c>
      <c r="N208" s="4" t="str">
        <f t="shared" si="84"/>
        <v>HVAVLLCLVVFFLAMLVLMAVLYVHMLARACQHAQGIA</v>
      </c>
      <c r="O208" s="4" t="str">
        <f t="shared" si="85"/>
        <v>QGFGLKGAVTLTILLGIFFLCWGPFFLHLTLIVLC</v>
      </c>
      <c r="P208" s="4" t="str">
        <f t="shared" si="86"/>
        <v>NFNLFLALIICNAIIDPLIYAFH</v>
      </c>
      <c r="Q208" s="4" t="str">
        <f t="shared" si="87"/>
        <v>SQELRRTLKEVLTCS</v>
      </c>
      <c r="R208" s="5">
        <f>VLOOKUP($A208,'SegEnds_NonXtal_Prot#'!$A:$AL,3,FALSE)</f>
        <v>41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185</v>
      </c>
      <c r="AA208" s="5">
        <f>VLOOKUP($A208,'SegEnds_NonXtal_Prot#'!$A:$AL,30,FALSE)</f>
        <v>233</v>
      </c>
      <c r="AB208" s="5">
        <f>VLOOKUP($A208,'SegEnds_NonXtal_Prot#'!$A:$AL,33,FALSE)</f>
        <v>279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183</v>
      </c>
      <c r="AK208" s="5" t="str">
        <f>VLOOKUP($A208,'SegEnds_NonXtal_Prot#'!$A:$AL,26,FALSE)</f>
        <v>-</v>
      </c>
      <c r="AL208" s="5">
        <f>VLOOKUP($A208,'SegEnds_NonXtal_Prot#'!$A:$AL,29,FALSE)</f>
        <v>222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316</v>
      </c>
      <c r="AP208" s="5">
        <f t="shared" si="88"/>
        <v>25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37</v>
      </c>
      <c r="AY208" s="4">
        <f t="shared" si="97"/>
        <v>34</v>
      </c>
      <c r="AZ208" s="4">
        <f t="shared" si="98"/>
        <v>22</v>
      </c>
      <c r="BA208" s="4">
        <f t="shared" si="99"/>
        <v>14</v>
      </c>
    </row>
    <row r="209" spans="1:53" x14ac:dyDescent="0.2">
      <c r="A209" s="1" t="str">
        <f>'SegEnds_NonXtal_Prot#'!A190</f>
        <v>mtlr_human</v>
      </c>
      <c r="B209" s="1" t="str">
        <f t="shared" si="75"/>
        <v>PLGALVPVTAVCLCLFVVGVSGNVVTVMLIGRYTTTNLYLGSMAVSDLLILLGLPFDLYRLWRSGPLLCRLSLYVGEGCTYATLLHMTALSVERYLAICRTRRRVRALIAVLWAVALLSAGPFLFLVGALRVMLWVTTAYFFLPFLCLSILYGLIGRELWSSRRPLSGRERGHRQTVRVLLVVVLAFIICWLPFHVGRIIYINTMYFSQYFNIVALQLFYLSASINPILYNLISKKYRAAAFKLLLARK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243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38</v>
      </c>
      <c r="AY209" s="4">
        <f t="shared" si="97"/>
        <v>37</v>
      </c>
      <c r="AZ209" s="4">
        <f t="shared" si="98"/>
        <v>28</v>
      </c>
      <c r="BA209" s="4">
        <f t="shared" si="99"/>
        <v>15</v>
      </c>
    </row>
    <row r="210" spans="1:53" x14ac:dyDescent="0.2">
      <c r="A210" s="1" t="str">
        <f>'SegEnds_NonXtal_Prot#'!A192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'SegEnds_NonXtal_Prot#'!A193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'SegEnds_NonXtal_Prot#'!A194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'SegEnds_NonXtal_Prot#'!A195</f>
        <v>nmur1_human</v>
      </c>
      <c r="B213" s="1" t="str">
        <f t="shared" si="75"/>
        <v>QTELFMPICATYLLIFVVGAVGNGLTCLVILRHTPTNYYLFSLAVSDLLVLLVGLPLELYEMWLLGVGGCYFRTLLFEMVCLASVLNVTALSVERYVAVVHTRAHVRRVLGAVWGLAMLCSLPNTSLHLYNMVVQTTALLFFCLPMAIMSVLYLLIGLRLRRERLLLMQEAQQHDRGRRQVTKMLFVLVVVFGICWAPFHADRVMWSVVHLAFQHVHVISGIFFYLGSAANPVLYSLMSSRFRETFQEALCLGA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QTELFMPICATYLLIFVVGAVGNGLTCLVILRH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56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227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32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42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'SegEnds_NonXtal_Prot#'!A196</f>
        <v>nmur2_human</v>
      </c>
      <c r="B214" s="1" t="str">
        <f t="shared" si="75"/>
        <v>RSHFFLPVSVVYVPIFVVGVIGNVLVCLVILQHTPTNYYLFSLAVSDLLVLLLGMPLEVYEMWLFGPVGCYFKTALFETVCFASILSITTVSVERYVAILHTRRRALRILGIVWGFSVLFSLPNTSIHIYNFIIQVTSFLFYLLPMTVISVLYYLMALRLKKDKSLEANANIQRPCRKSVNKMLFVLVLVFAICWAPFHIDRLFFSFVAAVFNLVHVVSGVFFYLSSAVNPIIYNLLSRRFQAAFQNVISSFH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RSHFFLPVSVVYVPIFVVGVIGNVLVCLVILQH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41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212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32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39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'SegEnds_NonXtal_Prot#'!A197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'SegEnds_NonXtal_Prot#'!A198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'SegEnds_NonXtal_Prot#'!A199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'SegEnds_NonXtal_Prot#'!A200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'SegEnds_NonXtal_Prot#'!A202</f>
        <v>oprd_human</v>
      </c>
      <c r="B219" s="1" t="str">
        <f t="shared" si="75"/>
        <v>GARSASSLALAIAITALYSAVCAVGLLGNVLVMFGIVRYTATNIYIFNLALADALATSTLPFQSAKYLMEGELLCKAVLSIDYYNMFTSIFTLTMMSVDRYIAVCHTPAKAKLINICIWVLASGVGVPIMVMAPSWYWDTVTKICVFLFAFVVPILIITVCYGLMLLRLRSVSKEKDRSLRRITRMVLVVVGAFVVCWAPIHIFVIVWTLVDPLVVAALHLCIALGYANSSLNPVLYAFLDENFKRCFRQLCRK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TATNIYIFNLALADALATSTLPFQSAKYLME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PSWYWDTVTKICVFLFAFVVPILIITVCYGLMLLRLRSV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205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112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30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38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'SegEnds_NonXtal_Prot#'!A203</f>
        <v>oprd_mouse</v>
      </c>
      <c r="B220" s="1" t="str">
        <f t="shared" si="75"/>
        <v>RSASSLALAIAITALYSAVCAVGLLGNVLVMFGIVRYTATNIYIFNLALADALATSTLPFQSAKYLMEGELLCKAVLSIDYYNMFTSIFTLTMMSVDRYIAVCHTPAKAKLINICIWVLASGVGVPIMVMAPSWYWDTVTKICVFLFAFVVPILIITVCYGLMLLRLRSVSKEKDRSLRRITRMVLVVVGAFVVCWAPIHIFVIVWTLVDPLVVAALHLCIALGYANSSLNPVLYAFLDENFKRCFRQLCRT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TATNIYIFNLALADALATSTLPFQSAKYLME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PSWYWDTVTKICVFLFAFVVPILIITVCYGLMLLRLRSV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205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112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30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38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'SegEnds_NonXtal_Prot#'!A207</f>
        <v>oprx_human</v>
      </c>
      <c r="B221" s="1" t="str">
        <f t="shared" si="75"/>
        <v>LGLKVTIVGLYLAVCVGGLLGNCLVMYVILRHTATNIYIFNLALADTLVLLTLPFQGTDILLGGNALCKTVIAIDYYNMFTSTFTLTAMSVDRYVAICHTSSKAQAVNVAIWALASVVGVPVAIMGPQDYWGPVFAICIFLFSFIVPVLVISVCYSLMIRRLRGVSREKDRNLRRITRLVLVVVAVFVGCWTPVQVFVLAQGLGSETAVAILRFCTALGYVNSCLNPILYAFLDENFKACFRKFCC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TATNIYIFNLALADTLVLLTLPFQGTDILLG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PQDYWGPVFAICIFLFSFIVPVLVISVCYSLMIRRLRGV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207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114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30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38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'SegEnds_NonXtal_Prot#'!A208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'SegEnds_NonXtal_Prot#'!A209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'SegEnds_NonXtal_Prot#'!A210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'SegEnds_NonXtal_Prot#'!A211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'SegEnds_NonXtal_Prot#'!A212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'SegEnds_NonXtal_Prot#'!A213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'SegEnds_NonXtal_Prot#'!A214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'SegEnds_NonXtal_Prot#'!A217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'SegEnds_NonXtal_Prot#'!A218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'SegEnds_NonXtal_Prot#'!A219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'SegEnds_NonXtal_Prot#'!A220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'SegEnds_NonXtal_Prot#'!A221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'SegEnds_NonXtal_Prot#'!A222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GNSAVMGGVLFSTGLLGNLLALGLLASVFYMLVCGLTVTDLLGKCLLSPVVLAAYAQPALDNSLCQAFAFFMSFFGLSSTLQLLAMALECWLSLGHTLRLGALVAPVVSAFSLAFCALPFMGSVLGYSVLYSSLMALLVLATVLCNLGAMRNLYAMHRRLQRHPRSCTRDCASPQPLEELDHLLLLALMTVLFTMCSLPVIYRAYYGAFKRTSEEAEDLRALRFLSVISIVDPWIFIIFRSPVFRIFFHKIFI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SVLGYSVLYSSLMALLVLATVLCNLGAMRNLYAMHRRLQRHPRSCTRDC</v>
      </c>
      <c r="O234" s="4" t="str">
        <f t="shared" si="85"/>
        <v>ASPQPLEELDHLLLLALMTVLFTMCSLPVIYRAYYGAFK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253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243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48</v>
      </c>
      <c r="AY234" s="4">
        <f t="shared" si="97"/>
        <v>38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'SegEnds_NonXtal_Prot#'!A223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'SegEnds_NonXtal_Prot#'!A224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'SegEnds_NonXtal_Prot#'!A225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'SegEnds_NonXtal_Prot#'!A226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'SegEnds_NonXtal_Prot#'!A227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'SegEnds_NonXtal_Prot#'!A228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'SegEnds_NonXtal_Prot#'!A230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'SegEnds_NonXtal_Prot#'!A231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'SegEnds_NonXtal_Prot#'!A232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AKLALVLTGVLIFALALFGNALVFYVVTRSTVTNIFICSLALSDLLITFFCIPVTMLQNISDGAFICKMVPFVQSTAVVTEILTMTCIAVERHQGLVHTNRRAFTMLGVVWLVAVIVGSPMWHVQVHQKIYTTFILVILFLLPLMVMLILYSKIGYELWIKKRVGDGSVLRTIHMSKIARKKKRAVIMMVTVVALFAVCWAPFHVVHMMIEYSDVTIKMIFAIVQIIGFSNSICNPIVYAFMNENFKKNVLSAVCYCIV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VHQKIYTTFILVILFLLPLMVMLILYSKIGYELWIKKRVGDGSVLRTIH</v>
      </c>
      <c r="O243" s="4" t="str">
        <f t="shared" si="85"/>
        <v>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261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257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48</v>
      </c>
      <c r="AY243" s="4">
        <f t="shared" si="97"/>
        <v>38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'SegEnds_NonXtal_Prot#'!A233</f>
        <v>rl3r2_human</v>
      </c>
      <c r="B244" s="1" t="str">
        <f t="shared" si="75"/>
        <v>APMPVKFLALRLMVALAYGLVGAIGLLGNLAVLWVLSNCGPPSDTFVFNLALADLGLALTLPFWAAESALDGGALCKMVLTATVLNVYASIFLITALSVARYWVVAMSLFWARIATLAVWAAAALVTVPTAVFGPSRYWLGAYQLQRVVLAFMVPLGVITTSYLLLLAFLQRQDSRVVARSVRILVASFFLCWFPNHVVTLWGVLVKFDNSTFYTIQTYVFPVTTCLAHSNSCLNPVLYCLLRREPRQALAGTFRD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'SegEnds_NonXtal_Prot#'!A234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'SegEnds_NonXtal_Prot#'!A235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'SegEnds_NonXtal_Prot#'!A236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'SegEnds_NonXtal_Prot#'!A237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'SegEnds_NonXtal_Prot#'!A238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'SegEnds_NonXtal_Prot#'!A239</f>
        <v>ssr5_human</v>
      </c>
      <c r="B250" s="1" t="str">
        <f t="shared" si="75"/>
        <v>VGPAPSAGARAVLVPVLYLLVCAAGLGGNTLVIYVVLRFTVTNIYILNLAVADVLYMLGLPFLATQNAAGPVLCRLVMTLDGVNQFTSVFCLTVMSVDRYLAVVHRPRVAKLASAAAWVLSLCMSLPLLVFAPVGLWGAVFIIYTAVLGFFAPLLVICLCYLLIVVKVRAAGVRVSERKVTRMVLVVVLVFAGCWLPFFTVNIVNLAVEPASAGLYFFVVILSYANSCANPVLYGFLSDNFRQSFQKVLCL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VGPAPSAGARAVLVPVLYLLVCAAGLGGNTLVIYVVLRF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SDNFRQSFQKVLCL</v>
      </c>
      <c r="R250" s="5">
        <f>VLOOKUP($A250,'SegEnds_NonXtal_Prot#'!$A:$AL,3,FALSE)</f>
        <v>30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321</v>
      </c>
      <c r="AP250" s="5">
        <f t="shared" si="88"/>
        <v>38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13</v>
      </c>
    </row>
    <row r="251" spans="1:53" x14ac:dyDescent="0.2">
      <c r="A251" s="1" t="str">
        <f>'SegEnds_NonXtal_Prot#'!A240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'SegEnds_NonXtal_Prot#'!A242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'SegEnds_NonXtal_Prot#'!A243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NDVRASLYSLMVLIILTTLVGNLIVIVSISHFTPTNWLIHSMATVDFLLGCLVMPYSMVRSAEHGEVFCKIHTSTDIMLSSASIFHLSFISIDRYYAVCDNILVICVMIFISWSVPAVFAFGMIFSKISGVLTFMTSFYIPGSIMLCVYYRIYLIAKEQARLISDANQKLQINGISQSKERKAVKTLGIVMGVFLICWCPFFICTVMDPFLPPTLNDVLIWFGYLNSTFNPMVYAFFYPWFRKALKMMLF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SKISGVLTFMTSFYIPGSIMLCVYYRIYLIAKEQARLISDANQKLQI</v>
      </c>
      <c r="O253" s="4" t="str">
        <f t="shared" si="85"/>
        <v>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239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233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46</v>
      </c>
      <c r="AY253" s="4">
        <f t="shared" si="97"/>
        <v>38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'SegEnds_NonXtal_Prot#'!A244</f>
        <v>taar2_human</v>
      </c>
      <c r="B254" s="1" t="str">
        <f t="shared" si="75"/>
        <v>RVAMYSFMAGSIFITIFGNLAMIISISYFTPTNFLILSMAITDFLLGFTIMPYSMIRSVENGLTFCKIYYSFDLMLSITSIFHLCSVAIDRFYAICYTIPVIKRLLLLCWSVPGAFAFGVVFNKLWGTTLFMAGFFTPGSMMVGIYGKIFAVSRKHAHAINNQNNQVKKDKKAAKTLGIVIGVFLLCWFPCFFTILLDPFLPVVLFDALTWFGYFNSTCNPLIYGFFYPWFRRALKYILLG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YPWFRRALKYILLG</v>
      </c>
      <c r="R254" s="5">
        <f>VLOOKUP($A254,'SegEnds_NonXtal_Prot#'!$A:$AL,3,FALSE)</f>
        <v>43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332</v>
      </c>
      <c r="AP254" s="5">
        <f t="shared" si="88"/>
        <v>28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'SegEnds_NonXtal_Prot#'!A245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FSCPGDNVFGYDWSHDYPLFGNLVIMVSISHFSPTNFLILSMATTDFLLGFVIMPYSIMRSVESGDGFCKFHTSFDMMLRLTSIFHLCSIAIDRFYAVCYTNSTIKQLLAFCWSVPALFSFGLVLNKFWGTILFTTCFFTPGSIMVGIYGKIFIVSKQHARVISHVPENTKGKHLSKKKDRKAAKTLGIVMGVFLACWLPCFLAVLIDPYLPILILDLLVWLRYFNSTCNPLIHGFFNPWFQKAFKYIVS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NKFWGTILFTTCFFTPGSIMVGIYGKIFIVSKQHARVISHVPENTKG</v>
      </c>
      <c r="O255" s="4" t="str">
        <f t="shared" si="85"/>
        <v>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244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240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46</v>
      </c>
      <c r="AY255" s="4">
        <f t="shared" si="97"/>
        <v>38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'SegEnds_NonXtal_Prot#'!A246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'SegEnds_NonXtal_Prot#'!A247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SPGSRVILYIVFGFGAVLAVFGNLLVMISILHFSPTNFLVASLACADFLVGVTVMPFSMVRTVESGRSFCTFHTCCDVAFCYSSLFHLCFISIDRYIAVTDTVSVSGICISVSWILPLMYSGAVFYTVNQNWVLTDFLSFFIPTFIMIILYGNIFLVARRQAKKIENTGSKTESKARVARRERKAAKTLGVTVVAFMISWLPYSIDSLIDAFMPACIYEICCWCAYYNSAMNPLIYALFYPWFRKAIKVIV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VNQNWVLTDFLSFFIPTFIMIILYGNIFLVARRQAKKIENTGSKTES</v>
      </c>
      <c r="O257" s="4" t="str">
        <f t="shared" si="85"/>
        <v>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246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240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46</v>
      </c>
      <c r="AY257" s="4">
        <f t="shared" si="97"/>
        <v>38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'SegEnds_NonXtal_Prot#'!A248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SPGSRVILYTAFSFGSLLAVFGNLLVMTSVLHFSPTNFLIASLACADFLVGVTVMLFSMVRTVESGAKFCTLHSCCDVAFCYSSVLHLCFICIDRYIVVTDTVSVSGICISVSWILPLTYSGAVFYTVSQGWVLIDFLLFFIPTLVMIILYSKIFLIAKQQAIKIETTSSKVESKIRVAKRERKAAKTLGVTVLAFVISWLPYTVDILIDAFMPAYIYEICCWSAYYNSAMNPLIYALFYPWFRKAIKLIL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VSQGWVLIDFLLFFIPTLVMIILYSKIFLIAKQQAIKIETTSSKVES</v>
      </c>
      <c r="O258" s="4" t="str">
        <f t="shared" ref="O258:O321" si="110">IFERROR(MID($E258,AA258,(AY258+1)),"")</f>
        <v>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245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239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46</v>
      </c>
      <c r="AY258" s="4">
        <f t="shared" ref="AY258:AY321" si="122">IFERROR(AM258-AA258,"-")</f>
        <v>38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'SegEnds_NonXtal_Prot#'!A250</f>
        <v>trfr_human</v>
      </c>
      <c r="B259" s="1" t="str">
        <f t="shared" si="100"/>
        <v>LEYQVVTILLVLIICGLGIVGNIMVVLVVMRTTPTNCYLVSLAVADLMVLVAAGLPNITDSIYGYVGCLCITYLQYLGINASSCSITAFTIERYIAICHTFSRAKKIIIFVWAFTSLYCMLWFFLLISRNYYSPIYLMDFGVFYVVPMILATVLYGFIARILFLNPIPSDPKENSTVSSRKQVTKMLAVVVILFALLWMPYRTLVVVNSFLENWFLLFCRICIYLNSAINPVIYNLMSQKFRAAFRKLCN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TPTNCYLVSLAVADLMVLVAAGLPNITDSIY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ISRNYYSPIYLMDFGVFYVVPMILATVLYGFIARILFLNPIPSDPKE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183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88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30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46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'SegEnds_NonXtal_Prot#'!A251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'SegEnds_NonXtal_Prot#'!A252</f>
        <v>v2r_human</v>
      </c>
      <c r="B261" s="1" t="str">
        <f t="shared" si="100"/>
        <v>DPLLARAELALLSIVFVAVALSNGLVLAALARRWAPIHVFIGHLCLADLAVALFQVLPQLAWKARGPDALCRAVKYLQMVGMYASSYMILAMTLDRHRAICRSGAHWNRPVLVAWAFSLLLSLPQLFIFWGRRTYVTWIALMVFVAPTLGIAACQVLIFREIHASLVPGPSERAHVSAAVAKTVRMTLVIVVVYVLCWAPFFLVQLWAAWDEGAPFVLLMLLASLNSCTNPWIYASFSSSVSSELRSLLCCARG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DPLLARAELALLSIVFVAVALSNGLVLAALARR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SSSVSSELRSLLCCARG</v>
      </c>
      <c r="R261" s="5">
        <f>VLOOKUP($A261,'SegEnds_NonXtal_Prot#'!$A:$AL,3,FALSE)</f>
        <v>33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200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345</v>
      </c>
      <c r="AP261" s="5">
        <f t="shared" si="113"/>
        <v>32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43</v>
      </c>
      <c r="AY261" s="4">
        <f t="shared" si="122"/>
        <v>37</v>
      </c>
      <c r="AZ261" s="4">
        <f t="shared" si="123"/>
        <v>25</v>
      </c>
      <c r="BA261" s="4">
        <f t="shared" si="124"/>
        <v>16</v>
      </c>
    </row>
    <row r="262" spans="1:53" x14ac:dyDescent="0.2">
      <c r="A262" s="1" t="str">
        <f>'SegEnds_NonXtal_Prot#'!A253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ENQAWVFATLATTVLYCLVFLLSLVGNSLVLWVLVKYSLTNIFILNLCLSDLVFACLLPVWISPYHWGDFLCKLLNMIFSISLYSSIFFLTIMTIHRYLSVVSTLRCRVLVTMAVWVASILSSILDTIFHWYLTSVYQHNLFFLLSLGIILFCYVEILRTLFRSKRRHRTVKLIFAIVVAYFLSWGPYNFTLFLQTLFRTQSCEAKQQLEYALLICRNLAFSHCCFNPVLYVFVGVKFRTHLKHVLR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KRRHRTVKLIFAIVVAYFLSWGPYNFTLFLQTLFRTQ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218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36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'SegEnds_NonXtal_Prot#'!A254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'SegEnds_NonXtal_Prot#'!A256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'SegEnds_NonXtal_Prot#'!A257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'SegEnds_NonXtal_Prot#'!A258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'SegEnds_NonXtal_Prot#'!A259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'SegEnds_NonXtal_Prot#'!A260</f>
        <v>ccr6_human</v>
      </c>
      <c r="B268" s="1" t="str">
        <f t="shared" si="100"/>
        <v>QEVRQFSRLFVPIAYSLICVFGLLGNILVVITFAFYSMTDVYLLNMAIADILFVLTLPFWAVSHATGSNATCKLLKGIYAINFNCGMLLLTCISMDRYIAIVQTLPRSKIICLVVWGLSVIISSSTFVFNPIRWKLLMLGLELLFGFFIPLMFMIFCYTFIVKTLVQASKRHKAIRVIIAVVLVFLACQIPHNMVLLVTAANLGKMSCQSEKLIGYTKTVTEVLAFLHCCLNPVLYAFIGQKFRNYFLKILKDLW</v>
      </c>
      <c r="C268" s="29" t="str">
        <f>IF(ISERROR(MATCH(A268,'SegEnds_Xtal_Prot#'!B:B, 0)), "NoXtal", "Xtal")</f>
        <v>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QEVRQFSRLFVPIAYSLICVFGLLGNILVVITFAFY</v>
      </c>
      <c r="G268" s="4" t="str">
        <f t="shared" si="102"/>
        <v>KKAR</v>
      </c>
      <c r="H268" s="4" t="str">
        <f t="shared" si="103"/>
        <v>SMTDVYLLNMAIADILFVLTLPFWAVSHATG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PIRWKLLMLGLELLFGFFIPLMFMIFCYTFIVKTLVQA</v>
      </c>
      <c r="O268" s="4" t="str">
        <f t="shared" si="110"/>
        <v>SKRHKAIRVIIAVVLVFLACQIPHNMVLLVTAANLGKM</v>
      </c>
      <c r="P268" s="4" t="str">
        <f t="shared" si="111"/>
        <v>SCQSEKLIGYTKTVTEVLAFLHCCLNPVLYAFI</v>
      </c>
      <c r="Q268" s="4" t="str">
        <f t="shared" si="112"/>
        <v>GQKFRNYFLKILKDLW</v>
      </c>
      <c r="R268" s="5">
        <f>VLOOKUP($A268,'SegEnds_NonXtal_Prot#'!$A:$AL,3,FALSE)</f>
        <v>39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207</v>
      </c>
      <c r="AA268" s="5">
        <f>VLOOKUP($A268,'SegEnds_NonXtal_Prot#'!$A:$AL,30,FALSE)</f>
        <v>247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109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156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335</v>
      </c>
      <c r="AP268" s="5">
        <f t="shared" si="113"/>
        <v>35</v>
      </c>
      <c r="AQ268" s="4">
        <f t="shared" si="114"/>
        <v>3</v>
      </c>
      <c r="AR268" s="4">
        <f t="shared" si="115"/>
        <v>30</v>
      </c>
      <c r="AS268" s="4">
        <f t="shared" si="116"/>
        <v>3</v>
      </c>
      <c r="AT268" s="4">
        <f t="shared" si="117"/>
        <v>35</v>
      </c>
      <c r="AU268" s="4">
        <f t="shared" si="118"/>
        <v>6</v>
      </c>
      <c r="AV268" s="4">
        <f t="shared" si="119"/>
        <v>26</v>
      </c>
      <c r="AW268" s="4">
        <f t="shared" si="120"/>
        <v>2</v>
      </c>
      <c r="AX268" s="4">
        <f t="shared" si="121"/>
        <v>37</v>
      </c>
      <c r="AY268" s="4">
        <f t="shared" si="122"/>
        <v>37</v>
      </c>
      <c r="AZ268" s="4">
        <f t="shared" si="123"/>
        <v>32</v>
      </c>
      <c r="BA268" s="4">
        <f t="shared" si="124"/>
        <v>15</v>
      </c>
    </row>
    <row r="269" spans="1:53" x14ac:dyDescent="0.2">
      <c r="A269" s="1" t="str">
        <f>'SegEnds_NonXtal_Prot#'!A261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NFKAWFLPIMYSIICFVGLLGNGLVVLTYIYFTMTDTYLLNLAVADILFLLTLPFWAYSAAKGVHFCKLIFAIYKMSFFSGMLLLLCISIDRYVAIVQVLLISKLSCVGIWILATVLSIPELLYSEAFITIQVAQMVIGFLVPLLAMSFCYLVIIRTLLQAFERNKAIKVIIAVVVVFIVFQLPYNGVVLAQTVANFNITCELSKQLNIAYDVTYSLACVRCCVNPFLYAFIGVKFRNDLFKLFK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FERNKAIKVIIAVVVVFIVFQLPYNGVVLAQTVANFNI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256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37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'SegEnds_NonXtal_Prot#'!A262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VRQFASHFLPPLYWLVFIVGALGNSLVILVYWYCTMTDMFLLNLAIADLLFLVTLPFWAIAAADQTFMCKVVNSMYKMNFYSCVLLIMCISVDRYIAIAQREKRLLYSKMVCFTIWVLAAALCIPEILYSKLKSAVLTLKVILGFFLPFVVMACCYTIIIHTLIQASSKHKALKVTITVLTVFVLSQFPYNCILLVQTIDAYAMNCAVSTNIDICFQVTQTIAFFHSCLNPVLYVFVGERFRRDLVKTLKNLGCISQA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SSKHKALKVTITVLTVFVLSQFPYNCILLVQTIDAYAM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247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37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'SegEnds_NonXtal_Prot#'!A263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FLQFSKVFLPCMYLVVFVCGLVGNSLVLVISIFYSLTDVFLVNLPLADLVFVCTLPFWAYAGIHGQVMCKSLLGIYTINFYTSMLILTCITVDRFIVVVKRMTWGKVTSLLIWVISLLVSLPQIIYGAISTVVLATQMTLGFFLPLLTMIVCYSVIIKTLLHAQKHRSLKIIFLVMAVFLLTQMPFNLMKFIRSTHEYYAMTSFHYTIMVTEAIAYLRACLNPVLYAFVSLKFRKNFWKLVKDIGCLPYL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ATKAYNQQAK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QKHRSLKIIFLVMAVFLLTQMPFNLMKFIRSTH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225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143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9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32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'SegEnds_NonXtal_Prot#'!A264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'SegEnds_NonXtal_Prot#'!A265</f>
        <v>ackr1_human</v>
      </c>
      <c r="B273" s="1" t="str">
        <f t="shared" si="100"/>
        <v>CHSCNLLDDSALPFFILTSVLGILASSTVLFMLFRPLCPGWPVLAQLAVGSALFSIVVPVLAPGLGSLCSLGYCVWYGSAFAQALLLGCHASLGHRLGAGVPGLTLGLTVGIWGVAALLTLPVTLASLKALQATHTVACLAIFVLLPLGLFGAKGLKPGPWMNILWAWFIFWWPHGVVLGLDFLVRSKTCLAQQALDLLLNLAEALAILHCVATPLLLALFCHQATRTLLPSL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CHSCNLLDDSALPFFILTSVLGILASSTVLFMLFRPL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</v>
      </c>
      <c r="R273" s="5">
        <f>VLOOKUP($A273,'SegEnds_NonXtal_Prot#'!$A:$AL,3,FALSE)</f>
        <v>51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203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87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319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29</v>
      </c>
      <c r="AY273" s="4">
        <f t="shared" si="122"/>
        <v>30</v>
      </c>
      <c r="AZ273" s="4">
        <f t="shared" si="123"/>
        <v>32</v>
      </c>
      <c r="BA273" s="4">
        <f t="shared" si="124"/>
        <v>11</v>
      </c>
    </row>
    <row r="274" spans="1:53" x14ac:dyDescent="0.2">
      <c r="A274" s="1" t="str">
        <f>'SegEnds_NonXtal_Prot#'!A267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VREFAKVFLPVFLTIVFVIGLAGNSMVVAIYAYYTKTDVYILNLAVADLLLLFTLPFWAVNAVHGKIMCKITSALYTLNFVSGMQFLACISIDRYVAVTKVGKPCWIICFCVWMAAILLSIPQLVFYSMKALIQMLEICIGFVVPFLIMGVCYFITARTLMKMIKISRPLKVLLTVVIVFIVTQLPYNIVKFCRAIDIIYSCNMSKRMDIAIQVTESIALFHSCLNPILYVFMGASFKNYVMKVAKKYGSWRRQ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IKISRPLKVLLTVVIVFIVTQLPYNIVKFCRAIDIIY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233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36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'SegEnds_NonXtal_Prot#'!A268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AFSRAFQPSVSLTVAALGLAGNGLVLATHLAARSPTSAHLLQLALADLLLALTLPFAAAGALQGSATCRTISGLYSASFHAGFLFLACISADRYVAIARTPGRAHLVSVIVWLLSLLLALPALLFSTVKGASAVAQVALGFALPLGVMVACYALLGRTLLAAPERRRALRVVVALVAAFVVLQLPYSLALLLDTADLLAASCPASKRKDVALLVTSGLALARCGLNPVLYAFLGLRFRQDLRRLLR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PERRRALRVVVALVAAFVVLQLPYSLALLLDTADLLAA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240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37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'SegEnds_NonXtal_Prot#'!A269</f>
        <v>gp132_human</v>
      </c>
      <c r="B276" s="1" t="str">
        <f t="shared" si="100"/>
        <v>FEESRIVLVVVYSAVCTLGVPANCLTAWLALLQNVLAVYLLCLALCELLYTGTLPLWVIYIRNGLLACKVTAYIFFCNIYVSILFLCCISCDRFVAVVYRRRTAILISACIFILVGIVHYPVFQMDSRIAGYYYARFTVGFAIPLSIIAFTNHRIFRSIKQSAAQKAKVKHSAIAVVVIFLVCFAPYHLVLLVKAAAFSYMCGLEERLYTASVVFLCLSTVNGVADPIIYVLATDHSRQEVSRIHKGW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FEESRIVLVVVYSAVCTLGVPANCLTAWLALLQ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</v>
      </c>
      <c r="M276" s="4" t="str">
        <f t="shared" si="108"/>
        <v>CFD</v>
      </c>
      <c r="N276" s="4" t="str">
        <f t="shared" si="109"/>
        <v>MDSRIAGYYYARFTVGFAIPLSIIAFTNHRIFRSIKQ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TDHSRQEVSRIHKGW</v>
      </c>
      <c r="R276" s="5">
        <f>VLOOKUP($A276,'SegEnds_NonXtal_Prot#'!$A:$AL,3,FALSE)</f>
        <v>38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192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179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326</v>
      </c>
      <c r="AP276" s="5">
        <f t="shared" si="113"/>
        <v>32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24</v>
      </c>
      <c r="AW276" s="4">
        <f t="shared" si="120"/>
        <v>2</v>
      </c>
      <c r="AX276" s="4">
        <f t="shared" si="121"/>
        <v>36</v>
      </c>
      <c r="AY276" s="4">
        <f t="shared" si="122"/>
        <v>38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'SegEnds_NonXtal_Prot#'!A270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'SegEnds_NonXtal_Prot#'!A271</f>
        <v>gp146_human</v>
      </c>
      <c r="B278" s="1" t="str">
        <f t="shared" si="100"/>
        <v>QDLQLGLSLLSLLGLVVGVPVGLCYNALLVLANLHSYFVNMAVAGLVLSALAPVHLLGPPSSRGGEVHVALQIPFNVSSLVAMYSTALLSLDHYIERALSVYNTRHVCGFVWGGALLTSFSSLLFYKMQNAEAADATLVFIGYVVPALATLYALVLLSRVRREDRDTGRLEPSAHRLLVATVCTQFGLWTPHYLILLGHTVIISRDAHYLGLLHFVKDFSKLLAFSSSFVTPLLYRYMNQSFPSKLQRLMKKLP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QDLQLGLSLLSLLGLVVGVPVGLCYNALLVLANLHS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KMQNAEAADATLVFIGYVVPALATLYALVLLSRVRRED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NQSFPSKLQRLMKKLP</v>
      </c>
      <c r="R278" s="5">
        <f>VLOOKUP($A278,'SegEnds_NonXtal_Prot#'!$A:$AL,3,FALSE)</f>
        <v>20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180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315</v>
      </c>
      <c r="AP278" s="5">
        <f t="shared" si="113"/>
        <v>35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37</v>
      </c>
      <c r="AY278" s="4">
        <f t="shared" si="122"/>
        <v>40</v>
      </c>
      <c r="AZ278" s="4">
        <f t="shared" si="123"/>
        <v>32</v>
      </c>
      <c r="BA278" s="4">
        <f t="shared" si="124"/>
        <v>15</v>
      </c>
    </row>
    <row r="279" spans="1:53" x14ac:dyDescent="0.2">
      <c r="A279" s="1" t="str">
        <f>'SegEnds_NonXtal_Prot#'!A272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'SegEnds_NonXtal_Prot#'!A273</f>
        <v>gp150_human</v>
      </c>
      <c r="B280" s="1" t="str">
        <f t="shared" si="100"/>
        <v>GPPSRRVRLVFLGVILVVAVAGNTTVLCRLCGGRKMDFLLVQLALADLYACGGTALSQLAWELLAATGDLACRFLQLLQASGRGASAHLVVLIALERRRAVRLRPLPARALAALGWLLALLLALPPAFVVWHLQVYAFYEAVAGFVAPVTVLGVACGHLLSVWWRHRPQAPAAAAPWSAPSALPRAKVQSLKMSLLLALLFVGCELPYFAARLAAAWSEGEGLSAALRVVAMANSALNPFVYLFFQAGDCRLRRQLRKRLGS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GPPSRRVRLVFLGVILVVAVAGNTTVLCRLCGG</v>
      </c>
      <c r="G280" s="4" t="str">
        <f t="shared" si="102"/>
        <v/>
      </c>
      <c r="H280" s="4" t="str">
        <f t="shared" si="103"/>
        <v>RKMDFLLVQLALADLYACGGTALSQLAWELL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WHLQVYAFYEAVAGFVAPVTVLGVACGHLLSVWWRHRPQAPAAAAPWSA</v>
      </c>
      <c r="O280" s="4" t="str">
        <f t="shared" si="110"/>
        <v>PSALPRAKVQSLKMSLLLALLFVGCELPYFAARLAAAWS</v>
      </c>
      <c r="P280" s="4" t="str">
        <f t="shared" si="111"/>
        <v>EGEGLSAALRVVAMANSALNPFVYLFF</v>
      </c>
      <c r="Q280" s="4" t="str">
        <f t="shared" si="112"/>
        <v>QAGDCRLRRQLRKRLGS</v>
      </c>
      <c r="R280" s="5">
        <f>VLOOKUP($A280,'SegEnds_NonXtal_Prot#'!$A:$AL,3,FALSE)</f>
        <v>38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283</v>
      </c>
      <c r="AB280" s="5">
        <f>VLOOKUP($A280,'SegEnds_NonXtal_Prot#'!$A:$AL,33,FALSE)</f>
        <v>329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110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275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372</v>
      </c>
      <c r="AP280" s="5">
        <f t="shared" si="113"/>
        <v>32</v>
      </c>
      <c r="AQ280" s="4" t="str">
        <f t="shared" si="114"/>
        <v>-</v>
      </c>
      <c r="AR280" s="4">
        <f t="shared" si="115"/>
        <v>30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48</v>
      </c>
      <c r="AY280" s="4">
        <f t="shared" si="122"/>
        <v>38</v>
      </c>
      <c r="AZ280" s="4">
        <f t="shared" si="123"/>
        <v>26</v>
      </c>
      <c r="BA280" s="4">
        <f t="shared" si="124"/>
        <v>16</v>
      </c>
    </row>
    <row r="281" spans="1:53" x14ac:dyDescent="0.2">
      <c r="A281" s="1" t="str">
        <f>'SegEnds_NonXtal_Prot#'!A274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'SegEnds_NonXtal_Prot#'!A275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RQFTTTVQVVIFIGSLLGNFMVLWSTCRTSVTNRFIKNLACSGICASLVCVPFDIILSTSPYTMLFCKVVKFLHKVFCSVTILSFPAIALDRYYSVLYSDAKSRELVMYIWAHAVVASVPVFAVTLGHLVYVLVYNITTVIVPVVVVFLFLILIRRALSASQKKKVIIAALRTPIPYASQREAELHATLLSMVMVFILCSVPYATLVVYQTVLSVFLLLTAVWLPKVSLLANPVLFLTVNKSVRKCLIGTLVQLHH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LGHLVYVLVYNITTVIVPVVVVFLFLILIRRALSASQKKKVIIAALRTP</v>
      </c>
      <c r="O282" s="4" t="str">
        <f t="shared" si="110"/>
        <v>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254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248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48</v>
      </c>
      <c r="AY282" s="4">
        <f t="shared" si="122"/>
        <v>38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'SegEnds_NonXtal_Prot#'!A276</f>
        <v>gpbar_human</v>
      </c>
      <c r="B283" s="1" t="str">
        <f t="shared" si="100"/>
        <v>PKGALGLSLALASLIITANLLLALGIAWDSPPAGCFFLSLLLAGLLTGLALPTLPGLGYWSCLLVYLAPNFSFLSLLANLLLVHGERYMAVLRSIRLALLLTWAGPLLFASLPALGPAPYLYLEVYGLLLPAVGAAAFLSVRVLATAHRQLQDICRLERAVCSALARALTWRQARAQAGAMLLFGLCWGPYVATLLLSVLAYEQGPGTLLSLLSLGSASAAAVPVAMGLGDQRYTAPWRAAAQ</v>
      </c>
      <c r="C283" s="29" t="str">
        <f>IF(ISERROR(MATCH(A283,'SegEnds_Xtal_Prot#'!B:B, 0)), "NoXtal", "Xtal")</f>
        <v>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PKGALGLSLALASLIITANLLLALGIAWD</v>
      </c>
      <c r="G283" s="4" t="str">
        <f t="shared" si="102"/>
        <v>RRLR</v>
      </c>
      <c r="H283" s="4" t="str">
        <f t="shared" si="103"/>
        <v>SPPAGCFFLSLLLAGLLTGLALPTLPGL</v>
      </c>
      <c r="I283" s="4" t="str">
        <f t="shared" si="104"/>
        <v/>
      </c>
      <c r="J283" s="4" t="str">
        <f t="shared" si="105"/>
        <v>GYWSCLLVYLAPNFSFLSLLANLLLVHGERYMAVLR</v>
      </c>
      <c r="K283" s="4" t="str">
        <f t="shared" si="106"/>
        <v/>
      </c>
      <c r="L283" s="4" t="str">
        <f t="shared" si="107"/>
        <v>SIRLALLLTWAGPLLFASLPALG</v>
      </c>
      <c r="M283" s="4" t="str">
        <f t="shared" si="108"/>
        <v>CSS</v>
      </c>
      <c r="N283" s="4" t="str">
        <f t="shared" si="109"/>
        <v>PAPYLYLEVYGLLLPAVGAAAFLSVRVLATAHRQLQDICRLERAVC</v>
      </c>
      <c r="O283" s="4" t="str">
        <f t="shared" si="110"/>
        <v>SALARALTWRQARAQAGAMLLFGLCWGPYVATLLLSVLAYEQ</v>
      </c>
      <c r="P283" s="4" t="str">
        <f t="shared" si="111"/>
        <v>GPGTLLSLLSLGSASAAAVPVAMGLG</v>
      </c>
      <c r="Q283" s="4" t="str">
        <f t="shared" si="112"/>
        <v>DQRYTAPWRAAAQ</v>
      </c>
      <c r="R283" s="5">
        <f>VLOOKUP($A283,'SegEnds_NonXtal_Prot#'!$A:$AL,3,FALSE)</f>
        <v>14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81</v>
      </c>
      <c r="W283" s="5" t="str">
        <f>VLOOKUP($A283,'SegEnds_NonXtal_Prot#'!$A:$AL,18,FALSE)</f>
        <v>-</v>
      </c>
      <c r="X283" s="5">
        <f>VLOOKUP($A283,'SegEnds_NonXtal_Prot#'!$A:$AL,21,FALSE)</f>
        <v>123</v>
      </c>
      <c r="Y283" s="5">
        <f>VLOOKUP($A283,'SegEnds_NonXtal_Prot#'!$A:$AL,24,FALSE)</f>
        <v>155</v>
      </c>
      <c r="Z283" s="5">
        <f>VLOOKUP($A283,'SegEnds_NonXtal_Prot#'!$A:$AL,27,FALSE)</f>
        <v>162</v>
      </c>
      <c r="AA283" s="5">
        <f>VLOOKUP($A283,'SegEnds_NonXtal_Prot#'!$A:$AL,30,FALSE)</f>
        <v>212</v>
      </c>
      <c r="AB283" s="5">
        <f>VLOOKUP($A283,'SegEnds_NonXtal_Prot#'!$A:$AL,33,FALSE)</f>
        <v>258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74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207</v>
      </c>
      <c r="AM283" s="5">
        <f>VLOOKUP($A283,'SegEnds_NonXtal_Prot#'!$A:$AL,32,FALSE)</f>
        <v>253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28</v>
      </c>
      <c r="AQ283" s="4">
        <f t="shared" si="114"/>
        <v>3</v>
      </c>
      <c r="AR283" s="4">
        <f t="shared" si="115"/>
        <v>27</v>
      </c>
      <c r="AS283" s="4" t="str">
        <f t="shared" si="116"/>
        <v>-</v>
      </c>
      <c r="AT283" s="4">
        <f t="shared" si="117"/>
        <v>35</v>
      </c>
      <c r="AU283" s="4" t="str">
        <f t="shared" si="118"/>
        <v>-</v>
      </c>
      <c r="AV283" s="4">
        <f t="shared" si="119"/>
        <v>22</v>
      </c>
      <c r="AW283" s="4">
        <f t="shared" si="120"/>
        <v>2</v>
      </c>
      <c r="AX283" s="4">
        <f t="shared" si="121"/>
        <v>45</v>
      </c>
      <c r="AY283" s="4">
        <f t="shared" si="122"/>
        <v>41</v>
      </c>
      <c r="AZ283" s="4">
        <f t="shared" si="123"/>
        <v>25</v>
      </c>
      <c r="BA283" s="4">
        <f t="shared" si="124"/>
        <v>12</v>
      </c>
    </row>
    <row r="284" spans="1:53" x14ac:dyDescent="0.2">
      <c r="A284" s="1" t="str">
        <f>'SegEnds_NonXtal_Prot#'!A277</f>
        <v>gpr45_human</v>
      </c>
      <c r="B284" s="1" t="str">
        <f t="shared" si="100"/>
        <v>TQLPAPLRISLAIVMLLMTVVGFLGNTVVCIIVYQRSAINLLLATLAFSDIMLSLCCMPFTAVTLITGDHFCRLSATLYWFFVLEGVAILLIISVDRFLIIVQNPRRAKVIIAVSWVLSFCIAGPSLTGWDRAYVVTLVVAVFFAPFGVMLCAYMCILNTVRKNAVRVHNQSSVDLSFKTKAFTTILILFVGFSLCWLPHSVYSLLSVFSRFYCGSSFYATSTCVLWLSYLKSVFNPIVYCWRIKKFREACIELLPQTF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TQLPAPLRISLAIVMLLMTVVGFLGNTVVCIIVYQR</v>
      </c>
      <c r="G284" s="4" t="str">
        <f t="shared" si="102"/>
        <v>PAMR</v>
      </c>
      <c r="H284" s="4" t="str">
        <f t="shared" si="103"/>
        <v>SAINLLLATLAFSDIMLSLCCMPFTAVTLIT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NPRRAKVIIAVSWVLSFCIAGPSLTGW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RFYCGSSFYATSTCVLWLSYLKSVFNPIVYCWR</v>
      </c>
      <c r="Q284" s="4" t="str">
        <f t="shared" si="112"/>
        <v>IKKFREACIELLPQTF</v>
      </c>
      <c r="R284" s="5">
        <f>VLOOKUP($A284,'SegEnds_NonXtal_Prot#'!$A:$AL,3,FALSE)</f>
        <v>27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295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97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170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343</v>
      </c>
      <c r="AP284" s="5">
        <f t="shared" si="113"/>
        <v>35</v>
      </c>
      <c r="AQ284" s="4">
        <f t="shared" si="114"/>
        <v>3</v>
      </c>
      <c r="AR284" s="4">
        <f t="shared" si="115"/>
        <v>30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26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32</v>
      </c>
      <c r="BA284" s="4">
        <f t="shared" si="124"/>
        <v>15</v>
      </c>
    </row>
    <row r="285" spans="1:53" x14ac:dyDescent="0.2">
      <c r="A285" s="1" t="str">
        <f>'SegEnds_NonXtal_Prot#'!A278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'SegEnds_NonXtal_Prot#'!A279</f>
        <v>gpr63_human</v>
      </c>
      <c r="B286" s="1" t="str">
        <f t="shared" si="100"/>
        <v>LPLQITLSAIMIFILFVSFLGNLVVCLMVYQKSAINILLASLAFADMLLAVLNMPFALVTILTTGKFFCRVSAMFFWLFVIEGVAILLIISIDRFLIIVQNPYRAKVLIAVSWATSFCVAFPLAVYQAYVILISLISFFIPFLVILYSFMGILNTLRHNALRIHSYPSIDMGFKTRAFTTILILFAVFIVCWAPFTTYSLVATFSFFEISTWLLWLCYLKSALNPLIYYWRIKKFHDACLDMMP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LPLQITLSAIMIFILFVSFLGNLVVCLMVYQK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FFEISTWLLWLCYLKSALNPLIYYWR</v>
      </c>
      <c r="Q286" s="4" t="str">
        <f t="shared" si="112"/>
        <v>IKKFHDACLDMMP</v>
      </c>
      <c r="R286" s="5">
        <f>VLOOKUP($A286,'SegEnds_NonXtal_Prot#'!$A:$AL,3,FALSE)</f>
        <v>78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349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215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387</v>
      </c>
      <c r="AP286" s="5">
        <f t="shared" si="113"/>
        <v>31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24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'SegEnds_NonXtal_Prot#'!A281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'SegEnds_NonXtal_Prot#'!A282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'SegEnds_NonXtal_Prot#'!A283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'SegEnds_NonXtal_Prot#'!A284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'SegEnds_NonXtal_Prot#'!A285</f>
        <v>npbw1_human</v>
      </c>
      <c r="B291" s="1" t="str">
        <f t="shared" si="100"/>
        <v>STLAPLPAPLAVAVPVVYAVICAVGLAGNSAVLYVLLRATVTNLFILNLAIADELFTLVLPINIADFLLGELMCKLIVAIDQYNTFSSLYFLTVMSADRYLVVLATYSAARAVSLAVWGIVTLVVLPFAVFAPEAFWWRASRLYTLVLGFAIPVSTICVLYTTLLCRLHAMAKALERAKKRVTFLVVAILAVCLLCWTPYHLSTVVALTTTPLVIAISYFITSLSYANSCLNPFLYAFLDASFRRNLRQLITC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'SegEnds_NonXtal_Prot#'!A286</f>
        <v>npbw2_human</v>
      </c>
      <c r="B292" s="1" t="str">
        <f t="shared" si="100"/>
        <v>ATFSEPLPFLYVLLPAVYSGICAVGLTGNTAVILVILRATVTNVFILNLAVADGLFTLVLPVNIAEHLLGELLCKLVLAVDHYNIFSSIYFLAVMSVDRYLVVLATYRGAKVASLCVWLGVTVLVLPFFSFAPEQVWFKASRVYTLVLGFVLPVCTICVLYTDLLRRLRAVAKALGKARRKVTVLVLVVLAVCLLCWTPFHLASVVALTTTPLVISMSYVITSLSYANSCLNPFLYAFLDDNFRKNFRSILRC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PEQVWFKASRVYTLVLGFVLPVCTICVLYTDLLRRLRAV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204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38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'SegEnds_NonXtal_Prot#'!A287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'SegEnds_NonXtal_Prot#'!A288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'SegEnds_NonXtal_Prot#'!A289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'SegEnds_NonXtal_Prot#'!A290</f>
        <v>npy2r_human</v>
      </c>
      <c r="B296" s="1" t="str">
        <f t="shared" si="100"/>
        <v>QVVLILAYCSIILLGVIGNSLVIHVVIKFTVTNFFIANLAVADLLVNTLCLPFTLTYTLMGGPVLCHLVPYAQGLAVQVSTITLTVIALDRHRCIVYSKRISFLIIGLAWGISALLASPLAIFRIYGTVYSLSSLLILYVLPLGIISFSYTRIWSKLKNHVSPGNDHYHQRRQKTTKMLVCVVVVFAVSWLPLHAFQLAVDIDDLKEYKLIFTVFHIIAMCSTFANPLLYGWMNSNYRKAFLSAFRCEQR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NDHYHQRRQKTTKMLVCVVVVFAVSWLPLHAFQLAVDID</v>
      </c>
      <c r="P296" s="4" t="str">
        <f t="shared" si="111"/>
        <v>DLKEYKLIFTVFHIIAMCSTFANPLLYGWM</v>
      </c>
      <c r="Q296" s="4" t="str">
        <f t="shared" si="112"/>
        <v>NSNYRKAFLSAFRCEQR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256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345</v>
      </c>
      <c r="AP296" s="5">
        <f t="shared" si="113"/>
        <v>28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38</v>
      </c>
      <c r="AZ296" s="4">
        <f t="shared" si="123"/>
        <v>29</v>
      </c>
      <c r="BA296" s="4">
        <f t="shared" si="124"/>
        <v>16</v>
      </c>
    </row>
    <row r="297" spans="1:53" x14ac:dyDescent="0.2">
      <c r="A297" s="1" t="str">
        <f>'SegEnds_NonXtal_Prot#'!A291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'SegEnds_NonXtal_Prot#'!A292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'SegEnds_NonXtal_Prot#'!A293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'SegEnds_NonXtal_Prot#'!A294</f>
        <v>opn3_human</v>
      </c>
      <c r="B300" s="1" t="str">
        <f t="shared" si="100"/>
        <v>SPGTYERLALLLGSIGLLGVGNNLLVLVLYYKFTPTHLLLVNISLSDLLVSLFGVTFTFVSCLRNDTVGCVWDGFSGSLFGIVSIATLTVLAYERYIRVVHNFSWAWRAITYIWLYSLAWAGAPLLNDSSFVLFLFLGCLVVPLGVIAHCYGHILYSIRMLRCVEDQVIKILKYEKKLAKMCFLMIFTFLVCWMPYIVICFLVVNGTPTISIVSYLFAKSNTVYNPVIYVFMIRKFRRSLLQLLC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TPTHLLLVNISLSDLLVSLFGVTFTFVSCLRN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105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31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'SegEnds_NonXtal_Prot#'!A295</f>
        <v>oxyr_human</v>
      </c>
      <c r="B301" s="1" t="str">
        <f t="shared" si="100"/>
        <v>NEALARVEVAVLCLILLLALSGNACVLLALRTTSRLFFFMKHLSIADLVVAVFQVLPQLLWDITPDLLCRLVKYLQVVGMFASTYLLLLMSLDRCLAICQRRRTDRLAVLATWLGCLVASAPQVHIFWGPKAYITWITLAVYIVPVIVLAACYGLISFKIWQNLRLKTAAAKLISKAKIRTVKMTFIIVLAFIVCWTPFFFVQMWSVWKEASAFIIVMLLASLNSCCNPWIYMLFTGHLFHELVQRFLCCSA</v>
      </c>
      <c r="C301" s="29" t="str">
        <f>IF(ISERROR(MATCH(A301,'SegEnds_Xtal_Prot#'!B:B, 0)), "NoXtal", "Xtal")</f>
        <v>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NEALARVEVAVLCLILLLALSGNACVLLALRTT</v>
      </c>
      <c r="G301" s="4" t="str">
        <f t="shared" si="102"/>
        <v>RQKH</v>
      </c>
      <c r="H301" s="4" t="str">
        <f t="shared" si="103"/>
        <v>SRLFFFMKHLSIADLVVAVFQVLPQLLWDIT</v>
      </c>
      <c r="I301" s="4" t="str">
        <f t="shared" si="104"/>
        <v>RFYG</v>
      </c>
      <c r="J301" s="4" t="str">
        <f t="shared" si="105"/>
        <v>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</v>
      </c>
      <c r="P301" s="4" t="str">
        <f t="shared" si="111"/>
        <v>KEASAFIIVMLLASLNSCCNPWIYMLF</v>
      </c>
      <c r="Q301" s="4" t="str">
        <f t="shared" si="112"/>
        <v>TGHLFHELVQRFLCCSA</v>
      </c>
      <c r="R301" s="5">
        <f>VLOOKUP($A301,'SegEnds_NonXtal_Prot#'!$A:$AL,3,FALSE)</f>
        <v>35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104</v>
      </c>
      <c r="V301" s="5">
        <f>VLOOKUP($A301,'SegEnds_NonXtal_Prot#'!$A:$AL,15,FALSE)</f>
        <v>108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306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102</v>
      </c>
      <c r="AG301" s="5">
        <f>VLOOKUP($A301,'SegEnds_NonXtal_Prot#'!$A:$AL,14,FALSE)</f>
        <v>107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300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32</v>
      </c>
      <c r="AQ301" s="4">
        <f t="shared" si="114"/>
        <v>3</v>
      </c>
      <c r="AR301" s="4">
        <f t="shared" si="115"/>
        <v>30</v>
      </c>
      <c r="AS301" s="4">
        <f t="shared" si="116"/>
        <v>3</v>
      </c>
      <c r="AT301" s="4">
        <f t="shared" si="117"/>
        <v>35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36</v>
      </c>
      <c r="AZ301" s="4">
        <f t="shared" si="123"/>
        <v>26</v>
      </c>
      <c r="BA301" s="4">
        <f t="shared" si="124"/>
        <v>16</v>
      </c>
    </row>
    <row r="302" spans="1:53" x14ac:dyDescent="0.2">
      <c r="A302" s="1" t="str">
        <f>'SegEnds_NonXtal_Prot#'!A296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'SegEnds_NonXtal_Prot#'!A298</f>
        <v>rl3r1_human</v>
      </c>
      <c r="B303" s="1" t="str">
        <f t="shared" si="100"/>
        <v>EARVRILISVVYWVVCALGLAGNLLVLYLMKSMKSSINLFVTNLALTDFQFVLTLPFWAVENALDGKAMCKIVSMVTSMNMYASVFFLTAMSVTRYHSVASCCFSAKALCVWIWALAALASLPSAIFSWLGLYHSQKVLLGFVLPLGIIILCYLLLVRFIADRRAAGTKGGAAVAGTGASARRLSKVTKSVTIVVLSFFLCWLPNQALTTWSILIKFNSQEYFLCQVYAFPVSVCLAHSNSCLNPVLYCLVRREFRKALKSLLWRI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KSSINLFVTNLALTDFQFVLTLPFWAVENALD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WLGLYHSQKVLLGFVLPLGIIILCYLLLVRFIADRRAAGTKGGAAVAG</v>
      </c>
      <c r="O303" s="4" t="str">
        <f t="shared" si="110"/>
        <v>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314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145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310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31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47</v>
      </c>
      <c r="AY303" s="4">
        <f t="shared" si="122"/>
        <v>41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'SegEnds_NonXtal_Prot#'!A299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'SegEnds_NonXtal_Prot#'!A304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'SegEnds_NonXtal_Prot#'!A305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'SegEnds_NonXtal_Prot#'!A306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QEILNEEKKSKVHYHVAVIINYLGHCISLVALLVAFVLFLRLCLRNIIHWNLISAFILRNATWFVVQLTVGWCRLVTAAYNYFHVTNFFWMFGEGCYLHTAIVLLRKWMFICIGWGVPFPIIVAWAIGKLYYDTDYIYQGPMILVLLINFIFLFNIVRILMTKLSETIQYRKAVKATLVLLPLLGITYMLFFVEVSRVVFIYFNSFLESFQGFFVSVFYCFLNSEVRSAIRKRWHRWQDKHSIRARVA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EVSRVVFIYFNSFLESFQGFFVSVFYCFL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338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28</v>
      </c>
      <c r="BA307" s="4">
        <f t="shared" si="124"/>
        <v>25</v>
      </c>
    </row>
    <row r="308" spans="1:53" x14ac:dyDescent="0.2">
      <c r="A308" s="1" t="str">
        <f>'SegEnds_NonXtal_Prot#'!A307</f>
        <v>crfr2_human</v>
      </c>
      <c r="B308" s="1" t="str">
        <f t="shared" si="100"/>
        <v>PILDDKQRKYDLHYRIALVVNYLGHCVSVAALVAAFLLFLALCLRNVIHWNLITTFILRNVMWFLLQLVEVWCRCITTIFNYFVVTNFFWMFVEGCYLHTAIVMRKCLFLFIGWCIPFPIIVAWAIGKLYYEVDYIYQGPIILVLLINFVFLFNIVRILMTKLRASETIQYRKAVKATLVLLPLLGITYMLFFVDLSQIMFIYFNSFLQSFQGFFVSVFYCFFNGEVRSAVRKRWHRWQDHHSLRVPMA</v>
      </c>
      <c r="C308" s="29" t="str">
        <f>IF(ISERROR(MATCH(A308,'SegEnds_Xtal_Prot#'!B:B, 0)), "NoXtal", "Xtal")</f>
        <v>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RKCLFLFIGWCIPFPIIVAWAIGKLYYE</v>
      </c>
      <c r="M308" s="4" t="str">
        <f t="shared" si="108"/>
        <v>CWF</v>
      </c>
      <c r="N308" s="4" t="str">
        <f t="shared" si="109"/>
        <v>VDYIYQGPIILVLLINFVFLFNIVRILMTKLRA</v>
      </c>
      <c r="O308" s="4" t="str">
        <f t="shared" si="110"/>
        <v>SETIQYRKAVKATLVLLPLLGITYMLFFV</v>
      </c>
      <c r="P308" s="4" t="str">
        <f t="shared" si="111"/>
        <v>DLSQIMFIYFNSFLQSFQGFFVSVFYCFF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223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334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296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27</v>
      </c>
      <c r="AW308" s="4">
        <f t="shared" si="120"/>
        <v>2</v>
      </c>
      <c r="AX308" s="4">
        <f t="shared" si="121"/>
        <v>32</v>
      </c>
      <c r="AY308" s="4">
        <f t="shared" si="122"/>
        <v>28</v>
      </c>
      <c r="AZ308" s="4">
        <f t="shared" si="123"/>
        <v>28</v>
      </c>
      <c r="BA308" s="4">
        <f t="shared" si="124"/>
        <v>25</v>
      </c>
    </row>
    <row r="309" spans="1:53" x14ac:dyDescent="0.2">
      <c r="A309" s="1" t="str">
        <f>'SegEnds_NonXtal_Prot#'!A308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'SegEnds_NonXtal_Prot#'!A309</f>
        <v>ghrhr_human</v>
      </c>
      <c r="B310" s="1" t="str">
        <f t="shared" si="100"/>
        <v>PLELLAEEESYFSTVKIIYTVGHSISIVALFVAITILVALCPRNYVHTQLFTTFILKAGAVFLKDAALTVLCKVSVAASHFATMTNFSWLLAEAVYLNCLLASRAFWWLVLAGWGLPVLFTGTWVSCKLAFETSPYWWIIKGPIVLSVGVNFGLFLNIIRILVRKLHTQSQYWRLSKSTLFLIPLFGIHYIIFNFLLGIRLPLELGLGSFQGFIVAILYCFLNQEVRTEISRKWHGHDPELLPAWRTR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TSPYWWIIKGPIVLSVGVNFGLFLNIIRILVRKL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278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'SegEnds_NonXtal_Prot#'!A310</f>
        <v>gipr_human</v>
      </c>
      <c r="B311" s="1" t="str">
        <f t="shared" si="100"/>
        <v>FLDQRLILERLQVMYTVGYSLSLATLLLALLILSLFCTRNYIHINLFTSFMLRAAAILSRDRLLAACRTAQIVTQYCVGANYTWLLVEGVYLHSLLVLGHFRYYLLLGWGAPALFVIPWVIVRYLYEWWIIRTPILMTILINFLIFIRILGILLSKLRTDYRLRLARSTLTLVPLLGVHEVVFAPGALRFAKLGFEIFLSSFQGFLVSVLYCFINKEVQSEIRRGWHHCRLRRSLGEEQR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296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31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'SegEnds_NonXtal_Prot#'!A311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EEQLLFLYIIYTVGYALSFSALVIASAILLGFCTRNYIHLNLFASFILRALSVFIKDAALLSCRLVFLLMQYCVAANYYWLLVEGVYLYTLLAFEQWIFRLYVSIGWGVPLLFVVPWGIVKYLYENMNYWLIIRLPILFAIGVNFLIFVRVICIVVSKLKANLCKTDIKCRLAKSTLTLIPLLGTHEVIFAFVMGTLRFIKLFTELSFTSFQGLMVAILYCFVNNEVQLEFRKSWERWRLEHLHIQRDS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NMNYWLIIRLPILFAIGVNFLIFVRVICIVVSKLKANL</v>
      </c>
      <c r="O312" s="4" t="str">
        <f t="shared" si="110"/>
        <v>CKTDIKCRLAKSTLTLIPLLGTHEVIFAFVM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341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339</v>
      </c>
      <c r="AM312" s="5">
        <f>VLOOKUP($A312,'SegEnds_NonXtal_Prot#'!$A:$AL,32,FALSE)</f>
        <v>371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37</v>
      </c>
      <c r="AY312" s="4">
        <f t="shared" si="122"/>
        <v>30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'SegEnds_NonXtal_Prot#'!A312</f>
        <v>glp2r_human</v>
      </c>
      <c r="B313" s="1" t="str">
        <f t="shared" si="100"/>
        <v>NVDRYALLSTLQLMYTVGYSFSLISLFLALTLLLFLCTRNYIHMNLFASFILRTLAVLVKDVVFTSCRSVQVLLHYFVGANYLWLLVEGLYLHTLLEPRLWPRYLLLGWAFPVLFVVPWGFARAHLEWWIIRGPMMLCVTVNFFIFLKILKLLISKLKADYKYRLAKSTLVLIPLLGVHEILFSFGFAKLIRLFIQLTLSSFHGFLVALQYGFANGEVKAELRKYWVRFLLARHSGCRAC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340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31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'SegEnds_NonXtal_Prot#'!A313</f>
        <v>glr_human</v>
      </c>
      <c r="B314" s="1" t="str">
        <f t="shared" si="100"/>
        <v>QKEVAKMYSSFQVMYTVGYSLSLGALLLALAILGGLCTRNAIHANLFASFVLKASSVLVIDGLLRTRYSAVAGCRVAAVFMQYGIVANYCWLLVEGLYLHNLLGLSFFSLYLGIGWGAPMLFVVPWAVVKCLFEWWILRFPVFLAILINFFIFVRIVQLLVAKLRADYKFRLAKSTLTLIPLLGVHEVVFAFQGTLRSAKLFFDLFLSSFQGLLVAVLYCFLNKEVQSELRRRWHRWRLGKVLWEERN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304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31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'SegEnds_NonXtal_Prot#'!A314</f>
        <v>pacr_human</v>
      </c>
      <c r="B315" s="1" t="str">
        <f t="shared" si="100"/>
        <v>YESETGDQDYYYLSVKALYTVGYSTSLVTLTTAMVILCRFCTRNFIHMNLFVSFMLRAISVFIKDWILTVECKAVMVFFHYCVVSNYFWLFIEGLYLFTLLVERYFYWYTIIGWGTPTVCVTVWATLRLYFDSTALWWVIKGPVVGSIMVNFVLFIGIIVILVQKLNESSIYLRLARSTLLLIPLFGIHYTVFAFSKRERLVFELGLGSFQGFVVAVLYCFLNGEVQAEIKRKWRSWKVNRYFAVDFK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STALWWVIKGPVVGSIMVNFVLFIGIIVILVQKL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302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'SegEnds_NonXtal_Prot#'!A315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'SegEnds_NonXtal_Prot#'!A316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'SegEnds_NonXtal_Prot#'!A317</f>
        <v>sctr_human</v>
      </c>
      <c r="B318" s="1" t="str">
        <f t="shared" si="100"/>
        <v>SNEKRHSYLLKLKVMYTVGYSSSLVMLLVALGILCAFCTRNYIHMHLFVSFILRALSNFIKDAVLRAGCKLVMVLFQYCIMANYSWLLVEGLYLHTLLAIKYLQGFVAFGWGSPAIFVALWAIARHFLENASIWWIIRGPVILSILINFILFINILRILMRKLRTNEVSHYKRLARSTLLLIPLFGIHYIVFAFSAMEIQLFFELALGSFQGLVVAVLYCFLNGEVQLEVQKKWQQWHLREFPLHPVA</v>
      </c>
      <c r="C318" s="29" t="str">
        <f>IF(ISERROR(MATCH(A318,'SegEnds_Xtal_Prot#'!B:B, 0)), "NoXtal", "Xtal")</f>
        <v>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KYLQGFVAFGWGSPAIFVALWAIARHFLE</v>
      </c>
      <c r="M318" s="4" t="str">
        <f t="shared" si="108"/>
        <v>CWD</v>
      </c>
      <c r="N318" s="4" t="str">
        <f t="shared" si="109"/>
        <v>NASIWWIIRGPVILSILINFILFINILRILMRKLRT</v>
      </c>
      <c r="O318" s="4" t="str">
        <f t="shared" si="110"/>
        <v>NEVSHYKRLARSTLLLIPLFGIHYIVFAFS</v>
      </c>
      <c r="P318" s="4" t="str">
        <f t="shared" si="111"/>
        <v>AMEIQLFFELALGSFQGLVVAVLYCFL</v>
      </c>
      <c r="Q318" s="4" t="str">
        <f t="shared" si="112"/>
        <v>NGEVQLEVQKKWQQWHLREFPLHPVA</v>
      </c>
      <c r="R318" s="5">
        <f>VLOOKUP($A318,'SegEnds_NonXtal_Prot#'!$A:$AL,3,FALSE)</f>
        <v>131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253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365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326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36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35</v>
      </c>
      <c r="AY318" s="4">
        <f t="shared" si="122"/>
        <v>29</v>
      </c>
      <c r="AZ318" s="4">
        <f t="shared" si="123"/>
        <v>26</v>
      </c>
      <c r="BA318" s="4">
        <f t="shared" si="124"/>
        <v>25</v>
      </c>
    </row>
    <row r="319" spans="1:53" x14ac:dyDescent="0.2">
      <c r="A319" s="1" t="str">
        <f>'SegEnds_NonXtal_Prot#'!A318</f>
        <v>vipr1_human</v>
      </c>
      <c r="B319" s="1" t="str">
        <f t="shared" si="100"/>
        <v>LDEQQTMFYGSVKTGYTIGYGLSLATLLVATAILSLFCTRNYIHMHLFISFILRAAAVFIKDLALSVGCKAAMVFFQYCVMANFFWLLVEGLYLYTLLAVKYFWGYILIGWGVPSTFTMVWTIARIHFENSSLWWIIKGPILTSILVNFILFICIIRILLQKLSDSSPYSRLARSTLLLIPLFGVHYIMFAFFPEVKMVFELVVGSFQGFVVAILYCFLNGEVQAELRRKWRRWHLQGVLGWNPK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KYFWGYILIGWGVPSTFTMVWTIARIHFE</v>
      </c>
      <c r="M319" s="4" t="str">
        <f t="shared" si="108"/>
        <v>CWD</v>
      </c>
      <c r="N319" s="4" t="str">
        <f t="shared" si="109"/>
        <v>NSSLWWIIKGPILTSILVNFILFICIIRILLQKL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131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253</v>
      </c>
      <c r="Y319" s="5">
        <f>VLOOKUP($A319,'SegEnds_NonXtal_Prot#'!$A:$AL,24,FALSE)</f>
        <v>285</v>
      </c>
      <c r="Z319" s="5">
        <f>VLOOKUP($A319,'SegEnds_NonXtal_Prot#'!$A:$AL,27,FALSE)</f>
        <v>290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36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'SegEnds_NonXtal_Prot#'!A319</f>
        <v>vipr2_human</v>
      </c>
      <c r="B320" s="1" t="str">
        <f t="shared" si="100"/>
        <v>SDPEDESKITFYILVKAIYTLGYSVSLMSLATGSIILCLFCTRNYIHLNLFLSFILRAISVLVKDDVLWVGCKLSLVFLQYCIMANFFWLLVEGLYLHTLLVARCFLAYLLIGWGLPTVCIGAWTAARLYLEHSVPWWVIRIPILISIIVNFVLFISIIRILLQKLNDQSQYKRLAKSTLLLIPLFGVHYMVFAVFSKYQILFELCLGSFQGLVVAVLYCFLNSEVQCELKRKWRSRCPTPSASRDYR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HSVPWWVIRIPILISIIVNFVLFISIIRILLQKL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277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'SegEnds_NonXtal_Prot#'!A320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SLPRYPGEFLHPVVYACTAVMLLCLLASFVTYIVHQSAISRKGRHTLLNFCFHAALTFTVFAGGIILCQAVGIVLHYSTLSTMLWIGVTARNIYKQVTKQPLLRFYLVSGGVPFIICGVTAATNIRNYWEPSLGAFYGPAAIITLVTCVYFLGTYVQLRRHPSFQAQLRAAAFTLFLFTATWAFGALAFLDMVFSCLYGAFCVTLGLFVLIHHCAKREDVWQCWWACCPPRKD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SFQAQLRAAAFTLFLFTATWAFGALA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276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25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'SegEnds_NonXtal_Prot#'!A321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'SegEnds_NonXtal_Prot#'!A322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ELYTQAASLLHPVVYTTAIILLLCLLAVIVSYIYHHSLISLKSWHMLVNLCFHIFLTCVVFVGGISICQAVGIILHYSTLATVLWVGVTARNIYKQVTKRPMLRFYLIGGGIPIIVCGITAAANIKNYWEPSLGAFYGPASFITFVNCMYFLSIFIQLKRHPTFHSQLLGASLTLLLYVALWMFGALAPLDLVFSFVFGATSLSFSAFFVVHHCVNREDVRLAWIMTCCPGRS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TFHSQLLGASLTLLLYVALWMFGALA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1016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25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'SegEnds_NonXtal_Prot#'!A323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'SegEnds_NonXtal_Prot#'!A324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'SegEnds_NonXtal_Prot#'!A325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'SegEnds_NonXtal_Prot#'!A327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'SegEnds_NonXtal_Prot#'!A328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MAHYDVQEEDPVLTVITYMGLSVSLLCLLLAALTFLLCNTSTSLHLQLSLCLFLAHLLFLVAIDQVLCSIIAGTLHYLYLATLTWMLLEALYLFLTARNNRFMKKLMFPVGYGVPAVTVAISAASRPHLYEKGFIWGFLGPVCAIFSVNLVLFLVTLWILKNRLNTRMLAFKATAQLFILGCTWCLGILQVARVMAYLFTIINSLQGVFIFLVYCLLSQQVREQYGKWSKGIRK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NTRMLAFKATAQLFILGCTWCLGILQV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752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26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'SegEnds_NonXtal_Prot#'!A329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'SegEnds_NonXtal_Prot#'!A330</f>
        <v>agre4_human</v>
      </c>
      <c r="B330" s="1" t="str">
        <f t="shared" si="125"/>
        <v>VLVALAPKEDPVLTVITQVGLTISLLCLFLAILTFLLCNTSTSLHLELSLCLFLAHLLFLTGINRVLCSIIAGLLHFLYLACFTWMLLEGLHLFLTVRNFKKRFMYPVGYGIPAVIIAVSAIVGPQNYDKGFIWSFMGPVAVIILINLVFYFQVLWILRSKLDTRVMTFKAISQLFILGCSWGLGFFMKTIGSIIAYSFTIINTLQGVLLFVVHCLLNRQVRLIILSVISLVPK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DTRVMTFKAISQLFILGCSWGLGFFM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296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404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25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'SegEnds_NonXtal_Prot#'!A331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'SegEnds_NonXtal_Prot#'!A333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'SegEnds_NonXtal_Prot#'!A334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'SegEnds_NonXtal_Prot#'!A335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'SegEnds_NonXtal_Prot#'!A336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'SegEnds_NonXtal_Prot#'!A337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'SegEnds_NonXtal_Prot#'!A338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'SegEnds_NonXtal_Prot#'!A339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'SegEnds_NonXtal_Prot#'!A340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'SegEnds_NonXtal_Prot#'!A341</f>
        <v>agrg6_human</v>
      </c>
      <c r="B340" s="1" t="str">
        <f t="shared" si="125"/>
        <v>SASQLDARNTKVLTFISYIGCGISAIFSAATLLTYVAFRDYPSKILMNLSTALLFLNLLFLLDGWIGLCIAVAVLLHFFLLATFTWMGLEAIHMYIALVKYILKFCIIGWGLPALVVSVVLASRNNNEPVIFYVTCAGYFGVMFFLNIAMFIVVMVQICGRNEVLRNLRSVVSLTFLLGMTWGFAFFNIPFMYLFSIFNSLQGLFIFIFHCAMKENVQKQWRQHLCCGRF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970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27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'SegEnds_NonXtal_Prot#'!A342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'SegEnds_NonXtal_Prot#'!A343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REIYQGRINELLLSVITWVGIVISLVCLAICISTFCFLTDRNTIHKNLCINLFLAELLFLVGIDKIACPIFAGLLHYFFLAAFSWLCLEGVHLYLLLVESRTKYYYLGGYCFPALVVGIAAAIDYRSYDNYFIWSFIGPVSFVIVVNLVFLMVTLHKMIRSSNIKSWALGAIALLFLLGLTWAFGLLFSVVMAYLFTTFNAFQGVFIFVFHCALQKKVHKEYSKCLRHSYC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NIKSWALGAIALLFLLGLTWAFGLLF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1070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25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'SegEnds_NonXtal_Prot#'!A344</f>
        <v>agrl2_human</v>
      </c>
      <c r="B343" s="1" t="str">
        <f t="shared" si="125"/>
        <v>EIAYKDGVHELLLTVITWVGIVISLVCLAICIFTFCFFSDRNTIHKNLCINLFIAEFIFLIGIDKIACPIFAGLLHFFFLAAFAWMCLEGVQLYLMLVESRKKYYYVAGYLFPATVVGVSAAIDYKSYDNYFIWSFIGPVTFIILLNIIFLVITLCKMVKHSNIKSWVLGAFALLCLLGLTWSFGLLFTIVMAYLFTIFNAFQGVFIFIFHCALQKKVRKEYGKCFRHSYC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SRKKYYYVAGYLFPATVVGVSAAIDYKSY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NIKSWVLGAFALLCLLGLTWSFGLLF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948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1057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28</v>
      </c>
      <c r="AW343" s="4">
        <f t="shared" si="145"/>
        <v>2</v>
      </c>
      <c r="AX343" s="4">
        <f t="shared" si="146"/>
        <v>33</v>
      </c>
      <c r="AY343" s="4">
        <f t="shared" si="147"/>
        <v>25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'SegEnds_NonXtal_Prot#'!A345</f>
        <v>agrl3_human</v>
      </c>
      <c r="B344" s="1" t="str">
        <f t="shared" si="125"/>
        <v>EVKHSDAVHDLLLDVITWVGILLSLVCLLICIFTFCFFSDRNTIHKNLCISLFVAELLFLIGINRIACAVFAALLHFFFLAAFTWMFLEGVQLYIMLVERRKYFYLVGYGMPALIVAVSAAVDYRSYDTYFIWSFIGPATLIIMLNVIFLGIALYKMFHHTNIKSWVIGAIALLCLLGLTWAFGLMTVIMAYLFTIFNSLQGMFIFIFHCVLQKKVRKEYGKCLRTHCC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966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27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'SegEnds_NonXtal_Prot#'!A346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SGPSIGIKDYNILTRITQLGIIISLICLAICIFTFWFFSTRTTIHKNLCCSLFLAELVFLVGINTLFCSIIAGLLHYFFLAAFAWMCIEGIHLYLIVVGFLHKNFYIFGYLSPAVVVGFSAALGYRYYENNFIWSFIGPACLIILVNLLAFGVIIYKVFRHTNIRSCARGALALLFLLGTTWIFGVLHSVVTAYLFTVSNAFQGMFIFLFLCVLSRKIQEEYYRLFKNVPC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NIRSCARGALALLFLLGTTWIFGVLH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637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25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'SegEnds_NonXtal_Prot#'!A347</f>
        <v>agrb1_human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'SegEnds_NonXtal_Prot#'!A348</f>
        <v>agre5_human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ILMAHYDVEDWKLTLITRVGLALSLFCLLLCILTFLLVGSRTTIHLHLCICLFVGSTIFLAGIENLRCRLVAGLLHYCFLAAFCWMSLEGLELYFLVVRQGLSTRWLCLIGYGVPLLIVGVSAAIYSKGYEQGFLWSFLGPVTFIILCNAVIFVTTVWKLTQKFKARALTITAIAQLFLLGCTWVFGLFIFSLVLTYVFTILNCLQGAFLYLLHCLLNKKVREEYRKWACLVAG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KARALTITAIAQLFLLGCTWVFGLFIF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760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26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'SegEnds_NonXtal_Prot#'!A349</f>
        <v>celr1_human</v>
      </c>
      <c r="B348" s="1" t="str">
        <f t="shared" si="125"/>
        <v>DISRRENGEVLPLKIVTYAAVSLSLAALLVAFVLLSLVSNLHSIHKHLAVALFLSQLVFVIGINQFLCTVVAILLHYIYMSTFAWTLVESLHVYRMLTEGPMRFYYVVGWGIPAIVTGLAVGLDPQGYQDTLIWSFAGPIGAVIIINTVTSVLSAKVSCQRKGIVSLLRTAFLLLLLISATWLLGLLAALSFHYLFAIFSGLQGPFVLLFHCVLNQEVRKHLKGVLGGRKL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2569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'SegEnds_NonXtal_Prot#'!A350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'SegEnds_NonXtal_Prot#'!A351</f>
        <v>celr3_human</v>
      </c>
      <c r="B350" s="1" t="str">
        <f t="shared" si="125"/>
        <v>SPRERLEGDLELLAVFTHVVVAVSVAALVLTAAILLSLSNVRGIHANVAAALGVAELLFLLGIHRLVCTAVAILLHYFFLSTFAWLFVQGLHLYRMQVEAMRFYHALGWGVPAVLLGLAVGLDPEGYHEPLIWSFAGPVVLVIVMNGTMFLLAARTSCSTGTSALTLRSSFLLLLLVSASWLFGLLILAFHYLHAGLCGLQGLAVLLLFCVLNADARAAWMPACLGRKA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2641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27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'SegEnds_NonXtal_Prot#'!A353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'SegEnds_NonXtal_Prot#'!A354</f>
        <v>gabr1_human</v>
      </c>
      <c r="B352" s="1" t="str">
        <f t="shared" si="125"/>
        <v>KLFISVSVLSSLGIVLAVVCLSFNIYNQPNLNNLTAVGCSLALAAVFPLGLQFPFVCQARLWLLGLGFSLGYGSMFTKIWWVHTVFEPWKLYATVGLLVGMDVLTLAIWQIVDKMNTWLGIFYGYKGLLLLLGIFLAYETKDHRAVGMAIYNVAVLCLITAPVTMILAAFAFASLAIVFSSYITLVVLFVPKMRRLITRGEWQSEAQDTMK</v>
      </c>
      <c r="C352" s="29" t="str">
        <f>IF(ISERROR(MATCH(A352,'SegEnds_Xtal_Prot#'!B:B, 0)), "NoXtal", "Xtal")</f>
        <v>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QPNLNNLTAVGCSLALAAVFPLGL</v>
      </c>
      <c r="I352" s="4" t="str">
        <f t="shared" si="129"/>
        <v/>
      </c>
      <c r="J352" s="4" t="str">
        <f t="shared" si="130"/>
        <v>QFPFVCQARLWLLGLGFSLGYGSMFTKIWWVHTVF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KMNTWLGIFYGYKGLLLLLGIFLAYETK</v>
      </c>
      <c r="O352" s="4" t="str">
        <f t="shared" si="135"/>
        <v>DHRAVGMAIYNVAVLCLITAPVTMIL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658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765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649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792</v>
      </c>
      <c r="AM352" s="5">
        <f>VLOOKUP($A352,'SegEnds_NonXtal_Prot#'!$A:$AL,32,FALSE)</f>
        <v>826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23</v>
      </c>
      <c r="AS352" s="4" t="str">
        <f t="shared" si="141"/>
        <v>-</v>
      </c>
      <c r="AT352" s="4">
        <f t="shared" si="142"/>
        <v>34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27</v>
      </c>
      <c r="AY352" s="4">
        <f t="shared" si="147"/>
        <v>25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'SegEnds_NonXtal_Prot#'!A355</f>
        <v>gabr2_human</v>
      </c>
      <c r="B353" s="1" t="str">
        <f t="shared" si="125"/>
        <v>SLPLYSILSALTILGMIMASAFLFFNIKNSPYMNNLIILGGMLSYASIFLFGSEKTFETLCTVRTWILTVGYTTAFGAMFAKTWRVHAIFKKDQKLLVIVGGMLLIDLCILICWQAVDHMTIWLGIVYAYKGLLMLFGCFLAWETRNVDSKYIGMSVYNVGIMCIIGAAVSFLTQPNVQFCIVALVIIFCSTITLCLVFVPKLITLRTNPDAATQNRRFQF</v>
      </c>
      <c r="C353" s="29" t="str">
        <f>IF(ISERROR(MATCH(A353,'SegEnds_Xtal_Prot#'!B:B, 0)), "NoXtal", "Xtal")</f>
        <v>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SLPLYSILSALTILGMIMASAFLFFNIKN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SEKTFETLCTVRTWILTVGYTTAFGAMFAKTWRVHAIFK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HMTIWLGIVYAYKGLLMLFGCFLAWETRNV</v>
      </c>
      <c r="O353" s="4" t="str">
        <f t="shared" si="135"/>
        <v>DSKYIGMSVYNVGIMCIIGAAVSFLT</v>
      </c>
      <c r="P353" s="4" t="str">
        <f t="shared" si="136"/>
        <v>QPNVQFCIVALVIIFCSTITLCLVFVPKLITLRTN</v>
      </c>
      <c r="Q353" s="4" t="str">
        <f t="shared" si="137"/>
        <v>PDAATQNRRFQF</v>
      </c>
      <c r="R353" s="5">
        <f>VLOOKUP($A353,'SegEnds_NonXtal_Prot#'!$A:$AL,3,FALSE)</f>
        <v>478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545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652</v>
      </c>
      <c r="AA353" s="5">
        <f>VLOOKUP($A353,'SegEnds_NonXtal_Prot#'!$A:$AL,30,FALSE)</f>
        <v>688</v>
      </c>
      <c r="AB353" s="5">
        <f>VLOOKUP($A353,'SegEnds_NonXtal_Prot#'!$A:$AL,33,FALSE)</f>
        <v>716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583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681</v>
      </c>
      <c r="AM353" s="5">
        <f>VLOOKUP($A353,'SegEnds_NonXtal_Prot#'!$A:$AL,32,FALSE)</f>
        <v>713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28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38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29</v>
      </c>
      <c r="AY353" s="4">
        <f t="shared" si="147"/>
        <v>25</v>
      </c>
      <c r="AZ353" s="4">
        <f t="shared" si="148"/>
        <v>34</v>
      </c>
      <c r="BA353" s="4">
        <f t="shared" si="149"/>
        <v>11</v>
      </c>
    </row>
    <row r="354" spans="1:53" x14ac:dyDescent="0.2">
      <c r="A354" s="1" t="str">
        <f>'SegEnds_NonXtal_Prot#'!A356</f>
        <v>gp156_human</v>
      </c>
      <c r="B354" s="1" t="str">
        <f t="shared" si="125"/>
        <v>SPVLLGIVWTFLSCGLLLILFFLAFTIHCSPNLNIVTLLGSCLTYSSAYLFGVGSSMETLIQTRLSMLCIGTSLVFGPILGKSWRLYKVFTKDLQLLGLVAALLMADVILLMTWVLTDYSDVWIALIWGCKGLLLLYGAYLAGLTGHVSLTIMVGVNLLVLAAGLLFVVTRYLHWPNLVFGLTSGGIFVCTTTINCFIFIPQLKQWKAFEEENQTIRRMAK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SPVLLGIVWTFLSCGLLLILFFLAFTIHC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VGSSMETLIQTRLSMLCIGTSLVFGPILGKSWRLYKVFT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YSDVWIALIWGCKGLLLLYGAYLAGLTGHV</v>
      </c>
      <c r="O354" s="4" t="str">
        <f t="shared" si="135"/>
        <v>SLTIMVGVNLLVLAAGLLFVVTRYLH</v>
      </c>
      <c r="P354" s="4" t="str">
        <f t="shared" si="136"/>
        <v>WPNLVFGLTSGGIFVCTTTINCFIFIPQLKQWKAF</v>
      </c>
      <c r="Q354" s="4" t="str">
        <f t="shared" si="137"/>
        <v>EEENQTIRRMAK</v>
      </c>
      <c r="R354" s="5">
        <f>VLOOKUP($A354,'SegEnds_NonXtal_Prot#'!$A:$AL,3,FALSE)</f>
        <v>46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112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220</v>
      </c>
      <c r="AA354" s="5">
        <f>VLOOKUP($A354,'SegEnds_NonXtal_Prot#'!$A:$AL,30,FALSE)</f>
        <v>257</v>
      </c>
      <c r="AB354" s="5">
        <f>VLOOKUP($A354,'SegEnds_NonXtal_Prot#'!$A:$AL,33,FALSE)</f>
        <v>284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150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249</v>
      </c>
      <c r="AM354" s="5">
        <f>VLOOKUP($A354,'SegEnds_NonXtal_Prot#'!$A:$AL,32,FALSE)</f>
        <v>282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28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29</v>
      </c>
      <c r="AY354" s="4">
        <f t="shared" si="147"/>
        <v>25</v>
      </c>
      <c r="AZ354" s="4">
        <f t="shared" si="148"/>
        <v>34</v>
      </c>
      <c r="BA354" s="4">
        <f t="shared" si="149"/>
        <v>11</v>
      </c>
    </row>
    <row r="355" spans="1:53" x14ac:dyDescent="0.2">
      <c r="A355" s="1" t="str">
        <f>'SegEnds_NonXtal_Prot#'!A357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'SegEnds_NonXtal_Prot#'!A358</f>
        <v>gp179_human</v>
      </c>
      <c r="B356" s="1" t="str">
        <f t="shared" si="125"/>
        <v>AAVLRAAVLACQACCMLAIFLSMLVSYRCGVVLLETVLFGFLLLYFPVFILYVFRCIALRWVRLLGFAIVYGTIILKLYRVLQLFLSRTAQRSALLSSGRLLRRLGLLLLPVLDRWDYIMVVAELLLLCWGSFLCYATRAVEPRYMGIALHNELLLSAAFHTARFVLHPDWTLLLFFFHTHSTVTTTLALIFIPKFWKLGAPPREEMVDEVCED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AAVLRAAVLACQACCMLAIFLSMLVSYRC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VFRCIALRWVRLLGFAIVYGTIILKLYRVLQLFL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DRWDYIMVVAELLLLCWGSFLCYATRAV</v>
      </c>
      <c r="O356" s="4" t="str">
        <f t="shared" si="135"/>
        <v>EPRYMGIALHNELLLSAAFHTARFVL</v>
      </c>
      <c r="P356" s="4" t="str">
        <f t="shared" si="136"/>
        <v>HPDWTLLLFFFHTHSTVTTTLALIFIPKFWKLGAP</v>
      </c>
      <c r="Q356" s="4" t="str">
        <f t="shared" si="137"/>
        <v>PREEMVDEVCED</v>
      </c>
      <c r="R356" s="5">
        <f>VLOOKUP($A356,'SegEnds_NonXtal_Prot#'!$A:$AL,3,FALSE)</f>
        <v>377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603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475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567</v>
      </c>
      <c r="AM356" s="5">
        <f>VLOOKUP($A356,'SegEnds_NonXtal_Prot#'!$A:$AL,32,FALSE)</f>
        <v>598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28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33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27</v>
      </c>
      <c r="AY356" s="4">
        <f t="shared" si="147"/>
        <v>25</v>
      </c>
      <c r="AZ356" s="4">
        <f t="shared" si="148"/>
        <v>34</v>
      </c>
      <c r="BA356" s="4">
        <f t="shared" si="149"/>
        <v>11</v>
      </c>
    </row>
    <row r="357" spans="1:53" x14ac:dyDescent="0.2">
      <c r="A357" s="1" t="str">
        <f>'SegEnds_NonXtal_Prot#'!A359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'SegEnds_NonXtal_Prot#'!A360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'SegEnds_NonXtal_Prot#'!A361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'SegEnds_NonXtal_Prot#'!A362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'SegEnds_NonXtal_Prot#'!A364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'SegEnds_NonXtal_Prot#'!A365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'SegEnds_NonXtal_Prot#'!A366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'SegEnds_NonXtal_Prot#'!A367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'SegEnds_NonXtal_Prot#'!A368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'SegEnds_NonXtal_Prot#'!A369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'SegEnds_NonXtal_Prot#'!A370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'SegEnds_NonXtal_Prot#'!A372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'SegEnds_NonXtal_Prot#'!A373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'SegEnds_NonXtal_Prot#'!A374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'SegEnds_NonXtal_Prot#'!A376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485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47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'SegEnds_NonXtal_Prot#'!A377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503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47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'SegEnds_NonXtal_Prot#'!A378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462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47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'SegEnds_NonXtal_Prot#'!A379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'SegEnds_NonXtal_Prot#'!A380</f>
        <v>fzd5_human</v>
      </c>
      <c r="B375" s="1" t="str">
        <f t="shared" si="125"/>
        <v>SADERTFATFWIGLWSVLCFISTSTTVATFLIDYPERPIIFLSACYLCVSLGFLVRLVVGLCTIVFLLVYFFGMASSIWWVILSLTWFLAAGMKGNEAIAGYAQYFHLAAWLIPSVKSITALALSNLNSLRGFVLGPLVLYLLVGTLFLLAGFVSLFRIRSVIEKLMIRIGIFTLLYTVPASIVVACYLYEQHYRESWEEYWVLMLKYFMCLVVGITSGVWIWSGKTVESWRRFTSRCC</v>
      </c>
      <c r="C375" s="29" t="str">
        <f>IF(ISERROR(MATCH(A375,'SegEnds_Xtal_Prot#'!B:B, 0)), "NoXtal", "Xtal")</f>
        <v>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LCTIVFLLVYFFGMASSIWWVILSLTWFLAAGMK</v>
      </c>
      <c r="K375" s="4" t="str">
        <f t="shared" si="131"/>
        <v/>
      </c>
      <c r="L375" s="4" t="str">
        <f t="shared" si="132"/>
        <v>GNEAIAGYAQYFHLAAWLIPSVKSITALALS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314</v>
      </c>
      <c r="W375" s="5" t="str">
        <f>VLOOKUP($A375,'SegEnds_NonXtal_Prot#'!$A:$AL,18,FALSE)</f>
        <v>-</v>
      </c>
      <c r="X375" s="5">
        <f>VLOOKUP($A375,'SegEnds_NonXtal_Prot#'!$A:$AL,21,FALSE)</f>
        <v>349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347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479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30</v>
      </c>
      <c r="AW375" s="4">
        <f t="shared" si="145"/>
        <v>2</v>
      </c>
      <c r="AX375" s="4">
        <f t="shared" si="146"/>
        <v>37</v>
      </c>
      <c r="AY375" s="4">
        <f t="shared" si="147"/>
        <v>35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'SegEnds_NonXtal_Prot#'!A381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458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47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'SegEnds_NonXtal_Prot#'!A382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512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47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'SegEnds_NonXtal_Prot#'!A383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562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35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'SegEnds_NonXtal_Prot#'!A384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489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47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'SegEnds_NonXtal_Prot#'!A388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'SegEnds_NonXtal_Prot#'!A385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'SegEnds_NonXtal_Prot#'!A390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'SegEnds_NonXtal_Prot#'!A391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'SegEnds_NonXtal_Prot#'!A389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'SegEnds_NonXtal_Prot#'!A392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'SegEnds_NonXtal_Prot#'!A394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'SegEnds_NonXtal_Prot#'!A395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'SegEnds_NonXtal_Prot#'!A396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'SegEnds_NonXtal_Prot#'!A397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'SegEnds_NonXtal_Prot#'!A398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'SegEnds_NonXtal_Prot#'!A399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'SegEnds_NonXtal_Prot#'!A400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'SegEnds_NonXtal_Prot#'!A401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'SegEnds_NonXtal_Prot#'!A403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'SegEnds_NonXtal_Prot#'!A404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'SegEnds_NonXtal_Prot#'!A405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'SegEnds_NonXtal_Prot#'!A406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'SegEnds_NonXtal_Prot#'!A407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'SegEnds_NonXtal_Prot#'!A409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'SegEnds_NonXtal_Prot#'!A410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'SegEnds_NonXtal_Prot#'!A411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'SegEnds_NonXtal_Prot#'!A412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'SegEnds_NonXtal_Prot#'!A413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'SegEnds_NonXtal_Prot#'!A414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'SegEnds_NonXtal_Prot#'!A415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'SegEnds_NonXtal_Prot#'!A416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6"/>
  <sheetViews>
    <sheetView topLeftCell="A379" workbookViewId="0">
      <selection activeCell="C404" sqref="C404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1151</v>
      </c>
      <c r="B1" s="32" t="s">
        <v>1109</v>
      </c>
      <c r="C1" s="32" t="s">
        <v>1397</v>
      </c>
      <c r="D1" s="33" t="s">
        <v>1221</v>
      </c>
      <c r="E1" s="32" t="s">
        <v>1398</v>
      </c>
      <c r="F1" s="32" t="s">
        <v>1399</v>
      </c>
      <c r="G1" s="85" t="s">
        <v>1362</v>
      </c>
      <c r="H1" s="32" t="s">
        <v>1487</v>
      </c>
    </row>
    <row r="2" spans="1:12" s="10" customFormat="1" x14ac:dyDescent="0.2">
      <c r="A2" s="3" t="s">
        <v>468</v>
      </c>
      <c r="B2" s="3" t="s">
        <v>335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453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472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461</v>
      </c>
      <c r="B5" s="1" t="s">
        <v>158</v>
      </c>
      <c r="C5" t="s">
        <v>903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481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456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923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467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463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475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457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459</v>
      </c>
      <c r="B13" s="1" t="s">
        <v>158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464</v>
      </c>
      <c r="B14" s="1" t="s">
        <v>277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465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466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476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471</v>
      </c>
      <c r="B18" s="1" t="s">
        <v>1165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474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460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458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1180</v>
      </c>
      <c r="B22" s="1" t="s">
        <v>410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1190</v>
      </c>
      <c r="B23" s="1" t="s">
        <v>408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1195</v>
      </c>
      <c r="B24" s="1" t="s">
        <v>410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1188</v>
      </c>
      <c r="B25" s="1" t="s">
        <v>408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1186</v>
      </c>
      <c r="B26" s="1" t="s">
        <v>32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1177</v>
      </c>
      <c r="B27" s="1" t="s">
        <v>408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1184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1178</v>
      </c>
      <c r="B29" s="1" t="s">
        <v>405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1179</v>
      </c>
      <c r="B30" s="1" t="s">
        <v>410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1183</v>
      </c>
      <c r="B31" s="1" t="s">
        <v>401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1176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1175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1181</v>
      </c>
      <c r="B34" s="1" t="s">
        <v>408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1191</v>
      </c>
      <c r="B35" s="1" t="s">
        <v>408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1185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1189</v>
      </c>
      <c r="B37" s="1" t="s">
        <v>408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1407</v>
      </c>
      <c r="B38" s="1" t="s">
        <v>402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1187</v>
      </c>
      <c r="B39" s="1" t="s">
        <v>407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1693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1170</v>
      </c>
      <c r="B41" s="1" t="s">
        <v>407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1171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1172</v>
      </c>
      <c r="B43" s="1" t="s">
        <v>410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415</v>
      </c>
      <c r="B44" s="1" t="s">
        <v>410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416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1194</v>
      </c>
      <c r="B46" s="1" t="s">
        <v>402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1193</v>
      </c>
      <c r="B47" s="1" t="s">
        <v>410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1174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1192</v>
      </c>
      <c r="B49" s="1" t="s">
        <v>410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1173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1691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1182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477</v>
      </c>
      <c r="B53" s="1" t="s">
        <v>201</v>
      </c>
      <c r="C53" t="s">
        <v>1165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480</v>
      </c>
      <c r="B54" s="1" t="s">
        <v>363</v>
      </c>
      <c r="C54" t="s">
        <v>1165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1692</v>
      </c>
      <c r="B55" s="1" t="s">
        <v>405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417</v>
      </c>
      <c r="B56" s="1" t="s">
        <v>402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482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462</v>
      </c>
      <c r="B58" s="1" t="s">
        <v>132</v>
      </c>
      <c r="C58" t="s">
        <v>911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470</v>
      </c>
      <c r="B59" s="1" t="s">
        <v>1165</v>
      </c>
      <c r="C59" t="s">
        <v>338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455</v>
      </c>
      <c r="B60" s="1" t="s">
        <v>359</v>
      </c>
      <c r="C60" t="s">
        <v>1169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454</v>
      </c>
      <c r="B61" s="1" t="s">
        <v>133</v>
      </c>
      <c r="C61" t="s">
        <v>344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478</v>
      </c>
      <c r="B62" s="1" t="s">
        <v>177</v>
      </c>
      <c r="C62" t="s">
        <v>351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452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473</v>
      </c>
      <c r="B64" s="1" t="s">
        <v>277</v>
      </c>
      <c r="C64" t="s">
        <v>917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155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Xtal</v>
      </c>
      <c r="J71" s="3"/>
    </row>
    <row r="72" spans="1:10" x14ac:dyDescent="0.2">
      <c r="A72" s="3" t="s">
        <v>157</v>
      </c>
      <c r="B72" s="1" t="s">
        <v>157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Xtal</v>
      </c>
      <c r="J72" s="3"/>
    </row>
    <row r="73" spans="1:10" x14ac:dyDescent="0.2">
      <c r="A73" s="3" t="s">
        <v>391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389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388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390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219</v>
      </c>
      <c r="B77" s="1" t="s">
        <v>34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387</v>
      </c>
      <c r="B78" s="1" t="s">
        <v>155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392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264</v>
      </c>
      <c r="B80" s="1" t="s">
        <v>191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156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226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270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229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247</v>
      </c>
      <c r="B86" s="1" t="s">
        <v>1168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297</v>
      </c>
      <c r="B90" s="1" t="s">
        <v>296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360</v>
      </c>
      <c r="B94" s="1" t="s">
        <v>469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203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290</v>
      </c>
      <c r="B96" s="1" t="s">
        <v>277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394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283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279</v>
      </c>
      <c r="B100" s="1" t="s">
        <v>277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234</v>
      </c>
      <c r="B102" s="1" t="s">
        <v>234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280</v>
      </c>
      <c r="B104" s="1" t="s">
        <v>903</v>
      </c>
      <c r="C104" t="s">
        <v>903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903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903</v>
      </c>
      <c r="B106" s="1" t="s">
        <v>903</v>
      </c>
      <c r="C106" t="s">
        <v>903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903</v>
      </c>
      <c r="C107" t="s">
        <v>903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227</v>
      </c>
      <c r="B109" s="1" t="s">
        <v>324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386</v>
      </c>
      <c r="B110" s="1" t="s">
        <v>191</v>
      </c>
      <c r="C110" t="s">
        <v>905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258</v>
      </c>
      <c r="B111" s="1" t="s">
        <v>174</v>
      </c>
      <c r="C111" t="s">
        <v>905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211</v>
      </c>
      <c r="B112" s="1" t="s">
        <v>173</v>
      </c>
      <c r="C112" t="s">
        <v>905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310</v>
      </c>
      <c r="B113" s="1" t="s">
        <v>310</v>
      </c>
      <c r="C113" t="s">
        <v>905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905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375</v>
      </c>
      <c r="B115" s="1" t="s">
        <v>138</v>
      </c>
      <c r="C115" t="s">
        <v>905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278</v>
      </c>
      <c r="B116" s="1" t="s">
        <v>157</v>
      </c>
      <c r="C116" t="s">
        <v>905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905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905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905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905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905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905</v>
      </c>
      <c r="B122" s="1" t="s">
        <v>905</v>
      </c>
      <c r="C122" t="s">
        <v>905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156</v>
      </c>
      <c r="C123" t="s">
        <v>905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156</v>
      </c>
      <c r="C124" t="s">
        <v>905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374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251</v>
      </c>
      <c r="B127" s="1" t="s">
        <v>201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303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5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305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236</v>
      </c>
      <c r="B134" s="1" t="s">
        <v>201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235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245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201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238</v>
      </c>
      <c r="B139" s="1" t="s">
        <v>174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373</v>
      </c>
      <c r="B141" s="1" t="s">
        <v>334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291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330</v>
      </c>
      <c r="B144" s="1" t="s">
        <v>370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372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232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282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201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174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399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186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174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Xtal</v>
      </c>
      <c r="J163" s="3"/>
    </row>
    <row r="164" spans="1:10" x14ac:dyDescent="0.2">
      <c r="A164" s="3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402</v>
      </c>
      <c r="B167" s="1" t="s">
        <v>402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401</v>
      </c>
      <c r="B169" s="1" t="s">
        <v>401</v>
      </c>
      <c r="C169" t="s">
        <v>400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400</v>
      </c>
      <c r="B170" s="1" t="s">
        <v>400</v>
      </c>
      <c r="C170" t="s">
        <v>400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1165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200</v>
      </c>
      <c r="B172" s="1" t="s">
        <v>201</v>
      </c>
      <c r="C172" t="s">
        <v>1165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201</v>
      </c>
      <c r="B173" s="1" t="s">
        <v>201</v>
      </c>
      <c r="C173" t="s">
        <v>1165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Xtal</v>
      </c>
      <c r="J173" s="3"/>
    </row>
    <row r="174" spans="1:10" x14ac:dyDescent="0.2">
      <c r="A174" s="3" t="s">
        <v>1165</v>
      </c>
      <c r="B174" s="1" t="s">
        <v>1165</v>
      </c>
      <c r="C174" t="s">
        <v>1165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1165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1165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202</v>
      </c>
      <c r="B177" s="1" t="s">
        <v>201</v>
      </c>
      <c r="C177" t="s">
        <v>1165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292</v>
      </c>
      <c r="B178" s="1" t="s">
        <v>359</v>
      </c>
      <c r="C178" t="s">
        <v>1165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1688</v>
      </c>
      <c r="B182" s="1" t="s">
        <v>1688</v>
      </c>
      <c r="C182" t="s">
        <v>193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ref="G182" si="3">OR(D182=F182,AND(D182="T",F182="A"),AND(D182="B2",F182="B1"),D182="O")</f>
        <v>1</v>
      </c>
      <c r="H182" s="10" t="str">
        <f>IF(ISERROR(MATCH(A182,'SegEnds_Xtal_Prot#'!B:B, 0)), "NoXtal", "Xtal")</f>
        <v>Xtal</v>
      </c>
      <c r="J182" s="3"/>
    </row>
    <row r="183" spans="1:10" x14ac:dyDescent="0.2">
      <c r="A183" s="3" t="s">
        <v>156</v>
      </c>
      <c r="B183" s="1" t="s">
        <v>156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Xtal</v>
      </c>
      <c r="J183" s="3"/>
    </row>
    <row r="184" spans="1:10" x14ac:dyDescent="0.2">
      <c r="A184" s="3" t="s">
        <v>272</v>
      </c>
      <c r="B184" s="1" t="s">
        <v>1168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263</v>
      </c>
      <c r="B185" s="1" t="s">
        <v>192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365</v>
      </c>
      <c r="B186" s="1" t="s">
        <v>363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262</v>
      </c>
      <c r="B187" s="1" t="s">
        <v>1169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265</v>
      </c>
      <c r="B188" s="1" t="s">
        <v>177</v>
      </c>
      <c r="C188" t="s">
        <v>192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NoXtal</v>
      </c>
      <c r="J188" s="3"/>
    </row>
    <row r="189" spans="1:10" x14ac:dyDescent="0.2">
      <c r="A189" s="3" t="s">
        <v>196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Xtal</v>
      </c>
      <c r="J189" s="3"/>
    </row>
    <row r="190" spans="1:10" x14ac:dyDescent="0.2">
      <c r="A190" s="3" t="s">
        <v>195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273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254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1690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316</v>
      </c>
      <c r="B194" s="1" t="s">
        <v>196</v>
      </c>
      <c r="C194" t="s">
        <v>196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NoXtal</v>
      </c>
      <c r="J194" s="3"/>
    </row>
    <row r="195" spans="1:10" x14ac:dyDescent="0.2">
      <c r="A195" s="3" t="s">
        <v>1166</v>
      </c>
      <c r="B195" s="1" t="s">
        <v>1166</v>
      </c>
      <c r="C195" t="s">
        <v>1166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si="2"/>
        <v>1</v>
      </c>
      <c r="H195" s="10" t="str">
        <f>IF(ISERROR(MATCH(A195,'SegEnds_Xtal_Prot#'!B:B, 0)), "NoXtal", "Xtal")</f>
        <v>Xtal</v>
      </c>
      <c r="J195" s="3"/>
    </row>
    <row r="196" spans="1:10" x14ac:dyDescent="0.2">
      <c r="A196" s="3" t="s">
        <v>197</v>
      </c>
      <c r="B196" s="1" t="s">
        <v>355</v>
      </c>
      <c r="C196" t="s">
        <v>1166</v>
      </c>
      <c r="D196" s="28" t="str">
        <f>VLOOKUP(A196,Classification!$A:$D,2,FALSE)</f>
        <v>A</v>
      </c>
      <c r="E196" s="49" t="str">
        <f>VLOOKUP(B196,Classification!$A:$D,2,FALSE)</f>
        <v>A</v>
      </c>
      <c r="F196" s="15" t="str">
        <f>VLOOKUP(C196,Classification!$A:$D,2,FALSE)</f>
        <v>A</v>
      </c>
      <c r="G196" s="15" t="b">
        <f t="shared" ref="G196:G259" si="4">OR(D196=F196,AND(D196="T",F196="A"),AND(D196="B2",F196="B1"),D196="O")</f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403</v>
      </c>
      <c r="B197" s="1" t="s">
        <v>407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4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410</v>
      </c>
      <c r="B198" s="1" t="s">
        <v>410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4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405</v>
      </c>
      <c r="B199" s="1" t="s">
        <v>405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4"/>
        <v>1</v>
      </c>
      <c r="H199" s="10" t="str">
        <f>IF(ISERROR(MATCH(A199,'SegEnds_Xtal_Prot#'!B:B, 0)), "NoXtal", "Xtal")</f>
        <v>Xtal</v>
      </c>
      <c r="J199" s="3"/>
    </row>
    <row r="200" spans="1:10" x14ac:dyDescent="0.2">
      <c r="A200" s="3" t="s">
        <v>412</v>
      </c>
      <c r="B200" s="1" t="s">
        <v>407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4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407</v>
      </c>
      <c r="B201" s="1" t="s">
        <v>407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4"/>
        <v>1</v>
      </c>
      <c r="H201" s="10" t="str">
        <f>IF(ISERROR(MATCH(A201,'SegEnds_Xtal_Prot#'!B:B, 0)), "NoXtal", "Xtal")</f>
        <v>Xtal</v>
      </c>
      <c r="J201" s="3"/>
    </row>
    <row r="202" spans="1:10" x14ac:dyDescent="0.2">
      <c r="A202" s="3" t="s">
        <v>411</v>
      </c>
      <c r="B202" s="1" t="s">
        <v>410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4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404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4"/>
        <v>1</v>
      </c>
      <c r="H203" s="10" t="str">
        <f>IF(ISERROR(MATCH(A203,'SegEnds_Xtal_Prot#'!B:B, 0)), "NoXtal", "Xtal")</f>
        <v>NoXtal</v>
      </c>
      <c r="J203" s="3"/>
    </row>
    <row r="204" spans="1:10" x14ac:dyDescent="0.2">
      <c r="A204" s="3" t="s">
        <v>32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4"/>
        <v>1</v>
      </c>
      <c r="H204" s="10" t="str">
        <f>IF(ISERROR(MATCH(A204,'SegEnds_Xtal_Prot#'!B:B, 0)), "NoXtal", "Xtal")</f>
        <v>Xtal</v>
      </c>
      <c r="J204" s="3"/>
    </row>
    <row r="205" spans="1:10" x14ac:dyDescent="0.2">
      <c r="A205" s="3" t="s">
        <v>406</v>
      </c>
      <c r="B205" s="1" t="s">
        <v>32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4"/>
        <v>1</v>
      </c>
      <c r="H205" s="10" t="str">
        <f>IF(ISERROR(MATCH(A205,'SegEnds_Xtal_Prot#'!B:B, 0)), "NoXtal", "Xtal")</f>
        <v>NoXtal</v>
      </c>
      <c r="J205" s="3"/>
    </row>
    <row r="206" spans="1:10" x14ac:dyDescent="0.2">
      <c r="A206" s="3" t="s">
        <v>408</v>
      </c>
      <c r="B206" s="1" t="s">
        <v>408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4"/>
        <v>1</v>
      </c>
      <c r="H206" s="10" t="str">
        <f>IF(ISERROR(MATCH(A206,'SegEnds_Xtal_Prot#'!B:B, 0)), "NoXtal", "Xtal")</f>
        <v>Xtal</v>
      </c>
      <c r="J206" s="3"/>
    </row>
    <row r="207" spans="1:10" x14ac:dyDescent="0.2">
      <c r="A207" s="3" t="s">
        <v>409</v>
      </c>
      <c r="B207" s="1" t="s">
        <v>408</v>
      </c>
      <c r="C207" t="s">
        <v>32</v>
      </c>
      <c r="D207" s="28" t="str">
        <f>VLOOKUP(A207,Classification!$A:$D,2,FALSE)</f>
        <v>B1</v>
      </c>
      <c r="E207" s="49" t="str">
        <f>VLOOKUP(B207,Classification!$A:$D,2,FALSE)</f>
        <v>B1</v>
      </c>
      <c r="F207" s="15" t="str">
        <f>VLOOKUP(C207,Classification!$A:$D,2,FALSE)</f>
        <v>B1</v>
      </c>
      <c r="G207" s="15" t="b">
        <f t="shared" si="4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123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4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122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4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124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4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113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4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121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4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114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4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106</v>
      </c>
      <c r="B214" s="1" t="s">
        <v>106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4"/>
        <v>1</v>
      </c>
      <c r="H214" s="10" t="str">
        <f>IF(ISERROR(MATCH(A214,'SegEnds_Xtal_Prot#'!B:B, 0)), "NoXtal", "Xtal")</f>
        <v>Xtal</v>
      </c>
      <c r="J214" s="3"/>
    </row>
    <row r="215" spans="1:10" x14ac:dyDescent="0.2">
      <c r="A215" s="3" t="s">
        <v>111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4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112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4"/>
        <v>1</v>
      </c>
      <c r="H216" s="10" t="str">
        <f>IF(ISERROR(MATCH(A216,'SegEnds_Xtal_Prot#'!B:B, 0)), "NoXtal", "Xtal")</f>
        <v>NoXtal</v>
      </c>
      <c r="J216" s="3"/>
    </row>
    <row r="217" spans="1:10" x14ac:dyDescent="0.2">
      <c r="A217" s="3" t="s">
        <v>40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4"/>
        <v>1</v>
      </c>
      <c r="H217" s="10" t="str">
        <f>IF(ISERROR(MATCH(A217,'SegEnds_Xtal_Prot#'!B:B, 0)), "NoXtal", "Xtal")</f>
        <v>Xtal</v>
      </c>
      <c r="J217" s="3"/>
    </row>
    <row r="218" spans="1:10" x14ac:dyDescent="0.2">
      <c r="A218" s="3" t="s">
        <v>108</v>
      </c>
      <c r="B218" s="1" t="s">
        <v>107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4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109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4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110</v>
      </c>
      <c r="B220" s="1" t="s">
        <v>107</v>
      </c>
      <c r="C220" t="s">
        <v>40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4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118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4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116</v>
      </c>
      <c r="B222" s="1" t="s">
        <v>41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4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115</v>
      </c>
      <c r="B223" s="1" t="s">
        <v>40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4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120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4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117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4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119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4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107</v>
      </c>
      <c r="B227" s="1" t="s">
        <v>107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4"/>
        <v>1</v>
      </c>
      <c r="H227" s="10" t="str">
        <f>IF(ISERROR(MATCH(A227,'SegEnds_Xtal_Prot#'!B:B, 0)), "NoXtal", "Xtal")</f>
        <v>Xtal</v>
      </c>
      <c r="J227" s="3"/>
    </row>
    <row r="228" spans="1:10" x14ac:dyDescent="0.2">
      <c r="A228" s="3" t="s">
        <v>105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4"/>
        <v>1</v>
      </c>
      <c r="H228" s="10" t="str">
        <f>IF(ISERROR(MATCH(A228,'SegEnds_Xtal_Prot#'!B:B, 0)), "NoXtal", "Xtal")</f>
        <v>NoXtal</v>
      </c>
      <c r="J228" s="3"/>
    </row>
    <row r="229" spans="1:10" x14ac:dyDescent="0.2">
      <c r="A229" s="3" t="s">
        <v>41</v>
      </c>
      <c r="B229" s="1" t="s">
        <v>41</v>
      </c>
      <c r="C229" t="s">
        <v>41</v>
      </c>
      <c r="D229" s="28" t="str">
        <f>VLOOKUP(A229,Classification!$A:$D,2,FALSE)</f>
        <v>C</v>
      </c>
      <c r="E229" s="49" t="str">
        <f>VLOOKUP(B229,Classification!$A:$D,2,FALSE)</f>
        <v>C</v>
      </c>
      <c r="F229" s="15" t="str">
        <f>VLOOKUP(C229,Classification!$A:$D,2,FALSE)</f>
        <v>C</v>
      </c>
      <c r="G229" s="15" t="b">
        <f t="shared" si="4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277</v>
      </c>
      <c r="B230" s="1" t="s">
        <v>277</v>
      </c>
      <c r="C230" t="s">
        <v>277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4"/>
        <v>1</v>
      </c>
      <c r="H230" s="10" t="str">
        <f>IF(ISERROR(MATCH(A230,'SegEnds_Xtal_Prot#'!B:B, 0)), "NoXtal", "Xtal")</f>
        <v>Xtal</v>
      </c>
      <c r="J230" s="3"/>
    </row>
    <row r="231" spans="1:10" x14ac:dyDescent="0.2">
      <c r="A231" s="3" t="s">
        <v>218</v>
      </c>
      <c r="B231" s="1" t="s">
        <v>174</v>
      </c>
      <c r="C231" t="s">
        <v>277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4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225</v>
      </c>
      <c r="B232" s="1" t="s">
        <v>351</v>
      </c>
      <c r="C232" t="s">
        <v>277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4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244</v>
      </c>
      <c r="B233" s="1" t="s">
        <v>133</v>
      </c>
      <c r="C233" t="s">
        <v>277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4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248</v>
      </c>
      <c r="B234" s="1" t="s">
        <v>296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4"/>
        <v>1</v>
      </c>
      <c r="H234" s="10" t="str">
        <f>IF(ISERROR(MATCH(A234,'SegEnds_Xtal_Prot#'!B:B, 0)), "NoXtal", "Xtal")</f>
        <v>NoXtal</v>
      </c>
      <c r="J234" s="3"/>
    </row>
    <row r="235" spans="1:10" x14ac:dyDescent="0.2">
      <c r="A235" s="3" t="s">
        <v>103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4"/>
        <v>1</v>
      </c>
      <c r="H235" s="10" t="str">
        <f>IF(ISERROR(MATCH(A235,'SegEnds_Xtal_Prot#'!B:B, 0)), "NoXtal", "Xtal")</f>
        <v>Xtal</v>
      </c>
      <c r="J235" s="3"/>
    </row>
    <row r="236" spans="1:10" x14ac:dyDescent="0.2">
      <c r="A236" s="3" t="s">
        <v>285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4"/>
        <v>1</v>
      </c>
      <c r="H236" s="10" t="str">
        <f>IF(ISERROR(MATCH(A236,'SegEnds_Xtal_Prot#'!B:B, 0)), "NoXtal", "Xtal")</f>
        <v>NoXtal</v>
      </c>
      <c r="J236" s="3"/>
    </row>
    <row r="237" spans="1:10" x14ac:dyDescent="0.2">
      <c r="A237" s="3" t="s">
        <v>286</v>
      </c>
      <c r="B237" s="1" t="s">
        <v>103</v>
      </c>
      <c r="C237" t="s">
        <v>103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4"/>
        <v>1</v>
      </c>
      <c r="H237" s="10" t="str">
        <f>IF(ISERROR(MATCH(A237,'SegEnds_Xtal_Prot#'!B:B, 0)), "NoXtal", "Xtal")</f>
        <v>NoXtal</v>
      </c>
      <c r="I237" s="10"/>
      <c r="J237" s="3"/>
    </row>
    <row r="238" spans="1:10" x14ac:dyDescent="0.2">
      <c r="A238" s="3" t="s">
        <v>183</v>
      </c>
      <c r="B238" s="1" t="s">
        <v>183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4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182</v>
      </c>
      <c r="B239" s="1" t="s">
        <v>182</v>
      </c>
      <c r="C239" t="s">
        <v>182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4"/>
        <v>1</v>
      </c>
      <c r="H239" s="10" t="str">
        <f>IF(ISERROR(MATCH(A239,'SegEnds_Xtal_Prot#'!B:B, 0)), "NoXtal", "Xtal")</f>
        <v>Xtal</v>
      </c>
      <c r="J239" s="3"/>
    </row>
    <row r="240" spans="1:10" x14ac:dyDescent="0.2">
      <c r="A240" s="3" t="s">
        <v>361</v>
      </c>
      <c r="B240" s="1" t="s">
        <v>363</v>
      </c>
      <c r="C240" t="s">
        <v>907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4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208</v>
      </c>
      <c r="B241" s="1" t="s">
        <v>208</v>
      </c>
      <c r="C241" t="s">
        <v>907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4"/>
        <v>1</v>
      </c>
      <c r="H241" s="10" t="str">
        <f>IF(ISERROR(MATCH(A241,'SegEnds_Xtal_Prot#'!B:B, 0)), "NoXtal", "Xtal")</f>
        <v>Xtal</v>
      </c>
      <c r="J241" s="3"/>
    </row>
    <row r="242" spans="1:10" x14ac:dyDescent="0.2">
      <c r="A242" s="3" t="s">
        <v>329</v>
      </c>
      <c r="B242" s="1" t="s">
        <v>907</v>
      </c>
      <c r="C242" t="s">
        <v>907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4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127</v>
      </c>
      <c r="B243" s="1" t="s">
        <v>127</v>
      </c>
      <c r="C243" t="s">
        <v>907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4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907</v>
      </c>
      <c r="B244" s="1" t="s">
        <v>907</v>
      </c>
      <c r="C244" t="s">
        <v>907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4"/>
        <v>1</v>
      </c>
      <c r="H244" s="10" t="str">
        <f>IF(ISERROR(MATCH(A244,'SegEnds_Xtal_Prot#'!B:B, 0)), "NoXtal", "Xtal")</f>
        <v>Xtal</v>
      </c>
      <c r="J244" s="3"/>
    </row>
    <row r="245" spans="1:10" x14ac:dyDescent="0.2">
      <c r="A245" s="3" t="s">
        <v>309</v>
      </c>
      <c r="B245" s="1" t="s">
        <v>208</v>
      </c>
      <c r="C245" t="s">
        <v>907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4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215</v>
      </c>
      <c r="B246" s="1" t="s">
        <v>133</v>
      </c>
      <c r="C246" t="s">
        <v>907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4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317</v>
      </c>
      <c r="B247" s="1" t="s">
        <v>208</v>
      </c>
      <c r="C247" t="s">
        <v>907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4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318</v>
      </c>
      <c r="B248" s="1" t="s">
        <v>208</v>
      </c>
      <c r="C248" t="s">
        <v>907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4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255</v>
      </c>
      <c r="B249" s="1" t="s">
        <v>907</v>
      </c>
      <c r="C249" t="s">
        <v>907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4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223</v>
      </c>
      <c r="B250" s="1" t="s">
        <v>201</v>
      </c>
      <c r="C250" t="s">
        <v>907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4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320</v>
      </c>
      <c r="B251" s="1" t="s">
        <v>334</v>
      </c>
      <c r="C251" t="s">
        <v>909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4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267</v>
      </c>
      <c r="B252" s="1" t="s">
        <v>334</v>
      </c>
      <c r="C252" t="s">
        <v>909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4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299</v>
      </c>
      <c r="B253" s="1" t="s">
        <v>334</v>
      </c>
      <c r="C253" t="s">
        <v>909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4"/>
        <v>1</v>
      </c>
      <c r="H253" s="10" t="str">
        <f>IF(ISERROR(MATCH(A253,'SegEnds_Xtal_Prot#'!B:B, 0)), "NoXtal", "Xtal")</f>
        <v>NoXtal</v>
      </c>
      <c r="J253" s="3"/>
    </row>
    <row r="254" spans="1:10" x14ac:dyDescent="0.2">
      <c r="A254" s="3" t="s">
        <v>334</v>
      </c>
      <c r="B254" s="1" t="s">
        <v>334</v>
      </c>
      <c r="C254" s="1" t="s">
        <v>334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4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909</v>
      </c>
      <c r="B255" s="1" t="s">
        <v>909</v>
      </c>
      <c r="C255" t="s">
        <v>909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4"/>
        <v>1</v>
      </c>
      <c r="H255" s="10" t="str">
        <f>IF(ISERROR(MATCH(A255,'SegEnds_Xtal_Prot#'!B:B, 0)), "NoXtal", "Xtal")</f>
        <v>Xtal</v>
      </c>
      <c r="J255" s="3"/>
    </row>
    <row r="256" spans="1:10" x14ac:dyDescent="0.2">
      <c r="A256" s="3" t="s">
        <v>383</v>
      </c>
      <c r="B256" s="1" t="s">
        <v>335</v>
      </c>
      <c r="C256" t="s">
        <v>909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4"/>
        <v>1</v>
      </c>
      <c r="H256" s="10" t="str">
        <f>IF(ISERROR(MATCH(A256,'SegEnds_Xtal_Prot#'!B:B, 0)), "NoXtal", "Xtal")</f>
        <v>NoXtal</v>
      </c>
      <c r="J256" s="3"/>
    </row>
    <row r="257" spans="1:10" x14ac:dyDescent="0.2">
      <c r="A257" s="3" t="s">
        <v>359</v>
      </c>
      <c r="B257" s="1" t="s">
        <v>359</v>
      </c>
      <c r="C257" t="s">
        <v>909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4"/>
        <v>1</v>
      </c>
      <c r="H257" s="10" t="str">
        <f>IF(ISERROR(MATCH(A257,'SegEnds_Xtal_Prot#'!B:B, 0)), "NoXtal", "Xtal")</f>
        <v>Xtal</v>
      </c>
      <c r="J257" s="3"/>
    </row>
    <row r="258" spans="1:10" x14ac:dyDescent="0.2">
      <c r="A258" s="3" t="s">
        <v>199</v>
      </c>
      <c r="B258" s="1" t="s">
        <v>1169</v>
      </c>
      <c r="C258" t="s">
        <v>335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4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250</v>
      </c>
      <c r="B259" s="1" t="s">
        <v>201</v>
      </c>
      <c r="C259" t="s">
        <v>335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si="4"/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164</v>
      </c>
      <c r="B260" s="1" t="s">
        <v>165</v>
      </c>
      <c r="C260" t="s">
        <v>335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ref="G260:G323" si="5">OR(D260=F260,AND(D260="T",F260="A"),AND(D260="B2",F260="B1"),D260="O")</f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307</v>
      </c>
      <c r="B261" s="1" t="s">
        <v>355</v>
      </c>
      <c r="C261" t="s">
        <v>335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5"/>
        <v>1</v>
      </c>
      <c r="H261" s="10" t="str">
        <f>IF(ISERROR(MATCH(A261,'SegEnds_Xtal_Prot#'!B:B, 0)), "NoXtal", "Xtal")</f>
        <v>NoXtal</v>
      </c>
      <c r="J261" s="3"/>
    </row>
    <row r="262" spans="1:10" x14ac:dyDescent="0.2">
      <c r="A262" s="3" t="s">
        <v>335</v>
      </c>
      <c r="B262" s="1" t="s">
        <v>335</v>
      </c>
      <c r="C262" t="s">
        <v>335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5"/>
        <v>1</v>
      </c>
      <c r="H262" s="10" t="str">
        <f>IF(ISERROR(MATCH(A262,'SegEnds_Xtal_Prot#'!B:B, 0)), "NoXtal", "Xtal")</f>
        <v>Xtal</v>
      </c>
      <c r="J262" s="3"/>
    </row>
    <row r="263" spans="1:10" x14ac:dyDescent="0.2">
      <c r="A263" s="3" t="s">
        <v>341</v>
      </c>
      <c r="B263" s="1" t="s">
        <v>359</v>
      </c>
      <c r="C263" t="s">
        <v>335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5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204</v>
      </c>
      <c r="B264" s="1" t="s">
        <v>335</v>
      </c>
      <c r="C264" t="s">
        <v>911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5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381</v>
      </c>
      <c r="B265" s="1" t="s">
        <v>335</v>
      </c>
      <c r="C265" t="s">
        <v>911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5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384</v>
      </c>
      <c r="B266" s="1" t="s">
        <v>334</v>
      </c>
      <c r="C266" t="s">
        <v>911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5"/>
        <v>1</v>
      </c>
      <c r="H266" s="10" t="str">
        <f>IF(ISERROR(MATCH(A266,'SegEnds_Xtal_Prot#'!B:B, 0)), "NoXtal", "Xtal")</f>
        <v>NoXtal</v>
      </c>
      <c r="J266" s="3"/>
    </row>
    <row r="267" spans="1:10" x14ac:dyDescent="0.2">
      <c r="A267" s="3" t="s">
        <v>911</v>
      </c>
      <c r="B267" s="1" t="s">
        <v>911</v>
      </c>
      <c r="C267" t="s">
        <v>911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5"/>
        <v>1</v>
      </c>
      <c r="H267" s="10" t="str">
        <f>IF(ISERROR(MATCH(A267,'SegEnds_Xtal_Prot#'!B:B, 0)), "NoXtal", "Xtal")</f>
        <v>Xtal</v>
      </c>
      <c r="J267" s="3"/>
    </row>
    <row r="268" spans="1:10" x14ac:dyDescent="0.2">
      <c r="A268" s="3" t="s">
        <v>336</v>
      </c>
      <c r="B268" s="1" t="s">
        <v>911</v>
      </c>
      <c r="C268" t="s">
        <v>911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5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380</v>
      </c>
      <c r="B269" s="1" t="s">
        <v>335</v>
      </c>
      <c r="C269" t="s">
        <v>911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5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396</v>
      </c>
      <c r="B270" s="1" t="s">
        <v>343</v>
      </c>
      <c r="C270" t="s">
        <v>911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5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335</v>
      </c>
      <c r="C271" t="s">
        <v>911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5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205</v>
      </c>
      <c r="B272" s="1" t="s">
        <v>335</v>
      </c>
      <c r="C272" t="s">
        <v>911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5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209</v>
      </c>
      <c r="B273" s="1" t="s">
        <v>343</v>
      </c>
      <c r="C273" t="s">
        <v>911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5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216</v>
      </c>
      <c r="B274" s="1" t="s">
        <v>175</v>
      </c>
      <c r="C274" t="s">
        <v>1167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5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319</v>
      </c>
      <c r="B275" s="1" t="s">
        <v>334</v>
      </c>
      <c r="C275" t="s">
        <v>1167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5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298</v>
      </c>
      <c r="B276" s="1" t="s">
        <v>335</v>
      </c>
      <c r="C276" t="s">
        <v>1167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5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398</v>
      </c>
      <c r="B277" s="1" t="s">
        <v>343</v>
      </c>
      <c r="C277" t="s">
        <v>1167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5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217</v>
      </c>
      <c r="B278" s="1" t="s">
        <v>132</v>
      </c>
      <c r="C278" t="s">
        <v>1167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5"/>
        <v>1</v>
      </c>
      <c r="H278" s="10" t="str">
        <f>IF(ISERROR(MATCH(A278,'SegEnds_Xtal_Prot#'!B:B, 0)), "NoXtal", "Xtal")</f>
        <v>NoXtal</v>
      </c>
      <c r="J278" s="3"/>
    </row>
    <row r="279" spans="1:10" x14ac:dyDescent="0.2">
      <c r="A279" s="3" t="s">
        <v>1167</v>
      </c>
      <c r="B279" s="1" t="s">
        <v>1167</v>
      </c>
      <c r="C279" t="s">
        <v>1167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5"/>
        <v>1</v>
      </c>
      <c r="H279" s="10" t="str">
        <f>IF(ISERROR(MATCH(A279,'SegEnds_Xtal_Prot#'!B:B, 0)), "NoXtal", "Xtal")</f>
        <v>Xtal</v>
      </c>
      <c r="J279" s="3"/>
    </row>
    <row r="280" spans="1:10" x14ac:dyDescent="0.2">
      <c r="A280" s="3" t="s">
        <v>395</v>
      </c>
      <c r="B280" s="1" t="s">
        <v>173</v>
      </c>
      <c r="C280" t="s">
        <v>1167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5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281</v>
      </c>
      <c r="B281" s="1" t="s">
        <v>335</v>
      </c>
      <c r="C281" t="s">
        <v>1167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5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393</v>
      </c>
      <c r="B282" s="1" t="s">
        <v>1167</v>
      </c>
      <c r="C282" t="s">
        <v>1167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5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397</v>
      </c>
      <c r="B283" s="1" t="s">
        <v>343</v>
      </c>
      <c r="C283" t="s">
        <v>1167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5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382</v>
      </c>
      <c r="B284" s="1" t="s">
        <v>335</v>
      </c>
      <c r="C284" t="s">
        <v>1167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5"/>
        <v>1</v>
      </c>
      <c r="H284" s="10" t="str">
        <f>IF(ISERROR(MATCH(A284,'SegEnds_Xtal_Prot#'!B:B, 0)), "NoXtal", "Xtal")</f>
        <v>NoXtal</v>
      </c>
      <c r="J284" s="3"/>
    </row>
    <row r="285" spans="1:10" x14ac:dyDescent="0.2">
      <c r="A285" s="3" t="s">
        <v>913</v>
      </c>
      <c r="B285" s="1" t="s">
        <v>913</v>
      </c>
      <c r="C285" t="s">
        <v>913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5"/>
        <v>1</v>
      </c>
      <c r="H285" s="10" t="str">
        <f>IF(ISERROR(MATCH(A285,'SegEnds_Xtal_Prot#'!B:B, 0)), "NoXtal", "Xtal")</f>
        <v>Xtal</v>
      </c>
      <c r="J285" s="3"/>
    </row>
    <row r="286" spans="1:10" x14ac:dyDescent="0.2">
      <c r="A286" s="3" t="s">
        <v>331</v>
      </c>
      <c r="B286" s="1" t="s">
        <v>913</v>
      </c>
      <c r="C286" t="s">
        <v>913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5"/>
        <v>1</v>
      </c>
      <c r="H286" s="10" t="str">
        <f>IF(ISERROR(MATCH(A286,'SegEnds_Xtal_Prot#'!B:B, 0)), "NoXtal", "Xtal")</f>
        <v>NoXtal</v>
      </c>
      <c r="J286" s="3"/>
    </row>
    <row r="287" spans="1:10" x14ac:dyDescent="0.2">
      <c r="A287" s="3" t="s">
        <v>338</v>
      </c>
      <c r="B287" s="1" t="s">
        <v>338</v>
      </c>
      <c r="C287" t="s">
        <v>338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5"/>
        <v>1</v>
      </c>
      <c r="H287" s="10" t="str">
        <f>IF(ISERROR(MATCH(A287,'SegEnds_Xtal_Prot#'!B:B, 0)), "NoXtal", "Xtal")</f>
        <v>Xtal</v>
      </c>
      <c r="J287" s="3"/>
    </row>
    <row r="288" spans="1:10" x14ac:dyDescent="0.2">
      <c r="A288" s="3" t="s">
        <v>339</v>
      </c>
      <c r="B288" s="1" t="s">
        <v>338</v>
      </c>
      <c r="C288" t="s">
        <v>338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5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340</v>
      </c>
      <c r="B289" s="1" t="s">
        <v>338</v>
      </c>
      <c r="C289" t="s">
        <v>338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5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337</v>
      </c>
      <c r="B290" s="1" t="s">
        <v>338</v>
      </c>
      <c r="C290" t="s">
        <v>338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5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284</v>
      </c>
      <c r="B291" s="1" t="s">
        <v>310</v>
      </c>
      <c r="C291" t="s">
        <v>338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5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913</v>
      </c>
      <c r="C292" t="s">
        <v>915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5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332</v>
      </c>
      <c r="B293" s="1" t="s">
        <v>913</v>
      </c>
      <c r="C293" t="s">
        <v>915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5"/>
        <v>1</v>
      </c>
      <c r="H293" s="10" t="str">
        <f>IF(ISERROR(MATCH(A293,'SegEnds_Xtal_Prot#'!B:B, 0)), "NoXtal", "Xtal")</f>
        <v>NoXtal</v>
      </c>
      <c r="J293" s="3"/>
    </row>
    <row r="294" spans="1:10" x14ac:dyDescent="0.2">
      <c r="A294" s="3" t="s">
        <v>915</v>
      </c>
      <c r="B294" s="1" t="s">
        <v>915</v>
      </c>
      <c r="C294" t="s">
        <v>915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5"/>
        <v>1</v>
      </c>
      <c r="H294" s="10" t="str">
        <f>IF(ISERROR(MATCH(A294,'SegEnds_Xtal_Prot#'!B:B, 0)), "NoXtal", "Xtal")</f>
        <v>Xtal</v>
      </c>
      <c r="J294" s="3"/>
    </row>
    <row r="295" spans="1:10" x14ac:dyDescent="0.2">
      <c r="A295" s="3" t="s">
        <v>269</v>
      </c>
      <c r="B295" s="1" t="s">
        <v>196</v>
      </c>
      <c r="C295" t="s">
        <v>1168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5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325</v>
      </c>
      <c r="B296" s="1" t="s">
        <v>1168</v>
      </c>
      <c r="C296" t="s">
        <v>1168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5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343</v>
      </c>
      <c r="B297" s="1" t="s">
        <v>343</v>
      </c>
      <c r="C297" t="s">
        <v>1168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5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1168</v>
      </c>
      <c r="B298" s="1" t="s">
        <v>1168</v>
      </c>
      <c r="C298" t="s">
        <v>1168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5"/>
        <v>1</v>
      </c>
      <c r="H298" s="10" t="str">
        <f>IF(ISERROR(MATCH(A298,'SegEnds_Xtal_Prot#'!B:B, 0)), "NoXtal", "Xtal")</f>
        <v>Xtal</v>
      </c>
      <c r="J298" s="3"/>
    </row>
    <row r="299" spans="1:10" x14ac:dyDescent="0.2">
      <c r="A299" s="3" t="s">
        <v>266</v>
      </c>
      <c r="B299" s="1" t="s">
        <v>191</v>
      </c>
      <c r="C299" t="s">
        <v>1168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5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221</v>
      </c>
      <c r="B300" s="1" t="s">
        <v>343</v>
      </c>
      <c r="C300" t="s">
        <v>1168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5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322</v>
      </c>
      <c r="B301" s="1" t="s">
        <v>1168</v>
      </c>
      <c r="C301" t="s">
        <v>1168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5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314</v>
      </c>
      <c r="B302" s="1" t="s">
        <v>313</v>
      </c>
      <c r="C302" t="s">
        <v>1168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5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214</v>
      </c>
      <c r="B303" s="1" t="s">
        <v>310</v>
      </c>
      <c r="C303" t="s">
        <v>1168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5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231</v>
      </c>
      <c r="B304" s="1" t="s">
        <v>1168</v>
      </c>
      <c r="C304" t="s">
        <v>1168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5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327</v>
      </c>
      <c r="B305" s="1" t="s">
        <v>324</v>
      </c>
      <c r="C305" t="s">
        <v>1169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5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368</v>
      </c>
      <c r="B306" s="1" t="s">
        <v>1169</v>
      </c>
      <c r="C306" t="s">
        <v>1169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5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358</v>
      </c>
      <c r="B307" s="1" t="s">
        <v>363</v>
      </c>
      <c r="C307" t="s">
        <v>1169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5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323</v>
      </c>
      <c r="B308" s="1" t="s">
        <v>343</v>
      </c>
      <c r="C308" t="s">
        <v>1169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5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246</v>
      </c>
      <c r="B309" s="1" t="s">
        <v>191</v>
      </c>
      <c r="C309" t="s">
        <v>1169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5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259</v>
      </c>
      <c r="B310" s="1" t="s">
        <v>259</v>
      </c>
      <c r="C310" t="s">
        <v>1169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5"/>
        <v>1</v>
      </c>
      <c r="H310" s="10" t="str">
        <f>IF(ISERROR(MATCH(A310,'SegEnds_Xtal_Prot#'!B:B, 0)), "NoXtal", "Xtal")</f>
        <v>Xtal</v>
      </c>
      <c r="J310" s="3"/>
    </row>
    <row r="311" spans="1:10" x14ac:dyDescent="0.2">
      <c r="A311" s="3" t="s">
        <v>243</v>
      </c>
      <c r="B311" s="1" t="s">
        <v>259</v>
      </c>
      <c r="C311" t="s">
        <v>1169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5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324</v>
      </c>
      <c r="C312" t="s">
        <v>1169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5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366</v>
      </c>
      <c r="B313" s="1" t="s">
        <v>324</v>
      </c>
      <c r="C313" t="s">
        <v>1169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5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326</v>
      </c>
      <c r="B314" s="1" t="s">
        <v>324</v>
      </c>
      <c r="C314" t="s">
        <v>1169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5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311</v>
      </c>
      <c r="B315" s="1" t="s">
        <v>311</v>
      </c>
      <c r="C315" t="s">
        <v>1169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5"/>
        <v>1</v>
      </c>
      <c r="H315" s="10" t="str">
        <f>IF(ISERROR(MATCH(A315,'SegEnds_Xtal_Prot#'!B:B, 0)), "NoXtal", "Xtal")</f>
        <v>Xtal</v>
      </c>
      <c r="J315" s="3"/>
    </row>
    <row r="316" spans="1:10" x14ac:dyDescent="0.2">
      <c r="A316" s="3" t="s">
        <v>207</v>
      </c>
      <c r="B316" s="1" t="s">
        <v>1169</v>
      </c>
      <c r="C316" t="s">
        <v>1169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5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167</v>
      </c>
      <c r="B317" s="1" t="s">
        <v>1168</v>
      </c>
      <c r="C317" t="s">
        <v>1169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5"/>
        <v>1</v>
      </c>
      <c r="H317" s="10" t="str">
        <f>IF(ISERROR(MATCH(A317,'SegEnds_Xtal_Prot#'!B:B, 0)), "NoXtal", "Xtal")</f>
        <v>NoXtal</v>
      </c>
      <c r="J317" s="3"/>
    </row>
    <row r="318" spans="1:10" x14ac:dyDescent="0.2">
      <c r="A318" s="3" t="s">
        <v>324</v>
      </c>
      <c r="B318" s="1" t="s">
        <v>324</v>
      </c>
      <c r="C318" t="s">
        <v>1169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5"/>
        <v>1</v>
      </c>
      <c r="H318" s="10" t="str">
        <f>IF(ISERROR(MATCH(A318,'SegEnds_Xtal_Prot#'!B:B, 0)), "NoXtal", "Xtal")</f>
        <v>Xtal</v>
      </c>
      <c r="J318" s="3"/>
    </row>
    <row r="319" spans="1:10" x14ac:dyDescent="0.2">
      <c r="A319" s="3" t="s">
        <v>163</v>
      </c>
      <c r="B319" s="1" t="s">
        <v>196</v>
      </c>
      <c r="C319" t="s">
        <v>1169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5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268</v>
      </c>
      <c r="B320" s="1" t="s">
        <v>1169</v>
      </c>
      <c r="C320" t="s">
        <v>1169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5"/>
        <v>1</v>
      </c>
      <c r="H320" s="10" t="str">
        <f>IF(ISERROR(MATCH(A320,'SegEnds_Xtal_Prot#'!B:B, 0)), "NoXtal", "Xtal")</f>
        <v>NoXtal</v>
      </c>
      <c r="J320" s="3"/>
    </row>
    <row r="321" spans="1:10" x14ac:dyDescent="0.2">
      <c r="A321" s="3" t="s">
        <v>1169</v>
      </c>
      <c r="B321" s="1" t="s">
        <v>1169</v>
      </c>
      <c r="C321" t="s">
        <v>1169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5"/>
        <v>1</v>
      </c>
      <c r="H321" s="10" t="str">
        <f>IF(ISERROR(MATCH(A321,'SegEnds_Xtal_Prot#'!B:B, 0)), "NoXtal", "Xtal")</f>
        <v>Xtal</v>
      </c>
      <c r="J321" s="3"/>
    </row>
    <row r="322" spans="1:10" x14ac:dyDescent="0.2">
      <c r="A322" s="3" t="s">
        <v>241</v>
      </c>
      <c r="B322" s="1" t="s">
        <v>1169</v>
      </c>
      <c r="C322" t="s">
        <v>1169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5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371</v>
      </c>
      <c r="B323" s="1" t="s">
        <v>1169</v>
      </c>
      <c r="C323" t="s">
        <v>1169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si="5"/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321</v>
      </c>
      <c r="B324" s="1" t="s">
        <v>1168</v>
      </c>
      <c r="C324" t="s">
        <v>1169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ref="G324:G390" si="6">OR(D324=F324,AND(D324="T",F324="A"),AND(D324="B2",F324="B1"),D324="O")</f>
        <v>1</v>
      </c>
      <c r="H324" s="10" t="str">
        <f>IF(ISERROR(MATCH(A324,'SegEnds_Xtal_Prot#'!B:B, 0)), "NoXtal", "Xtal")</f>
        <v>NoXtal</v>
      </c>
      <c r="J324" s="3"/>
    </row>
    <row r="325" spans="1:10" x14ac:dyDescent="0.2">
      <c r="A325" s="3" t="s">
        <v>313</v>
      </c>
      <c r="B325" s="1" t="s">
        <v>313</v>
      </c>
      <c r="C325" t="s">
        <v>1169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6"/>
        <v>1</v>
      </c>
      <c r="H325" s="10" t="str">
        <f>IF(ISERROR(MATCH(A325,'SegEnds_Xtal_Prot#'!B:B, 0)), "NoXtal", "Xtal")</f>
        <v>Xtal</v>
      </c>
      <c r="J325" s="3"/>
    </row>
    <row r="326" spans="1:10" x14ac:dyDescent="0.2">
      <c r="A326" s="3" t="s">
        <v>315</v>
      </c>
      <c r="B326" s="1" t="s">
        <v>313</v>
      </c>
      <c r="C326" t="s">
        <v>1169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6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222</v>
      </c>
      <c r="B327" s="1" t="s">
        <v>159</v>
      </c>
      <c r="C327" t="s">
        <v>1169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6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224</v>
      </c>
      <c r="B328" s="1" t="s">
        <v>132</v>
      </c>
      <c r="C328" t="s">
        <v>1169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6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312</v>
      </c>
      <c r="B329" s="1" t="s">
        <v>310</v>
      </c>
      <c r="C329" t="s">
        <v>1169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6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328</v>
      </c>
      <c r="B330" s="1" t="s">
        <v>324</v>
      </c>
      <c r="C330" t="s">
        <v>1169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6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347</v>
      </c>
      <c r="B331" s="1" t="s">
        <v>344</v>
      </c>
      <c r="C331" t="s">
        <v>344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6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349</v>
      </c>
      <c r="B332" s="1" t="s">
        <v>370</v>
      </c>
      <c r="C332" t="s">
        <v>344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6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342</v>
      </c>
      <c r="B333" s="1" t="s">
        <v>344</v>
      </c>
      <c r="C333" t="s">
        <v>344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6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249</v>
      </c>
      <c r="B334" s="1" t="s">
        <v>310</v>
      </c>
      <c r="C334" t="s">
        <v>344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6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385</v>
      </c>
      <c r="B335" s="1" t="s">
        <v>1591</v>
      </c>
      <c r="C335" t="s">
        <v>344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6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1591</v>
      </c>
      <c r="B336" s="1" t="s">
        <v>1591</v>
      </c>
      <c r="C336" t="s">
        <v>344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ref="G336" si="7">OR(D336=F336,AND(D336="T",F336="A"),AND(D336="B2",F336="B1"),D336="O")</f>
        <v>1</v>
      </c>
      <c r="H336" s="10" t="str">
        <f>IF(ISERROR(MATCH(A336,'SegEnds_Xtal_Prot#'!B:B, 0)), "NoXtal", "Xtal")</f>
        <v>Xtal</v>
      </c>
      <c r="J336" s="3"/>
    </row>
    <row r="337" spans="1:10" x14ac:dyDescent="0.2">
      <c r="A337" s="3" t="s">
        <v>230</v>
      </c>
      <c r="B337" s="1" t="s">
        <v>344</v>
      </c>
      <c r="C337" t="s">
        <v>344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6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180</v>
      </c>
      <c r="B338" s="1" t="s">
        <v>180</v>
      </c>
      <c r="C338" t="s">
        <v>344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6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179</v>
      </c>
      <c r="B339" s="1" t="s">
        <v>179</v>
      </c>
      <c r="C339" t="s">
        <v>344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6"/>
        <v>1</v>
      </c>
      <c r="H339" s="10" t="str">
        <f>IF(ISERROR(MATCH(A339,'SegEnds_Xtal_Prot#'!B:B, 0)), "NoXtal", "Xtal")</f>
        <v>Xtal</v>
      </c>
      <c r="J339" s="3"/>
    </row>
    <row r="340" spans="1:10" x14ac:dyDescent="0.2">
      <c r="A340" s="3" t="s">
        <v>239</v>
      </c>
      <c r="B340" s="1" t="s">
        <v>180</v>
      </c>
      <c r="C340" t="s">
        <v>344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6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300</v>
      </c>
      <c r="B341" s="1" t="s">
        <v>165</v>
      </c>
      <c r="C341" t="s">
        <v>344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6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240</v>
      </c>
      <c r="B342" s="1" t="s">
        <v>175</v>
      </c>
      <c r="C342" t="s">
        <v>344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6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293</v>
      </c>
      <c r="B343" s="1" t="s">
        <v>158</v>
      </c>
      <c r="C343" t="s">
        <v>344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6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369</v>
      </c>
      <c r="B344" s="1" t="s">
        <v>370</v>
      </c>
      <c r="C344" t="s">
        <v>344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6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344</v>
      </c>
      <c r="B345" s="1" t="s">
        <v>344</v>
      </c>
      <c r="C345" t="s">
        <v>344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6"/>
        <v>1</v>
      </c>
      <c r="H345" s="10" t="str">
        <f>IF(ISERROR(MATCH(A345,'SegEnds_Xtal_Prot#'!B:B, 0)), "NoXtal", "Xtal")</f>
        <v>Xtal</v>
      </c>
      <c r="J345" s="3"/>
    </row>
    <row r="346" spans="1:10" x14ac:dyDescent="0.2">
      <c r="A346" s="3" t="s">
        <v>304</v>
      </c>
      <c r="B346" s="1" t="s">
        <v>158</v>
      </c>
      <c r="C346" t="s">
        <v>344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6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289</v>
      </c>
      <c r="B347" s="1" t="s">
        <v>179</v>
      </c>
      <c r="C347" t="s">
        <v>344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si="6"/>
        <v>1</v>
      </c>
      <c r="H347" s="10" t="str">
        <f>IF(ISERROR(MATCH(A347,'SegEnds_Xtal_Prot#'!B:B, 0)), "NoXtal", "Xtal")</f>
        <v>NoXtal</v>
      </c>
      <c r="J347" s="3"/>
    </row>
    <row r="348" spans="1:10" x14ac:dyDescent="0.2">
      <c r="A348" s="3" t="s">
        <v>1434</v>
      </c>
      <c r="B348" s="1" t="s">
        <v>1434</v>
      </c>
      <c r="C348" t="s">
        <v>1434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1445</v>
      </c>
      <c r="B349" s="1" t="s">
        <v>1445</v>
      </c>
      <c r="C349" t="s">
        <v>1445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>OR(D349=F349,AND(D349="T",F349="A"),AND(D349="B2",F349="B1"),D349="O")</f>
        <v>1</v>
      </c>
      <c r="H349" s="10" t="str">
        <f>IF(ISERROR(MATCH(A349,'SegEnds_Xtal_Prot#'!B:B, 0)), "NoXtal", "Xtal")</f>
        <v>Xtal</v>
      </c>
      <c r="J349" s="3"/>
    </row>
    <row r="350" spans="1:10" x14ac:dyDescent="0.2">
      <c r="A350" s="3" t="s">
        <v>302</v>
      </c>
      <c r="B350" s="1" t="s">
        <v>174</v>
      </c>
      <c r="C350" t="s">
        <v>344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6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350</v>
      </c>
      <c r="B351" s="1" t="s">
        <v>344</v>
      </c>
      <c r="C351" t="s">
        <v>344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6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287</v>
      </c>
      <c r="B352" s="1" t="s">
        <v>335</v>
      </c>
      <c r="C352" t="s">
        <v>344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6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346</v>
      </c>
      <c r="B353" s="1" t="s">
        <v>344</v>
      </c>
      <c r="C353" t="s">
        <v>344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6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294</v>
      </c>
      <c r="B354" s="1" t="s">
        <v>177</v>
      </c>
      <c r="C354" t="s">
        <v>344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6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274</v>
      </c>
      <c r="B355" s="1" t="s">
        <v>344</v>
      </c>
      <c r="C355" t="s">
        <v>344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6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275</v>
      </c>
      <c r="B356" s="1" t="s">
        <v>344</v>
      </c>
      <c r="C356" t="s">
        <v>344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6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345</v>
      </c>
      <c r="B357" s="1" t="s">
        <v>344</v>
      </c>
      <c r="C357" t="s">
        <v>344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6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213</v>
      </c>
      <c r="B358" s="1" t="s">
        <v>355</v>
      </c>
      <c r="C358" t="s">
        <v>344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6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288</v>
      </c>
      <c r="B359" s="1" t="s">
        <v>180</v>
      </c>
      <c r="C359" t="s">
        <v>344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6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256</v>
      </c>
      <c r="B360" s="1" t="s">
        <v>370</v>
      </c>
      <c r="C360" t="s">
        <v>344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6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276</v>
      </c>
      <c r="B361" s="1" t="s">
        <v>344</v>
      </c>
      <c r="C361" t="s">
        <v>344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6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228</v>
      </c>
      <c r="B362" s="1" t="s">
        <v>351</v>
      </c>
      <c r="C362" t="s">
        <v>351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6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351</v>
      </c>
      <c r="C363" t="s">
        <v>351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6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353</v>
      </c>
      <c r="B364" s="1" t="s">
        <v>351</v>
      </c>
      <c r="C364" t="s">
        <v>351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6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351</v>
      </c>
      <c r="B365" s="1" t="s">
        <v>351</v>
      </c>
      <c r="C365" t="s">
        <v>351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6"/>
        <v>1</v>
      </c>
      <c r="H365" s="10" t="str">
        <f>IF(ISERROR(MATCH(A365,'SegEnds_Xtal_Prot#'!B:B, 0)), "NoXtal", "Xtal")</f>
        <v>Xtal</v>
      </c>
      <c r="J365" s="3"/>
    </row>
    <row r="366" spans="1:10" x14ac:dyDescent="0.2">
      <c r="A366" s="3" t="s">
        <v>271</v>
      </c>
      <c r="B366" s="1" t="s">
        <v>351</v>
      </c>
      <c r="C366" t="s">
        <v>351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6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306</v>
      </c>
      <c r="B367" s="1" t="s">
        <v>359</v>
      </c>
      <c r="C367" t="s">
        <v>351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6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370</v>
      </c>
      <c r="B368" s="1" t="s">
        <v>370</v>
      </c>
      <c r="C368" t="s">
        <v>351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6"/>
        <v>1</v>
      </c>
      <c r="H368" s="10" t="str">
        <f>IF(ISERROR(MATCH(A368,'SegEnds_Xtal_Prot#'!B:B, 0)), "NoXtal", "Xtal")</f>
        <v>Xtal</v>
      </c>
      <c r="J368" s="3"/>
    </row>
    <row r="369" spans="1:10" x14ac:dyDescent="0.2">
      <c r="A369" s="3" t="s">
        <v>233</v>
      </c>
      <c r="B369" s="1" t="s">
        <v>335</v>
      </c>
      <c r="C369" t="s">
        <v>351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6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469</v>
      </c>
      <c r="C370" t="s">
        <v>351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6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252</v>
      </c>
      <c r="B371" s="1" t="s">
        <v>370</v>
      </c>
      <c r="C371" t="s">
        <v>351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6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363</v>
      </c>
      <c r="B372" s="1" t="s">
        <v>363</v>
      </c>
      <c r="C372" t="s">
        <v>351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6"/>
        <v>1</v>
      </c>
      <c r="H372" s="10" t="str">
        <f>IF(ISERROR(MATCH(A372,'SegEnds_Xtal_Prot#'!B:B, 0)), "NoXtal", "Xtal")</f>
        <v>Xtal</v>
      </c>
      <c r="J372" s="3"/>
    </row>
    <row r="373" spans="1:10" x14ac:dyDescent="0.2">
      <c r="A373" s="3" t="s">
        <v>356</v>
      </c>
      <c r="B373" s="1" t="s">
        <v>355</v>
      </c>
      <c r="C373" t="s">
        <v>354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6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260</v>
      </c>
      <c r="B374" s="1" t="s">
        <v>335</v>
      </c>
      <c r="C374" t="s">
        <v>354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6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253</v>
      </c>
      <c r="B375" s="1" t="s">
        <v>174</v>
      </c>
      <c r="C375" t="s">
        <v>354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6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301</v>
      </c>
      <c r="B376" s="1" t="s">
        <v>1165</v>
      </c>
      <c r="C376" t="s">
        <v>354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6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357</v>
      </c>
      <c r="B377" s="1" t="s">
        <v>355</v>
      </c>
      <c r="C377" t="s">
        <v>354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6"/>
        <v>1</v>
      </c>
      <c r="H377" s="10" t="str">
        <f>IF(ISERROR(MATCH(A377,'SegEnds_Xtal_Prot#'!B:B, 0)), "NoXtal", "Xtal")</f>
        <v>NoXtal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6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354</v>
      </c>
      <c r="B379" s="1" t="s">
        <v>354</v>
      </c>
      <c r="C379" t="s">
        <v>354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6"/>
        <v>1</v>
      </c>
      <c r="H379" s="10" t="str">
        <f>IF(ISERROR(MATCH(A379,'SegEnds_Xtal_Prot#'!B:B, 0)), "NoXtal", "Xtal")</f>
        <v>Xtal</v>
      </c>
      <c r="J379" s="3"/>
    </row>
    <row r="380" spans="1:10" x14ac:dyDescent="0.2">
      <c r="A380" s="3" t="s">
        <v>242</v>
      </c>
      <c r="B380" s="1" t="s">
        <v>355</v>
      </c>
      <c r="C380" t="s">
        <v>354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6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348</v>
      </c>
      <c r="B381" s="1" t="s">
        <v>355</v>
      </c>
      <c r="C381" t="s">
        <v>354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6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198</v>
      </c>
      <c r="B382" s="1" t="s">
        <v>354</v>
      </c>
      <c r="C382" t="s">
        <v>354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6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257</v>
      </c>
      <c r="B383" s="1" t="s">
        <v>354</v>
      </c>
      <c r="C383" t="s">
        <v>354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6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308</v>
      </c>
      <c r="B384" s="1" t="s">
        <v>296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6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151</v>
      </c>
      <c r="B385" s="1" t="s">
        <v>296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6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295</v>
      </c>
      <c r="B386" s="1" t="s">
        <v>296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6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296</v>
      </c>
      <c r="B387" s="1" t="s">
        <v>296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6"/>
        <v>1</v>
      </c>
      <c r="H387" s="10" t="str">
        <f>IF(ISERROR(MATCH(A387,'SegEnds_Xtal_Prot#'!B:B, 0)), "NoXtal", "Xtal")</f>
        <v>Xtal</v>
      </c>
      <c r="J387" s="3"/>
    </row>
    <row r="388" spans="1:10" x14ac:dyDescent="0.2">
      <c r="A388" s="3" t="s">
        <v>237</v>
      </c>
      <c r="B388" s="1" t="s">
        <v>103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261</v>
      </c>
      <c r="B389" s="1" t="s">
        <v>104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H389" s="10" t="str">
        <f>IF(ISERROR(MATCH(A389,'SegEnds_Xtal_Prot#'!B:B, 0)), "NoXtal", "Xtal")</f>
        <v>NoXtal</v>
      </c>
      <c r="J389" s="3"/>
    </row>
    <row r="390" spans="1:10" x14ac:dyDescent="0.2">
      <c r="A390" s="3" t="s">
        <v>362</v>
      </c>
      <c r="B390" s="1" t="s">
        <v>362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469</v>
      </c>
      <c r="B391" s="1" t="s">
        <v>469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ref="G391:G411" si="8">OR(D391=F391,AND(D391="T",F391="A"),AND(D391="B2",F391="B1"),D391="O")</f>
        <v>1</v>
      </c>
      <c r="H391" s="10" t="str">
        <f>IF(ISERROR(MATCH(A391,'SegEnds_Xtal_Prot#'!B:B, 0)), "NoXtal", "Xtal")</f>
        <v>Xtal</v>
      </c>
      <c r="J391" s="3"/>
    </row>
    <row r="392" spans="1:10" x14ac:dyDescent="0.2">
      <c r="A392" s="3" t="s">
        <v>212</v>
      </c>
      <c r="B392" s="1" t="s">
        <v>138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376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104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H394" s="10" t="str">
        <f>IF(ISERROR(MATCH(A394,'SegEnds_Xtal_Prot#'!B:B, 0)), "NoXtal", "Xtal")</f>
        <v>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377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8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379</v>
      </c>
      <c r="B397" s="1" t="s">
        <v>104</v>
      </c>
      <c r="C397" t="s">
        <v>104</v>
      </c>
      <c r="D397" s="28" t="str">
        <f>VLOOKUP(A397,Classification!$A:$D,2,FALSE)</f>
        <v>A</v>
      </c>
      <c r="E397" s="49" t="str">
        <f>VLOOKUP(B397,Classification!$A:$D,2,FALSE)</f>
        <v>A</v>
      </c>
      <c r="F397" s="15" t="str">
        <f>VLOOKUP(C397,Classification!$A:$D,2,FALSE)</f>
        <v>A</v>
      </c>
      <c r="G397" s="15" t="b">
        <f t="shared" si="8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444</v>
      </c>
      <c r="B398" s="1" t="s">
        <v>446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449</v>
      </c>
      <c r="B399" s="1" t="s">
        <v>446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442</v>
      </c>
      <c r="B400" s="1" t="s">
        <v>446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446</v>
      </c>
      <c r="B401" s="1" t="s">
        <v>446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H401" s="10" t="str">
        <f>IF(ISERROR(MATCH(A401,'SegEnds_Xtal_Prot#'!B:B, 0)), "NoXtal", "Xtal")</f>
        <v>Xtal</v>
      </c>
      <c r="J401" s="3"/>
    </row>
    <row r="402" spans="1:10" x14ac:dyDescent="0.2">
      <c r="A402" s="3" t="s">
        <v>443</v>
      </c>
      <c r="B402" s="1" t="s">
        <v>446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446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447</v>
      </c>
      <c r="B404" s="1" t="s">
        <v>447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H404" s="10" t="str">
        <f>IF(ISERROR(MATCH(A404,'SegEnds_Xtal_Prot#'!B:B, 0)), "NoXtal", "Xtal")</f>
        <v>Xtal</v>
      </c>
      <c r="J404" s="3"/>
    </row>
    <row r="405" spans="1:10" x14ac:dyDescent="0.2">
      <c r="A405" s="3" t="s">
        <v>450</v>
      </c>
      <c r="B405" s="1" t="s">
        <v>446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445</v>
      </c>
      <c r="B406" s="1" t="s">
        <v>446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448</v>
      </c>
      <c r="B407" s="1" t="s">
        <v>446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8"/>
        <v>1</v>
      </c>
      <c r="H407" s="10" t="str">
        <f>IF(ISERROR(MATCH(A407,'SegEnds_Xtal_Prot#'!B:B, 0)), "NoXtal", "Xtal")</f>
        <v>NoXtal</v>
      </c>
      <c r="J407" s="3"/>
    </row>
    <row r="408" spans="1:10" x14ac:dyDescent="0.2">
      <c r="A408" s="3" t="s">
        <v>33</v>
      </c>
      <c r="B408" s="1" t="s">
        <v>33</v>
      </c>
      <c r="C408" t="s">
        <v>33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 t="shared" si="8"/>
        <v>1</v>
      </c>
      <c r="H408" s="10" t="str">
        <f>IF(ISERROR(MATCH(A408,'SegEnds_Xtal_Prot#'!B:B, 0)), "NoXtal", "Xtal")</f>
        <v>Xtal</v>
      </c>
      <c r="J408" s="3"/>
    </row>
    <row r="409" spans="1:10" x14ac:dyDescent="0.2">
      <c r="A409" s="1" t="s">
        <v>1588</v>
      </c>
      <c r="B409" s="1" t="s">
        <v>1588</v>
      </c>
      <c r="C409" s="1" t="s">
        <v>1588</v>
      </c>
      <c r="D409" s="28" t="str">
        <f>VLOOKUP(A409,Classification!$A:$D,2,FALSE)</f>
        <v>F</v>
      </c>
      <c r="E409" s="49" t="str">
        <f>VLOOKUP(B409,Classification!$A:$D,2,FALSE)</f>
        <v>F</v>
      </c>
      <c r="F409" s="15" t="str">
        <f>VLOOKUP(C409,Classification!$A:$D,2,FALSE)</f>
        <v>F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3" t="s">
        <v>917</v>
      </c>
      <c r="B410" s="1" t="s">
        <v>917</v>
      </c>
      <c r="C410" t="s">
        <v>917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8"/>
        <v>1</v>
      </c>
      <c r="H410" s="10" t="str">
        <f>IF(ISERROR(MATCH(A410,'SegEnds_Xtal_Prot#'!B:B, 0)), "NoXtal", "Xtal")</f>
        <v>Xtal</v>
      </c>
      <c r="J410" s="3"/>
    </row>
    <row r="411" spans="1:10" x14ac:dyDescent="0.2">
      <c r="A411" s="3" t="s">
        <v>220</v>
      </c>
      <c r="B411" s="1" t="s">
        <v>104</v>
      </c>
      <c r="C411" t="s">
        <v>917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 t="shared" si="8"/>
        <v>1</v>
      </c>
      <c r="H411" s="10" t="str">
        <f>IF(ISERROR(MATCH(A411,'SegEnds_Xtal_Prot#'!B:B, 0)), "NoXtal", "Xtal")</f>
        <v>NoXtal</v>
      </c>
      <c r="J411" s="3"/>
    </row>
    <row r="412" spans="1:10" x14ac:dyDescent="0.2">
      <c r="A412" s="1" t="s">
        <v>1414</v>
      </c>
      <c r="B412" s="1" t="s">
        <v>1414</v>
      </c>
      <c r="C412" t="s">
        <v>1414</v>
      </c>
      <c r="D412" s="28" t="str">
        <f>VLOOKUP(A412,Classification!$A:$D,2,FALSE)</f>
        <v>B1</v>
      </c>
      <c r="E412" s="49" t="str">
        <f>VLOOKUP(B412,Classification!$A:$D,2,FALSE)</f>
        <v>B1</v>
      </c>
      <c r="F412" s="15" t="str">
        <f>VLOOKUP(C412,Classification!$A:$D,2,FALSE)</f>
        <v>B1</v>
      </c>
      <c r="G412" s="15" t="b">
        <f t="shared" ref="G412:G417" si="9">OR(D412=F412,AND(D412="T",F412="A"),AND(D412="B2",F412="B1"),D412="O")</f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1489</v>
      </c>
      <c r="B413" s="1" t="s">
        <v>1489</v>
      </c>
      <c r="C413" s="121" t="s">
        <v>1489</v>
      </c>
      <c r="D413" s="28" t="str">
        <f>VLOOKUP(A413,Classification!$A:$D,2,FALSE)</f>
        <v>F</v>
      </c>
      <c r="E413" s="49" t="str">
        <f>VLOOKUP(B413,Classification!$A:$D,2,FALSE)</f>
        <v>F</v>
      </c>
      <c r="F413" s="15" t="str">
        <f>VLOOKUP(C413,Classification!$A:$D,2,FALSE)</f>
        <v>F</v>
      </c>
      <c r="G413" s="15" t="b">
        <f t="shared" si="9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1501</v>
      </c>
      <c r="B414" s="1" t="s">
        <v>1501</v>
      </c>
      <c r="C414" s="121" t="s">
        <v>1501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9"/>
        <v>1</v>
      </c>
      <c r="H414" s="10" t="str">
        <f>IF(ISERROR(MATCH(A414,'SegEnds_Xtal_Prot#'!B:B, 0)), "NoXtal", "Xtal")</f>
        <v>Xtal</v>
      </c>
    </row>
    <row r="415" spans="1:10" x14ac:dyDescent="0.2">
      <c r="A415" s="1" t="s">
        <v>1631</v>
      </c>
      <c r="B415" s="1" t="s">
        <v>156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9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1634</v>
      </c>
      <c r="B416" s="1" t="s">
        <v>170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9"/>
        <v>1</v>
      </c>
      <c r="H416" s="10" t="str">
        <f>IF(ISERROR(MATCH(A416,'SegEnds_Xtal_Prot#'!B:B, 0)), "NoXtal", "Xtal")</f>
        <v>NoXtal</v>
      </c>
    </row>
    <row r="417" spans="1:8" x14ac:dyDescent="0.2">
      <c r="A417" s="1" t="s">
        <v>1636</v>
      </c>
      <c r="B417" s="1" t="s">
        <v>165</v>
      </c>
      <c r="C417" s="1" t="s">
        <v>139</v>
      </c>
      <c r="D417" s="28" t="str">
        <f>VLOOKUP(A417,Classification!$A:$D,2,FALSE)</f>
        <v>A</v>
      </c>
      <c r="E417" s="49" t="str">
        <f>VLOOKUP(B417,Classification!$A:$D,2,FALSE)</f>
        <v>A</v>
      </c>
      <c r="F417" s="15" t="str">
        <f>VLOOKUP(C417,Classification!$A:$D,2,FALSE)</f>
        <v>A</v>
      </c>
      <c r="G417" s="15" t="b">
        <f t="shared" si="9"/>
        <v>1</v>
      </c>
      <c r="H417" s="10" t="str">
        <f>IF(ISERROR(MATCH(A417,'SegEnds_Xtal_Prot#'!B:B, 0)), "NoXtal", "Xtal")</f>
        <v>NoXtal</v>
      </c>
    </row>
    <row r="436" spans="4:7" ht="17" customHeight="1" x14ac:dyDescent="0.2">
      <c r="D436" s="7"/>
      <c r="E436" s="7"/>
      <c r="F436" s="7"/>
      <c r="G436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9:G1048576">
    <cfRule type="cellIs" dxfId="3" priority="5" operator="equal">
      <formula>FALSE</formula>
    </cfRule>
  </conditionalFormatting>
  <conditionalFormatting sqref="G2:G408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9"/>
  <sheetViews>
    <sheetView workbookViewId="0">
      <pane ySplit="1" topLeftCell="A58" activePane="bottomLeft" state="frozenSplit"/>
      <selection pane="bottomLeft" activeCell="A82" sqref="A1:A104857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925</v>
      </c>
      <c r="C1" s="10" t="s">
        <v>928</v>
      </c>
      <c r="D1" s="10" t="s">
        <v>929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930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930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930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930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930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930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930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930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930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930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930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930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932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932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932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932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932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932</v>
      </c>
    </row>
    <row r="20" spans="1:4" x14ac:dyDescent="0.2">
      <c r="A20" s="3" t="s">
        <v>138</v>
      </c>
      <c r="B20" s="3" t="s">
        <v>1</v>
      </c>
      <c r="C20" s="3" t="s">
        <v>931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931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931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931</v>
      </c>
      <c r="D23" s="3" t="s">
        <v>15</v>
      </c>
    </row>
    <row r="24" spans="1:4" x14ac:dyDescent="0.2">
      <c r="A24" s="3" t="s">
        <v>1691</v>
      </c>
      <c r="B24" s="3" t="s">
        <v>937</v>
      </c>
      <c r="C24" s="3" t="s">
        <v>938</v>
      </c>
      <c r="D24" s="3" t="s">
        <v>939</v>
      </c>
    </row>
    <row r="25" spans="1:4" x14ac:dyDescent="0.2">
      <c r="A25" s="3" t="s">
        <v>413</v>
      </c>
      <c r="B25" s="3" t="s">
        <v>937</v>
      </c>
      <c r="C25" s="3" t="s">
        <v>938</v>
      </c>
      <c r="D25" s="3" t="s">
        <v>939</v>
      </c>
    </row>
    <row r="26" spans="1:4" x14ac:dyDescent="0.2">
      <c r="A26" s="3" t="s">
        <v>414</v>
      </c>
      <c r="B26" s="3" t="s">
        <v>937</v>
      </c>
      <c r="C26" s="3" t="s">
        <v>938</v>
      </c>
      <c r="D26" s="3" t="s">
        <v>939</v>
      </c>
    </row>
    <row r="27" spans="1:4" x14ac:dyDescent="0.2">
      <c r="A27" s="3" t="s">
        <v>1692</v>
      </c>
      <c r="B27" s="3" t="s">
        <v>937</v>
      </c>
      <c r="C27" s="3" t="s">
        <v>938</v>
      </c>
      <c r="D27" s="3" t="s">
        <v>939</v>
      </c>
    </row>
    <row r="28" spans="1:4" x14ac:dyDescent="0.2">
      <c r="A28" s="3" t="s">
        <v>415</v>
      </c>
      <c r="B28" s="3" t="s">
        <v>937</v>
      </c>
      <c r="C28" s="3" t="s">
        <v>938</v>
      </c>
      <c r="D28" s="3" t="s">
        <v>939</v>
      </c>
    </row>
    <row r="29" spans="1:4" x14ac:dyDescent="0.2">
      <c r="A29" s="3" t="s">
        <v>416</v>
      </c>
      <c r="B29" s="3" t="s">
        <v>937</v>
      </c>
      <c r="C29" s="3" t="s">
        <v>938</v>
      </c>
      <c r="D29" s="3" t="s">
        <v>939</v>
      </c>
    </row>
    <row r="30" spans="1:4" x14ac:dyDescent="0.2">
      <c r="A30" s="3" t="s">
        <v>417</v>
      </c>
      <c r="B30" s="3" t="s">
        <v>937</v>
      </c>
      <c r="C30" s="3" t="s">
        <v>938</v>
      </c>
      <c r="D30" s="3" t="s">
        <v>939</v>
      </c>
    </row>
    <row r="31" spans="1:4" x14ac:dyDescent="0.2">
      <c r="A31" s="3" t="s">
        <v>418</v>
      </c>
      <c r="B31" s="3" t="s">
        <v>937</v>
      </c>
      <c r="C31" s="3" t="s">
        <v>938</v>
      </c>
      <c r="D31" s="3" t="s">
        <v>939</v>
      </c>
    </row>
    <row r="32" spans="1:4" x14ac:dyDescent="0.2">
      <c r="A32" s="3" t="s">
        <v>419</v>
      </c>
      <c r="B32" s="3" t="s">
        <v>937</v>
      </c>
      <c r="C32" s="3" t="s">
        <v>938</v>
      </c>
      <c r="D32" s="3" t="s">
        <v>939</v>
      </c>
    </row>
    <row r="33" spans="1:4" x14ac:dyDescent="0.2">
      <c r="A33" s="3" t="s">
        <v>420</v>
      </c>
      <c r="B33" s="3" t="s">
        <v>937</v>
      </c>
      <c r="C33" s="3" t="s">
        <v>938</v>
      </c>
      <c r="D33" s="3" t="s">
        <v>939</v>
      </c>
    </row>
    <row r="34" spans="1:4" x14ac:dyDescent="0.2">
      <c r="A34" s="3" t="s">
        <v>421</v>
      </c>
      <c r="B34" s="3" t="s">
        <v>937</v>
      </c>
      <c r="C34" s="3" t="s">
        <v>938</v>
      </c>
      <c r="D34" s="3" t="s">
        <v>939</v>
      </c>
    </row>
    <row r="35" spans="1:4" x14ac:dyDescent="0.2">
      <c r="A35" s="3" t="s">
        <v>422</v>
      </c>
      <c r="B35" s="3" t="s">
        <v>937</v>
      </c>
      <c r="C35" s="3" t="s">
        <v>938</v>
      </c>
      <c r="D35" s="3" t="s">
        <v>939</v>
      </c>
    </row>
    <row r="36" spans="1:4" x14ac:dyDescent="0.2">
      <c r="A36" s="3" t="s">
        <v>423</v>
      </c>
      <c r="B36" s="3" t="s">
        <v>937</v>
      </c>
      <c r="C36" s="3" t="s">
        <v>938</v>
      </c>
      <c r="D36" s="3" t="s">
        <v>939</v>
      </c>
    </row>
    <row r="37" spans="1:4" x14ac:dyDescent="0.2">
      <c r="A37" s="3" t="s">
        <v>424</v>
      </c>
      <c r="B37" s="3" t="s">
        <v>937</v>
      </c>
      <c r="C37" s="3" t="s">
        <v>938</v>
      </c>
      <c r="D37" s="3" t="s">
        <v>939</v>
      </c>
    </row>
    <row r="38" spans="1:4" x14ac:dyDescent="0.2">
      <c r="A38" s="3" t="s">
        <v>425</v>
      </c>
      <c r="B38" s="3" t="s">
        <v>937</v>
      </c>
      <c r="C38" s="3" t="s">
        <v>938</v>
      </c>
      <c r="D38" s="3" t="s">
        <v>939</v>
      </c>
    </row>
    <row r="39" spans="1:4" x14ac:dyDescent="0.2">
      <c r="A39" s="3" t="s">
        <v>426</v>
      </c>
      <c r="B39" s="3" t="s">
        <v>937</v>
      </c>
      <c r="C39" s="3" t="s">
        <v>938</v>
      </c>
      <c r="D39" s="3" t="s">
        <v>939</v>
      </c>
    </row>
    <row r="40" spans="1:4" x14ac:dyDescent="0.2">
      <c r="A40" s="3" t="s">
        <v>427</v>
      </c>
      <c r="B40" s="3" t="s">
        <v>937</v>
      </c>
      <c r="C40" s="3" t="s">
        <v>938</v>
      </c>
      <c r="D40" s="3" t="s">
        <v>939</v>
      </c>
    </row>
    <row r="41" spans="1:4" x14ac:dyDescent="0.2">
      <c r="A41" s="3" t="s">
        <v>428</v>
      </c>
      <c r="B41" s="3" t="s">
        <v>937</v>
      </c>
      <c r="C41" s="3" t="s">
        <v>938</v>
      </c>
      <c r="D41" s="3" t="s">
        <v>939</v>
      </c>
    </row>
    <row r="42" spans="1:4" x14ac:dyDescent="0.2">
      <c r="A42" s="3" t="s">
        <v>429</v>
      </c>
      <c r="B42" s="3" t="s">
        <v>937</v>
      </c>
      <c r="C42" s="3" t="s">
        <v>938</v>
      </c>
      <c r="D42" s="3" t="s">
        <v>939</v>
      </c>
    </row>
    <row r="43" spans="1:4" x14ac:dyDescent="0.2">
      <c r="A43" s="3" t="s">
        <v>430</v>
      </c>
      <c r="B43" s="3" t="s">
        <v>937</v>
      </c>
      <c r="C43" s="3" t="s">
        <v>938</v>
      </c>
      <c r="D43" s="3" t="s">
        <v>939</v>
      </c>
    </row>
    <row r="44" spans="1:4" x14ac:dyDescent="0.2">
      <c r="A44" s="3" t="s">
        <v>431</v>
      </c>
      <c r="B44" s="3" t="s">
        <v>937</v>
      </c>
      <c r="C44" s="3" t="s">
        <v>938</v>
      </c>
      <c r="D44" s="3" t="s">
        <v>939</v>
      </c>
    </row>
    <row r="45" spans="1:4" x14ac:dyDescent="0.2">
      <c r="A45" s="3" t="s">
        <v>432</v>
      </c>
      <c r="B45" s="3" t="s">
        <v>937</v>
      </c>
      <c r="C45" s="3" t="s">
        <v>938</v>
      </c>
      <c r="D45" s="3" t="s">
        <v>939</v>
      </c>
    </row>
    <row r="46" spans="1:4" x14ac:dyDescent="0.2">
      <c r="A46" s="3" t="s">
        <v>1407</v>
      </c>
      <c r="B46" s="3" t="s">
        <v>937</v>
      </c>
      <c r="C46" s="3" t="s">
        <v>938</v>
      </c>
      <c r="D46" s="3" t="s">
        <v>939</v>
      </c>
    </row>
    <row r="47" spans="1:4" x14ac:dyDescent="0.2">
      <c r="A47" s="3" t="s">
        <v>433</v>
      </c>
      <c r="B47" s="3" t="s">
        <v>937</v>
      </c>
      <c r="C47" s="3" t="s">
        <v>938</v>
      </c>
      <c r="D47" s="3" t="s">
        <v>939</v>
      </c>
    </row>
    <row r="48" spans="1:4" x14ac:dyDescent="0.2">
      <c r="A48" s="3" t="s">
        <v>434</v>
      </c>
      <c r="B48" s="3" t="s">
        <v>937</v>
      </c>
      <c r="C48" s="3" t="s">
        <v>938</v>
      </c>
      <c r="D48" s="3" t="s">
        <v>939</v>
      </c>
    </row>
    <row r="49" spans="1:4" x14ac:dyDescent="0.2">
      <c r="A49" s="3" t="s">
        <v>435</v>
      </c>
      <c r="B49" s="3" t="s">
        <v>937</v>
      </c>
      <c r="C49" s="3" t="s">
        <v>938</v>
      </c>
      <c r="D49" s="3" t="s">
        <v>939</v>
      </c>
    </row>
    <row r="50" spans="1:4" x14ac:dyDescent="0.2">
      <c r="A50" s="3" t="s">
        <v>436</v>
      </c>
      <c r="B50" s="3" t="s">
        <v>937</v>
      </c>
      <c r="C50" s="3" t="s">
        <v>938</v>
      </c>
      <c r="D50" s="3" t="s">
        <v>939</v>
      </c>
    </row>
    <row r="51" spans="1:4" x14ac:dyDescent="0.2">
      <c r="A51" s="3" t="s">
        <v>437</v>
      </c>
      <c r="B51" s="3" t="s">
        <v>937</v>
      </c>
      <c r="C51" s="3" t="s">
        <v>938</v>
      </c>
      <c r="D51" s="3" t="s">
        <v>939</v>
      </c>
    </row>
    <row r="52" spans="1:4" x14ac:dyDescent="0.2">
      <c r="A52" s="3" t="s">
        <v>438</v>
      </c>
      <c r="B52" s="3" t="s">
        <v>937</v>
      </c>
      <c r="C52" s="3" t="s">
        <v>938</v>
      </c>
      <c r="D52" s="3" t="s">
        <v>939</v>
      </c>
    </row>
    <row r="53" spans="1:4" x14ac:dyDescent="0.2">
      <c r="A53" s="3" t="s">
        <v>1693</v>
      </c>
      <c r="B53" s="3" t="s">
        <v>937</v>
      </c>
      <c r="C53" s="3" t="s">
        <v>938</v>
      </c>
      <c r="D53" s="3" t="s">
        <v>939</v>
      </c>
    </row>
    <row r="54" spans="1:4" x14ac:dyDescent="0.2">
      <c r="A54" s="3" t="s">
        <v>439</v>
      </c>
      <c r="B54" s="3" t="s">
        <v>937</v>
      </c>
      <c r="C54" s="3" t="s">
        <v>938</v>
      </c>
      <c r="D54" s="3" t="s">
        <v>939</v>
      </c>
    </row>
    <row r="55" spans="1:4" x14ac:dyDescent="0.2">
      <c r="A55" s="3" t="s">
        <v>440</v>
      </c>
      <c r="B55" s="3" t="s">
        <v>937</v>
      </c>
      <c r="C55" s="3" t="s">
        <v>938</v>
      </c>
      <c r="D55" s="3" t="s">
        <v>939</v>
      </c>
    </row>
    <row r="56" spans="1:4" x14ac:dyDescent="0.2">
      <c r="A56" s="3" t="s">
        <v>441</v>
      </c>
      <c r="B56" s="3" t="s">
        <v>937</v>
      </c>
      <c r="C56" s="3" t="s">
        <v>938</v>
      </c>
      <c r="D56" s="3" t="s">
        <v>939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934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934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934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934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934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934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934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934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934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934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935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935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936</v>
      </c>
    </row>
    <row r="70" spans="1:4" x14ac:dyDescent="0.2">
      <c r="A70" s="3" t="s">
        <v>234</v>
      </c>
      <c r="B70" s="3" t="s">
        <v>1</v>
      </c>
      <c r="C70" s="3" t="s">
        <v>968</v>
      </c>
      <c r="D70" s="3" t="s">
        <v>969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941</v>
      </c>
    </row>
    <row r="72" spans="1:4" x14ac:dyDescent="0.2">
      <c r="A72" s="3" t="s">
        <v>273</v>
      </c>
      <c r="B72" s="3" t="s">
        <v>1</v>
      </c>
      <c r="C72" s="3" t="s">
        <v>17</v>
      </c>
      <c r="D72" s="3" t="s">
        <v>941</v>
      </c>
    </row>
    <row r="73" spans="1:4" x14ac:dyDescent="0.2">
      <c r="A73" s="3" t="s">
        <v>316</v>
      </c>
      <c r="B73" s="3" t="s">
        <v>1</v>
      </c>
      <c r="C73" s="3" t="s">
        <v>17</v>
      </c>
      <c r="D73" s="3" t="s">
        <v>941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940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940</v>
      </c>
    </row>
    <row r="76" spans="1:4" x14ac:dyDescent="0.2">
      <c r="A76" s="3" t="s">
        <v>400</v>
      </c>
      <c r="B76" s="3" t="s">
        <v>943</v>
      </c>
      <c r="C76" s="3" t="s">
        <v>17</v>
      </c>
      <c r="D76" s="3" t="s">
        <v>944</v>
      </c>
    </row>
    <row r="77" spans="1:4" x14ac:dyDescent="0.2">
      <c r="A77" s="3" t="s">
        <v>401</v>
      </c>
      <c r="B77" s="3" t="s">
        <v>943</v>
      </c>
      <c r="C77" s="3" t="s">
        <v>17</v>
      </c>
      <c r="D77" s="3" t="s">
        <v>944</v>
      </c>
    </row>
    <row r="78" spans="1:4" x14ac:dyDescent="0.2">
      <c r="A78" s="3" t="s">
        <v>105</v>
      </c>
      <c r="B78" s="3" t="s">
        <v>27</v>
      </c>
      <c r="C78" s="3" t="s">
        <v>945</v>
      </c>
      <c r="D78" s="3" t="s">
        <v>946</v>
      </c>
    </row>
    <row r="79" spans="1:4" x14ac:dyDescent="0.2">
      <c r="A79" s="3" t="s">
        <v>114</v>
      </c>
      <c r="B79" s="3" t="s">
        <v>27</v>
      </c>
      <c r="C79" s="3" t="s">
        <v>945</v>
      </c>
      <c r="D79" s="3" t="s">
        <v>946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950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950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949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926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926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926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926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926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926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926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926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926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926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926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926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926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926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926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926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926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926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926</v>
      </c>
    </row>
    <row r="102" spans="1:4" x14ac:dyDescent="0.2">
      <c r="A102" s="3" t="s">
        <v>1024</v>
      </c>
      <c r="B102" s="3" t="s">
        <v>1</v>
      </c>
      <c r="C102" s="3" t="s">
        <v>29</v>
      </c>
      <c r="D102" s="3" t="s">
        <v>926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926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926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926</v>
      </c>
    </row>
    <row r="106" spans="1:4" x14ac:dyDescent="0.2">
      <c r="A106" s="3" t="s">
        <v>1501</v>
      </c>
      <c r="B106" s="3" t="s">
        <v>1</v>
      </c>
      <c r="C106" s="3" t="s">
        <v>17</v>
      </c>
      <c r="D106" s="3" t="s">
        <v>926</v>
      </c>
    </row>
    <row r="107" spans="1:4" x14ac:dyDescent="0.2">
      <c r="A107" s="3" t="s">
        <v>399</v>
      </c>
      <c r="B107" s="3" t="s">
        <v>1</v>
      </c>
      <c r="C107" s="3" t="s">
        <v>29</v>
      </c>
      <c r="D107" s="3" t="s">
        <v>926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947</v>
      </c>
    </row>
    <row r="109" spans="1:4" x14ac:dyDescent="0.2">
      <c r="A109" s="3" t="s">
        <v>207</v>
      </c>
      <c r="B109" s="3" t="s">
        <v>1</v>
      </c>
      <c r="C109" s="3" t="s">
        <v>17</v>
      </c>
      <c r="D109" s="3" t="s">
        <v>947</v>
      </c>
    </row>
    <row r="110" spans="1:4" x14ac:dyDescent="0.2">
      <c r="A110" s="3" t="s">
        <v>1690</v>
      </c>
      <c r="B110" s="3" t="s">
        <v>1</v>
      </c>
      <c r="C110" s="3" t="s">
        <v>938</v>
      </c>
      <c r="D110" s="3" t="s">
        <v>954</v>
      </c>
    </row>
    <row r="111" spans="1:4" x14ac:dyDescent="0.2">
      <c r="A111" s="3" t="s">
        <v>211</v>
      </c>
      <c r="B111" s="3" t="s">
        <v>1</v>
      </c>
      <c r="C111" s="3" t="s">
        <v>938</v>
      </c>
      <c r="D111" s="3" t="s">
        <v>954</v>
      </c>
    </row>
    <row r="112" spans="1:4" x14ac:dyDescent="0.2">
      <c r="A112" s="3" t="s">
        <v>213</v>
      </c>
      <c r="B112" s="3" t="s">
        <v>1</v>
      </c>
      <c r="C112" s="3" t="s">
        <v>938</v>
      </c>
      <c r="D112" s="3" t="s">
        <v>954</v>
      </c>
    </row>
    <row r="113" spans="1:4" x14ac:dyDescent="0.2">
      <c r="A113" s="3" t="s">
        <v>214</v>
      </c>
      <c r="B113" s="3" t="s">
        <v>1</v>
      </c>
      <c r="C113" s="3" t="s">
        <v>938</v>
      </c>
      <c r="D113" s="3" t="s">
        <v>954</v>
      </c>
    </row>
    <row r="114" spans="1:4" x14ac:dyDescent="0.2">
      <c r="A114" s="3" t="s">
        <v>215</v>
      </c>
      <c r="B114" s="3" t="s">
        <v>1</v>
      </c>
      <c r="C114" s="3" t="s">
        <v>938</v>
      </c>
      <c r="D114" s="3" t="s">
        <v>954</v>
      </c>
    </row>
    <row r="115" spans="1:4" x14ac:dyDescent="0.2">
      <c r="A115" s="3" t="s">
        <v>216</v>
      </c>
      <c r="B115" s="3" t="s">
        <v>1</v>
      </c>
      <c r="C115" s="3" t="s">
        <v>938</v>
      </c>
      <c r="D115" s="3" t="s">
        <v>954</v>
      </c>
    </row>
    <row r="116" spans="1:4" x14ac:dyDescent="0.2">
      <c r="A116" s="3" t="s">
        <v>217</v>
      </c>
      <c r="B116" s="3" t="s">
        <v>1</v>
      </c>
      <c r="C116" s="3" t="s">
        <v>938</v>
      </c>
      <c r="D116" s="3" t="s">
        <v>954</v>
      </c>
    </row>
    <row r="117" spans="1:4" x14ac:dyDescent="0.2">
      <c r="A117" s="3" t="s">
        <v>218</v>
      </c>
      <c r="B117" s="3" t="s">
        <v>1</v>
      </c>
      <c r="C117" s="3" t="s">
        <v>938</v>
      </c>
      <c r="D117" s="3" t="s">
        <v>954</v>
      </c>
    </row>
    <row r="118" spans="1:4" x14ac:dyDescent="0.2">
      <c r="A118" s="3" t="s">
        <v>219</v>
      </c>
      <c r="B118" s="3" t="s">
        <v>1</v>
      </c>
      <c r="C118" s="3" t="s">
        <v>938</v>
      </c>
      <c r="D118" s="3" t="s">
        <v>954</v>
      </c>
    </row>
    <row r="119" spans="1:4" x14ac:dyDescent="0.2">
      <c r="A119" s="3" t="s">
        <v>220</v>
      </c>
      <c r="B119" s="3" t="s">
        <v>1</v>
      </c>
      <c r="C119" s="3" t="s">
        <v>938</v>
      </c>
      <c r="D119" s="3" t="s">
        <v>954</v>
      </c>
    </row>
    <row r="120" spans="1:4" x14ac:dyDescent="0.2">
      <c r="A120" s="3" t="s">
        <v>221</v>
      </c>
      <c r="B120" s="3" t="s">
        <v>1</v>
      </c>
      <c r="C120" s="3" t="s">
        <v>938</v>
      </c>
      <c r="D120" s="3" t="s">
        <v>954</v>
      </c>
    </row>
    <row r="121" spans="1:4" x14ac:dyDescent="0.2">
      <c r="A121" s="3" t="s">
        <v>222</v>
      </c>
      <c r="B121" s="3" t="s">
        <v>1</v>
      </c>
      <c r="C121" s="3" t="s">
        <v>938</v>
      </c>
      <c r="D121" s="3" t="s">
        <v>954</v>
      </c>
    </row>
    <row r="122" spans="1:4" x14ac:dyDescent="0.2">
      <c r="A122" s="3" t="s">
        <v>223</v>
      </c>
      <c r="B122" s="3" t="s">
        <v>1</v>
      </c>
      <c r="C122" s="3" t="s">
        <v>938</v>
      </c>
      <c r="D122" s="3" t="s">
        <v>954</v>
      </c>
    </row>
    <row r="123" spans="1:4" x14ac:dyDescent="0.2">
      <c r="A123" s="3" t="s">
        <v>224</v>
      </c>
      <c r="B123" s="3" t="s">
        <v>1</v>
      </c>
      <c r="C123" s="3" t="s">
        <v>938</v>
      </c>
      <c r="D123" s="3" t="s">
        <v>954</v>
      </c>
    </row>
    <row r="124" spans="1:4" x14ac:dyDescent="0.2">
      <c r="A124" s="3" t="s">
        <v>225</v>
      </c>
      <c r="B124" s="3" t="s">
        <v>1</v>
      </c>
      <c r="C124" s="3" t="s">
        <v>938</v>
      </c>
      <c r="D124" s="3" t="s">
        <v>954</v>
      </c>
    </row>
    <row r="125" spans="1:4" x14ac:dyDescent="0.2">
      <c r="A125" s="3" t="s">
        <v>226</v>
      </c>
      <c r="B125" s="3" t="s">
        <v>1</v>
      </c>
      <c r="C125" s="3" t="s">
        <v>938</v>
      </c>
      <c r="D125" s="3" t="s">
        <v>954</v>
      </c>
    </row>
    <row r="126" spans="1:4" x14ac:dyDescent="0.2">
      <c r="A126" s="3" t="s">
        <v>227</v>
      </c>
      <c r="B126" s="3" t="s">
        <v>1</v>
      </c>
      <c r="C126" s="3" t="s">
        <v>938</v>
      </c>
      <c r="D126" s="3" t="s">
        <v>954</v>
      </c>
    </row>
    <row r="127" spans="1:4" x14ac:dyDescent="0.2">
      <c r="A127" s="3" t="s">
        <v>228</v>
      </c>
      <c r="B127" s="3" t="s">
        <v>1</v>
      </c>
      <c r="C127" s="3" t="s">
        <v>938</v>
      </c>
      <c r="D127" s="3" t="s">
        <v>954</v>
      </c>
    </row>
    <row r="128" spans="1:4" x14ac:dyDescent="0.2">
      <c r="A128" s="3" t="s">
        <v>229</v>
      </c>
      <c r="B128" s="3" t="s">
        <v>1</v>
      </c>
      <c r="C128" s="3" t="s">
        <v>938</v>
      </c>
      <c r="D128" s="3" t="s">
        <v>954</v>
      </c>
    </row>
    <row r="129" spans="1:4" x14ac:dyDescent="0.2">
      <c r="A129" s="3" t="s">
        <v>230</v>
      </c>
      <c r="B129" s="3" t="s">
        <v>1</v>
      </c>
      <c r="C129" s="3" t="s">
        <v>938</v>
      </c>
      <c r="D129" s="3" t="s">
        <v>954</v>
      </c>
    </row>
    <row r="130" spans="1:4" x14ac:dyDescent="0.2">
      <c r="A130" s="3" t="s">
        <v>231</v>
      </c>
      <c r="B130" s="3" t="s">
        <v>1</v>
      </c>
      <c r="C130" s="3" t="s">
        <v>938</v>
      </c>
      <c r="D130" s="3" t="s">
        <v>954</v>
      </c>
    </row>
    <row r="131" spans="1:4" x14ac:dyDescent="0.2">
      <c r="A131" s="3" t="s">
        <v>232</v>
      </c>
      <c r="B131" s="3" t="s">
        <v>1</v>
      </c>
      <c r="C131" s="3" t="s">
        <v>938</v>
      </c>
      <c r="D131" s="3" t="s">
        <v>954</v>
      </c>
    </row>
    <row r="132" spans="1:4" x14ac:dyDescent="0.2">
      <c r="A132" s="3" t="s">
        <v>233</v>
      </c>
      <c r="B132" s="3" t="s">
        <v>1</v>
      </c>
      <c r="C132" s="3" t="s">
        <v>938</v>
      </c>
      <c r="D132" s="3" t="s">
        <v>954</v>
      </c>
    </row>
    <row r="133" spans="1:4" x14ac:dyDescent="0.2">
      <c r="A133" s="3" t="s">
        <v>236</v>
      </c>
      <c r="B133" s="3" t="s">
        <v>1</v>
      </c>
      <c r="C133" s="3" t="s">
        <v>938</v>
      </c>
      <c r="D133" s="3" t="s">
        <v>954</v>
      </c>
    </row>
    <row r="134" spans="1:4" x14ac:dyDescent="0.2">
      <c r="A134" s="3" t="s">
        <v>237</v>
      </c>
      <c r="B134" s="3" t="s">
        <v>1</v>
      </c>
      <c r="C134" s="3" t="s">
        <v>938</v>
      </c>
      <c r="D134" s="3" t="s">
        <v>954</v>
      </c>
    </row>
    <row r="135" spans="1:4" x14ac:dyDescent="0.2">
      <c r="A135" s="3" t="s">
        <v>238</v>
      </c>
      <c r="B135" s="3" t="s">
        <v>1</v>
      </c>
      <c r="C135" s="3" t="s">
        <v>938</v>
      </c>
      <c r="D135" s="3" t="s">
        <v>954</v>
      </c>
    </row>
    <row r="136" spans="1:4" x14ac:dyDescent="0.2">
      <c r="A136" s="3" t="s">
        <v>239</v>
      </c>
      <c r="B136" s="3" t="s">
        <v>1</v>
      </c>
      <c r="C136" s="3" t="s">
        <v>938</v>
      </c>
      <c r="D136" s="3" t="s">
        <v>954</v>
      </c>
    </row>
    <row r="137" spans="1:4" x14ac:dyDescent="0.2">
      <c r="A137" s="3" t="s">
        <v>241</v>
      </c>
      <c r="B137" s="3" t="s">
        <v>1</v>
      </c>
      <c r="C137" s="3" t="s">
        <v>938</v>
      </c>
      <c r="D137" s="3" t="s">
        <v>954</v>
      </c>
    </row>
    <row r="138" spans="1:4" x14ac:dyDescent="0.2">
      <c r="A138" s="3" t="s">
        <v>242</v>
      </c>
      <c r="B138" s="3" t="s">
        <v>1</v>
      </c>
      <c r="C138" s="3" t="s">
        <v>938</v>
      </c>
      <c r="D138" s="3" t="s">
        <v>954</v>
      </c>
    </row>
    <row r="139" spans="1:4" x14ac:dyDescent="0.2">
      <c r="A139" s="3" t="s">
        <v>243</v>
      </c>
      <c r="B139" s="3" t="s">
        <v>1</v>
      </c>
      <c r="C139" s="3" t="s">
        <v>938</v>
      </c>
      <c r="D139" s="3" t="s">
        <v>954</v>
      </c>
    </row>
    <row r="140" spans="1:4" x14ac:dyDescent="0.2">
      <c r="A140" s="3" t="s">
        <v>244</v>
      </c>
      <c r="B140" s="3" t="s">
        <v>1</v>
      </c>
      <c r="C140" s="3" t="s">
        <v>938</v>
      </c>
      <c r="D140" s="3" t="s">
        <v>954</v>
      </c>
    </row>
    <row r="141" spans="1:4" x14ac:dyDescent="0.2">
      <c r="A141" s="3" t="s">
        <v>245</v>
      </c>
      <c r="B141" s="3" t="s">
        <v>1</v>
      </c>
      <c r="C141" s="3" t="s">
        <v>938</v>
      </c>
      <c r="D141" s="3" t="s">
        <v>954</v>
      </c>
    </row>
    <row r="142" spans="1:4" x14ac:dyDescent="0.2">
      <c r="A142" s="3" t="s">
        <v>246</v>
      </c>
      <c r="B142" s="3" t="s">
        <v>1</v>
      </c>
      <c r="C142" s="3" t="s">
        <v>938</v>
      </c>
      <c r="D142" s="3" t="s">
        <v>954</v>
      </c>
    </row>
    <row r="143" spans="1:4" x14ac:dyDescent="0.2">
      <c r="A143" s="3" t="s">
        <v>247</v>
      </c>
      <c r="B143" s="3" t="s">
        <v>1</v>
      </c>
      <c r="C143" s="3" t="s">
        <v>938</v>
      </c>
      <c r="D143" s="3" t="s">
        <v>954</v>
      </c>
    </row>
    <row r="144" spans="1:4" x14ac:dyDescent="0.2">
      <c r="A144" s="3" t="s">
        <v>248</v>
      </c>
      <c r="B144" s="3" t="s">
        <v>1</v>
      </c>
      <c r="C144" s="3" t="s">
        <v>938</v>
      </c>
      <c r="D144" s="3" t="s">
        <v>954</v>
      </c>
    </row>
    <row r="145" spans="1:4" x14ac:dyDescent="0.2">
      <c r="A145" s="3" t="s">
        <v>249</v>
      </c>
      <c r="B145" s="3" t="s">
        <v>1</v>
      </c>
      <c r="C145" s="3" t="s">
        <v>938</v>
      </c>
      <c r="D145" s="3" t="s">
        <v>954</v>
      </c>
    </row>
    <row r="146" spans="1:4" x14ac:dyDescent="0.2">
      <c r="A146" s="3" t="s">
        <v>250</v>
      </c>
      <c r="B146" s="3" t="s">
        <v>1</v>
      </c>
      <c r="C146" s="3" t="s">
        <v>938</v>
      </c>
      <c r="D146" s="3" t="s">
        <v>954</v>
      </c>
    </row>
    <row r="147" spans="1:4" x14ac:dyDescent="0.2">
      <c r="A147" s="3" t="s">
        <v>251</v>
      </c>
      <c r="B147" s="3" t="s">
        <v>1</v>
      </c>
      <c r="C147" s="3" t="s">
        <v>938</v>
      </c>
      <c r="D147" s="3" t="s">
        <v>954</v>
      </c>
    </row>
    <row r="148" spans="1:4" x14ac:dyDescent="0.2">
      <c r="A148" s="3" t="s">
        <v>252</v>
      </c>
      <c r="B148" s="3" t="s">
        <v>1</v>
      </c>
      <c r="C148" s="3" t="s">
        <v>938</v>
      </c>
      <c r="D148" s="3" t="s">
        <v>954</v>
      </c>
    </row>
    <row r="149" spans="1:4" x14ac:dyDescent="0.2">
      <c r="A149" s="3" t="s">
        <v>253</v>
      </c>
      <c r="B149" s="3" t="s">
        <v>1</v>
      </c>
      <c r="C149" s="3" t="s">
        <v>938</v>
      </c>
      <c r="D149" s="3" t="s">
        <v>954</v>
      </c>
    </row>
    <row r="150" spans="1:4" x14ac:dyDescent="0.2">
      <c r="A150" s="3" t="s">
        <v>254</v>
      </c>
      <c r="B150" s="3" t="s">
        <v>1</v>
      </c>
      <c r="C150" s="3" t="s">
        <v>938</v>
      </c>
      <c r="D150" s="3" t="s">
        <v>954</v>
      </c>
    </row>
    <row r="151" spans="1:4" x14ac:dyDescent="0.2">
      <c r="A151" s="3" t="s">
        <v>255</v>
      </c>
      <c r="B151" s="3" t="s">
        <v>1</v>
      </c>
      <c r="C151" s="3" t="s">
        <v>938</v>
      </c>
      <c r="D151" s="3" t="s">
        <v>954</v>
      </c>
    </row>
    <row r="152" spans="1:4" x14ac:dyDescent="0.2">
      <c r="A152" s="3" t="s">
        <v>256</v>
      </c>
      <c r="B152" s="3" t="s">
        <v>1</v>
      </c>
      <c r="C152" s="3" t="s">
        <v>938</v>
      </c>
      <c r="D152" s="3" t="s">
        <v>954</v>
      </c>
    </row>
    <row r="153" spans="1:4" x14ac:dyDescent="0.2">
      <c r="A153" s="3" t="s">
        <v>258</v>
      </c>
      <c r="B153" s="3" t="s">
        <v>1</v>
      </c>
      <c r="C153" s="3" t="s">
        <v>938</v>
      </c>
      <c r="D153" s="3" t="s">
        <v>954</v>
      </c>
    </row>
    <row r="154" spans="1:4" x14ac:dyDescent="0.2">
      <c r="A154" s="3" t="s">
        <v>259</v>
      </c>
      <c r="B154" s="3" t="s">
        <v>1</v>
      </c>
      <c r="C154" s="3" t="s">
        <v>938</v>
      </c>
      <c r="D154" s="3" t="s">
        <v>954</v>
      </c>
    </row>
    <row r="155" spans="1:4" x14ac:dyDescent="0.2">
      <c r="A155" s="3" t="s">
        <v>261</v>
      </c>
      <c r="B155" s="3" t="s">
        <v>1</v>
      </c>
      <c r="C155" s="3" t="s">
        <v>938</v>
      </c>
      <c r="D155" s="3" t="s">
        <v>954</v>
      </c>
    </row>
    <row r="156" spans="1:4" x14ac:dyDescent="0.2">
      <c r="A156" s="3" t="s">
        <v>262</v>
      </c>
      <c r="B156" s="3" t="s">
        <v>1</v>
      </c>
      <c r="C156" s="3" t="s">
        <v>938</v>
      </c>
      <c r="D156" s="3" t="s">
        <v>954</v>
      </c>
    </row>
    <row r="157" spans="1:4" x14ac:dyDescent="0.2">
      <c r="A157" s="3" t="s">
        <v>263</v>
      </c>
      <c r="B157" s="3" t="s">
        <v>1</v>
      </c>
      <c r="C157" s="3" t="s">
        <v>938</v>
      </c>
      <c r="D157" s="3" t="s">
        <v>954</v>
      </c>
    </row>
    <row r="158" spans="1:4" x14ac:dyDescent="0.2">
      <c r="A158" s="3" t="s">
        <v>264</v>
      </c>
      <c r="B158" s="3" t="s">
        <v>1</v>
      </c>
      <c r="C158" s="3" t="s">
        <v>938</v>
      </c>
      <c r="D158" s="3" t="s">
        <v>954</v>
      </c>
    </row>
    <row r="159" spans="1:4" x14ac:dyDescent="0.2">
      <c r="A159" s="3" t="s">
        <v>265</v>
      </c>
      <c r="B159" s="3" t="s">
        <v>1</v>
      </c>
      <c r="C159" s="3" t="s">
        <v>938</v>
      </c>
      <c r="D159" s="3" t="s">
        <v>954</v>
      </c>
    </row>
    <row r="160" spans="1:4" x14ac:dyDescent="0.2">
      <c r="A160" s="3" t="s">
        <v>266</v>
      </c>
      <c r="B160" s="3" t="s">
        <v>1</v>
      </c>
      <c r="C160" s="3" t="s">
        <v>938</v>
      </c>
      <c r="D160" s="3" t="s">
        <v>954</v>
      </c>
    </row>
    <row r="161" spans="1:4" x14ac:dyDescent="0.2">
      <c r="A161" s="3" t="s">
        <v>267</v>
      </c>
      <c r="B161" s="3" t="s">
        <v>1</v>
      </c>
      <c r="C161" s="3" t="s">
        <v>938</v>
      </c>
      <c r="D161" s="3" t="s">
        <v>954</v>
      </c>
    </row>
    <row r="162" spans="1:4" x14ac:dyDescent="0.2">
      <c r="A162" s="3" t="s">
        <v>268</v>
      </c>
      <c r="B162" s="3" t="s">
        <v>1</v>
      </c>
      <c r="C162" s="3" t="s">
        <v>938</v>
      </c>
      <c r="D162" s="3" t="s">
        <v>954</v>
      </c>
    </row>
    <row r="163" spans="1:4" x14ac:dyDescent="0.2">
      <c r="A163" s="3" t="s">
        <v>269</v>
      </c>
      <c r="B163" s="3" t="s">
        <v>1</v>
      </c>
      <c r="C163" s="3" t="s">
        <v>938</v>
      </c>
      <c r="D163" s="3" t="s">
        <v>954</v>
      </c>
    </row>
    <row r="164" spans="1:4" x14ac:dyDescent="0.2">
      <c r="A164" s="3" t="s">
        <v>270</v>
      </c>
      <c r="B164" s="3" t="s">
        <v>1</v>
      </c>
      <c r="C164" s="3" t="s">
        <v>938</v>
      </c>
      <c r="D164" s="3" t="s">
        <v>954</v>
      </c>
    </row>
    <row r="165" spans="1:4" x14ac:dyDescent="0.2">
      <c r="A165" s="3" t="s">
        <v>271</v>
      </c>
      <c r="B165" s="3" t="s">
        <v>1</v>
      </c>
      <c r="C165" s="3" t="s">
        <v>938</v>
      </c>
      <c r="D165" s="3" t="s">
        <v>954</v>
      </c>
    </row>
    <row r="166" spans="1:4" x14ac:dyDescent="0.2">
      <c r="A166" s="3" t="s">
        <v>272</v>
      </c>
      <c r="B166" s="3" t="s">
        <v>1</v>
      </c>
      <c r="C166" s="3" t="s">
        <v>938</v>
      </c>
      <c r="D166" s="3" t="s">
        <v>954</v>
      </c>
    </row>
    <row r="167" spans="1:4" x14ac:dyDescent="0.2">
      <c r="A167" s="3" t="s">
        <v>282</v>
      </c>
      <c r="B167" s="3" t="s">
        <v>1</v>
      </c>
      <c r="C167" s="3" t="s">
        <v>938</v>
      </c>
      <c r="D167" s="3" t="s">
        <v>954</v>
      </c>
    </row>
    <row r="168" spans="1:4" x14ac:dyDescent="0.2">
      <c r="A168" s="3" t="s">
        <v>283</v>
      </c>
      <c r="B168" s="3" t="s">
        <v>1</v>
      </c>
      <c r="C168" s="3" t="s">
        <v>938</v>
      </c>
      <c r="D168" s="3" t="s">
        <v>954</v>
      </c>
    </row>
    <row r="169" spans="1:4" x14ac:dyDescent="0.2">
      <c r="A169" s="3" t="s">
        <v>284</v>
      </c>
      <c r="B169" s="3" t="s">
        <v>1</v>
      </c>
      <c r="C169" s="3" t="s">
        <v>938</v>
      </c>
      <c r="D169" s="3" t="s">
        <v>954</v>
      </c>
    </row>
    <row r="170" spans="1:4" x14ac:dyDescent="0.2">
      <c r="A170" s="3" t="s">
        <v>293</v>
      </c>
      <c r="B170" s="3" t="s">
        <v>1</v>
      </c>
      <c r="C170" s="3" t="s">
        <v>938</v>
      </c>
      <c r="D170" s="3" t="s">
        <v>954</v>
      </c>
    </row>
    <row r="171" spans="1:4" x14ac:dyDescent="0.2">
      <c r="A171" s="3" t="s">
        <v>294</v>
      </c>
      <c r="B171" s="3" t="s">
        <v>1</v>
      </c>
      <c r="C171" s="3" t="s">
        <v>938</v>
      </c>
      <c r="D171" s="3" t="s">
        <v>954</v>
      </c>
    </row>
    <row r="172" spans="1:4" x14ac:dyDescent="0.2">
      <c r="A172" s="3" t="s">
        <v>300</v>
      </c>
      <c r="B172" s="3" t="s">
        <v>1</v>
      </c>
      <c r="C172" s="3" t="s">
        <v>938</v>
      </c>
      <c r="D172" s="3" t="s">
        <v>954</v>
      </c>
    </row>
    <row r="173" spans="1:4" x14ac:dyDescent="0.2">
      <c r="A173" s="3" t="s">
        <v>301</v>
      </c>
      <c r="B173" s="3" t="s">
        <v>1</v>
      </c>
      <c r="C173" s="3" t="s">
        <v>938</v>
      </c>
      <c r="D173" s="3" t="s">
        <v>954</v>
      </c>
    </row>
    <row r="174" spans="1:4" x14ac:dyDescent="0.2">
      <c r="A174" s="3" t="s">
        <v>302</v>
      </c>
      <c r="B174" s="3" t="s">
        <v>1</v>
      </c>
      <c r="C174" s="3" t="s">
        <v>938</v>
      </c>
      <c r="D174" s="3" t="s">
        <v>954</v>
      </c>
    </row>
    <row r="175" spans="1:4" x14ac:dyDescent="0.2">
      <c r="A175" s="3" t="s">
        <v>303</v>
      </c>
      <c r="B175" s="3" t="s">
        <v>1</v>
      </c>
      <c r="C175" s="3" t="s">
        <v>938</v>
      </c>
      <c r="D175" s="3" t="s">
        <v>954</v>
      </c>
    </row>
    <row r="176" spans="1:4" x14ac:dyDescent="0.2">
      <c r="A176" s="3" t="s">
        <v>304</v>
      </c>
      <c r="B176" s="3" t="s">
        <v>1</v>
      </c>
      <c r="C176" s="3" t="s">
        <v>938</v>
      </c>
      <c r="D176" s="3" t="s">
        <v>954</v>
      </c>
    </row>
    <row r="177" spans="1:4" x14ac:dyDescent="0.2">
      <c r="A177" s="3" t="s">
        <v>305</v>
      </c>
      <c r="B177" s="3" t="s">
        <v>1</v>
      </c>
      <c r="C177" s="3" t="s">
        <v>938</v>
      </c>
      <c r="D177" s="3" t="s">
        <v>954</v>
      </c>
    </row>
    <row r="178" spans="1:4" x14ac:dyDescent="0.2">
      <c r="A178" s="3" t="s">
        <v>306</v>
      </c>
      <c r="B178" s="3" t="s">
        <v>1</v>
      </c>
      <c r="C178" s="3" t="s">
        <v>938</v>
      </c>
      <c r="D178" s="3" t="s">
        <v>954</v>
      </c>
    </row>
    <row r="179" spans="1:4" x14ac:dyDescent="0.2">
      <c r="A179" s="3" t="s">
        <v>307</v>
      </c>
      <c r="B179" s="3" t="s">
        <v>1</v>
      </c>
      <c r="C179" s="3" t="s">
        <v>938</v>
      </c>
      <c r="D179" s="3" t="s">
        <v>954</v>
      </c>
    </row>
    <row r="180" spans="1:4" x14ac:dyDescent="0.2">
      <c r="A180" s="3" t="s">
        <v>312</v>
      </c>
      <c r="B180" s="3" t="s">
        <v>1</v>
      </c>
      <c r="C180" s="3" t="s">
        <v>938</v>
      </c>
      <c r="D180" s="3" t="s">
        <v>954</v>
      </c>
    </row>
    <row r="181" spans="1:4" x14ac:dyDescent="0.2">
      <c r="A181" s="3" t="s">
        <v>330</v>
      </c>
      <c r="B181" s="3" t="s">
        <v>1</v>
      </c>
      <c r="C181" s="3" t="s">
        <v>938</v>
      </c>
      <c r="D181" s="3" t="s">
        <v>954</v>
      </c>
    </row>
    <row r="182" spans="1:4" x14ac:dyDescent="0.2">
      <c r="A182" s="3" t="s">
        <v>348</v>
      </c>
      <c r="B182" s="3" t="s">
        <v>1</v>
      </c>
      <c r="C182" s="3" t="s">
        <v>938</v>
      </c>
      <c r="D182" s="3" t="s">
        <v>954</v>
      </c>
    </row>
    <row r="183" spans="1:4" x14ac:dyDescent="0.2">
      <c r="A183" s="3" t="s">
        <v>349</v>
      </c>
      <c r="B183" s="3" t="s">
        <v>1</v>
      </c>
      <c r="C183" s="3" t="s">
        <v>938</v>
      </c>
      <c r="D183" s="3" t="s">
        <v>954</v>
      </c>
    </row>
    <row r="184" spans="1:4" x14ac:dyDescent="0.2">
      <c r="A184" s="3" t="s">
        <v>369</v>
      </c>
      <c r="B184" s="3" t="s">
        <v>1</v>
      </c>
      <c r="C184" s="3" t="s">
        <v>938</v>
      </c>
      <c r="D184" s="3" t="s">
        <v>954</v>
      </c>
    </row>
    <row r="185" spans="1:4" x14ac:dyDescent="0.2">
      <c r="A185" s="3" t="s">
        <v>387</v>
      </c>
      <c r="B185" s="3" t="s">
        <v>1</v>
      </c>
      <c r="C185" s="3" t="s">
        <v>938</v>
      </c>
      <c r="D185" s="3" t="s">
        <v>954</v>
      </c>
    </row>
    <row r="186" spans="1:4" x14ac:dyDescent="0.2">
      <c r="A186" s="3" t="s">
        <v>388</v>
      </c>
      <c r="B186" s="3" t="s">
        <v>1</v>
      </c>
      <c r="C186" s="3" t="s">
        <v>938</v>
      </c>
      <c r="D186" s="3" t="s">
        <v>954</v>
      </c>
    </row>
    <row r="187" spans="1:4" x14ac:dyDescent="0.2">
      <c r="A187" s="3" t="s">
        <v>389</v>
      </c>
      <c r="B187" s="3" t="s">
        <v>1</v>
      </c>
      <c r="C187" s="3" t="s">
        <v>938</v>
      </c>
      <c r="D187" s="3" t="s">
        <v>954</v>
      </c>
    </row>
    <row r="188" spans="1:4" x14ac:dyDescent="0.2">
      <c r="A188" s="3" t="s">
        <v>390</v>
      </c>
      <c r="B188" s="3" t="s">
        <v>1</v>
      </c>
      <c r="C188" s="3" t="s">
        <v>938</v>
      </c>
      <c r="D188" s="3" t="s">
        <v>954</v>
      </c>
    </row>
    <row r="189" spans="1:4" x14ac:dyDescent="0.2">
      <c r="A189" s="3" t="s">
        <v>391</v>
      </c>
      <c r="B189" s="3" t="s">
        <v>1</v>
      </c>
      <c r="C189" s="3" t="s">
        <v>938</v>
      </c>
      <c r="D189" s="3" t="s">
        <v>954</v>
      </c>
    </row>
    <row r="190" spans="1:4" x14ac:dyDescent="0.2">
      <c r="A190" s="3" t="s">
        <v>392</v>
      </c>
      <c r="B190" s="3" t="s">
        <v>1</v>
      </c>
      <c r="C190" s="3" t="s">
        <v>938</v>
      </c>
      <c r="D190" s="3" t="s">
        <v>954</v>
      </c>
    </row>
    <row r="191" spans="1:4" x14ac:dyDescent="0.2">
      <c r="A191" s="3" t="s">
        <v>108</v>
      </c>
      <c r="B191" s="3" t="s">
        <v>27</v>
      </c>
      <c r="C191" s="3" t="s">
        <v>938</v>
      </c>
      <c r="D191" s="3" t="s">
        <v>967</v>
      </c>
    </row>
    <row r="192" spans="1:4" x14ac:dyDescent="0.2">
      <c r="A192" s="3" t="s">
        <v>109</v>
      </c>
      <c r="B192" s="3" t="s">
        <v>27</v>
      </c>
      <c r="C192" s="3" t="s">
        <v>938</v>
      </c>
      <c r="D192" s="3" t="s">
        <v>967</v>
      </c>
    </row>
    <row r="193" spans="1:4" x14ac:dyDescent="0.2">
      <c r="A193" s="3" t="s">
        <v>110</v>
      </c>
      <c r="B193" s="3" t="s">
        <v>27</v>
      </c>
      <c r="C193" s="3" t="s">
        <v>938</v>
      </c>
      <c r="D193" s="3" t="s">
        <v>967</v>
      </c>
    </row>
    <row r="194" spans="1:4" x14ac:dyDescent="0.2">
      <c r="A194" s="3" t="s">
        <v>111</v>
      </c>
      <c r="B194" s="3" t="s">
        <v>27</v>
      </c>
      <c r="C194" s="3" t="s">
        <v>938</v>
      </c>
      <c r="D194" s="3" t="s">
        <v>967</v>
      </c>
    </row>
    <row r="195" spans="1:4" x14ac:dyDescent="0.2">
      <c r="A195" s="3" t="s">
        <v>112</v>
      </c>
      <c r="B195" s="3" t="s">
        <v>27</v>
      </c>
      <c r="C195" s="3" t="s">
        <v>938</v>
      </c>
      <c r="D195" s="3" t="s">
        <v>967</v>
      </c>
    </row>
    <row r="196" spans="1:4" x14ac:dyDescent="0.2">
      <c r="A196" s="3" t="s">
        <v>113</v>
      </c>
      <c r="B196" s="3" t="s">
        <v>27</v>
      </c>
      <c r="C196" s="3" t="s">
        <v>938</v>
      </c>
      <c r="D196" s="3" t="s">
        <v>967</v>
      </c>
    </row>
    <row r="197" spans="1:4" x14ac:dyDescent="0.2">
      <c r="A197" s="3" t="s">
        <v>121</v>
      </c>
      <c r="B197" s="3" t="s">
        <v>27</v>
      </c>
      <c r="C197" s="3" t="s">
        <v>938</v>
      </c>
      <c r="D197" s="3" t="s">
        <v>967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942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942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942</v>
      </c>
    </row>
    <row r="201" spans="1:4" x14ac:dyDescent="0.2">
      <c r="A201" s="3" t="s">
        <v>38</v>
      </c>
      <c r="B201" s="3" t="s">
        <v>943</v>
      </c>
      <c r="C201" s="3" t="s">
        <v>17</v>
      </c>
      <c r="D201" s="3" t="s">
        <v>951</v>
      </c>
    </row>
    <row r="202" spans="1:4" x14ac:dyDescent="0.2">
      <c r="A202" s="3" t="s">
        <v>402</v>
      </c>
      <c r="B202" s="3" t="s">
        <v>943</v>
      </c>
      <c r="C202" s="3" t="s">
        <v>17</v>
      </c>
      <c r="D202" s="3" t="s">
        <v>951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952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952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952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952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952</v>
      </c>
    </row>
    <row r="208" spans="1:4" x14ac:dyDescent="0.2">
      <c r="A208" s="3" t="s">
        <v>1688</v>
      </c>
      <c r="B208" s="3" t="s">
        <v>1</v>
      </c>
      <c r="C208" s="3" t="s">
        <v>2</v>
      </c>
      <c r="D208" s="3" t="s">
        <v>952</v>
      </c>
    </row>
    <row r="209" spans="1:4" x14ac:dyDescent="0.2">
      <c r="A209" s="3" t="s">
        <v>195</v>
      </c>
      <c r="B209" s="3" t="s">
        <v>1</v>
      </c>
      <c r="C209" s="3" t="s">
        <v>17</v>
      </c>
      <c r="D209" s="3" t="s">
        <v>953</v>
      </c>
    </row>
    <row r="210" spans="1:4" x14ac:dyDescent="0.2">
      <c r="A210" s="3" t="s">
        <v>196</v>
      </c>
      <c r="B210" s="3" t="s">
        <v>1</v>
      </c>
      <c r="C210" s="3" t="s">
        <v>17</v>
      </c>
      <c r="D210" s="3" t="s">
        <v>953</v>
      </c>
    </row>
    <row r="211" spans="1:4" x14ac:dyDescent="0.2">
      <c r="A211" s="3" t="s">
        <v>235</v>
      </c>
      <c r="B211" s="3" t="s">
        <v>1</v>
      </c>
      <c r="C211" s="3" t="s">
        <v>968</v>
      </c>
      <c r="D211" s="3" t="s">
        <v>970</v>
      </c>
    </row>
    <row r="212" spans="1:4" x14ac:dyDescent="0.2">
      <c r="A212" s="3" t="s">
        <v>200</v>
      </c>
      <c r="B212" s="3" t="s">
        <v>1</v>
      </c>
      <c r="C212" s="3" t="s">
        <v>17</v>
      </c>
      <c r="D212" s="3" t="s">
        <v>956</v>
      </c>
    </row>
    <row r="213" spans="1:4" x14ac:dyDescent="0.2">
      <c r="A213" s="3" t="s">
        <v>201</v>
      </c>
      <c r="B213" s="3" t="s">
        <v>1</v>
      </c>
      <c r="C213" s="3" t="s">
        <v>17</v>
      </c>
      <c r="D213" s="3" t="s">
        <v>956</v>
      </c>
    </row>
    <row r="214" spans="1:4" x14ac:dyDescent="0.2">
      <c r="A214" s="3" t="s">
        <v>202</v>
      </c>
      <c r="B214" s="3" t="s">
        <v>1</v>
      </c>
      <c r="C214" s="3" t="s">
        <v>17</v>
      </c>
      <c r="D214" s="3" t="s">
        <v>956</v>
      </c>
    </row>
    <row r="215" spans="1:4" x14ac:dyDescent="0.2">
      <c r="A215" s="3" t="s">
        <v>1142</v>
      </c>
      <c r="B215" s="3" t="s">
        <v>1</v>
      </c>
      <c r="C215" s="3" t="s">
        <v>19</v>
      </c>
      <c r="D215" s="3" t="s">
        <v>955</v>
      </c>
    </row>
    <row r="216" spans="1:4" x14ac:dyDescent="0.2">
      <c r="A216" s="3" t="s">
        <v>197</v>
      </c>
      <c r="B216" s="3" t="s">
        <v>1</v>
      </c>
      <c r="C216" s="3" t="s">
        <v>19</v>
      </c>
      <c r="D216" s="3" t="s">
        <v>955</v>
      </c>
    </row>
    <row r="217" spans="1:4" x14ac:dyDescent="0.2">
      <c r="A217" s="3" t="s">
        <v>198</v>
      </c>
      <c r="B217" s="3" t="s">
        <v>1</v>
      </c>
      <c r="C217" s="3" t="s">
        <v>19</v>
      </c>
      <c r="D217" s="3" t="s">
        <v>955</v>
      </c>
    </row>
    <row r="218" spans="1:4" x14ac:dyDescent="0.2">
      <c r="A218" s="3" t="s">
        <v>199</v>
      </c>
      <c r="B218" s="3" t="s">
        <v>1</v>
      </c>
      <c r="C218" s="3" t="s">
        <v>19</v>
      </c>
      <c r="D218" s="3" t="s">
        <v>955</v>
      </c>
    </row>
    <row r="219" spans="1:4" x14ac:dyDescent="0.2">
      <c r="A219" s="3" t="s">
        <v>257</v>
      </c>
      <c r="B219" s="3" t="s">
        <v>1</v>
      </c>
      <c r="C219" s="3" t="s">
        <v>19</v>
      </c>
      <c r="D219" s="3" t="s">
        <v>955</v>
      </c>
    </row>
    <row r="220" spans="1:4" x14ac:dyDescent="0.2">
      <c r="A220" s="3" t="s">
        <v>442</v>
      </c>
      <c r="B220" s="3" t="s">
        <v>28</v>
      </c>
      <c r="C220" s="3" t="s">
        <v>29</v>
      </c>
      <c r="D220" s="3" t="s">
        <v>958</v>
      </c>
    </row>
    <row r="221" spans="1:4" x14ac:dyDescent="0.2">
      <c r="A221" s="3" t="s">
        <v>443</v>
      </c>
      <c r="B221" s="3" t="s">
        <v>28</v>
      </c>
      <c r="C221" s="3" t="s">
        <v>29</v>
      </c>
      <c r="D221" s="3" t="s">
        <v>958</v>
      </c>
    </row>
    <row r="222" spans="1:4" x14ac:dyDescent="0.2">
      <c r="A222" s="3" t="s">
        <v>444</v>
      </c>
      <c r="B222" s="3" t="s">
        <v>28</v>
      </c>
      <c r="C222" s="3" t="s">
        <v>29</v>
      </c>
      <c r="D222" s="3" t="s">
        <v>958</v>
      </c>
    </row>
    <row r="223" spans="1:4" x14ac:dyDescent="0.2">
      <c r="A223" s="3" t="s">
        <v>445</v>
      </c>
      <c r="B223" s="3" t="s">
        <v>28</v>
      </c>
      <c r="C223" s="3" t="s">
        <v>29</v>
      </c>
      <c r="D223" s="3" t="s">
        <v>958</v>
      </c>
    </row>
    <row r="224" spans="1:4" x14ac:dyDescent="0.2">
      <c r="A224" s="3" t="s">
        <v>446</v>
      </c>
      <c r="B224" s="3" t="s">
        <v>28</v>
      </c>
      <c r="C224" s="3" t="s">
        <v>29</v>
      </c>
      <c r="D224" s="3" t="s">
        <v>958</v>
      </c>
    </row>
    <row r="225" spans="1:4" x14ac:dyDescent="0.2">
      <c r="A225" s="3" t="s">
        <v>447</v>
      </c>
      <c r="B225" s="3" t="s">
        <v>28</v>
      </c>
      <c r="C225" s="3" t="s">
        <v>29</v>
      </c>
      <c r="D225" s="3" t="s">
        <v>958</v>
      </c>
    </row>
    <row r="226" spans="1:4" x14ac:dyDescent="0.2">
      <c r="A226" s="3" t="s">
        <v>448</v>
      </c>
      <c r="B226" s="3" t="s">
        <v>28</v>
      </c>
      <c r="C226" s="3" t="s">
        <v>29</v>
      </c>
      <c r="D226" s="3" t="s">
        <v>958</v>
      </c>
    </row>
    <row r="227" spans="1:4" x14ac:dyDescent="0.2">
      <c r="A227" s="3" t="s">
        <v>449</v>
      </c>
      <c r="B227" s="3" t="s">
        <v>28</v>
      </c>
      <c r="C227" s="3" t="s">
        <v>29</v>
      </c>
      <c r="D227" s="3" t="s">
        <v>958</v>
      </c>
    </row>
    <row r="228" spans="1:4" x14ac:dyDescent="0.2">
      <c r="A228" s="3" t="s">
        <v>450</v>
      </c>
      <c r="B228" s="3" t="s">
        <v>28</v>
      </c>
      <c r="C228" s="3" t="s">
        <v>29</v>
      </c>
      <c r="D228" s="3" t="s">
        <v>958</v>
      </c>
    </row>
    <row r="229" spans="1:4" x14ac:dyDescent="0.2">
      <c r="A229" s="3" t="s">
        <v>451</v>
      </c>
      <c r="B229" s="3" t="s">
        <v>28</v>
      </c>
      <c r="C229" s="3" t="s">
        <v>29</v>
      </c>
      <c r="D229" s="3" t="s">
        <v>958</v>
      </c>
    </row>
    <row r="230" spans="1:4" x14ac:dyDescent="0.2">
      <c r="A230" s="3" t="s">
        <v>33</v>
      </c>
      <c r="B230" s="3" t="s">
        <v>28</v>
      </c>
      <c r="C230" s="3" t="s">
        <v>29</v>
      </c>
      <c r="D230" s="3" t="s">
        <v>958</v>
      </c>
    </row>
    <row r="231" spans="1:4" x14ac:dyDescent="0.2">
      <c r="A231" s="3" t="s">
        <v>1588</v>
      </c>
      <c r="B231" s="3" t="s">
        <v>28</v>
      </c>
      <c r="C231" s="3" t="s">
        <v>29</v>
      </c>
      <c r="D231" s="3" t="s">
        <v>958</v>
      </c>
    </row>
    <row r="232" spans="1:4" x14ac:dyDescent="0.2">
      <c r="A232" s="121" t="s">
        <v>1489</v>
      </c>
      <c r="B232" s="3" t="s">
        <v>28</v>
      </c>
      <c r="C232" s="3" t="s">
        <v>29</v>
      </c>
      <c r="D232" s="3" t="s">
        <v>958</v>
      </c>
    </row>
    <row r="233" spans="1:4" x14ac:dyDescent="0.2">
      <c r="A233" s="3" t="s">
        <v>106</v>
      </c>
      <c r="B233" s="3" t="s">
        <v>27</v>
      </c>
      <c r="C233" s="3" t="s">
        <v>960</v>
      </c>
      <c r="D233" s="3" t="s">
        <v>961</v>
      </c>
    </row>
    <row r="234" spans="1:4" x14ac:dyDescent="0.2">
      <c r="A234" s="3" t="s">
        <v>107</v>
      </c>
      <c r="B234" s="3" t="s">
        <v>27</v>
      </c>
      <c r="C234" s="3" t="s">
        <v>960</v>
      </c>
      <c r="D234" s="3" t="s">
        <v>961</v>
      </c>
    </row>
    <row r="235" spans="1:4" x14ac:dyDescent="0.2">
      <c r="A235" s="3" t="s">
        <v>204</v>
      </c>
      <c r="B235" s="3" t="s">
        <v>1</v>
      </c>
      <c r="C235" s="3" t="s">
        <v>17</v>
      </c>
      <c r="D235" s="3" t="s">
        <v>962</v>
      </c>
    </row>
    <row r="236" spans="1:4" x14ac:dyDescent="0.2">
      <c r="A236" s="3" t="s">
        <v>205</v>
      </c>
      <c r="B236" s="3" t="s">
        <v>1</v>
      </c>
      <c r="C236" s="3" t="s">
        <v>17</v>
      </c>
      <c r="D236" s="3" t="s">
        <v>962</v>
      </c>
    </row>
    <row r="237" spans="1:4" x14ac:dyDescent="0.2">
      <c r="A237" s="3" t="s">
        <v>206</v>
      </c>
      <c r="B237" s="3" t="s">
        <v>1</v>
      </c>
      <c r="C237" s="3" t="s">
        <v>17</v>
      </c>
      <c r="D237" s="3" t="s">
        <v>962</v>
      </c>
    </row>
    <row r="238" spans="1:4" x14ac:dyDescent="0.2">
      <c r="A238" s="3" t="s">
        <v>208</v>
      </c>
      <c r="B238" s="3" t="s">
        <v>1</v>
      </c>
      <c r="C238" s="3" t="s">
        <v>17</v>
      </c>
      <c r="D238" s="3" t="s">
        <v>964</v>
      </c>
    </row>
    <row r="239" spans="1:4" x14ac:dyDescent="0.2">
      <c r="A239" s="3" t="s">
        <v>403</v>
      </c>
      <c r="B239" s="3" t="s">
        <v>943</v>
      </c>
      <c r="C239" s="3" t="s">
        <v>17</v>
      </c>
      <c r="D239" s="3" t="s">
        <v>963</v>
      </c>
    </row>
    <row r="240" spans="1:4" x14ac:dyDescent="0.2">
      <c r="A240" s="3" t="s">
        <v>404</v>
      </c>
      <c r="B240" s="3" t="s">
        <v>943</v>
      </c>
      <c r="C240" s="3" t="s">
        <v>17</v>
      </c>
      <c r="D240" s="3" t="s">
        <v>963</v>
      </c>
    </row>
    <row r="241" spans="1:4" x14ac:dyDescent="0.2">
      <c r="A241" s="3" t="s">
        <v>405</v>
      </c>
      <c r="B241" s="3" t="s">
        <v>943</v>
      </c>
      <c r="C241" s="3" t="s">
        <v>17</v>
      </c>
      <c r="D241" s="3" t="s">
        <v>963</v>
      </c>
    </row>
    <row r="242" spans="1:4" x14ac:dyDescent="0.2">
      <c r="A242" s="3" t="s">
        <v>406</v>
      </c>
      <c r="B242" s="3" t="s">
        <v>943</v>
      </c>
      <c r="C242" s="3" t="s">
        <v>17</v>
      </c>
      <c r="D242" s="3" t="s">
        <v>963</v>
      </c>
    </row>
    <row r="243" spans="1:4" x14ac:dyDescent="0.2">
      <c r="A243" s="3" t="s">
        <v>32</v>
      </c>
      <c r="B243" s="3" t="s">
        <v>943</v>
      </c>
      <c r="C243" s="3" t="s">
        <v>17</v>
      </c>
      <c r="D243" s="3" t="s">
        <v>963</v>
      </c>
    </row>
    <row r="244" spans="1:4" x14ac:dyDescent="0.2">
      <c r="A244" s="3" t="s">
        <v>410</v>
      </c>
      <c r="B244" s="3" t="s">
        <v>943</v>
      </c>
      <c r="C244" s="3" t="s">
        <v>17</v>
      </c>
      <c r="D244" s="3" t="s">
        <v>963</v>
      </c>
    </row>
    <row r="245" spans="1:4" x14ac:dyDescent="0.2">
      <c r="A245" s="3" t="s">
        <v>1414</v>
      </c>
      <c r="B245" s="3" t="s">
        <v>943</v>
      </c>
      <c r="C245" s="3" t="s">
        <v>17</v>
      </c>
      <c r="D245" s="3" t="s">
        <v>963</v>
      </c>
    </row>
    <row r="246" spans="1:4" x14ac:dyDescent="0.2">
      <c r="A246" s="3" t="s">
        <v>203</v>
      </c>
      <c r="B246" s="3" t="s">
        <v>1</v>
      </c>
      <c r="C246" s="3" t="s">
        <v>29</v>
      </c>
      <c r="D246" s="3" t="s">
        <v>957</v>
      </c>
    </row>
    <row r="247" spans="1:4" x14ac:dyDescent="0.2">
      <c r="A247" s="3" t="s">
        <v>290</v>
      </c>
      <c r="B247" s="3" t="s">
        <v>1</v>
      </c>
      <c r="C247" s="3" t="s">
        <v>29</v>
      </c>
      <c r="D247" s="3" t="s">
        <v>957</v>
      </c>
    </row>
    <row r="248" spans="1:4" x14ac:dyDescent="0.2">
      <c r="A248" s="3" t="s">
        <v>394</v>
      </c>
      <c r="B248" s="3" t="s">
        <v>1</v>
      </c>
      <c r="C248" s="3" t="s">
        <v>29</v>
      </c>
      <c r="D248" s="3" t="s">
        <v>957</v>
      </c>
    </row>
    <row r="249" spans="1:4" x14ac:dyDescent="0.2">
      <c r="A249" s="3" t="s">
        <v>209</v>
      </c>
      <c r="B249" s="3" t="s">
        <v>1</v>
      </c>
      <c r="C249" s="3" t="s">
        <v>17</v>
      </c>
      <c r="D249" s="3" t="s">
        <v>965</v>
      </c>
    </row>
    <row r="250" spans="1:4" x14ac:dyDescent="0.2">
      <c r="A250" s="3" t="s">
        <v>210</v>
      </c>
      <c r="B250" s="3" t="s">
        <v>1</v>
      </c>
      <c r="C250" s="3" t="s">
        <v>17</v>
      </c>
      <c r="D250" s="3" t="s">
        <v>965</v>
      </c>
    </row>
    <row r="251" spans="1:4" x14ac:dyDescent="0.2">
      <c r="A251" s="3" t="s">
        <v>212</v>
      </c>
      <c r="B251" s="3" t="s">
        <v>1</v>
      </c>
      <c r="C251" s="3" t="s">
        <v>19</v>
      </c>
      <c r="D251" s="3" t="s">
        <v>966</v>
      </c>
    </row>
    <row r="252" spans="1:4" x14ac:dyDescent="0.2">
      <c r="A252" s="3" t="s">
        <v>240</v>
      </c>
      <c r="B252" s="3" t="s">
        <v>1</v>
      </c>
      <c r="C252" s="3" t="s">
        <v>19</v>
      </c>
      <c r="D252" s="3" t="s">
        <v>966</v>
      </c>
    </row>
    <row r="253" spans="1:4" x14ac:dyDescent="0.2">
      <c r="A253" s="3" t="s">
        <v>260</v>
      </c>
      <c r="B253" s="3" t="s">
        <v>1</v>
      </c>
      <c r="C253" s="3" t="s">
        <v>19</v>
      </c>
      <c r="D253" s="3" t="s">
        <v>966</v>
      </c>
    </row>
    <row r="254" spans="1:4" x14ac:dyDescent="0.2">
      <c r="A254" s="3" t="s">
        <v>277</v>
      </c>
      <c r="B254" s="3" t="s">
        <v>1</v>
      </c>
      <c r="C254" s="3" t="s">
        <v>2</v>
      </c>
      <c r="D254" s="3" t="s">
        <v>974</v>
      </c>
    </row>
    <row r="255" spans="1:4" x14ac:dyDescent="0.2">
      <c r="A255" s="3" t="s">
        <v>278</v>
      </c>
      <c r="B255" s="3" t="s">
        <v>1</v>
      </c>
      <c r="C255" s="3" t="s">
        <v>2</v>
      </c>
      <c r="D255" s="3" t="s">
        <v>974</v>
      </c>
    </row>
    <row r="256" spans="1:4" x14ac:dyDescent="0.2">
      <c r="A256" s="3" t="s">
        <v>279</v>
      </c>
      <c r="B256" s="3" t="s">
        <v>1</v>
      </c>
      <c r="C256" s="3" t="s">
        <v>2</v>
      </c>
      <c r="D256" s="3" t="s">
        <v>974</v>
      </c>
    </row>
    <row r="257" spans="1:4" x14ac:dyDescent="0.2">
      <c r="A257" s="3" t="s">
        <v>280</v>
      </c>
      <c r="B257" s="3" t="s">
        <v>1</v>
      </c>
      <c r="C257" s="3" t="s">
        <v>2</v>
      </c>
      <c r="D257" s="3" t="s">
        <v>974</v>
      </c>
    </row>
    <row r="258" spans="1:4" x14ac:dyDescent="0.2">
      <c r="A258" s="3" t="s">
        <v>274</v>
      </c>
      <c r="B258" s="3" t="s">
        <v>1</v>
      </c>
      <c r="C258" s="3" t="s">
        <v>972</v>
      </c>
      <c r="D258" s="3" t="s">
        <v>973</v>
      </c>
    </row>
    <row r="259" spans="1:4" x14ac:dyDescent="0.2">
      <c r="A259" s="3" t="s">
        <v>275</v>
      </c>
      <c r="B259" s="3" t="s">
        <v>1</v>
      </c>
      <c r="C259" s="3" t="s">
        <v>972</v>
      </c>
      <c r="D259" s="3" t="s">
        <v>973</v>
      </c>
    </row>
    <row r="260" spans="1:4" x14ac:dyDescent="0.2">
      <c r="A260" s="3" t="s">
        <v>276</v>
      </c>
      <c r="B260" s="3" t="s">
        <v>1</v>
      </c>
      <c r="C260" s="3" t="s">
        <v>972</v>
      </c>
      <c r="D260" s="3" t="s">
        <v>973</v>
      </c>
    </row>
    <row r="261" spans="1:4" x14ac:dyDescent="0.2">
      <c r="A261" s="3" t="s">
        <v>281</v>
      </c>
      <c r="B261" s="3" t="s">
        <v>1</v>
      </c>
      <c r="C261" s="3" t="s">
        <v>17</v>
      </c>
      <c r="D261" s="3" t="s">
        <v>975</v>
      </c>
    </row>
    <row r="262" spans="1:4" x14ac:dyDescent="0.2">
      <c r="A262" s="3" t="s">
        <v>179</v>
      </c>
      <c r="B262" s="3" t="s">
        <v>1</v>
      </c>
      <c r="C262" s="3" t="s">
        <v>19</v>
      </c>
      <c r="D262" s="3" t="s">
        <v>948</v>
      </c>
    </row>
    <row r="263" spans="1:4" x14ac:dyDescent="0.2">
      <c r="A263" s="3" t="s">
        <v>180</v>
      </c>
      <c r="B263" s="3" t="s">
        <v>1</v>
      </c>
      <c r="C263" s="3" t="s">
        <v>19</v>
      </c>
      <c r="D263" s="3" t="s">
        <v>948</v>
      </c>
    </row>
    <row r="264" spans="1:4" x14ac:dyDescent="0.2">
      <c r="A264" s="3" t="s">
        <v>291</v>
      </c>
      <c r="B264" s="3" t="s">
        <v>1</v>
      </c>
      <c r="C264" s="3" t="s">
        <v>19</v>
      </c>
      <c r="D264" s="3" t="s">
        <v>948</v>
      </c>
    </row>
    <row r="265" spans="1:4" x14ac:dyDescent="0.2">
      <c r="A265" s="3" t="s">
        <v>292</v>
      </c>
      <c r="B265" s="3" t="s">
        <v>1</v>
      </c>
      <c r="C265" s="3" t="s">
        <v>19</v>
      </c>
      <c r="D265" s="3" t="s">
        <v>948</v>
      </c>
    </row>
    <row r="266" spans="1:4" x14ac:dyDescent="0.2">
      <c r="A266" s="3" t="s">
        <v>341</v>
      </c>
      <c r="B266" s="3" t="s">
        <v>1</v>
      </c>
      <c r="C266" s="3" t="s">
        <v>19</v>
      </c>
      <c r="D266" s="3" t="s">
        <v>948</v>
      </c>
    </row>
    <row r="267" spans="1:4" x14ac:dyDescent="0.2">
      <c r="A267" s="3" t="s">
        <v>1445</v>
      </c>
      <c r="B267" s="3" t="s">
        <v>1</v>
      </c>
      <c r="C267" s="3" t="s">
        <v>19</v>
      </c>
      <c r="D267" s="3" t="s">
        <v>948</v>
      </c>
    </row>
    <row r="268" spans="1:4" x14ac:dyDescent="0.2">
      <c r="A268" s="3" t="s">
        <v>103</v>
      </c>
      <c r="B268" s="3" t="s">
        <v>1</v>
      </c>
      <c r="C268" s="3" t="s">
        <v>19</v>
      </c>
      <c r="D268" s="3" t="s">
        <v>976</v>
      </c>
    </row>
    <row r="269" spans="1:4" x14ac:dyDescent="0.2">
      <c r="A269" s="3" t="s">
        <v>285</v>
      </c>
      <c r="B269" s="3" t="s">
        <v>1</v>
      </c>
      <c r="C269" s="3" t="s">
        <v>19</v>
      </c>
      <c r="D269" s="3" t="s">
        <v>976</v>
      </c>
    </row>
    <row r="270" spans="1:4" x14ac:dyDescent="0.2">
      <c r="A270" s="3" t="s">
        <v>286</v>
      </c>
      <c r="B270" s="3" t="s">
        <v>1</v>
      </c>
      <c r="C270" s="3" t="s">
        <v>19</v>
      </c>
      <c r="D270" s="3" t="s">
        <v>976</v>
      </c>
    </row>
    <row r="271" spans="1:4" x14ac:dyDescent="0.2">
      <c r="A271" s="3" t="s">
        <v>287</v>
      </c>
      <c r="B271" s="3" t="s">
        <v>1</v>
      </c>
      <c r="C271" s="3" t="s">
        <v>19</v>
      </c>
      <c r="D271" s="3" t="s">
        <v>976</v>
      </c>
    </row>
    <row r="272" spans="1:4" x14ac:dyDescent="0.2">
      <c r="A272" s="3" t="s">
        <v>288</v>
      </c>
      <c r="B272" s="3" t="s">
        <v>1</v>
      </c>
      <c r="C272" s="3" t="s">
        <v>19</v>
      </c>
      <c r="D272" s="3" t="s">
        <v>976</v>
      </c>
    </row>
    <row r="273" spans="1:4" x14ac:dyDescent="0.2">
      <c r="A273" s="3" t="s">
        <v>289</v>
      </c>
      <c r="B273" s="3" t="s">
        <v>1</v>
      </c>
      <c r="C273" s="3" t="s">
        <v>19</v>
      </c>
      <c r="D273" s="3" t="s">
        <v>976</v>
      </c>
    </row>
    <row r="274" spans="1:4" x14ac:dyDescent="0.2">
      <c r="A274" s="3" t="s">
        <v>1434</v>
      </c>
      <c r="B274" s="3" t="s">
        <v>1</v>
      </c>
      <c r="C274" s="3" t="s">
        <v>19</v>
      </c>
      <c r="D274" s="3" t="s">
        <v>976</v>
      </c>
    </row>
    <row r="275" spans="1:4" x14ac:dyDescent="0.2">
      <c r="A275" s="3" t="s">
        <v>104</v>
      </c>
      <c r="B275" s="3" t="s">
        <v>1</v>
      </c>
      <c r="C275" s="3" t="s">
        <v>19</v>
      </c>
      <c r="D275" s="3" t="s">
        <v>1002</v>
      </c>
    </row>
    <row r="276" spans="1:4" x14ac:dyDescent="0.2">
      <c r="A276" s="3" t="s">
        <v>376</v>
      </c>
      <c r="B276" s="3" t="s">
        <v>1</v>
      </c>
      <c r="C276" s="3" t="s">
        <v>19</v>
      </c>
      <c r="D276" s="3" t="s">
        <v>1002</v>
      </c>
    </row>
    <row r="277" spans="1:4" x14ac:dyDescent="0.2">
      <c r="A277" s="3" t="s">
        <v>377</v>
      </c>
      <c r="B277" s="3" t="s">
        <v>1</v>
      </c>
      <c r="C277" s="3" t="s">
        <v>19</v>
      </c>
      <c r="D277" s="3" t="s">
        <v>1002</v>
      </c>
    </row>
    <row r="278" spans="1:4" x14ac:dyDescent="0.2">
      <c r="A278" s="3" t="s">
        <v>378</v>
      </c>
      <c r="B278" s="3" t="s">
        <v>1</v>
      </c>
      <c r="C278" s="3" t="s">
        <v>19</v>
      </c>
      <c r="D278" s="3" t="s">
        <v>1002</v>
      </c>
    </row>
    <row r="279" spans="1:4" x14ac:dyDescent="0.2">
      <c r="A279" s="3" t="s">
        <v>379</v>
      </c>
      <c r="B279" s="3" t="s">
        <v>1</v>
      </c>
      <c r="C279" s="3" t="s">
        <v>19</v>
      </c>
      <c r="D279" s="3" t="s">
        <v>1002</v>
      </c>
    </row>
    <row r="280" spans="1:4" x14ac:dyDescent="0.2">
      <c r="A280" s="3" t="s">
        <v>298</v>
      </c>
      <c r="B280" s="3" t="s">
        <v>1</v>
      </c>
      <c r="C280" s="3" t="s">
        <v>17</v>
      </c>
      <c r="D280" s="3" t="s">
        <v>977</v>
      </c>
    </row>
    <row r="281" spans="1:4" x14ac:dyDescent="0.2">
      <c r="A281" s="3" t="s">
        <v>299</v>
      </c>
      <c r="B281" s="3" t="s">
        <v>1</v>
      </c>
      <c r="C281" s="3" t="s">
        <v>17</v>
      </c>
      <c r="D281" s="3" t="s">
        <v>977</v>
      </c>
    </row>
    <row r="282" spans="1:4" x14ac:dyDescent="0.2">
      <c r="A282" s="3" t="s">
        <v>151</v>
      </c>
      <c r="B282" s="3" t="s">
        <v>1</v>
      </c>
      <c r="C282" s="3" t="s">
        <v>17</v>
      </c>
      <c r="D282" s="3" t="s">
        <v>933</v>
      </c>
    </row>
    <row r="283" spans="1:4" x14ac:dyDescent="0.2">
      <c r="A283" s="3" t="s">
        <v>295</v>
      </c>
      <c r="B283" s="3" t="s">
        <v>1</v>
      </c>
      <c r="C283" s="3" t="s">
        <v>17</v>
      </c>
      <c r="D283" s="3" t="s">
        <v>933</v>
      </c>
    </row>
    <row r="284" spans="1:4" x14ac:dyDescent="0.2">
      <c r="A284" s="3" t="s">
        <v>296</v>
      </c>
      <c r="B284" s="3" t="s">
        <v>1</v>
      </c>
      <c r="C284" s="3" t="s">
        <v>17</v>
      </c>
      <c r="D284" s="3" t="s">
        <v>933</v>
      </c>
    </row>
    <row r="285" spans="1:4" x14ac:dyDescent="0.2">
      <c r="A285" s="3" t="s">
        <v>297</v>
      </c>
      <c r="B285" s="3" t="s">
        <v>1</v>
      </c>
      <c r="C285" s="3" t="s">
        <v>17</v>
      </c>
      <c r="D285" s="3" t="s">
        <v>933</v>
      </c>
    </row>
    <row r="286" spans="1:4" x14ac:dyDescent="0.2">
      <c r="A286" s="3" t="s">
        <v>308</v>
      </c>
      <c r="B286" s="3" t="s">
        <v>1</v>
      </c>
      <c r="C286" s="3" t="s">
        <v>17</v>
      </c>
      <c r="D286" s="3" t="s">
        <v>933</v>
      </c>
    </row>
    <row r="287" spans="1:4" x14ac:dyDescent="0.2">
      <c r="A287" s="3" t="s">
        <v>310</v>
      </c>
      <c r="B287" s="3" t="s">
        <v>1</v>
      </c>
      <c r="C287" s="3" t="s">
        <v>979</v>
      </c>
      <c r="D287" s="3" t="s">
        <v>979</v>
      </c>
    </row>
    <row r="288" spans="1:4" x14ac:dyDescent="0.2">
      <c r="A288" s="3" t="s">
        <v>311</v>
      </c>
      <c r="B288" s="3" t="s">
        <v>1</v>
      </c>
      <c r="C288" s="3" t="s">
        <v>979</v>
      </c>
      <c r="D288" s="3" t="s">
        <v>979</v>
      </c>
    </row>
    <row r="289" spans="1:4" x14ac:dyDescent="0.2">
      <c r="A289" s="3" t="s">
        <v>40</v>
      </c>
      <c r="B289" s="3" t="s">
        <v>27</v>
      </c>
      <c r="C289" s="3" t="s">
        <v>960</v>
      </c>
      <c r="D289" s="3" t="s">
        <v>971</v>
      </c>
    </row>
    <row r="290" spans="1:4" x14ac:dyDescent="0.2">
      <c r="A290" s="3" t="s">
        <v>115</v>
      </c>
      <c r="B290" s="3" t="s">
        <v>27</v>
      </c>
      <c r="C290" s="3" t="s">
        <v>960</v>
      </c>
      <c r="D290" s="3" t="s">
        <v>971</v>
      </c>
    </row>
    <row r="291" spans="1:4" x14ac:dyDescent="0.2">
      <c r="A291" s="3" t="s">
        <v>116</v>
      </c>
      <c r="B291" s="3" t="s">
        <v>27</v>
      </c>
      <c r="C291" s="3" t="s">
        <v>960</v>
      </c>
      <c r="D291" s="3" t="s">
        <v>971</v>
      </c>
    </row>
    <row r="292" spans="1:4" x14ac:dyDescent="0.2">
      <c r="A292" s="3" t="s">
        <v>117</v>
      </c>
      <c r="B292" s="3" t="s">
        <v>27</v>
      </c>
      <c r="C292" s="3" t="s">
        <v>960</v>
      </c>
      <c r="D292" s="3" t="s">
        <v>971</v>
      </c>
    </row>
    <row r="293" spans="1:4" x14ac:dyDescent="0.2">
      <c r="A293" s="3" t="s">
        <v>41</v>
      </c>
      <c r="B293" s="3" t="s">
        <v>27</v>
      </c>
      <c r="C293" s="3" t="s">
        <v>960</v>
      </c>
      <c r="D293" s="3" t="s">
        <v>971</v>
      </c>
    </row>
    <row r="294" spans="1:4" x14ac:dyDescent="0.2">
      <c r="A294" s="3" t="s">
        <v>118</v>
      </c>
      <c r="B294" s="3" t="s">
        <v>27</v>
      </c>
      <c r="C294" s="3" t="s">
        <v>960</v>
      </c>
      <c r="D294" s="3" t="s">
        <v>971</v>
      </c>
    </row>
    <row r="295" spans="1:4" x14ac:dyDescent="0.2">
      <c r="A295" s="3" t="s">
        <v>119</v>
      </c>
      <c r="B295" s="3" t="s">
        <v>27</v>
      </c>
      <c r="C295" s="3" t="s">
        <v>960</v>
      </c>
      <c r="D295" s="3" t="s">
        <v>971</v>
      </c>
    </row>
    <row r="296" spans="1:4" x14ac:dyDescent="0.2">
      <c r="A296" s="3" t="s">
        <v>120</v>
      </c>
      <c r="B296" s="3" t="s">
        <v>27</v>
      </c>
      <c r="C296" s="3" t="s">
        <v>960</v>
      </c>
      <c r="D296" s="3" t="s">
        <v>971</v>
      </c>
    </row>
    <row r="297" spans="1:4" x14ac:dyDescent="0.2">
      <c r="A297" s="3" t="s">
        <v>309</v>
      </c>
      <c r="B297" s="3" t="s">
        <v>1</v>
      </c>
      <c r="C297" s="3" t="s">
        <v>17</v>
      </c>
      <c r="D297" s="3" t="s">
        <v>978</v>
      </c>
    </row>
    <row r="298" spans="1:4" x14ac:dyDescent="0.2">
      <c r="A298" s="3" t="s">
        <v>317</v>
      </c>
      <c r="B298" s="3" t="s">
        <v>1</v>
      </c>
      <c r="C298" s="3" t="s">
        <v>17</v>
      </c>
      <c r="D298" s="3" t="s">
        <v>981</v>
      </c>
    </row>
    <row r="299" spans="1:4" x14ac:dyDescent="0.2">
      <c r="A299" s="3" t="s">
        <v>318</v>
      </c>
      <c r="B299" s="3" t="s">
        <v>1</v>
      </c>
      <c r="C299" s="3" t="s">
        <v>17</v>
      </c>
      <c r="D299" s="3" t="s">
        <v>981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983</v>
      </c>
    </row>
    <row r="301" spans="1:4" x14ac:dyDescent="0.2">
      <c r="A301" s="3" t="s">
        <v>322</v>
      </c>
      <c r="B301" s="3" t="s">
        <v>1</v>
      </c>
      <c r="C301" s="3" t="s">
        <v>17</v>
      </c>
      <c r="D301" s="3" t="s">
        <v>983</v>
      </c>
    </row>
    <row r="302" spans="1:4" x14ac:dyDescent="0.2">
      <c r="A302" s="3" t="s">
        <v>323</v>
      </c>
      <c r="B302" s="3" t="s">
        <v>1</v>
      </c>
      <c r="C302" s="3" t="s">
        <v>17</v>
      </c>
      <c r="D302" s="3" t="s">
        <v>984</v>
      </c>
    </row>
    <row r="303" spans="1:4" x14ac:dyDescent="0.2">
      <c r="A303" s="3" t="s">
        <v>319</v>
      </c>
      <c r="B303" s="3" t="s">
        <v>1</v>
      </c>
      <c r="C303" s="3" t="s">
        <v>17</v>
      </c>
      <c r="D303" s="3" t="s">
        <v>982</v>
      </c>
    </row>
    <row r="304" spans="1:4" x14ac:dyDescent="0.2">
      <c r="A304" s="3" t="s">
        <v>320</v>
      </c>
      <c r="B304" s="3" t="s">
        <v>1</v>
      </c>
      <c r="C304" s="3" t="s">
        <v>17</v>
      </c>
      <c r="D304" s="3" t="s">
        <v>982</v>
      </c>
    </row>
    <row r="305" spans="1:4" x14ac:dyDescent="0.2">
      <c r="A305" s="3" t="s">
        <v>324</v>
      </c>
      <c r="B305" s="3" t="s">
        <v>1</v>
      </c>
      <c r="C305" s="3" t="s">
        <v>17</v>
      </c>
      <c r="D305" s="3" t="s">
        <v>985</v>
      </c>
    </row>
    <row r="306" spans="1:4" x14ac:dyDescent="0.2">
      <c r="A306" s="3" t="s">
        <v>325</v>
      </c>
      <c r="B306" s="3" t="s">
        <v>1</v>
      </c>
      <c r="C306" s="3" t="s">
        <v>17</v>
      </c>
      <c r="D306" s="3" t="s">
        <v>985</v>
      </c>
    </row>
    <row r="307" spans="1:4" x14ac:dyDescent="0.2">
      <c r="A307" s="3" t="s">
        <v>326</v>
      </c>
      <c r="B307" s="3" t="s">
        <v>1</v>
      </c>
      <c r="C307" s="3" t="s">
        <v>17</v>
      </c>
      <c r="D307" s="3" t="s">
        <v>985</v>
      </c>
    </row>
    <row r="308" spans="1:4" x14ac:dyDescent="0.2">
      <c r="A308" s="3" t="s">
        <v>327</v>
      </c>
      <c r="B308" s="3" t="s">
        <v>1</v>
      </c>
      <c r="C308" s="3" t="s">
        <v>17</v>
      </c>
      <c r="D308" s="3" t="s">
        <v>985</v>
      </c>
    </row>
    <row r="309" spans="1:4" x14ac:dyDescent="0.2">
      <c r="A309" s="3" t="s">
        <v>328</v>
      </c>
      <c r="B309" s="3" t="s">
        <v>1</v>
      </c>
      <c r="C309" s="3" t="s">
        <v>17</v>
      </c>
      <c r="D309" s="3" t="s">
        <v>985</v>
      </c>
    </row>
    <row r="310" spans="1:4" x14ac:dyDescent="0.2">
      <c r="A310" s="3" t="s">
        <v>127</v>
      </c>
      <c r="B310" s="3" t="s">
        <v>1</v>
      </c>
      <c r="C310" s="3" t="s">
        <v>17</v>
      </c>
      <c r="D310" s="3" t="s">
        <v>986</v>
      </c>
    </row>
    <row r="311" spans="1:4" x14ac:dyDescent="0.2">
      <c r="A311" s="3" t="s">
        <v>46</v>
      </c>
      <c r="B311" s="3" t="s">
        <v>1</v>
      </c>
      <c r="C311" s="3" t="s">
        <v>17</v>
      </c>
      <c r="D311" s="3" t="s">
        <v>986</v>
      </c>
    </row>
    <row r="312" spans="1:4" x14ac:dyDescent="0.2">
      <c r="A312" s="3" t="s">
        <v>329</v>
      </c>
      <c r="B312" s="3" t="s">
        <v>1</v>
      </c>
      <c r="C312" s="3" t="s">
        <v>17</v>
      </c>
      <c r="D312" s="3" t="s">
        <v>986</v>
      </c>
    </row>
    <row r="313" spans="1:4" x14ac:dyDescent="0.2">
      <c r="A313" s="3" t="s">
        <v>334</v>
      </c>
      <c r="B313" s="3" t="s">
        <v>1</v>
      </c>
      <c r="C313" s="3" t="s">
        <v>17</v>
      </c>
      <c r="D313" s="3" t="s">
        <v>927</v>
      </c>
    </row>
    <row r="314" spans="1:4" x14ac:dyDescent="0.2">
      <c r="A314" s="3" t="s">
        <v>45</v>
      </c>
      <c r="B314" s="3" t="s">
        <v>1</v>
      </c>
      <c r="C314" s="3" t="s">
        <v>17</v>
      </c>
      <c r="D314" s="3" t="s">
        <v>927</v>
      </c>
    </row>
    <row r="315" spans="1:4" x14ac:dyDescent="0.2">
      <c r="A315" s="3" t="s">
        <v>335</v>
      </c>
      <c r="B315" s="3" t="s">
        <v>1</v>
      </c>
      <c r="C315" s="3" t="s">
        <v>17</v>
      </c>
      <c r="D315" s="3" t="s">
        <v>927</v>
      </c>
    </row>
    <row r="316" spans="1:4" x14ac:dyDescent="0.2">
      <c r="A316" s="3" t="s">
        <v>336</v>
      </c>
      <c r="B316" s="3" t="s">
        <v>1</v>
      </c>
      <c r="C316" s="3" t="s">
        <v>17</v>
      </c>
      <c r="D316" s="3" t="s">
        <v>927</v>
      </c>
    </row>
    <row r="317" spans="1:4" x14ac:dyDescent="0.2">
      <c r="A317" s="3" t="s">
        <v>44</v>
      </c>
      <c r="B317" s="3" t="s">
        <v>1</v>
      </c>
      <c r="C317" s="3" t="s">
        <v>17</v>
      </c>
      <c r="D317" s="3" t="s">
        <v>927</v>
      </c>
    </row>
    <row r="318" spans="1:4" x14ac:dyDescent="0.2">
      <c r="A318" s="3" t="s">
        <v>1147</v>
      </c>
      <c r="B318" s="3" t="s">
        <v>1</v>
      </c>
      <c r="C318" s="3" t="s">
        <v>17</v>
      </c>
      <c r="D318" s="3" t="s">
        <v>927</v>
      </c>
    </row>
    <row r="319" spans="1:4" x14ac:dyDescent="0.2">
      <c r="A319" s="3" t="s">
        <v>331</v>
      </c>
      <c r="B319" s="3" t="s">
        <v>1</v>
      </c>
      <c r="C319" s="3" t="s">
        <v>987</v>
      </c>
      <c r="D319" s="3" t="s">
        <v>988</v>
      </c>
    </row>
    <row r="320" spans="1:4" x14ac:dyDescent="0.2">
      <c r="A320" s="3" t="s">
        <v>332</v>
      </c>
      <c r="B320" s="3" t="s">
        <v>1</v>
      </c>
      <c r="C320" s="3" t="s">
        <v>987</v>
      </c>
      <c r="D320" s="3" t="s">
        <v>988</v>
      </c>
    </row>
    <row r="321" spans="1:4" x14ac:dyDescent="0.2">
      <c r="A321" s="3" t="s">
        <v>333</v>
      </c>
      <c r="B321" s="3" t="s">
        <v>1</v>
      </c>
      <c r="C321" s="3" t="s">
        <v>987</v>
      </c>
      <c r="D321" s="3" t="s">
        <v>988</v>
      </c>
    </row>
    <row r="322" spans="1:4" x14ac:dyDescent="0.2">
      <c r="A322" s="3" t="s">
        <v>337</v>
      </c>
      <c r="B322" s="3" t="s">
        <v>1</v>
      </c>
      <c r="C322" s="3" t="s">
        <v>987</v>
      </c>
      <c r="D322" s="3" t="s">
        <v>988</v>
      </c>
    </row>
    <row r="323" spans="1:4" x14ac:dyDescent="0.2">
      <c r="A323" s="3" t="s">
        <v>43</v>
      </c>
      <c r="B323" s="3" t="s">
        <v>1</v>
      </c>
      <c r="C323" s="3" t="s">
        <v>987</v>
      </c>
      <c r="D323" s="3" t="s">
        <v>988</v>
      </c>
    </row>
    <row r="324" spans="1:4" x14ac:dyDescent="0.2">
      <c r="A324" s="3" t="s">
        <v>338</v>
      </c>
      <c r="B324" s="3" t="s">
        <v>1</v>
      </c>
      <c r="C324" s="3" t="s">
        <v>987</v>
      </c>
      <c r="D324" s="3" t="s">
        <v>988</v>
      </c>
    </row>
    <row r="325" spans="1:4" x14ac:dyDescent="0.2">
      <c r="A325" s="3" t="s">
        <v>98</v>
      </c>
      <c r="B325" s="3" t="s">
        <v>1</v>
      </c>
      <c r="C325" s="3" t="s">
        <v>987</v>
      </c>
      <c r="D325" s="3" t="s">
        <v>988</v>
      </c>
    </row>
    <row r="326" spans="1:4" x14ac:dyDescent="0.2">
      <c r="A326" s="3" t="s">
        <v>339</v>
      </c>
      <c r="B326" s="3" t="s">
        <v>1</v>
      </c>
      <c r="C326" s="3" t="s">
        <v>987</v>
      </c>
      <c r="D326" s="3" t="s">
        <v>988</v>
      </c>
    </row>
    <row r="327" spans="1:4" x14ac:dyDescent="0.2">
      <c r="A327" s="3" t="s">
        <v>340</v>
      </c>
      <c r="B327" s="3" t="s">
        <v>1</v>
      </c>
      <c r="C327" s="3" t="s">
        <v>987</v>
      </c>
      <c r="D327" s="3" t="s">
        <v>988</v>
      </c>
    </row>
    <row r="328" spans="1:4" x14ac:dyDescent="0.2">
      <c r="A328" s="3" t="s">
        <v>1148</v>
      </c>
      <c r="B328" s="3" t="s">
        <v>1</v>
      </c>
      <c r="C328" s="3" t="s">
        <v>17</v>
      </c>
      <c r="D328" s="3" t="s">
        <v>989</v>
      </c>
    </row>
    <row r="329" spans="1:4" x14ac:dyDescent="0.2">
      <c r="A329" s="3" t="s">
        <v>1149</v>
      </c>
      <c r="B329" s="3" t="s">
        <v>1</v>
      </c>
      <c r="C329" s="3" t="s">
        <v>17</v>
      </c>
      <c r="D329" s="3" t="s">
        <v>989</v>
      </c>
    </row>
    <row r="330" spans="1:4" x14ac:dyDescent="0.2">
      <c r="A330" s="3" t="s">
        <v>477</v>
      </c>
      <c r="B330" s="3" t="s">
        <v>924</v>
      </c>
      <c r="C330" s="3" t="s">
        <v>938</v>
      </c>
      <c r="D330" s="3" t="s">
        <v>959</v>
      </c>
    </row>
    <row r="331" spans="1:4" x14ac:dyDescent="0.2">
      <c r="A331" s="3" t="s">
        <v>478</v>
      </c>
      <c r="B331" s="3" t="s">
        <v>924</v>
      </c>
      <c r="C331" s="3" t="s">
        <v>938</v>
      </c>
      <c r="D331" s="3" t="s">
        <v>959</v>
      </c>
    </row>
    <row r="332" spans="1:4" x14ac:dyDescent="0.2">
      <c r="A332" s="3" t="s">
        <v>481</v>
      </c>
      <c r="B332" s="3" t="s">
        <v>924</v>
      </c>
      <c r="C332" s="3" t="s">
        <v>938</v>
      </c>
      <c r="D332" s="3" t="s">
        <v>959</v>
      </c>
    </row>
    <row r="333" spans="1:4" x14ac:dyDescent="0.2">
      <c r="A333" s="3" t="s">
        <v>482</v>
      </c>
      <c r="B333" s="3" t="s">
        <v>924</v>
      </c>
      <c r="C333" s="3" t="s">
        <v>938</v>
      </c>
      <c r="D333" s="3" t="s">
        <v>959</v>
      </c>
    </row>
    <row r="334" spans="1:4" x14ac:dyDescent="0.2">
      <c r="A334" s="3" t="s">
        <v>479</v>
      </c>
      <c r="B334" s="3" t="s">
        <v>924</v>
      </c>
      <c r="C334" s="3" t="s">
        <v>938</v>
      </c>
      <c r="D334" s="3" t="s">
        <v>959</v>
      </c>
    </row>
    <row r="335" spans="1:4" x14ac:dyDescent="0.2">
      <c r="A335" s="3" t="s">
        <v>480</v>
      </c>
      <c r="B335" s="3" t="s">
        <v>924</v>
      </c>
      <c r="C335" s="3" t="s">
        <v>938</v>
      </c>
      <c r="D335" s="3" t="s">
        <v>959</v>
      </c>
    </row>
    <row r="336" spans="1:4" x14ac:dyDescent="0.2">
      <c r="A336" s="3" t="s">
        <v>342</v>
      </c>
      <c r="B336" s="3" t="s">
        <v>1</v>
      </c>
      <c r="C336" s="3" t="s">
        <v>972</v>
      </c>
      <c r="D336" s="3" t="s">
        <v>990</v>
      </c>
    </row>
    <row r="337" spans="1:4" x14ac:dyDescent="0.2">
      <c r="A337" s="3" t="s">
        <v>344</v>
      </c>
      <c r="B337" s="3" t="s">
        <v>1</v>
      </c>
      <c r="C337" s="3" t="s">
        <v>931</v>
      </c>
      <c r="D337" s="3" t="s">
        <v>992</v>
      </c>
    </row>
    <row r="338" spans="1:4" x14ac:dyDescent="0.2">
      <c r="A338" s="3" t="s">
        <v>345</v>
      </c>
      <c r="B338" s="3" t="s">
        <v>1</v>
      </c>
      <c r="C338" s="3" t="s">
        <v>931</v>
      </c>
      <c r="D338" s="3" t="s">
        <v>992</v>
      </c>
    </row>
    <row r="339" spans="1:4" x14ac:dyDescent="0.2">
      <c r="A339" s="3" t="s">
        <v>346</v>
      </c>
      <c r="B339" s="3" t="s">
        <v>1</v>
      </c>
      <c r="C339" s="3" t="s">
        <v>931</v>
      </c>
      <c r="D339" s="3" t="s">
        <v>992</v>
      </c>
    </row>
    <row r="340" spans="1:4" x14ac:dyDescent="0.2">
      <c r="A340" s="3" t="s">
        <v>347</v>
      </c>
      <c r="B340" s="3" t="s">
        <v>1</v>
      </c>
      <c r="C340" s="3" t="s">
        <v>931</v>
      </c>
      <c r="D340" s="3" t="s">
        <v>992</v>
      </c>
    </row>
    <row r="341" spans="1:4" x14ac:dyDescent="0.2">
      <c r="A341" s="3" t="s">
        <v>350</v>
      </c>
      <c r="B341" s="3" t="s">
        <v>1</v>
      </c>
      <c r="C341" s="3" t="s">
        <v>931</v>
      </c>
      <c r="D341" s="3" t="s">
        <v>992</v>
      </c>
    </row>
    <row r="342" spans="1:4" x14ac:dyDescent="0.2">
      <c r="A342" s="3" t="s">
        <v>351</v>
      </c>
      <c r="B342" s="3" t="s">
        <v>1</v>
      </c>
      <c r="C342" s="3" t="s">
        <v>931</v>
      </c>
      <c r="D342" s="3" t="s">
        <v>992</v>
      </c>
    </row>
    <row r="343" spans="1:4" x14ac:dyDescent="0.2">
      <c r="A343" s="3" t="s">
        <v>352</v>
      </c>
      <c r="B343" s="3" t="s">
        <v>1</v>
      </c>
      <c r="C343" s="3" t="s">
        <v>931</v>
      </c>
      <c r="D343" s="3" t="s">
        <v>992</v>
      </c>
    </row>
    <row r="344" spans="1:4" x14ac:dyDescent="0.2">
      <c r="A344" s="3" t="s">
        <v>353</v>
      </c>
      <c r="B344" s="3" t="s">
        <v>1</v>
      </c>
      <c r="C344" s="3" t="s">
        <v>931</v>
      </c>
      <c r="D344" s="3" t="s">
        <v>992</v>
      </c>
    </row>
    <row r="345" spans="1:4" x14ac:dyDescent="0.2">
      <c r="A345" s="3" t="s">
        <v>408</v>
      </c>
      <c r="B345" s="3" t="s">
        <v>943</v>
      </c>
      <c r="C345" s="3" t="s">
        <v>17</v>
      </c>
      <c r="D345" s="3" t="s">
        <v>999</v>
      </c>
    </row>
    <row r="346" spans="1:4" x14ac:dyDescent="0.2">
      <c r="A346" s="3" t="s">
        <v>409</v>
      </c>
      <c r="B346" s="3" t="s">
        <v>943</v>
      </c>
      <c r="C346" s="3" t="s">
        <v>17</v>
      </c>
      <c r="D346" s="3" t="s">
        <v>999</v>
      </c>
    </row>
    <row r="347" spans="1:4" x14ac:dyDescent="0.2">
      <c r="A347" s="3" t="s">
        <v>371</v>
      </c>
      <c r="B347" s="3" t="s">
        <v>1</v>
      </c>
      <c r="C347" s="3" t="s">
        <v>17</v>
      </c>
      <c r="D347" s="3" t="s">
        <v>1000</v>
      </c>
    </row>
    <row r="348" spans="1:4" x14ac:dyDescent="0.2">
      <c r="A348" s="3" t="s">
        <v>370</v>
      </c>
      <c r="B348" s="3" t="s">
        <v>1</v>
      </c>
      <c r="C348" s="3" t="s">
        <v>19</v>
      </c>
      <c r="D348" s="3" t="s">
        <v>998</v>
      </c>
    </row>
    <row r="349" spans="1:4" x14ac:dyDescent="0.2">
      <c r="A349" s="3" t="s">
        <v>366</v>
      </c>
      <c r="B349" s="3" t="s">
        <v>1</v>
      </c>
      <c r="C349" s="3" t="s">
        <v>29</v>
      </c>
      <c r="D349" s="3" t="s">
        <v>996</v>
      </c>
    </row>
    <row r="350" spans="1:4" x14ac:dyDescent="0.2">
      <c r="A350" s="3" t="s">
        <v>367</v>
      </c>
      <c r="B350" s="3" t="s">
        <v>1</v>
      </c>
      <c r="C350" s="3" t="s">
        <v>29</v>
      </c>
      <c r="D350" s="3" t="s">
        <v>996</v>
      </c>
    </row>
    <row r="351" spans="1:4" x14ac:dyDescent="0.2">
      <c r="A351" s="3" t="s">
        <v>368</v>
      </c>
      <c r="B351" s="3" t="s">
        <v>1</v>
      </c>
      <c r="C351" s="3" t="s">
        <v>17</v>
      </c>
      <c r="D351" s="3" t="s">
        <v>997</v>
      </c>
    </row>
    <row r="352" spans="1:4" x14ac:dyDescent="0.2">
      <c r="A352" s="3" t="s">
        <v>358</v>
      </c>
      <c r="B352" s="3" t="s">
        <v>1</v>
      </c>
      <c r="C352" s="3" t="s">
        <v>19</v>
      </c>
      <c r="D352" s="3" t="s">
        <v>995</v>
      </c>
    </row>
    <row r="353" spans="1:4" x14ac:dyDescent="0.2">
      <c r="A353" s="3" t="s">
        <v>359</v>
      </c>
      <c r="B353" s="3" t="s">
        <v>1</v>
      </c>
      <c r="C353" s="3" t="s">
        <v>19</v>
      </c>
      <c r="D353" s="3" t="s">
        <v>995</v>
      </c>
    </row>
    <row r="354" spans="1:4" x14ac:dyDescent="0.2">
      <c r="A354" s="3" t="s">
        <v>360</v>
      </c>
      <c r="B354" s="3" t="s">
        <v>1</v>
      </c>
      <c r="C354" s="3" t="s">
        <v>19</v>
      </c>
      <c r="D354" s="3" t="s">
        <v>995</v>
      </c>
    </row>
    <row r="355" spans="1:4" x14ac:dyDescent="0.2">
      <c r="A355" s="3" t="s">
        <v>361</v>
      </c>
      <c r="B355" s="3" t="s">
        <v>1</v>
      </c>
      <c r="C355" s="3" t="s">
        <v>19</v>
      </c>
      <c r="D355" s="3" t="s">
        <v>995</v>
      </c>
    </row>
    <row r="356" spans="1:4" x14ac:dyDescent="0.2">
      <c r="A356" s="3" t="s">
        <v>362</v>
      </c>
      <c r="B356" s="3" t="s">
        <v>1</v>
      </c>
      <c r="C356" s="3" t="s">
        <v>19</v>
      </c>
      <c r="D356" s="3" t="s">
        <v>995</v>
      </c>
    </row>
    <row r="357" spans="1:4" x14ac:dyDescent="0.2">
      <c r="A357" s="3" t="s">
        <v>363</v>
      </c>
      <c r="B357" s="3" t="s">
        <v>1</v>
      </c>
      <c r="C357" s="3" t="s">
        <v>19</v>
      </c>
      <c r="D357" s="3" t="s">
        <v>995</v>
      </c>
    </row>
    <row r="358" spans="1:4" x14ac:dyDescent="0.2">
      <c r="A358" s="3" t="s">
        <v>364</v>
      </c>
      <c r="B358" s="3" t="s">
        <v>1</v>
      </c>
      <c r="C358" s="3" t="s">
        <v>19</v>
      </c>
      <c r="D358" s="3" t="s">
        <v>995</v>
      </c>
    </row>
    <row r="359" spans="1:4" x14ac:dyDescent="0.2">
      <c r="A359" s="3" t="s">
        <v>365</v>
      </c>
      <c r="B359" s="3" t="s">
        <v>1</v>
      </c>
      <c r="C359" s="3" t="s">
        <v>19</v>
      </c>
      <c r="D359" s="3" t="s">
        <v>995</v>
      </c>
    </row>
    <row r="360" spans="1:4" x14ac:dyDescent="0.2">
      <c r="A360" s="3" t="s">
        <v>469</v>
      </c>
      <c r="B360" s="3" t="s">
        <v>1</v>
      </c>
      <c r="C360" s="3" t="s">
        <v>19</v>
      </c>
      <c r="D360" s="3" t="s">
        <v>995</v>
      </c>
    </row>
    <row r="361" spans="1:4" x14ac:dyDescent="0.2">
      <c r="A361" s="3" t="s">
        <v>354</v>
      </c>
      <c r="B361" s="3" t="s">
        <v>1</v>
      </c>
      <c r="C361" s="3" t="s">
        <v>17</v>
      </c>
      <c r="D361" s="3" t="s">
        <v>994</v>
      </c>
    </row>
    <row r="362" spans="1:4" x14ac:dyDescent="0.2">
      <c r="A362" s="3" t="s">
        <v>355</v>
      </c>
      <c r="B362" s="3" t="s">
        <v>1</v>
      </c>
      <c r="C362" s="3" t="s">
        <v>17</v>
      </c>
      <c r="D362" s="3" t="s">
        <v>994</v>
      </c>
    </row>
    <row r="363" spans="1:4" x14ac:dyDescent="0.2">
      <c r="A363" s="3" t="s">
        <v>356</v>
      </c>
      <c r="B363" s="3" t="s">
        <v>1</v>
      </c>
      <c r="C363" s="3" t="s">
        <v>17</v>
      </c>
      <c r="D363" s="3" t="s">
        <v>994</v>
      </c>
    </row>
    <row r="364" spans="1:4" x14ac:dyDescent="0.2">
      <c r="A364" s="3" t="s">
        <v>357</v>
      </c>
      <c r="B364" s="3" t="s">
        <v>1</v>
      </c>
      <c r="C364" s="3" t="s">
        <v>17</v>
      </c>
      <c r="D364" s="3" t="s">
        <v>994</v>
      </c>
    </row>
    <row r="365" spans="1:4" x14ac:dyDescent="0.2">
      <c r="A365" s="3" t="s">
        <v>372</v>
      </c>
      <c r="B365" s="3" t="s">
        <v>1</v>
      </c>
      <c r="C365" s="3" t="s">
        <v>17</v>
      </c>
      <c r="D365" s="3" t="s">
        <v>1001</v>
      </c>
    </row>
    <row r="366" spans="1:4" x14ac:dyDescent="0.2">
      <c r="A366" s="3" t="s">
        <v>373</v>
      </c>
      <c r="B366" s="3" t="s">
        <v>1</v>
      </c>
      <c r="C366" s="3" t="s">
        <v>17</v>
      </c>
      <c r="D366" s="3" t="s">
        <v>1001</v>
      </c>
    </row>
    <row r="367" spans="1:4" x14ac:dyDescent="0.2">
      <c r="A367" s="3" t="s">
        <v>374</v>
      </c>
      <c r="B367" s="3" t="s">
        <v>1</v>
      </c>
      <c r="C367" s="3" t="s">
        <v>17</v>
      </c>
      <c r="D367" s="3" t="s">
        <v>1001</v>
      </c>
    </row>
    <row r="368" spans="1:4" x14ac:dyDescent="0.2">
      <c r="A368" s="3" t="s">
        <v>375</v>
      </c>
      <c r="B368" s="3" t="s">
        <v>1</v>
      </c>
      <c r="C368" s="3" t="s">
        <v>17</v>
      </c>
      <c r="D368" s="3" t="s">
        <v>1001</v>
      </c>
    </row>
    <row r="369" spans="1:4" x14ac:dyDescent="0.2">
      <c r="A369" s="3" t="s">
        <v>380</v>
      </c>
      <c r="B369" s="3" t="s">
        <v>1</v>
      </c>
      <c r="C369" s="3" t="s">
        <v>17</v>
      </c>
      <c r="D369" s="3" t="s">
        <v>1003</v>
      </c>
    </row>
    <row r="370" spans="1:4" x14ac:dyDescent="0.2">
      <c r="A370" s="3" t="s">
        <v>381</v>
      </c>
      <c r="B370" s="3" t="s">
        <v>1</v>
      </c>
      <c r="C370" s="3" t="s">
        <v>17</v>
      </c>
      <c r="D370" s="3" t="s">
        <v>1003</v>
      </c>
    </row>
    <row r="371" spans="1:4" x14ac:dyDescent="0.2">
      <c r="A371" s="3" t="s">
        <v>382</v>
      </c>
      <c r="B371" s="3" t="s">
        <v>1</v>
      </c>
      <c r="C371" s="3" t="s">
        <v>17</v>
      </c>
      <c r="D371" s="3" t="s">
        <v>1003</v>
      </c>
    </row>
    <row r="372" spans="1:4" x14ac:dyDescent="0.2">
      <c r="A372" s="3" t="s">
        <v>383</v>
      </c>
      <c r="B372" s="3" t="s">
        <v>1</v>
      </c>
      <c r="C372" s="3" t="s">
        <v>17</v>
      </c>
      <c r="D372" s="3" t="s">
        <v>1003</v>
      </c>
    </row>
    <row r="373" spans="1:4" x14ac:dyDescent="0.2">
      <c r="A373" s="3" t="s">
        <v>384</v>
      </c>
      <c r="B373" s="3" t="s">
        <v>1</v>
      </c>
      <c r="C373" s="3" t="s">
        <v>17</v>
      </c>
      <c r="D373" s="3" t="s">
        <v>1003</v>
      </c>
    </row>
    <row r="374" spans="1:4" x14ac:dyDescent="0.2">
      <c r="A374" s="3" t="s">
        <v>385</v>
      </c>
      <c r="B374" s="3" t="s">
        <v>1</v>
      </c>
      <c r="C374" s="3" t="s">
        <v>972</v>
      </c>
      <c r="D374" s="3" t="s">
        <v>1004</v>
      </c>
    </row>
    <row r="375" spans="1:4" x14ac:dyDescent="0.2">
      <c r="A375" s="3" t="s">
        <v>1591</v>
      </c>
      <c r="B375" s="3" t="s">
        <v>1</v>
      </c>
      <c r="C375" s="3" t="s">
        <v>972</v>
      </c>
      <c r="D375" s="3" t="s">
        <v>1004</v>
      </c>
    </row>
    <row r="376" spans="1:4" x14ac:dyDescent="0.2">
      <c r="A376" s="3" t="s">
        <v>313</v>
      </c>
      <c r="B376" s="3" t="s">
        <v>1</v>
      </c>
      <c r="C376" s="3" t="s">
        <v>17</v>
      </c>
      <c r="D376" s="3" t="s">
        <v>980</v>
      </c>
    </row>
    <row r="377" spans="1:4" x14ac:dyDescent="0.2">
      <c r="A377" s="3" t="s">
        <v>314</v>
      </c>
      <c r="B377" s="3" t="s">
        <v>1</v>
      </c>
      <c r="C377" s="3" t="s">
        <v>17</v>
      </c>
      <c r="D377" s="3" t="s">
        <v>980</v>
      </c>
    </row>
    <row r="378" spans="1:4" x14ac:dyDescent="0.2">
      <c r="A378" s="3" t="s">
        <v>315</v>
      </c>
      <c r="B378" s="3" t="s">
        <v>1</v>
      </c>
      <c r="C378" s="3" t="s">
        <v>17</v>
      </c>
      <c r="D378" s="3" t="s">
        <v>980</v>
      </c>
    </row>
    <row r="379" spans="1:4" x14ac:dyDescent="0.2">
      <c r="A379" s="3" t="s">
        <v>122</v>
      </c>
      <c r="B379" s="3" t="s">
        <v>27</v>
      </c>
      <c r="C379" s="3" t="s">
        <v>987</v>
      </c>
      <c r="D379" s="3" t="s">
        <v>1008</v>
      </c>
    </row>
    <row r="380" spans="1:4" x14ac:dyDescent="0.2">
      <c r="A380" s="3" t="s">
        <v>123</v>
      </c>
      <c r="B380" s="3" t="s">
        <v>27</v>
      </c>
      <c r="C380" s="3" t="s">
        <v>987</v>
      </c>
      <c r="D380" s="3" t="s">
        <v>1008</v>
      </c>
    </row>
    <row r="381" spans="1:4" x14ac:dyDescent="0.2">
      <c r="A381" s="3" t="s">
        <v>124</v>
      </c>
      <c r="B381" s="3" t="s">
        <v>27</v>
      </c>
      <c r="C381" s="3" t="s">
        <v>987</v>
      </c>
      <c r="D381" s="3" t="s">
        <v>1008</v>
      </c>
    </row>
    <row r="382" spans="1:4" x14ac:dyDescent="0.2">
      <c r="A382" s="3" t="s">
        <v>452</v>
      </c>
      <c r="B382" s="3" t="s">
        <v>1152</v>
      </c>
      <c r="C382" s="3" t="s">
        <v>987</v>
      </c>
      <c r="D382" s="3" t="s">
        <v>1005</v>
      </c>
    </row>
    <row r="383" spans="1:4" x14ac:dyDescent="0.2">
      <c r="A383" s="3" t="s">
        <v>453</v>
      </c>
      <c r="B383" s="3" t="s">
        <v>1152</v>
      </c>
      <c r="C383" s="3" t="s">
        <v>987</v>
      </c>
      <c r="D383" s="3" t="s">
        <v>1005</v>
      </c>
    </row>
    <row r="384" spans="1:4" x14ac:dyDescent="0.2">
      <c r="A384" s="3" t="s">
        <v>454</v>
      </c>
      <c r="B384" s="3" t="s">
        <v>1152</v>
      </c>
      <c r="C384" s="3" t="s">
        <v>987</v>
      </c>
      <c r="D384" s="3" t="s">
        <v>1005</v>
      </c>
    </row>
    <row r="385" spans="1:4" x14ac:dyDescent="0.2">
      <c r="A385" s="3" t="s">
        <v>455</v>
      </c>
      <c r="B385" s="3" t="s">
        <v>1152</v>
      </c>
      <c r="C385" s="3" t="s">
        <v>987</v>
      </c>
      <c r="D385" s="3" t="s">
        <v>1005</v>
      </c>
    </row>
    <row r="386" spans="1:4" x14ac:dyDescent="0.2">
      <c r="A386" s="3" t="s">
        <v>457</v>
      </c>
      <c r="B386" s="3" t="s">
        <v>1152</v>
      </c>
      <c r="C386" s="3" t="s">
        <v>987</v>
      </c>
      <c r="D386" s="3" t="s">
        <v>1005</v>
      </c>
    </row>
    <row r="387" spans="1:4" x14ac:dyDescent="0.2">
      <c r="A387" s="3" t="s">
        <v>458</v>
      </c>
      <c r="B387" s="3" t="s">
        <v>1152</v>
      </c>
      <c r="C387" s="3" t="s">
        <v>987</v>
      </c>
      <c r="D387" s="3" t="s">
        <v>1005</v>
      </c>
    </row>
    <row r="388" spans="1:4" x14ac:dyDescent="0.2">
      <c r="A388" s="3" t="s">
        <v>459</v>
      </c>
      <c r="B388" s="3" t="s">
        <v>1152</v>
      </c>
      <c r="C388" s="3" t="s">
        <v>987</v>
      </c>
      <c r="D388" s="3" t="s">
        <v>1005</v>
      </c>
    </row>
    <row r="389" spans="1:4" x14ac:dyDescent="0.2">
      <c r="A389" s="3" t="s">
        <v>460</v>
      </c>
      <c r="B389" s="3" t="s">
        <v>1152</v>
      </c>
      <c r="C389" s="3" t="s">
        <v>987</v>
      </c>
      <c r="D389" s="3" t="s">
        <v>1005</v>
      </c>
    </row>
    <row r="390" spans="1:4" x14ac:dyDescent="0.2">
      <c r="A390" s="3" t="s">
        <v>461</v>
      </c>
      <c r="B390" s="3" t="s">
        <v>1152</v>
      </c>
      <c r="C390" s="3" t="s">
        <v>987</v>
      </c>
      <c r="D390" s="3" t="s">
        <v>1005</v>
      </c>
    </row>
    <row r="391" spans="1:4" x14ac:dyDescent="0.2">
      <c r="A391" s="3" t="s">
        <v>462</v>
      </c>
      <c r="B391" s="3" t="s">
        <v>1152</v>
      </c>
      <c r="C391" s="3" t="s">
        <v>987</v>
      </c>
      <c r="D391" s="3" t="s">
        <v>1005</v>
      </c>
    </row>
    <row r="392" spans="1:4" x14ac:dyDescent="0.2">
      <c r="A392" s="3" t="s">
        <v>463</v>
      </c>
      <c r="B392" s="3" t="s">
        <v>1152</v>
      </c>
      <c r="C392" s="3" t="s">
        <v>987</v>
      </c>
      <c r="D392" s="3" t="s">
        <v>1005</v>
      </c>
    </row>
    <row r="393" spans="1:4" x14ac:dyDescent="0.2">
      <c r="A393" s="3" t="s">
        <v>464</v>
      </c>
      <c r="B393" s="3" t="s">
        <v>1152</v>
      </c>
      <c r="C393" s="3" t="s">
        <v>987</v>
      </c>
      <c r="D393" s="3" t="s">
        <v>1005</v>
      </c>
    </row>
    <row r="394" spans="1:4" x14ac:dyDescent="0.2">
      <c r="A394" s="3" t="s">
        <v>465</v>
      </c>
      <c r="B394" s="3" t="s">
        <v>1152</v>
      </c>
      <c r="C394" s="3" t="s">
        <v>987</v>
      </c>
      <c r="D394" s="3" t="s">
        <v>1005</v>
      </c>
    </row>
    <row r="395" spans="1:4" x14ac:dyDescent="0.2">
      <c r="A395" s="3" t="s">
        <v>923</v>
      </c>
      <c r="B395" s="3" t="s">
        <v>1152</v>
      </c>
      <c r="C395" s="3" t="s">
        <v>987</v>
      </c>
      <c r="D395" s="3" t="s">
        <v>1005</v>
      </c>
    </row>
    <row r="396" spans="1:4" x14ac:dyDescent="0.2">
      <c r="A396" s="3" t="s">
        <v>466</v>
      </c>
      <c r="B396" s="3" t="s">
        <v>1152</v>
      </c>
      <c r="C396" s="3" t="s">
        <v>987</v>
      </c>
      <c r="D396" s="3" t="s">
        <v>1005</v>
      </c>
    </row>
    <row r="397" spans="1:4" x14ac:dyDescent="0.2">
      <c r="A397" s="3" t="s">
        <v>467</v>
      </c>
      <c r="B397" s="3" t="s">
        <v>1152</v>
      </c>
      <c r="C397" s="3" t="s">
        <v>987</v>
      </c>
      <c r="D397" s="3" t="s">
        <v>1005</v>
      </c>
    </row>
    <row r="398" spans="1:4" x14ac:dyDescent="0.2">
      <c r="A398" s="3" t="s">
        <v>468</v>
      </c>
      <c r="B398" s="3" t="s">
        <v>1152</v>
      </c>
      <c r="C398" s="3" t="s">
        <v>987</v>
      </c>
      <c r="D398" s="3" t="s">
        <v>1005</v>
      </c>
    </row>
    <row r="399" spans="1:4" x14ac:dyDescent="0.2">
      <c r="A399" s="3" t="s">
        <v>470</v>
      </c>
      <c r="B399" s="3" t="s">
        <v>1152</v>
      </c>
      <c r="C399" s="3" t="s">
        <v>987</v>
      </c>
      <c r="D399" s="3" t="s">
        <v>1005</v>
      </c>
    </row>
    <row r="400" spans="1:4" x14ac:dyDescent="0.2">
      <c r="A400" s="3" t="s">
        <v>471</v>
      </c>
      <c r="B400" s="3" t="s">
        <v>1152</v>
      </c>
      <c r="C400" s="3" t="s">
        <v>987</v>
      </c>
      <c r="D400" s="3" t="s">
        <v>1005</v>
      </c>
    </row>
    <row r="401" spans="1:4" x14ac:dyDescent="0.2">
      <c r="A401" s="3" t="s">
        <v>472</v>
      </c>
      <c r="B401" s="3" t="s">
        <v>1152</v>
      </c>
      <c r="C401" s="3" t="s">
        <v>987</v>
      </c>
      <c r="D401" s="3" t="s">
        <v>1005</v>
      </c>
    </row>
    <row r="402" spans="1:4" x14ac:dyDescent="0.2">
      <c r="A402" s="25" t="s">
        <v>473</v>
      </c>
      <c r="B402" s="3" t="s">
        <v>1152</v>
      </c>
      <c r="C402" s="3" t="s">
        <v>987</v>
      </c>
      <c r="D402" s="3" t="s">
        <v>1005</v>
      </c>
    </row>
    <row r="403" spans="1:4" x14ac:dyDescent="0.2">
      <c r="A403" s="3" t="s">
        <v>474</v>
      </c>
      <c r="B403" s="3" t="s">
        <v>1152</v>
      </c>
      <c r="C403" s="3" t="s">
        <v>987</v>
      </c>
      <c r="D403" s="3" t="s">
        <v>1005</v>
      </c>
    </row>
    <row r="404" spans="1:4" x14ac:dyDescent="0.2">
      <c r="A404" s="3" t="s">
        <v>475</v>
      </c>
      <c r="B404" s="3" t="s">
        <v>1152</v>
      </c>
      <c r="C404" s="3" t="s">
        <v>987</v>
      </c>
      <c r="D404" s="3" t="s">
        <v>1005</v>
      </c>
    </row>
    <row r="405" spans="1:4" x14ac:dyDescent="0.2">
      <c r="A405" s="3" t="s">
        <v>476</v>
      </c>
      <c r="B405" s="3" t="s">
        <v>1152</v>
      </c>
      <c r="C405" s="3" t="s">
        <v>987</v>
      </c>
      <c r="D405" s="3" t="s">
        <v>1005</v>
      </c>
    </row>
    <row r="406" spans="1:4" x14ac:dyDescent="0.2">
      <c r="A406" s="3" t="s">
        <v>922</v>
      </c>
      <c r="B406" s="3" t="s">
        <v>1152</v>
      </c>
      <c r="C406" s="3" t="s">
        <v>987</v>
      </c>
      <c r="D406" s="3" t="s">
        <v>1005</v>
      </c>
    </row>
    <row r="407" spans="1:4" x14ac:dyDescent="0.2">
      <c r="A407" s="3" t="s">
        <v>921</v>
      </c>
      <c r="B407" s="3" t="s">
        <v>1152</v>
      </c>
      <c r="C407" s="3" t="s">
        <v>987</v>
      </c>
      <c r="D407" s="3" t="s">
        <v>1005</v>
      </c>
    </row>
    <row r="408" spans="1:4" x14ac:dyDescent="0.2">
      <c r="A408" s="3" t="s">
        <v>393</v>
      </c>
      <c r="B408" s="3" t="s">
        <v>1</v>
      </c>
      <c r="C408" s="3" t="s">
        <v>17</v>
      </c>
      <c r="D408" s="3" t="s">
        <v>1007</v>
      </c>
    </row>
    <row r="409" spans="1:4" x14ac:dyDescent="0.2">
      <c r="A409" s="3" t="s">
        <v>386</v>
      </c>
      <c r="B409" s="3" t="s">
        <v>1</v>
      </c>
      <c r="C409" s="3" t="s">
        <v>2</v>
      </c>
      <c r="D409" s="3" t="s">
        <v>1006</v>
      </c>
    </row>
    <row r="410" spans="1:4" x14ac:dyDescent="0.2">
      <c r="A410" s="3" t="s">
        <v>919</v>
      </c>
      <c r="B410" s="3" t="s">
        <v>1</v>
      </c>
      <c r="C410" s="3" t="s">
        <v>22</v>
      </c>
      <c r="D410" s="3" t="s">
        <v>1010</v>
      </c>
    </row>
    <row r="411" spans="1:4" x14ac:dyDescent="0.2">
      <c r="A411" s="3" t="s">
        <v>395</v>
      </c>
      <c r="B411" s="3" t="s">
        <v>1</v>
      </c>
      <c r="C411" s="3" t="s">
        <v>17</v>
      </c>
      <c r="D411" s="3" t="s">
        <v>1009</v>
      </c>
    </row>
    <row r="412" spans="1:4" x14ac:dyDescent="0.2">
      <c r="A412" s="3" t="s">
        <v>343</v>
      </c>
      <c r="B412" s="3" t="s">
        <v>1</v>
      </c>
      <c r="C412" s="3" t="s">
        <v>17</v>
      </c>
      <c r="D412" s="3" t="s">
        <v>991</v>
      </c>
    </row>
    <row r="413" spans="1:4" x14ac:dyDescent="0.2">
      <c r="A413" s="3" t="s">
        <v>396</v>
      </c>
      <c r="B413" s="3" t="s">
        <v>1</v>
      </c>
      <c r="C413" s="3" t="s">
        <v>17</v>
      </c>
      <c r="D413" s="3" t="s">
        <v>991</v>
      </c>
    </row>
    <row r="414" spans="1:4" x14ac:dyDescent="0.2">
      <c r="A414" s="3" t="s">
        <v>397</v>
      </c>
      <c r="B414" s="3" t="s">
        <v>1</v>
      </c>
      <c r="C414" s="3" t="s">
        <v>17</v>
      </c>
      <c r="D414" s="3" t="s">
        <v>991</v>
      </c>
    </row>
    <row r="415" spans="1:4" x14ac:dyDescent="0.2">
      <c r="A415" s="3" t="s">
        <v>398</v>
      </c>
      <c r="B415" s="3" t="s">
        <v>1</v>
      </c>
      <c r="C415" s="3" t="s">
        <v>17</v>
      </c>
      <c r="D415" s="3" t="s">
        <v>991</v>
      </c>
    </row>
    <row r="416" spans="1:4" x14ac:dyDescent="0.2">
      <c r="A416" s="3" t="s">
        <v>407</v>
      </c>
      <c r="B416" s="3" t="s">
        <v>943</v>
      </c>
      <c r="C416" s="3" t="s">
        <v>17</v>
      </c>
      <c r="D416" s="3" t="s">
        <v>993</v>
      </c>
    </row>
    <row r="417" spans="1:4" x14ac:dyDescent="0.2">
      <c r="A417" s="3" t="s">
        <v>920</v>
      </c>
      <c r="B417" s="3" t="s">
        <v>943</v>
      </c>
      <c r="C417" s="3" t="s">
        <v>17</v>
      </c>
      <c r="D417" s="3" t="s">
        <v>993</v>
      </c>
    </row>
    <row r="418" spans="1:4" x14ac:dyDescent="0.2">
      <c r="A418" s="25" t="s">
        <v>411</v>
      </c>
      <c r="B418" s="3" t="s">
        <v>943</v>
      </c>
      <c r="C418" s="3" t="s">
        <v>17</v>
      </c>
      <c r="D418" s="3" t="s">
        <v>993</v>
      </c>
    </row>
    <row r="419" spans="1:4" x14ac:dyDescent="0.2">
      <c r="A419" s="3" t="s">
        <v>412</v>
      </c>
      <c r="B419" s="3" t="s">
        <v>943</v>
      </c>
      <c r="C419" s="3" t="s">
        <v>17</v>
      </c>
      <c r="D419" s="3" t="s">
        <v>993</v>
      </c>
    </row>
    <row r="420" spans="1:4" x14ac:dyDescent="0.2">
      <c r="A420" s="25" t="s">
        <v>877</v>
      </c>
      <c r="B420" s="3" t="s">
        <v>937</v>
      </c>
      <c r="C420" s="3" t="s">
        <v>938</v>
      </c>
      <c r="D420" s="3" t="s">
        <v>939</v>
      </c>
    </row>
    <row r="421" spans="1:4" x14ac:dyDescent="0.2">
      <c r="A421" s="7" t="s">
        <v>878</v>
      </c>
      <c r="B421" s="3" t="s">
        <v>937</v>
      </c>
      <c r="C421" s="3" t="s">
        <v>938</v>
      </c>
      <c r="D421" s="3" t="s">
        <v>939</v>
      </c>
    </row>
    <row r="422" spans="1:4" x14ac:dyDescent="0.2">
      <c r="A422" s="1" t="s">
        <v>879</v>
      </c>
      <c r="B422" s="3" t="s">
        <v>937</v>
      </c>
      <c r="C422" s="3" t="s">
        <v>938</v>
      </c>
      <c r="D422" s="3" t="s">
        <v>939</v>
      </c>
    </row>
    <row r="423" spans="1:4" x14ac:dyDescent="0.2">
      <c r="A423" s="1" t="s">
        <v>880</v>
      </c>
      <c r="B423" s="3" t="s">
        <v>937</v>
      </c>
      <c r="C423" s="3" t="s">
        <v>938</v>
      </c>
      <c r="D423" s="3" t="s">
        <v>939</v>
      </c>
    </row>
    <row r="424" spans="1:4" x14ac:dyDescent="0.2">
      <c r="A424" s="1" t="s">
        <v>881</v>
      </c>
      <c r="B424" s="3" t="s">
        <v>937</v>
      </c>
      <c r="C424" s="3" t="s">
        <v>938</v>
      </c>
      <c r="D424" s="3" t="s">
        <v>939</v>
      </c>
    </row>
    <row r="425" spans="1:4" x14ac:dyDescent="0.2">
      <c r="A425" s="1" t="s">
        <v>882</v>
      </c>
      <c r="B425" s="3" t="s">
        <v>937</v>
      </c>
      <c r="C425" s="3" t="s">
        <v>938</v>
      </c>
      <c r="D425" s="3" t="s">
        <v>939</v>
      </c>
    </row>
    <row r="426" spans="1:4" x14ac:dyDescent="0.2">
      <c r="A426" s="1" t="s">
        <v>883</v>
      </c>
      <c r="B426" s="3" t="s">
        <v>937</v>
      </c>
      <c r="C426" s="3" t="s">
        <v>938</v>
      </c>
      <c r="D426" s="3" t="s">
        <v>939</v>
      </c>
    </row>
    <row r="427" spans="1:4" x14ac:dyDescent="0.2">
      <c r="A427" s="1" t="s">
        <v>884</v>
      </c>
      <c r="B427" s="3" t="s">
        <v>937</v>
      </c>
      <c r="C427" s="3" t="s">
        <v>938</v>
      </c>
      <c r="D427" s="3" t="s">
        <v>939</v>
      </c>
    </row>
    <row r="428" spans="1:4" x14ac:dyDescent="0.2">
      <c r="A428" s="7" t="s">
        <v>885</v>
      </c>
      <c r="B428" s="3" t="s">
        <v>937</v>
      </c>
      <c r="C428" s="3" t="s">
        <v>938</v>
      </c>
      <c r="D428" s="3" t="s">
        <v>939</v>
      </c>
    </row>
    <row r="429" spans="1:4" x14ac:dyDescent="0.2">
      <c r="A429" s="7" t="s">
        <v>886</v>
      </c>
      <c r="B429" s="3" t="s">
        <v>937</v>
      </c>
      <c r="C429" s="3" t="s">
        <v>938</v>
      </c>
      <c r="D429" s="3" t="s">
        <v>939</v>
      </c>
    </row>
    <row r="430" spans="1:4" x14ac:dyDescent="0.2">
      <c r="A430" s="1" t="s">
        <v>887</v>
      </c>
      <c r="B430" s="3" t="s">
        <v>937</v>
      </c>
      <c r="C430" s="3" t="s">
        <v>938</v>
      </c>
      <c r="D430" s="3" t="s">
        <v>939</v>
      </c>
    </row>
    <row r="431" spans="1:4" x14ac:dyDescent="0.2">
      <c r="A431" s="1" t="s">
        <v>888</v>
      </c>
      <c r="B431" s="3" t="s">
        <v>937</v>
      </c>
      <c r="C431" s="3" t="s">
        <v>938</v>
      </c>
      <c r="D431" s="3" t="s">
        <v>939</v>
      </c>
    </row>
    <row r="432" spans="1:4" x14ac:dyDescent="0.2">
      <c r="A432" s="1" t="s">
        <v>889</v>
      </c>
      <c r="B432" s="3" t="s">
        <v>937</v>
      </c>
      <c r="C432" s="3" t="s">
        <v>938</v>
      </c>
      <c r="D432" s="3" t="s">
        <v>939</v>
      </c>
    </row>
    <row r="433" spans="1:4" x14ac:dyDescent="0.2">
      <c r="A433" s="1" t="s">
        <v>890</v>
      </c>
      <c r="B433" s="3" t="s">
        <v>937</v>
      </c>
      <c r="C433" s="3" t="s">
        <v>938</v>
      </c>
      <c r="D433" s="3" t="s">
        <v>939</v>
      </c>
    </row>
    <row r="434" spans="1:4" x14ac:dyDescent="0.2">
      <c r="A434" s="1" t="s">
        <v>891</v>
      </c>
      <c r="B434" s="3" t="s">
        <v>937</v>
      </c>
      <c r="C434" s="3" t="s">
        <v>938</v>
      </c>
      <c r="D434" s="3" t="s">
        <v>939</v>
      </c>
    </row>
    <row r="435" spans="1:4" x14ac:dyDescent="0.2">
      <c r="A435" s="1" t="s">
        <v>892</v>
      </c>
      <c r="B435" s="3" t="s">
        <v>937</v>
      </c>
      <c r="C435" s="3" t="s">
        <v>938</v>
      </c>
      <c r="D435" s="3" t="s">
        <v>939</v>
      </c>
    </row>
    <row r="436" spans="1:4" x14ac:dyDescent="0.2">
      <c r="A436" s="1" t="s">
        <v>893</v>
      </c>
      <c r="B436" s="3" t="s">
        <v>937</v>
      </c>
      <c r="C436" s="3" t="s">
        <v>938</v>
      </c>
      <c r="D436" s="3" t="s">
        <v>939</v>
      </c>
    </row>
    <row r="437" spans="1:4" x14ac:dyDescent="0.2">
      <c r="A437" s="1" t="s">
        <v>894</v>
      </c>
      <c r="B437" s="3" t="s">
        <v>937</v>
      </c>
      <c r="C437" s="3" t="s">
        <v>938</v>
      </c>
      <c r="D437" s="3" t="s">
        <v>939</v>
      </c>
    </row>
    <row r="438" spans="1:4" x14ac:dyDescent="0.2">
      <c r="A438" s="1" t="s">
        <v>895</v>
      </c>
      <c r="B438" s="3" t="s">
        <v>937</v>
      </c>
      <c r="C438" s="3" t="s">
        <v>938</v>
      </c>
      <c r="D438" s="3" t="s">
        <v>939</v>
      </c>
    </row>
    <row r="439" spans="1:4" x14ac:dyDescent="0.2">
      <c r="A439" s="1" t="s">
        <v>896</v>
      </c>
      <c r="B439" s="3" t="s">
        <v>937</v>
      </c>
      <c r="C439" s="3" t="s">
        <v>938</v>
      </c>
      <c r="D439" s="3" t="s">
        <v>939</v>
      </c>
    </row>
    <row r="440" spans="1:4" x14ac:dyDescent="0.2">
      <c r="A440" s="1" t="s">
        <v>897</v>
      </c>
      <c r="B440" s="3" t="s">
        <v>937</v>
      </c>
      <c r="C440" s="3" t="s">
        <v>938</v>
      </c>
      <c r="D440" s="3" t="s">
        <v>939</v>
      </c>
    </row>
    <row r="441" spans="1:4" x14ac:dyDescent="0.2">
      <c r="A441" s="1" t="s">
        <v>898</v>
      </c>
      <c r="B441" s="3" t="s">
        <v>937</v>
      </c>
      <c r="C441" s="3" t="s">
        <v>938</v>
      </c>
      <c r="D441" s="3" t="s">
        <v>939</v>
      </c>
    </row>
    <row r="442" spans="1:4" x14ac:dyDescent="0.2">
      <c r="A442" s="1" t="s">
        <v>899</v>
      </c>
      <c r="B442" s="3" t="s">
        <v>937</v>
      </c>
      <c r="C442" s="3" t="s">
        <v>938</v>
      </c>
      <c r="D442" s="3" t="s">
        <v>939</v>
      </c>
    </row>
    <row r="443" spans="1:4" x14ac:dyDescent="0.2">
      <c r="A443" s="1" t="s">
        <v>900</v>
      </c>
      <c r="B443" s="3" t="s">
        <v>937</v>
      </c>
      <c r="C443" s="3" t="s">
        <v>938</v>
      </c>
      <c r="D443" s="3" t="s">
        <v>939</v>
      </c>
    </row>
    <row r="444" spans="1:4" x14ac:dyDescent="0.2">
      <c r="A444" s="1" t="s">
        <v>901</v>
      </c>
      <c r="B444" s="3" t="s">
        <v>937</v>
      </c>
      <c r="C444" s="3" t="s">
        <v>938</v>
      </c>
      <c r="D444" s="3" t="s">
        <v>939</v>
      </c>
    </row>
    <row r="445" spans="1:4" x14ac:dyDescent="0.2">
      <c r="A445" s="1" t="s">
        <v>902</v>
      </c>
      <c r="B445" s="3" t="s">
        <v>937</v>
      </c>
      <c r="C445" s="3" t="s">
        <v>938</v>
      </c>
      <c r="D445" s="3" t="s">
        <v>939</v>
      </c>
    </row>
    <row r="446" spans="1:4" x14ac:dyDescent="0.2">
      <c r="A446" s="7" t="s">
        <v>456</v>
      </c>
      <c r="B446" s="3" t="s">
        <v>1152</v>
      </c>
      <c r="C446" s="3" t="s">
        <v>987</v>
      </c>
      <c r="D446" s="3" t="s">
        <v>1005</v>
      </c>
    </row>
    <row r="447" spans="1:4" x14ac:dyDescent="0.2">
      <c r="A447" s="3" t="s">
        <v>1631</v>
      </c>
      <c r="B447" s="3" t="s">
        <v>1</v>
      </c>
      <c r="C447" s="3" t="s">
        <v>987</v>
      </c>
      <c r="D447" s="3" t="s">
        <v>1633</v>
      </c>
    </row>
    <row r="448" spans="1:4" x14ac:dyDescent="0.2">
      <c r="A448" s="3" t="s">
        <v>1634</v>
      </c>
      <c r="B448" s="3" t="s">
        <v>1</v>
      </c>
      <c r="C448" s="3" t="s">
        <v>987</v>
      </c>
      <c r="D448" s="3" t="s">
        <v>1633</v>
      </c>
    </row>
    <row r="449" spans="1:4" x14ac:dyDescent="0.2">
      <c r="A449" s="3" t="s">
        <v>1636</v>
      </c>
      <c r="B449" s="3" t="s">
        <v>1</v>
      </c>
      <c r="C449" s="3" t="s">
        <v>987</v>
      </c>
      <c r="D449" s="3" t="s">
        <v>1633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1122</v>
      </c>
      <c r="C1" s="17" t="s">
        <v>31</v>
      </c>
      <c r="D1" s="17" t="s">
        <v>30</v>
      </c>
      <c r="E1" s="17" t="s">
        <v>1094</v>
      </c>
      <c r="F1" s="17" t="s">
        <v>1092</v>
      </c>
      <c r="G1" s="17" t="s">
        <v>1109</v>
      </c>
      <c r="H1" s="17" t="s">
        <v>1093</v>
      </c>
      <c r="I1" s="83" t="s">
        <v>1139</v>
      </c>
      <c r="J1" s="19" t="s">
        <v>1131</v>
      </c>
      <c r="K1" s="19" t="s">
        <v>1129</v>
      </c>
      <c r="L1" s="19" t="s">
        <v>1128</v>
      </c>
      <c r="M1" s="19" t="s">
        <v>1130</v>
      </c>
      <c r="N1" s="19" t="s">
        <v>1132</v>
      </c>
      <c r="O1" s="19" t="s">
        <v>1101</v>
      </c>
      <c r="P1" s="17" t="s">
        <v>1014</v>
      </c>
      <c r="Q1" s="17" t="s">
        <v>1096</v>
      </c>
      <c r="R1" s="17" t="s">
        <v>1123</v>
      </c>
      <c r="S1" s="17" t="s">
        <v>1120</v>
      </c>
      <c r="T1" s="17" t="s">
        <v>1119</v>
      </c>
      <c r="U1" s="17" t="s">
        <v>1127</v>
      </c>
      <c r="V1" s="17" t="s">
        <v>1125</v>
      </c>
      <c r="W1" s="22" t="s">
        <v>1126</v>
      </c>
      <c r="X1" s="17" t="s">
        <v>1103</v>
      </c>
    </row>
    <row r="2" spans="1:24" ht="17" thickTop="1" x14ac:dyDescent="0.2">
      <c r="A2" s="3" t="s">
        <v>1133</v>
      </c>
      <c r="B2" s="3" t="str">
        <f t="shared" ref="B2:B13" si="0">CONCATENATE(C2,"_",D2)</f>
        <v>US28_hcmva_4XT1</v>
      </c>
      <c r="C2" s="2" t="s">
        <v>42</v>
      </c>
      <c r="D2" s="3" t="s">
        <v>1117</v>
      </c>
      <c r="E2" s="3" t="s">
        <v>1099</v>
      </c>
      <c r="F2" s="3" t="s">
        <v>1105</v>
      </c>
      <c r="G2" s="3" t="s">
        <v>1118</v>
      </c>
      <c r="H2" s="3" t="s">
        <v>1108</v>
      </c>
      <c r="I2" s="16" t="s">
        <v>1136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1121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1116</v>
      </c>
    </row>
    <row r="3" spans="1:24" x14ac:dyDescent="0.2">
      <c r="A3" s="3" t="s">
        <v>1135</v>
      </c>
      <c r="B3" s="3" t="str">
        <f t="shared" si="0"/>
        <v>OPRM_mouse_5C1M</v>
      </c>
      <c r="C3" s="3" t="s">
        <v>44</v>
      </c>
      <c r="D3" s="3" t="s">
        <v>84</v>
      </c>
      <c r="E3" s="3" t="s">
        <v>1099</v>
      </c>
      <c r="F3" s="3" t="s">
        <v>1105</v>
      </c>
      <c r="G3" s="3" t="s">
        <v>1118</v>
      </c>
      <c r="H3" s="3" t="s">
        <v>1108</v>
      </c>
      <c r="I3" s="16" t="s">
        <v>1136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1121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1116</v>
      </c>
    </row>
    <row r="4" spans="1:24" x14ac:dyDescent="0.2">
      <c r="A4" s="3" t="s">
        <v>1134</v>
      </c>
      <c r="B4" s="3" t="str">
        <f t="shared" si="0"/>
        <v>OPSD_bovin_3DQB</v>
      </c>
      <c r="C4" s="3" t="s">
        <v>43</v>
      </c>
      <c r="D4" s="14" t="s">
        <v>54</v>
      </c>
      <c r="E4" s="3" t="s">
        <v>1099</v>
      </c>
      <c r="F4" s="14" t="s">
        <v>24</v>
      </c>
      <c r="G4" s="3" t="s">
        <v>1118</v>
      </c>
      <c r="H4" s="3" t="s">
        <v>1108</v>
      </c>
      <c r="I4" s="16" t="s">
        <v>1136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1111</v>
      </c>
      <c r="P4" s="15" t="s">
        <v>1013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1099</v>
      </c>
      <c r="F5" s="3" t="s">
        <v>1095</v>
      </c>
      <c r="G5" s="3" t="s">
        <v>1118</v>
      </c>
      <c r="H5" s="3" t="s">
        <v>1108</v>
      </c>
      <c r="I5" s="16" t="s">
        <v>1137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1111</v>
      </c>
      <c r="P5" s="15" t="s">
        <v>1012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1104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1099</v>
      </c>
      <c r="F6" s="3" t="s">
        <v>16</v>
      </c>
      <c r="G6" s="3" t="s">
        <v>1141</v>
      </c>
      <c r="H6" s="3" t="s">
        <v>1108</v>
      </c>
      <c r="I6" s="16" t="s">
        <v>1137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1110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1099</v>
      </c>
      <c r="F7" s="3" t="s">
        <v>1105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1112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1106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1099</v>
      </c>
      <c r="F8" s="3" t="s">
        <v>1105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1112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1106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1099</v>
      </c>
      <c r="F9" s="3" t="s">
        <v>1105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1112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1106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1107</v>
      </c>
      <c r="E10" s="3" t="s">
        <v>1099</v>
      </c>
      <c r="F10" s="3" t="s">
        <v>1105</v>
      </c>
      <c r="H10" s="3" t="s">
        <v>1108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1106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1040</v>
      </c>
      <c r="E11" s="3" t="s">
        <v>1099</v>
      </c>
      <c r="F11" s="3" t="s">
        <v>1105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1106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1022</v>
      </c>
      <c r="E12" s="3" t="s">
        <v>1099</v>
      </c>
      <c r="F12" s="3" t="s">
        <v>1095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1111</v>
      </c>
      <c r="P12" s="15" t="s">
        <v>1012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1104</v>
      </c>
    </row>
    <row r="13" spans="1:24" x14ac:dyDescent="0.2">
      <c r="B13" s="3" t="str">
        <f t="shared" si="0"/>
        <v>FFAR1_human_4PHU</v>
      </c>
      <c r="C13" s="2" t="s">
        <v>1142</v>
      </c>
      <c r="D13" s="14" t="s">
        <v>52</v>
      </c>
      <c r="E13" s="3" t="s">
        <v>1098</v>
      </c>
      <c r="F13" s="3" t="s">
        <v>23</v>
      </c>
      <c r="G13" s="3" t="s">
        <v>1143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1028</v>
      </c>
      <c r="E14" s="3" t="s">
        <v>1098</v>
      </c>
      <c r="F14" s="14"/>
      <c r="I14" s="16" t="s">
        <v>1136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1098</v>
      </c>
      <c r="F15" s="3" t="s">
        <v>23</v>
      </c>
      <c r="G15" s="3" t="s">
        <v>1140</v>
      </c>
      <c r="I15" s="16" t="s">
        <v>1136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1110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1020</v>
      </c>
      <c r="E16" s="3" t="s">
        <v>1098</v>
      </c>
      <c r="F16" s="3" t="s">
        <v>23</v>
      </c>
      <c r="G16" s="3" t="s">
        <v>1118</v>
      </c>
      <c r="I16" s="16" t="s">
        <v>1138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1110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1113</v>
      </c>
      <c r="E17" s="3" t="s">
        <v>1098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1113</v>
      </c>
      <c r="E18" s="3" t="s">
        <v>1098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1098</v>
      </c>
      <c r="F19" s="3" t="s">
        <v>23</v>
      </c>
      <c r="G19" s="3" t="s">
        <v>1144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1113</v>
      </c>
      <c r="E20" s="3" t="s">
        <v>1098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1091</v>
      </c>
      <c r="D21" s="3" t="s">
        <v>1113</v>
      </c>
      <c r="E21" s="3" t="s">
        <v>1098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1011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1100</v>
      </c>
      <c r="E22" s="3" t="s">
        <v>1098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1015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1102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1124</v>
      </c>
      <c r="E23" s="3" t="s">
        <v>1098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1111</v>
      </c>
      <c r="P23" s="15" t="s">
        <v>1013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1115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1114</v>
      </c>
      <c r="E24" s="3" t="s">
        <v>1098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1111</v>
      </c>
      <c r="P24" s="15" t="s">
        <v>1013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1115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1098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1012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1097</v>
      </c>
      <c r="E26" s="3" t="s">
        <v>1098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1012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1054</v>
      </c>
      <c r="C1" s="8" t="s">
        <v>1055</v>
      </c>
      <c r="D1" s="8" t="s">
        <v>1071</v>
      </c>
      <c r="E1" s="8" t="s">
        <v>1072</v>
      </c>
      <c r="F1" s="8" t="s">
        <v>1056</v>
      </c>
      <c r="G1" s="8" t="s">
        <v>1057</v>
      </c>
      <c r="H1" s="8" t="s">
        <v>1073</v>
      </c>
      <c r="I1" s="8" t="s">
        <v>1074</v>
      </c>
      <c r="J1" s="8" t="s">
        <v>1058</v>
      </c>
      <c r="K1" s="8" t="s">
        <v>1059</v>
      </c>
      <c r="L1" s="8" t="s">
        <v>1086</v>
      </c>
      <c r="M1" s="8" t="s">
        <v>1087</v>
      </c>
      <c r="N1" s="8" t="s">
        <v>1060</v>
      </c>
      <c r="O1" s="8" t="s">
        <v>1061</v>
      </c>
      <c r="P1" s="8" t="s">
        <v>1089</v>
      </c>
      <c r="Q1" s="8" t="s">
        <v>1090</v>
      </c>
      <c r="R1" s="8" t="s">
        <v>1062</v>
      </c>
      <c r="S1" s="8" t="s">
        <v>1063</v>
      </c>
      <c r="T1" s="8" t="s">
        <v>1064</v>
      </c>
      <c r="U1" s="8" t="s">
        <v>1065</v>
      </c>
      <c r="V1" s="8" t="s">
        <v>1066</v>
      </c>
      <c r="W1" s="8" t="s">
        <v>1067</v>
      </c>
      <c r="X1" s="8" t="s">
        <v>1068</v>
      </c>
      <c r="Y1" s="8" t="s">
        <v>1069</v>
      </c>
    </row>
    <row r="2" spans="1:25" x14ac:dyDescent="0.2">
      <c r="A2" s="1" t="s">
        <v>1319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17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59</v>
      </c>
      <c r="N2" s="1">
        <f>MIN('SegEnds_NonXtal_BW#'!O:O)</f>
        <v>34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23</v>
      </c>
      <c r="S2" s="1">
        <f>MAX('SegEnds_NonXtal_BW#'!T:T)</f>
        <v>81</v>
      </c>
      <c r="T2" s="1">
        <f>MIN('SegEnds_NonXtal_BW#'!U:U)</f>
        <v>20</v>
      </c>
      <c r="U2" s="1">
        <f>MAX('SegEnds_NonXtal_BW#'!V:V)</f>
        <v>84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2020-09-29T08:21:31Z</dcterms:modified>
  <cp:category/>
  <cp:contentStatus/>
</cp:coreProperties>
</file>